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yes/Desktop/"/>
    </mc:Choice>
  </mc:AlternateContent>
  <xr:revisionPtr revIDLastSave="0" documentId="13_ncr:1_{8274B5FE-2897-D54F-A313-22A0666EB16B}" xr6:coauthVersionLast="47" xr6:coauthVersionMax="47" xr10:uidLastSave="{00000000-0000-0000-0000-000000000000}"/>
  <bookViews>
    <workbookView xWindow="0" yWindow="500" windowWidth="35840" windowHeight="20540" activeTab="10" xr2:uid="{3E0919A3-89A2-EB40-98B3-70387C228433}"/>
  </bookViews>
  <sheets>
    <sheet name="Competitors" sheetId="4" r:id="rId1"/>
    <sheet name="Restructuration cap" sheetId="6" r:id="rId2"/>
    <sheet name="CAPEX" sheetId="8" r:id="rId3"/>
    <sheet name="Coverage ratios" sheetId="5" r:id="rId4"/>
    <sheet name="Leverage and Restructuration" sheetId="10" r:id="rId5"/>
    <sheet name="NWC" sheetId="7" r:id="rId6"/>
    <sheet name="Rates" sheetId="9" r:id="rId7"/>
    <sheet name="APV CALCULATION " sheetId="13" r:id="rId8"/>
    <sheet name="Sensitivity Analysis" sheetId="15" r:id="rId9"/>
    <sheet name="WACC CALCULATION" sheetId="14" r:id="rId10"/>
    <sheet name="Risk Metrics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0" l="1"/>
  <c r="H4" i="10"/>
  <c r="D14" i="10" l="1"/>
  <c r="C14" i="10"/>
  <c r="T27" i="9"/>
  <c r="T31" i="9" s="1"/>
  <c r="D12" i="14" l="1"/>
  <c r="D8" i="14" s="1"/>
  <c r="D13" i="14"/>
  <c r="AH32" i="6"/>
  <c r="AM8" i="4" l="1"/>
  <c r="AM7" i="4"/>
  <c r="AQ6" i="4"/>
  <c r="AM6" i="4"/>
  <c r="AF25" i="4" l="1"/>
  <c r="AG25" i="4"/>
  <c r="X88" i="6" l="1"/>
  <c r="Y88" i="6"/>
  <c r="Z88" i="6"/>
  <c r="AA88" i="6"/>
  <c r="AB88" i="6"/>
  <c r="AB22" i="6" l="1"/>
  <c r="AA22" i="6"/>
  <c r="Z22" i="6"/>
  <c r="Y22" i="6"/>
  <c r="X22" i="6"/>
  <c r="AB16" i="6"/>
  <c r="AA16" i="6"/>
  <c r="Z16" i="6"/>
  <c r="Y16" i="6"/>
  <c r="X16" i="6"/>
  <c r="AB6" i="6"/>
  <c r="AA6" i="6"/>
  <c r="Z6" i="6"/>
  <c r="Y6" i="6"/>
  <c r="X6" i="6"/>
  <c r="E54" i="16" l="1"/>
  <c r="I21" i="9" l="1"/>
  <c r="AO40" i="4"/>
  <c r="C5" i="10"/>
  <c r="C6" i="10" l="1"/>
  <c r="D4" i="14" s="1"/>
  <c r="AL9" i="4"/>
  <c r="AJ9" i="4"/>
  <c r="AQ9" i="4" l="1"/>
  <c r="AK20" i="4"/>
  <c r="AL20" i="4"/>
  <c r="AM20" i="4"/>
  <c r="AR20" i="4" s="1"/>
  <c r="AS20" i="4" s="1"/>
  <c r="N40" i="7" l="1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D38" i="7"/>
  <c r="AE3" i="8"/>
  <c r="W8" i="8"/>
  <c r="E8" i="8"/>
  <c r="W17" i="16" l="1"/>
  <c r="W18" i="16"/>
  <c r="X28" i="16"/>
  <c r="AA12" i="16"/>
  <c r="W12" i="16"/>
  <c r="AA11" i="16"/>
  <c r="W11" i="16"/>
  <c r="AA10" i="16"/>
  <c r="W10" i="16"/>
  <c r="AA9" i="16"/>
  <c r="W9" i="16"/>
  <c r="AC16" i="16" l="1"/>
  <c r="AC17" i="16" s="1"/>
  <c r="AA16" i="16"/>
  <c r="Y16" i="16"/>
  <c r="Y17" i="16" s="1"/>
  <c r="W16" i="16"/>
  <c r="AC15" i="16"/>
  <c r="AA15" i="16"/>
  <c r="Y15" i="16"/>
  <c r="W15" i="16"/>
  <c r="AE10" i="16"/>
  <c r="AE11" i="16"/>
  <c r="AE12" i="16"/>
  <c r="AE9" i="16"/>
  <c r="S10" i="16"/>
  <c r="S11" i="16"/>
  <c r="S12" i="16"/>
  <c r="S9" i="16"/>
  <c r="J6" i="14"/>
  <c r="J5" i="14"/>
  <c r="J4" i="14"/>
  <c r="J7" i="14" s="1"/>
  <c r="AE16" i="16" l="1"/>
  <c r="X34" i="16" s="1"/>
  <c r="AA17" i="16"/>
  <c r="AE17" i="16" s="1"/>
  <c r="X35" i="16" s="1"/>
  <c r="M3" i="13"/>
  <c r="I6" i="14"/>
  <c r="I5" i="14"/>
  <c r="J15" i="7"/>
  <c r="O15" i="16"/>
  <c r="O14" i="16"/>
  <c r="O11" i="16"/>
  <c r="O10" i="16"/>
  <c r="I19" i="9"/>
  <c r="O21" i="9"/>
  <c r="M18" i="13" s="1"/>
  <c r="T4" i="9"/>
  <c r="N4" i="9"/>
  <c r="H4" i="9"/>
  <c r="Q8" i="9"/>
  <c r="Q9" i="9"/>
  <c r="Q10" i="9"/>
  <c r="Q11" i="9"/>
  <c r="Q12" i="9"/>
  <c r="Q13" i="9"/>
  <c r="Q14" i="9"/>
  <c r="Q15" i="9"/>
  <c r="Q16" i="9"/>
  <c r="Q17" i="9"/>
  <c r="Q18" i="9"/>
  <c r="Q7" i="9"/>
  <c r="K8" i="9"/>
  <c r="K9" i="9"/>
  <c r="K10" i="9"/>
  <c r="K11" i="9"/>
  <c r="K12" i="9"/>
  <c r="K13" i="9"/>
  <c r="K14" i="9"/>
  <c r="K15" i="9"/>
  <c r="K16" i="9"/>
  <c r="K17" i="9"/>
  <c r="K18" i="9"/>
  <c r="K7" i="9"/>
  <c r="E8" i="9"/>
  <c r="E9" i="9"/>
  <c r="E10" i="9"/>
  <c r="E11" i="9"/>
  <c r="E12" i="9"/>
  <c r="E13" i="9"/>
  <c r="E14" i="9"/>
  <c r="E15" i="9"/>
  <c r="E16" i="9"/>
  <c r="E17" i="9"/>
  <c r="E18" i="9"/>
  <c r="E7" i="9"/>
  <c r="B39" i="10"/>
  <c r="O18" i="13" l="1"/>
  <c r="N18" i="13"/>
  <c r="P18" i="13"/>
  <c r="AH25" i="6" l="1"/>
  <c r="AH26" i="6"/>
  <c r="AH27" i="6"/>
  <c r="AH29" i="6"/>
  <c r="AH30" i="6"/>
  <c r="AH31" i="6"/>
  <c r="AH33" i="6"/>
  <c r="T25" i="9"/>
  <c r="D15" i="10" l="1"/>
  <c r="C29" i="10" s="1"/>
  <c r="E15" i="10"/>
  <c r="D29" i="10" s="1"/>
  <c r="F15" i="10"/>
  <c r="E29" i="10" s="1"/>
  <c r="G15" i="10"/>
  <c r="F29" i="10" s="1"/>
  <c r="I7" i="14"/>
  <c r="X7" i="7"/>
  <c r="Y7" i="7"/>
  <c r="Z7" i="7"/>
  <c r="AA7" i="7"/>
  <c r="X6" i="7"/>
  <c r="Y6" i="7"/>
  <c r="Z6" i="7" s="1"/>
  <c r="AA6" i="7" s="1"/>
  <c r="X5" i="7"/>
  <c r="Y5" i="7"/>
  <c r="Z5" i="7" s="1"/>
  <c r="AA5" i="7" s="1"/>
  <c r="W7" i="7"/>
  <c r="W6" i="7"/>
  <c r="W5" i="7"/>
  <c r="D37" i="7"/>
  <c r="C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U40" i="7" s="1"/>
  <c r="C15" i="10"/>
  <c r="B29" i="10" s="1"/>
  <c r="X8" i="7"/>
  <c r="Y8" i="7"/>
  <c r="Z8" i="7"/>
  <c r="AA8" i="7"/>
  <c r="W8" i="7"/>
  <c r="AE13" i="7"/>
  <c r="AE7" i="7"/>
  <c r="AE8" i="7"/>
  <c r="AE9" i="7"/>
  <c r="AE10" i="7"/>
  <c r="AE11" i="7"/>
  <c r="AE12" i="7"/>
  <c r="E8" i="7"/>
  <c r="F8" i="7"/>
  <c r="G8" i="7"/>
  <c r="H8" i="7"/>
  <c r="I8" i="7"/>
  <c r="J8" i="7"/>
  <c r="K8" i="7"/>
  <c r="L8" i="7"/>
  <c r="M8" i="7"/>
  <c r="N8" i="7"/>
  <c r="O8" i="7"/>
  <c r="P8" i="7"/>
  <c r="D8" i="7"/>
  <c r="F7" i="7"/>
  <c r="R5" i="7"/>
  <c r="V7" i="7"/>
  <c r="C11" i="13" l="1"/>
  <c r="W7" i="8" l="1"/>
  <c r="P7" i="8"/>
  <c r="Q7" i="8"/>
  <c r="R7" i="8"/>
  <c r="S7" i="8"/>
  <c r="T7" i="8"/>
  <c r="U7" i="8"/>
  <c r="V7" i="8"/>
  <c r="O7" i="8"/>
  <c r="K7" i="8"/>
  <c r="J7" i="8"/>
  <c r="J6" i="8"/>
  <c r="I6" i="8"/>
  <c r="O6" i="8"/>
  <c r="P6" i="8"/>
  <c r="Q6" i="8"/>
  <c r="R6" i="8"/>
  <c r="S6" i="8"/>
  <c r="T6" i="8"/>
  <c r="U6" i="8"/>
  <c r="N6" i="8"/>
  <c r="N56" i="6"/>
  <c r="D56" i="6"/>
  <c r="E56" i="6"/>
  <c r="F56" i="6"/>
  <c r="G56" i="6"/>
  <c r="H56" i="6"/>
  <c r="I56" i="6"/>
  <c r="J56" i="6"/>
  <c r="K56" i="6"/>
  <c r="L56" i="6"/>
  <c r="M56" i="6"/>
  <c r="O56" i="6"/>
  <c r="P56" i="6"/>
  <c r="Q56" i="6"/>
  <c r="R56" i="6"/>
  <c r="S56" i="6"/>
  <c r="T56" i="6"/>
  <c r="V56" i="6"/>
  <c r="W56" i="6"/>
  <c r="U56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Y63" i="6"/>
  <c r="Z63" i="6"/>
  <c r="AA63" i="6"/>
  <c r="AB63" i="6"/>
  <c r="X63" i="6"/>
  <c r="X62" i="6" s="1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E63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D62" i="6"/>
  <c r="I27" i="6"/>
  <c r="H27" i="6"/>
  <c r="G27" i="6"/>
  <c r="W27" i="6"/>
  <c r="V27" i="6"/>
  <c r="U27" i="6"/>
  <c r="T27" i="6"/>
  <c r="S27" i="6"/>
  <c r="R27" i="6"/>
  <c r="Q27" i="6"/>
  <c r="P27" i="6"/>
  <c r="D17" i="6"/>
  <c r="E11" i="13" l="1"/>
  <c r="Y62" i="6"/>
  <c r="C24" i="10"/>
  <c r="AF24" i="4"/>
  <c r="AF23" i="4"/>
  <c r="AF22" i="4"/>
  <c r="AF21" i="4"/>
  <c r="AG21" i="4"/>
  <c r="Z62" i="6" l="1"/>
  <c r="F11" i="13"/>
  <c r="V19" i="7"/>
  <c r="V30" i="7"/>
  <c r="AA62" i="6" l="1"/>
  <c r="G11" i="13"/>
  <c r="P23" i="6"/>
  <c r="Q23" i="6"/>
  <c r="R23" i="6"/>
  <c r="S23" i="6"/>
  <c r="T23" i="6"/>
  <c r="U23" i="6"/>
  <c r="V23" i="6"/>
  <c r="W23" i="6"/>
  <c r="W16" i="6"/>
  <c r="W22" i="6"/>
  <c r="W70" i="6"/>
  <c r="W24" i="6"/>
  <c r="V27" i="7"/>
  <c r="B24" i="5"/>
  <c r="B23" i="5"/>
  <c r="H11" i="13" l="1"/>
  <c r="AB62" i="6"/>
  <c r="AO39" i="4"/>
  <c r="AO38" i="4"/>
  <c r="AO37" i="4"/>
  <c r="AJ39" i="4"/>
  <c r="AG39" i="4"/>
  <c r="AJ38" i="4"/>
  <c r="AG38" i="4"/>
  <c r="AJ37" i="4"/>
  <c r="AG37" i="4"/>
  <c r="AO36" i="4"/>
  <c r="AG36" i="4"/>
  <c r="AJ36" i="4"/>
  <c r="AO35" i="4"/>
  <c r="AG35" i="4"/>
  <c r="AJ35" i="4"/>
  <c r="I11" i="13" l="1"/>
  <c r="U23" i="4"/>
  <c r="Q23" i="4"/>
  <c r="I23" i="4"/>
  <c r="AL8" i="4" l="1"/>
  <c r="AL7" i="4"/>
  <c r="AL6" i="4"/>
  <c r="AH8" i="4"/>
  <c r="AH7" i="4"/>
  <c r="AH6" i="4"/>
  <c r="AI8" i="4"/>
  <c r="AI7" i="4"/>
  <c r="AJ7" i="4"/>
  <c r="AJ6" i="4"/>
  <c r="AJ8" i="4"/>
  <c r="AK7" i="4"/>
  <c r="AK8" i="4"/>
  <c r="AK6" i="4"/>
  <c r="Y40" i="4"/>
  <c r="Y24" i="4" s="1"/>
  <c r="Y47" i="4"/>
  <c r="Y31" i="4"/>
  <c r="Y28" i="4"/>
  <c r="Y27" i="4"/>
  <c r="Y17" i="4"/>
  <c r="Y16" i="4"/>
  <c r="Y15" i="4"/>
  <c r="Y12" i="4"/>
  <c r="Y8" i="4"/>
  <c r="Y10" i="4" s="1"/>
  <c r="AJ25" i="4" s="1"/>
  <c r="U47" i="4"/>
  <c r="U40" i="4"/>
  <c r="U24" i="4" s="1"/>
  <c r="U36" i="4"/>
  <c r="U31" i="4"/>
  <c r="U28" i="4"/>
  <c r="U27" i="4"/>
  <c r="U17" i="4"/>
  <c r="U15" i="4"/>
  <c r="U12" i="4"/>
  <c r="U8" i="4"/>
  <c r="U10" i="4" s="1"/>
  <c r="Q40" i="4"/>
  <c r="Q24" i="4" s="1"/>
  <c r="Q36" i="4"/>
  <c r="Q28" i="4"/>
  <c r="Q27" i="4"/>
  <c r="Q29" i="4" s="1"/>
  <c r="Q17" i="4"/>
  <c r="M17" i="4"/>
  <c r="Q16" i="4"/>
  <c r="Q15" i="4"/>
  <c r="Q12" i="4"/>
  <c r="Q8" i="4"/>
  <c r="Q10" i="4" s="1"/>
  <c r="I36" i="4"/>
  <c r="I31" i="4"/>
  <c r="I40" i="4"/>
  <c r="I24" i="4" s="1"/>
  <c r="M40" i="4"/>
  <c r="M24" i="4" s="1"/>
  <c r="M47" i="4"/>
  <c r="M31" i="4"/>
  <c r="M27" i="4"/>
  <c r="M29" i="4" s="1"/>
  <c r="M15" i="4"/>
  <c r="M12" i="4"/>
  <c r="M8" i="4"/>
  <c r="M10" i="4" s="1"/>
  <c r="I12" i="4"/>
  <c r="I8" i="4"/>
  <c r="I10" i="4" s="1"/>
  <c r="AJ21" i="4" s="1"/>
  <c r="I28" i="4"/>
  <c r="I27" i="4"/>
  <c r="I16" i="4"/>
  <c r="I15" i="4"/>
  <c r="I19" i="4" s="1"/>
  <c r="C3" i="10"/>
  <c r="U19" i="4" l="1"/>
  <c r="I29" i="4"/>
  <c r="Y19" i="4"/>
  <c r="Y29" i="4"/>
  <c r="Q19" i="4"/>
  <c r="M19" i="4"/>
  <c r="U29" i="4"/>
  <c r="AJ23" i="4"/>
  <c r="Q13" i="4"/>
  <c r="AJ22" i="4"/>
  <c r="M13" i="4"/>
  <c r="AJ24" i="4"/>
  <c r="U13" i="4"/>
  <c r="U21" i="4" s="1"/>
  <c r="Y13" i="4"/>
  <c r="I13" i="4"/>
  <c r="Y21" i="4" l="1"/>
  <c r="AK25" i="4" s="1"/>
  <c r="U25" i="4"/>
  <c r="AL24" i="4" s="1"/>
  <c r="AK24" i="4"/>
  <c r="U32" i="4"/>
  <c r="U38" i="4" s="1"/>
  <c r="U41" i="4" s="1"/>
  <c r="U45" i="4" s="1"/>
  <c r="U48" i="4" s="1"/>
  <c r="AM24" i="4" s="1"/>
  <c r="M21" i="4"/>
  <c r="Q21" i="4"/>
  <c r="I21" i="4"/>
  <c r="AK23" i="4" l="1"/>
  <c r="Q25" i="4"/>
  <c r="AL23" i="4" s="1"/>
  <c r="Q32" i="4"/>
  <c r="Q38" i="4" s="1"/>
  <c r="Q41" i="4" s="1"/>
  <c r="Q45" i="4" s="1"/>
  <c r="Q48" i="4" s="1"/>
  <c r="AM23" i="4" s="1"/>
  <c r="AR23" i="4" s="1"/>
  <c r="AS23" i="4" s="1"/>
  <c r="AK21" i="4"/>
  <c r="I32" i="4"/>
  <c r="I38" i="4" s="1"/>
  <c r="I41" i="4" s="1"/>
  <c r="I45" i="4" s="1"/>
  <c r="I48" i="4" s="1"/>
  <c r="AM21" i="4" s="1"/>
  <c r="AR21" i="4" s="1"/>
  <c r="AS21" i="4" s="1"/>
  <c r="I25" i="4"/>
  <c r="AL21" i="4" s="1"/>
  <c r="AK22" i="4"/>
  <c r="M32" i="4"/>
  <c r="M38" i="4" s="1"/>
  <c r="M41" i="4" s="1"/>
  <c r="M45" i="4" s="1"/>
  <c r="M48" i="4" s="1"/>
  <c r="AM22" i="4" s="1"/>
  <c r="M25" i="4"/>
  <c r="AL22" i="4" s="1"/>
  <c r="Y25" i="4"/>
  <c r="AL25" i="4" s="1"/>
  <c r="Y32" i="4"/>
  <c r="Y38" i="4" s="1"/>
  <c r="Y41" i="4" s="1"/>
  <c r="Y45" i="4" s="1"/>
  <c r="Y48" i="4" s="1"/>
  <c r="AM25" i="4" s="1"/>
  <c r="C14" i="13"/>
  <c r="W5" i="8" l="1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N1103" i="9"/>
  <c r="N1104" i="9"/>
  <c r="N1105" i="9"/>
  <c r="N1106" i="9"/>
  <c r="N1107" i="9"/>
  <c r="N1108" i="9"/>
  <c r="N1109" i="9"/>
  <c r="N1110" i="9"/>
  <c r="N1111" i="9"/>
  <c r="N1112" i="9"/>
  <c r="N1113" i="9"/>
  <c r="N1114" i="9"/>
  <c r="N1115" i="9"/>
  <c r="N1116" i="9"/>
  <c r="N1117" i="9"/>
  <c r="N1118" i="9"/>
  <c r="N1119" i="9"/>
  <c r="N1120" i="9"/>
  <c r="N1121" i="9"/>
  <c r="N1122" i="9"/>
  <c r="N1123" i="9"/>
  <c r="N1124" i="9"/>
  <c r="N1125" i="9"/>
  <c r="N1126" i="9"/>
  <c r="N1127" i="9"/>
  <c r="N1128" i="9"/>
  <c r="N1129" i="9"/>
  <c r="N1130" i="9"/>
  <c r="N1131" i="9"/>
  <c r="N1132" i="9"/>
  <c r="N1133" i="9"/>
  <c r="N1134" i="9"/>
  <c r="N1135" i="9"/>
  <c r="N1136" i="9"/>
  <c r="N1137" i="9"/>
  <c r="N1138" i="9"/>
  <c r="N1139" i="9"/>
  <c r="N1140" i="9"/>
  <c r="N1141" i="9"/>
  <c r="N1142" i="9"/>
  <c r="N1143" i="9"/>
  <c r="N1144" i="9"/>
  <c r="N1145" i="9"/>
  <c r="N1146" i="9"/>
  <c r="N1147" i="9"/>
  <c r="N1148" i="9"/>
  <c r="N1149" i="9"/>
  <c r="N1150" i="9"/>
  <c r="N1151" i="9"/>
  <c r="N1152" i="9"/>
  <c r="N1153" i="9"/>
  <c r="N1154" i="9"/>
  <c r="N1155" i="9"/>
  <c r="N1156" i="9"/>
  <c r="N1157" i="9"/>
  <c r="N1158" i="9"/>
  <c r="N1159" i="9"/>
  <c r="N1160" i="9"/>
  <c r="N1161" i="9"/>
  <c r="N1162" i="9"/>
  <c r="N1163" i="9"/>
  <c r="N1164" i="9"/>
  <c r="N1165" i="9"/>
  <c r="N1166" i="9"/>
  <c r="N1167" i="9"/>
  <c r="N1168" i="9"/>
  <c r="N1169" i="9"/>
  <c r="N1170" i="9"/>
  <c r="N1171" i="9"/>
  <c r="N1172" i="9"/>
  <c r="N1173" i="9"/>
  <c r="N1174" i="9"/>
  <c r="N1175" i="9"/>
  <c r="N1176" i="9"/>
  <c r="N1177" i="9"/>
  <c r="N1178" i="9"/>
  <c r="N1179" i="9"/>
  <c r="N1180" i="9"/>
  <c r="N1181" i="9"/>
  <c r="N1182" i="9"/>
  <c r="N1183" i="9"/>
  <c r="N1184" i="9"/>
  <c r="N1185" i="9"/>
  <c r="N1186" i="9"/>
  <c r="N1187" i="9"/>
  <c r="N1188" i="9"/>
  <c r="N1189" i="9"/>
  <c r="N1190" i="9"/>
  <c r="N1191" i="9"/>
  <c r="N1192" i="9"/>
  <c r="N1193" i="9"/>
  <c r="N1194" i="9"/>
  <c r="N1195" i="9"/>
  <c r="N1196" i="9"/>
  <c r="N1197" i="9"/>
  <c r="N1198" i="9"/>
  <c r="N1199" i="9"/>
  <c r="N1200" i="9"/>
  <c r="N1201" i="9"/>
  <c r="N1202" i="9"/>
  <c r="N1203" i="9"/>
  <c r="N1204" i="9"/>
  <c r="N1205" i="9"/>
  <c r="N1206" i="9"/>
  <c r="N1207" i="9"/>
  <c r="N1208" i="9"/>
  <c r="N1209" i="9"/>
  <c r="N1210" i="9"/>
  <c r="N1211" i="9"/>
  <c r="N1212" i="9"/>
  <c r="N1213" i="9"/>
  <c r="N1214" i="9"/>
  <c r="N1215" i="9"/>
  <c r="N1216" i="9"/>
  <c r="N1217" i="9"/>
  <c r="N1218" i="9"/>
  <c r="N1219" i="9"/>
  <c r="N1220" i="9"/>
  <c r="N1221" i="9"/>
  <c r="N1222" i="9"/>
  <c r="N1223" i="9"/>
  <c r="N1224" i="9"/>
  <c r="N1225" i="9"/>
  <c r="N1226" i="9"/>
  <c r="N1227" i="9"/>
  <c r="N1228" i="9"/>
  <c r="N1229" i="9"/>
  <c r="N1230" i="9"/>
  <c r="N1231" i="9"/>
  <c r="N1232" i="9"/>
  <c r="N1233" i="9"/>
  <c r="N1234" i="9"/>
  <c r="N1235" i="9"/>
  <c r="N1236" i="9"/>
  <c r="N1237" i="9"/>
  <c r="N1238" i="9"/>
  <c r="N1239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8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0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3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0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510" i="9"/>
  <c r="N1511" i="9"/>
  <c r="N1512" i="9"/>
  <c r="N1513" i="9"/>
  <c r="N1514" i="9"/>
  <c r="N1515" i="9"/>
  <c r="N1516" i="9"/>
  <c r="N1517" i="9"/>
  <c r="N1518" i="9"/>
  <c r="N1519" i="9"/>
  <c r="N1520" i="9"/>
  <c r="N1521" i="9"/>
  <c r="N1522" i="9"/>
  <c r="N1523" i="9"/>
  <c r="N1524" i="9"/>
  <c r="N1525" i="9"/>
  <c r="N1526" i="9"/>
  <c r="N1527" i="9"/>
  <c r="N1528" i="9"/>
  <c r="N1529" i="9"/>
  <c r="N1530" i="9"/>
  <c r="N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J730" i="9"/>
  <c r="J731" i="9"/>
  <c r="J732" i="9"/>
  <c r="J733" i="9"/>
  <c r="J734" i="9"/>
  <c r="J735" i="9"/>
  <c r="J736" i="9"/>
  <c r="J737" i="9"/>
  <c r="J738" i="9"/>
  <c r="J739" i="9"/>
  <c r="J740" i="9"/>
  <c r="J741" i="9"/>
  <c r="J742" i="9"/>
  <c r="J743" i="9"/>
  <c r="J744" i="9"/>
  <c r="J745" i="9"/>
  <c r="J746" i="9"/>
  <c r="J747" i="9"/>
  <c r="J748" i="9"/>
  <c r="J749" i="9"/>
  <c r="J750" i="9"/>
  <c r="J751" i="9"/>
  <c r="J752" i="9"/>
  <c r="J753" i="9"/>
  <c r="J754" i="9"/>
  <c r="J755" i="9"/>
  <c r="J756" i="9"/>
  <c r="J757" i="9"/>
  <c r="J758" i="9"/>
  <c r="J759" i="9"/>
  <c r="J760" i="9"/>
  <c r="J761" i="9"/>
  <c r="J762" i="9"/>
  <c r="J763" i="9"/>
  <c r="J764" i="9"/>
  <c r="J765" i="9"/>
  <c r="J766" i="9"/>
  <c r="J767" i="9"/>
  <c r="J768" i="9"/>
  <c r="J769" i="9"/>
  <c r="J770" i="9"/>
  <c r="J771" i="9"/>
  <c r="J772" i="9"/>
  <c r="J773" i="9"/>
  <c r="J774" i="9"/>
  <c r="J775" i="9"/>
  <c r="J776" i="9"/>
  <c r="J777" i="9"/>
  <c r="J778" i="9"/>
  <c r="J779" i="9"/>
  <c r="J780" i="9"/>
  <c r="J781" i="9"/>
  <c r="J782" i="9"/>
  <c r="J783" i="9"/>
  <c r="J784" i="9"/>
  <c r="J785" i="9"/>
  <c r="J786" i="9"/>
  <c r="J787" i="9"/>
  <c r="J788" i="9"/>
  <c r="J789" i="9"/>
  <c r="J790" i="9"/>
  <c r="J791" i="9"/>
  <c r="J792" i="9"/>
  <c r="J793" i="9"/>
  <c r="J794" i="9"/>
  <c r="J795" i="9"/>
  <c r="J796" i="9"/>
  <c r="J797" i="9"/>
  <c r="J798" i="9"/>
  <c r="J799" i="9"/>
  <c r="J800" i="9"/>
  <c r="J801" i="9"/>
  <c r="J802" i="9"/>
  <c r="J803" i="9"/>
  <c r="J804" i="9"/>
  <c r="J805" i="9"/>
  <c r="J806" i="9"/>
  <c r="J807" i="9"/>
  <c r="J808" i="9"/>
  <c r="J809" i="9"/>
  <c r="J810" i="9"/>
  <c r="J811" i="9"/>
  <c r="J812" i="9"/>
  <c r="J813" i="9"/>
  <c r="J814" i="9"/>
  <c r="J815" i="9"/>
  <c r="J816" i="9"/>
  <c r="J817" i="9"/>
  <c r="J818" i="9"/>
  <c r="J819" i="9"/>
  <c r="J820" i="9"/>
  <c r="J821" i="9"/>
  <c r="J822" i="9"/>
  <c r="J823" i="9"/>
  <c r="J824" i="9"/>
  <c r="J825" i="9"/>
  <c r="J826" i="9"/>
  <c r="J827" i="9"/>
  <c r="J828" i="9"/>
  <c r="J829" i="9"/>
  <c r="J830" i="9"/>
  <c r="J831" i="9"/>
  <c r="J832" i="9"/>
  <c r="J833" i="9"/>
  <c r="J834" i="9"/>
  <c r="J835" i="9"/>
  <c r="J836" i="9"/>
  <c r="J837" i="9"/>
  <c r="J838" i="9"/>
  <c r="J839" i="9"/>
  <c r="J840" i="9"/>
  <c r="J841" i="9"/>
  <c r="J842" i="9"/>
  <c r="J843" i="9"/>
  <c r="J844" i="9"/>
  <c r="J845" i="9"/>
  <c r="J846" i="9"/>
  <c r="J847" i="9"/>
  <c r="J848" i="9"/>
  <c r="J849" i="9"/>
  <c r="J850" i="9"/>
  <c r="J851" i="9"/>
  <c r="J852" i="9"/>
  <c r="J853" i="9"/>
  <c r="J854" i="9"/>
  <c r="J855" i="9"/>
  <c r="J856" i="9"/>
  <c r="J857" i="9"/>
  <c r="J858" i="9"/>
  <c r="J859" i="9"/>
  <c r="J860" i="9"/>
  <c r="J861" i="9"/>
  <c r="J862" i="9"/>
  <c r="J863" i="9"/>
  <c r="J864" i="9"/>
  <c r="J865" i="9"/>
  <c r="J866" i="9"/>
  <c r="J867" i="9"/>
  <c r="J868" i="9"/>
  <c r="J869" i="9"/>
  <c r="J870" i="9"/>
  <c r="J871" i="9"/>
  <c r="J872" i="9"/>
  <c r="J873" i="9"/>
  <c r="J874" i="9"/>
  <c r="J875" i="9"/>
  <c r="J876" i="9"/>
  <c r="J877" i="9"/>
  <c r="J878" i="9"/>
  <c r="J879" i="9"/>
  <c r="J880" i="9"/>
  <c r="J881" i="9"/>
  <c r="J882" i="9"/>
  <c r="J883" i="9"/>
  <c r="J884" i="9"/>
  <c r="J885" i="9"/>
  <c r="J886" i="9"/>
  <c r="J887" i="9"/>
  <c r="J888" i="9"/>
  <c r="J889" i="9"/>
  <c r="J890" i="9"/>
  <c r="J891" i="9"/>
  <c r="J892" i="9"/>
  <c r="J893" i="9"/>
  <c r="J894" i="9"/>
  <c r="J895" i="9"/>
  <c r="J896" i="9"/>
  <c r="J897" i="9"/>
  <c r="J898" i="9"/>
  <c r="J899" i="9"/>
  <c r="J900" i="9"/>
  <c r="J901" i="9"/>
  <c r="J902" i="9"/>
  <c r="J903" i="9"/>
  <c r="J904" i="9"/>
  <c r="J905" i="9"/>
  <c r="J906" i="9"/>
  <c r="J907" i="9"/>
  <c r="J908" i="9"/>
  <c r="J909" i="9"/>
  <c r="J910" i="9"/>
  <c r="J911" i="9"/>
  <c r="J912" i="9"/>
  <c r="J913" i="9"/>
  <c r="J914" i="9"/>
  <c r="J915" i="9"/>
  <c r="J916" i="9"/>
  <c r="J917" i="9"/>
  <c r="J918" i="9"/>
  <c r="J919" i="9"/>
  <c r="J920" i="9"/>
  <c r="J921" i="9"/>
  <c r="J922" i="9"/>
  <c r="J923" i="9"/>
  <c r="J924" i="9"/>
  <c r="J925" i="9"/>
  <c r="J926" i="9"/>
  <c r="J927" i="9"/>
  <c r="J928" i="9"/>
  <c r="J929" i="9"/>
  <c r="J930" i="9"/>
  <c r="J931" i="9"/>
  <c r="J932" i="9"/>
  <c r="J933" i="9"/>
  <c r="J934" i="9"/>
  <c r="J935" i="9"/>
  <c r="J936" i="9"/>
  <c r="J937" i="9"/>
  <c r="J938" i="9"/>
  <c r="J939" i="9"/>
  <c r="J940" i="9"/>
  <c r="J941" i="9"/>
  <c r="J942" i="9"/>
  <c r="J943" i="9"/>
  <c r="J944" i="9"/>
  <c r="J945" i="9"/>
  <c r="J946" i="9"/>
  <c r="J947" i="9"/>
  <c r="J948" i="9"/>
  <c r="J949" i="9"/>
  <c r="J950" i="9"/>
  <c r="J951" i="9"/>
  <c r="J952" i="9"/>
  <c r="J953" i="9"/>
  <c r="J954" i="9"/>
  <c r="J955" i="9"/>
  <c r="J956" i="9"/>
  <c r="J957" i="9"/>
  <c r="J958" i="9"/>
  <c r="J959" i="9"/>
  <c r="J960" i="9"/>
  <c r="J961" i="9"/>
  <c r="J962" i="9"/>
  <c r="J963" i="9"/>
  <c r="J964" i="9"/>
  <c r="J965" i="9"/>
  <c r="J966" i="9"/>
  <c r="J967" i="9"/>
  <c r="J968" i="9"/>
  <c r="J969" i="9"/>
  <c r="J970" i="9"/>
  <c r="J971" i="9"/>
  <c r="J972" i="9"/>
  <c r="J973" i="9"/>
  <c r="J974" i="9"/>
  <c r="J975" i="9"/>
  <c r="J976" i="9"/>
  <c r="J977" i="9"/>
  <c r="J978" i="9"/>
  <c r="J979" i="9"/>
  <c r="J980" i="9"/>
  <c r="J981" i="9"/>
  <c r="J982" i="9"/>
  <c r="J983" i="9"/>
  <c r="J984" i="9"/>
  <c r="J985" i="9"/>
  <c r="J986" i="9"/>
  <c r="J987" i="9"/>
  <c r="J988" i="9"/>
  <c r="J989" i="9"/>
  <c r="J990" i="9"/>
  <c r="J991" i="9"/>
  <c r="J992" i="9"/>
  <c r="J993" i="9"/>
  <c r="J994" i="9"/>
  <c r="J995" i="9"/>
  <c r="J996" i="9"/>
  <c r="J997" i="9"/>
  <c r="J998" i="9"/>
  <c r="J999" i="9"/>
  <c r="J1000" i="9"/>
  <c r="J1001" i="9"/>
  <c r="J1002" i="9"/>
  <c r="J1003" i="9"/>
  <c r="J1004" i="9"/>
  <c r="J1005" i="9"/>
  <c r="J1006" i="9"/>
  <c r="J1007" i="9"/>
  <c r="J1008" i="9"/>
  <c r="J1009" i="9"/>
  <c r="J1010" i="9"/>
  <c r="J1011" i="9"/>
  <c r="J1012" i="9"/>
  <c r="J1013" i="9"/>
  <c r="J1014" i="9"/>
  <c r="J1015" i="9"/>
  <c r="J1016" i="9"/>
  <c r="J1017" i="9"/>
  <c r="J1018" i="9"/>
  <c r="J1019" i="9"/>
  <c r="J1020" i="9"/>
  <c r="J1021" i="9"/>
  <c r="J1022" i="9"/>
  <c r="J1023" i="9"/>
  <c r="J1024" i="9"/>
  <c r="J1025" i="9"/>
  <c r="J1026" i="9"/>
  <c r="J1027" i="9"/>
  <c r="J1028" i="9"/>
  <c r="J1029" i="9"/>
  <c r="J1030" i="9"/>
  <c r="J1031" i="9"/>
  <c r="J1032" i="9"/>
  <c r="J1033" i="9"/>
  <c r="J1034" i="9"/>
  <c r="J1035" i="9"/>
  <c r="J1036" i="9"/>
  <c r="J1037" i="9"/>
  <c r="J1038" i="9"/>
  <c r="J1039" i="9"/>
  <c r="J1040" i="9"/>
  <c r="J1041" i="9"/>
  <c r="J1042" i="9"/>
  <c r="J1043" i="9"/>
  <c r="J1044" i="9"/>
  <c r="J1045" i="9"/>
  <c r="J1046" i="9"/>
  <c r="J1047" i="9"/>
  <c r="J1048" i="9"/>
  <c r="J1049" i="9"/>
  <c r="J1050" i="9"/>
  <c r="J1051" i="9"/>
  <c r="J1052" i="9"/>
  <c r="J1053" i="9"/>
  <c r="J1054" i="9"/>
  <c r="J1055" i="9"/>
  <c r="J1056" i="9"/>
  <c r="J1057" i="9"/>
  <c r="J1058" i="9"/>
  <c r="J1059" i="9"/>
  <c r="J1060" i="9"/>
  <c r="J1061" i="9"/>
  <c r="J1062" i="9"/>
  <c r="J1063" i="9"/>
  <c r="J1064" i="9"/>
  <c r="J1065" i="9"/>
  <c r="J1066" i="9"/>
  <c r="J1067" i="9"/>
  <c r="J1068" i="9"/>
  <c r="J1069" i="9"/>
  <c r="J1070" i="9"/>
  <c r="J1071" i="9"/>
  <c r="J1072" i="9"/>
  <c r="J1073" i="9"/>
  <c r="J1074" i="9"/>
  <c r="J1075" i="9"/>
  <c r="J1076" i="9"/>
  <c r="J1077" i="9"/>
  <c r="J1078" i="9"/>
  <c r="J1079" i="9"/>
  <c r="J1080" i="9"/>
  <c r="J1081" i="9"/>
  <c r="J1082" i="9"/>
  <c r="J1083" i="9"/>
  <c r="J1084" i="9"/>
  <c r="J1085" i="9"/>
  <c r="J1086" i="9"/>
  <c r="J1087" i="9"/>
  <c r="J1088" i="9"/>
  <c r="J1089" i="9"/>
  <c r="J1090" i="9"/>
  <c r="J1091" i="9"/>
  <c r="J1092" i="9"/>
  <c r="J1093" i="9"/>
  <c r="J1094" i="9"/>
  <c r="J1095" i="9"/>
  <c r="J1096" i="9"/>
  <c r="J1097" i="9"/>
  <c r="J1098" i="9"/>
  <c r="J1099" i="9"/>
  <c r="J1100" i="9"/>
  <c r="J1101" i="9"/>
  <c r="J1102" i="9"/>
  <c r="J1103" i="9"/>
  <c r="J1104" i="9"/>
  <c r="J1105" i="9"/>
  <c r="J1106" i="9"/>
  <c r="J1107" i="9"/>
  <c r="J1108" i="9"/>
  <c r="J1109" i="9"/>
  <c r="J1110" i="9"/>
  <c r="J1111" i="9"/>
  <c r="J1112" i="9"/>
  <c r="J1113" i="9"/>
  <c r="J1114" i="9"/>
  <c r="J1115" i="9"/>
  <c r="J1116" i="9"/>
  <c r="J1117" i="9"/>
  <c r="J1118" i="9"/>
  <c r="J1119" i="9"/>
  <c r="J1120" i="9"/>
  <c r="J1121" i="9"/>
  <c r="J1122" i="9"/>
  <c r="J1123" i="9"/>
  <c r="J1124" i="9"/>
  <c r="J1125" i="9"/>
  <c r="J1126" i="9"/>
  <c r="J1127" i="9"/>
  <c r="J1128" i="9"/>
  <c r="J1129" i="9"/>
  <c r="J1130" i="9"/>
  <c r="J1131" i="9"/>
  <c r="J1132" i="9"/>
  <c r="J1133" i="9"/>
  <c r="J1134" i="9"/>
  <c r="J1135" i="9"/>
  <c r="J1136" i="9"/>
  <c r="J1137" i="9"/>
  <c r="J1138" i="9"/>
  <c r="J1139" i="9"/>
  <c r="J1140" i="9"/>
  <c r="J1141" i="9"/>
  <c r="J1142" i="9"/>
  <c r="J1143" i="9"/>
  <c r="J1144" i="9"/>
  <c r="J1145" i="9"/>
  <c r="J1146" i="9"/>
  <c r="J1147" i="9"/>
  <c r="J1148" i="9"/>
  <c r="J1149" i="9"/>
  <c r="J1150" i="9"/>
  <c r="J1151" i="9"/>
  <c r="J1152" i="9"/>
  <c r="J1153" i="9"/>
  <c r="J1154" i="9"/>
  <c r="J1155" i="9"/>
  <c r="J1156" i="9"/>
  <c r="J1157" i="9"/>
  <c r="J1158" i="9"/>
  <c r="J1159" i="9"/>
  <c r="J1160" i="9"/>
  <c r="J1161" i="9"/>
  <c r="J1162" i="9"/>
  <c r="J1163" i="9"/>
  <c r="J1164" i="9"/>
  <c r="J1165" i="9"/>
  <c r="J1166" i="9"/>
  <c r="J1167" i="9"/>
  <c r="J1168" i="9"/>
  <c r="J1169" i="9"/>
  <c r="J1170" i="9"/>
  <c r="J1171" i="9"/>
  <c r="J1172" i="9"/>
  <c r="J1173" i="9"/>
  <c r="J1174" i="9"/>
  <c r="J1175" i="9"/>
  <c r="J1176" i="9"/>
  <c r="J1177" i="9"/>
  <c r="J1178" i="9"/>
  <c r="J1179" i="9"/>
  <c r="J1180" i="9"/>
  <c r="J1181" i="9"/>
  <c r="J1182" i="9"/>
  <c r="J1183" i="9"/>
  <c r="J1184" i="9"/>
  <c r="J1185" i="9"/>
  <c r="J1186" i="9"/>
  <c r="J1187" i="9"/>
  <c r="J1188" i="9"/>
  <c r="J1189" i="9"/>
  <c r="J1190" i="9"/>
  <c r="J1191" i="9"/>
  <c r="J1192" i="9"/>
  <c r="J1193" i="9"/>
  <c r="J1194" i="9"/>
  <c r="J1195" i="9"/>
  <c r="J1196" i="9"/>
  <c r="J1197" i="9"/>
  <c r="J1198" i="9"/>
  <c r="J1199" i="9"/>
  <c r="J1200" i="9"/>
  <c r="J1201" i="9"/>
  <c r="J1202" i="9"/>
  <c r="J1203" i="9"/>
  <c r="J1204" i="9"/>
  <c r="J1205" i="9"/>
  <c r="J1206" i="9"/>
  <c r="J1207" i="9"/>
  <c r="J1208" i="9"/>
  <c r="J1209" i="9"/>
  <c r="J1210" i="9"/>
  <c r="J1211" i="9"/>
  <c r="J1212" i="9"/>
  <c r="J1213" i="9"/>
  <c r="J1214" i="9"/>
  <c r="J1215" i="9"/>
  <c r="J1216" i="9"/>
  <c r="J1217" i="9"/>
  <c r="J1218" i="9"/>
  <c r="J1219" i="9"/>
  <c r="J1220" i="9"/>
  <c r="J1221" i="9"/>
  <c r="J1222" i="9"/>
  <c r="J1223" i="9"/>
  <c r="J1224" i="9"/>
  <c r="J1225" i="9"/>
  <c r="J1226" i="9"/>
  <c r="J1227" i="9"/>
  <c r="J1228" i="9"/>
  <c r="J1229" i="9"/>
  <c r="J1230" i="9"/>
  <c r="J1231" i="9"/>
  <c r="J1232" i="9"/>
  <c r="J1233" i="9"/>
  <c r="J1234" i="9"/>
  <c r="J1235" i="9"/>
  <c r="J1236" i="9"/>
  <c r="J1237" i="9"/>
  <c r="J1238" i="9"/>
  <c r="J1239" i="9"/>
  <c r="J1240" i="9"/>
  <c r="J1241" i="9"/>
  <c r="J1242" i="9"/>
  <c r="J1243" i="9"/>
  <c r="J1244" i="9"/>
  <c r="J1245" i="9"/>
  <c r="J1246" i="9"/>
  <c r="J1247" i="9"/>
  <c r="J1248" i="9"/>
  <c r="J1249" i="9"/>
  <c r="J1250" i="9"/>
  <c r="J1251" i="9"/>
  <c r="J1252" i="9"/>
  <c r="J1253" i="9"/>
  <c r="J1254" i="9"/>
  <c r="J1255" i="9"/>
  <c r="J1256" i="9"/>
  <c r="J1257" i="9"/>
  <c r="J1258" i="9"/>
  <c r="J1259" i="9"/>
  <c r="J1260" i="9"/>
  <c r="J1261" i="9"/>
  <c r="J1262" i="9"/>
  <c r="J1263" i="9"/>
  <c r="J1264" i="9"/>
  <c r="J1265" i="9"/>
  <c r="J1266" i="9"/>
  <c r="J1267" i="9"/>
  <c r="J1268" i="9"/>
  <c r="J1269" i="9"/>
  <c r="J1270" i="9"/>
  <c r="J1271" i="9"/>
  <c r="J1272" i="9"/>
  <c r="J1273" i="9"/>
  <c r="J1274" i="9"/>
  <c r="J1275" i="9"/>
  <c r="J1276" i="9"/>
  <c r="J1277" i="9"/>
  <c r="J1278" i="9"/>
  <c r="J1279" i="9"/>
  <c r="J1280" i="9"/>
  <c r="J1281" i="9"/>
  <c r="J1282" i="9"/>
  <c r="J1283" i="9"/>
  <c r="J1284" i="9"/>
  <c r="J1285" i="9"/>
  <c r="J1286" i="9"/>
  <c r="J1287" i="9"/>
  <c r="J1288" i="9"/>
  <c r="J1289" i="9"/>
  <c r="J1290" i="9"/>
  <c r="J1291" i="9"/>
  <c r="J1292" i="9"/>
  <c r="J1293" i="9"/>
  <c r="J1294" i="9"/>
  <c r="J1295" i="9"/>
  <c r="J1296" i="9"/>
  <c r="J1297" i="9"/>
  <c r="J1298" i="9"/>
  <c r="J1299" i="9"/>
  <c r="J1300" i="9"/>
  <c r="J1301" i="9"/>
  <c r="J1302" i="9"/>
  <c r="J1303" i="9"/>
  <c r="J1304" i="9"/>
  <c r="J1305" i="9"/>
  <c r="J1306" i="9"/>
  <c r="J1307" i="9"/>
  <c r="J1308" i="9"/>
  <c r="J1309" i="9"/>
  <c r="J1310" i="9"/>
  <c r="J1311" i="9"/>
  <c r="J1312" i="9"/>
  <c r="J1313" i="9"/>
  <c r="J1314" i="9"/>
  <c r="J1315" i="9"/>
  <c r="J1316" i="9"/>
  <c r="J1317" i="9"/>
  <c r="J1318" i="9"/>
  <c r="J1319" i="9"/>
  <c r="J1320" i="9"/>
  <c r="J1321" i="9"/>
  <c r="J1322" i="9"/>
  <c r="J1323" i="9"/>
  <c r="J1324" i="9"/>
  <c r="J1325" i="9"/>
  <c r="J1326" i="9"/>
  <c r="J1327" i="9"/>
  <c r="J1328" i="9"/>
  <c r="J1329" i="9"/>
  <c r="J1330" i="9"/>
  <c r="J1331" i="9"/>
  <c r="J1332" i="9"/>
  <c r="J1333" i="9"/>
  <c r="J1334" i="9"/>
  <c r="J1335" i="9"/>
  <c r="J1336" i="9"/>
  <c r="J1337" i="9"/>
  <c r="J1338" i="9"/>
  <c r="J1339" i="9"/>
  <c r="J1340" i="9"/>
  <c r="J1341" i="9"/>
  <c r="J1342" i="9"/>
  <c r="J1343" i="9"/>
  <c r="J1344" i="9"/>
  <c r="J1345" i="9"/>
  <c r="J1346" i="9"/>
  <c r="J1347" i="9"/>
  <c r="J1348" i="9"/>
  <c r="J1349" i="9"/>
  <c r="J1350" i="9"/>
  <c r="J1351" i="9"/>
  <c r="J1352" i="9"/>
  <c r="J1353" i="9"/>
  <c r="J1354" i="9"/>
  <c r="J1355" i="9"/>
  <c r="J1356" i="9"/>
  <c r="J1357" i="9"/>
  <c r="J1358" i="9"/>
  <c r="J1359" i="9"/>
  <c r="J1360" i="9"/>
  <c r="J1361" i="9"/>
  <c r="J1362" i="9"/>
  <c r="J1363" i="9"/>
  <c r="J1364" i="9"/>
  <c r="J1365" i="9"/>
  <c r="J1366" i="9"/>
  <c r="J1367" i="9"/>
  <c r="J1368" i="9"/>
  <c r="J1369" i="9"/>
  <c r="J1370" i="9"/>
  <c r="J1371" i="9"/>
  <c r="J1372" i="9"/>
  <c r="J1373" i="9"/>
  <c r="J1374" i="9"/>
  <c r="J1375" i="9"/>
  <c r="J1376" i="9"/>
  <c r="J1377" i="9"/>
  <c r="J1378" i="9"/>
  <c r="J1379" i="9"/>
  <c r="J1380" i="9"/>
  <c r="J1381" i="9"/>
  <c r="J1382" i="9"/>
  <c r="J1383" i="9"/>
  <c r="J1384" i="9"/>
  <c r="J1385" i="9"/>
  <c r="J1386" i="9"/>
  <c r="J1387" i="9"/>
  <c r="J1388" i="9"/>
  <c r="J1389" i="9"/>
  <c r="J1390" i="9"/>
  <c r="J1391" i="9"/>
  <c r="J1392" i="9"/>
  <c r="J1393" i="9"/>
  <c r="J1394" i="9"/>
  <c r="J1395" i="9"/>
  <c r="J1396" i="9"/>
  <c r="J1397" i="9"/>
  <c r="J1398" i="9"/>
  <c r="J1399" i="9"/>
  <c r="J1400" i="9"/>
  <c r="J1401" i="9"/>
  <c r="J1402" i="9"/>
  <c r="J1403" i="9"/>
  <c r="J1404" i="9"/>
  <c r="J1405" i="9"/>
  <c r="J1406" i="9"/>
  <c r="J1407" i="9"/>
  <c r="J1408" i="9"/>
  <c r="J1409" i="9"/>
  <c r="J1410" i="9"/>
  <c r="J1411" i="9"/>
  <c r="J1412" i="9"/>
  <c r="J1413" i="9"/>
  <c r="J1414" i="9"/>
  <c r="J1415" i="9"/>
  <c r="J1416" i="9"/>
  <c r="J1417" i="9"/>
  <c r="J1418" i="9"/>
  <c r="J1419" i="9"/>
  <c r="J1420" i="9"/>
  <c r="J1421" i="9"/>
  <c r="J1422" i="9"/>
  <c r="J1423" i="9"/>
  <c r="J1424" i="9"/>
  <c r="J1425" i="9"/>
  <c r="J1426" i="9"/>
  <c r="J1427" i="9"/>
  <c r="J1428" i="9"/>
  <c r="J1429" i="9"/>
  <c r="J1430" i="9"/>
  <c r="J1431" i="9"/>
  <c r="J1432" i="9"/>
  <c r="J1433" i="9"/>
  <c r="J1434" i="9"/>
  <c r="J1435" i="9"/>
  <c r="J1436" i="9"/>
  <c r="J1437" i="9"/>
  <c r="J1438" i="9"/>
  <c r="J1439" i="9"/>
  <c r="J1440" i="9"/>
  <c r="J1441" i="9"/>
  <c r="J1442" i="9"/>
  <c r="J1443" i="9"/>
  <c r="J1444" i="9"/>
  <c r="J1445" i="9"/>
  <c r="J1446" i="9"/>
  <c r="J1447" i="9"/>
  <c r="J1448" i="9"/>
  <c r="J1449" i="9"/>
  <c r="J1450" i="9"/>
  <c r="J1451" i="9"/>
  <c r="J1452" i="9"/>
  <c r="J1453" i="9"/>
  <c r="J1454" i="9"/>
  <c r="J1455" i="9"/>
  <c r="J1456" i="9"/>
  <c r="J1457" i="9"/>
  <c r="J1458" i="9"/>
  <c r="J1459" i="9"/>
  <c r="J1460" i="9"/>
  <c r="J1461" i="9"/>
  <c r="J1462" i="9"/>
  <c r="J1463" i="9"/>
  <c r="J1464" i="9"/>
  <c r="J1465" i="9"/>
  <c r="J1466" i="9"/>
  <c r="J1467" i="9"/>
  <c r="J1468" i="9"/>
  <c r="J1469" i="9"/>
  <c r="J1470" i="9"/>
  <c r="J1471" i="9"/>
  <c r="J1472" i="9"/>
  <c r="J1473" i="9"/>
  <c r="J1474" i="9"/>
  <c r="J1475" i="9"/>
  <c r="J1476" i="9"/>
  <c r="J1477" i="9"/>
  <c r="J1478" i="9"/>
  <c r="J1479" i="9"/>
  <c r="J1480" i="9"/>
  <c r="J1481" i="9"/>
  <c r="J1482" i="9"/>
  <c r="J1483" i="9"/>
  <c r="J1484" i="9"/>
  <c r="J1485" i="9"/>
  <c r="J1486" i="9"/>
  <c r="J1487" i="9"/>
  <c r="J1488" i="9"/>
  <c r="J1489" i="9"/>
  <c r="J1490" i="9"/>
  <c r="J1491" i="9"/>
  <c r="J1492" i="9"/>
  <c r="J1493" i="9"/>
  <c r="J1494" i="9"/>
  <c r="J1495" i="9"/>
  <c r="J1496" i="9"/>
  <c r="J1497" i="9"/>
  <c r="J1498" i="9"/>
  <c r="J1499" i="9"/>
  <c r="J1500" i="9"/>
  <c r="J1501" i="9"/>
  <c r="J1502" i="9"/>
  <c r="J1503" i="9"/>
  <c r="J1504" i="9"/>
  <c r="J1505" i="9"/>
  <c r="J1506" i="9"/>
  <c r="J1507" i="9"/>
  <c r="J1508" i="9"/>
  <c r="J1509" i="9"/>
  <c r="J1510" i="9"/>
  <c r="J1511" i="9"/>
  <c r="J1512" i="9"/>
  <c r="J1513" i="9"/>
  <c r="J1514" i="9"/>
  <c r="J1515" i="9"/>
  <c r="J1516" i="9"/>
  <c r="J1517" i="9"/>
  <c r="J1518" i="9"/>
  <c r="J1519" i="9"/>
  <c r="J1520" i="9"/>
  <c r="J1521" i="9"/>
  <c r="J1522" i="9"/>
  <c r="J1523" i="9"/>
  <c r="J1524" i="9"/>
  <c r="J1525" i="9"/>
  <c r="J1526" i="9"/>
  <c r="J1527" i="9"/>
  <c r="J1528" i="9"/>
  <c r="J1529" i="9"/>
  <c r="J1530" i="9"/>
  <c r="J28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963" i="9"/>
  <c r="L964" i="9"/>
  <c r="L965" i="9"/>
  <c r="L966" i="9"/>
  <c r="L967" i="9"/>
  <c r="L968" i="9"/>
  <c r="L969" i="9"/>
  <c r="L970" i="9"/>
  <c r="L971" i="9"/>
  <c r="L972" i="9"/>
  <c r="L973" i="9"/>
  <c r="L974" i="9"/>
  <c r="L975" i="9"/>
  <c r="L976" i="9"/>
  <c r="L977" i="9"/>
  <c r="L978" i="9"/>
  <c r="L979" i="9"/>
  <c r="L980" i="9"/>
  <c r="L981" i="9"/>
  <c r="L982" i="9"/>
  <c r="L983" i="9"/>
  <c r="L984" i="9"/>
  <c r="L985" i="9"/>
  <c r="L986" i="9"/>
  <c r="L987" i="9"/>
  <c r="L988" i="9"/>
  <c r="L989" i="9"/>
  <c r="L990" i="9"/>
  <c r="L991" i="9"/>
  <c r="L992" i="9"/>
  <c r="L993" i="9"/>
  <c r="L994" i="9"/>
  <c r="L995" i="9"/>
  <c r="L996" i="9"/>
  <c r="L997" i="9"/>
  <c r="L998" i="9"/>
  <c r="L999" i="9"/>
  <c r="L1000" i="9"/>
  <c r="L1001" i="9"/>
  <c r="L1002" i="9"/>
  <c r="L1003" i="9"/>
  <c r="L1004" i="9"/>
  <c r="L1005" i="9"/>
  <c r="L1006" i="9"/>
  <c r="L1007" i="9"/>
  <c r="L1008" i="9"/>
  <c r="L1009" i="9"/>
  <c r="L1010" i="9"/>
  <c r="L1011" i="9"/>
  <c r="L1012" i="9"/>
  <c r="L1013" i="9"/>
  <c r="L1014" i="9"/>
  <c r="L1015" i="9"/>
  <c r="L1016" i="9"/>
  <c r="L1017" i="9"/>
  <c r="L1018" i="9"/>
  <c r="L1019" i="9"/>
  <c r="L1020" i="9"/>
  <c r="L1021" i="9"/>
  <c r="L1022" i="9"/>
  <c r="L1023" i="9"/>
  <c r="L1024" i="9"/>
  <c r="L1025" i="9"/>
  <c r="L1026" i="9"/>
  <c r="L1027" i="9"/>
  <c r="L1028" i="9"/>
  <c r="L1029" i="9"/>
  <c r="L1030" i="9"/>
  <c r="L1031" i="9"/>
  <c r="L1032" i="9"/>
  <c r="L1033" i="9"/>
  <c r="L1034" i="9"/>
  <c r="L1035" i="9"/>
  <c r="L1036" i="9"/>
  <c r="L1037" i="9"/>
  <c r="L1038" i="9"/>
  <c r="L1039" i="9"/>
  <c r="L1040" i="9"/>
  <c r="L1041" i="9"/>
  <c r="L1042" i="9"/>
  <c r="L1043" i="9"/>
  <c r="L1044" i="9"/>
  <c r="L1045" i="9"/>
  <c r="L1046" i="9"/>
  <c r="L1047" i="9"/>
  <c r="L1048" i="9"/>
  <c r="L1049" i="9"/>
  <c r="L1050" i="9"/>
  <c r="L1051" i="9"/>
  <c r="L1052" i="9"/>
  <c r="L1053" i="9"/>
  <c r="L1054" i="9"/>
  <c r="L1055" i="9"/>
  <c r="L1056" i="9"/>
  <c r="L1057" i="9"/>
  <c r="L1058" i="9"/>
  <c r="L1059" i="9"/>
  <c r="L1060" i="9"/>
  <c r="L1061" i="9"/>
  <c r="L1062" i="9"/>
  <c r="L1063" i="9"/>
  <c r="L1064" i="9"/>
  <c r="L1065" i="9"/>
  <c r="L1066" i="9"/>
  <c r="L1067" i="9"/>
  <c r="L1068" i="9"/>
  <c r="L1069" i="9"/>
  <c r="L1070" i="9"/>
  <c r="L1071" i="9"/>
  <c r="L1072" i="9"/>
  <c r="L1073" i="9"/>
  <c r="L1074" i="9"/>
  <c r="L1075" i="9"/>
  <c r="L1076" i="9"/>
  <c r="L1077" i="9"/>
  <c r="L1078" i="9"/>
  <c r="L1079" i="9"/>
  <c r="L1080" i="9"/>
  <c r="L1081" i="9"/>
  <c r="L1082" i="9"/>
  <c r="L1083" i="9"/>
  <c r="L1084" i="9"/>
  <c r="L1085" i="9"/>
  <c r="L1086" i="9"/>
  <c r="L1087" i="9"/>
  <c r="L1088" i="9"/>
  <c r="L1089" i="9"/>
  <c r="L1090" i="9"/>
  <c r="L1091" i="9"/>
  <c r="L1092" i="9"/>
  <c r="L1093" i="9"/>
  <c r="L1094" i="9"/>
  <c r="L1095" i="9"/>
  <c r="L1096" i="9"/>
  <c r="L1097" i="9"/>
  <c r="L1098" i="9"/>
  <c r="L1099" i="9"/>
  <c r="L1100" i="9"/>
  <c r="L1101" i="9"/>
  <c r="L1102" i="9"/>
  <c r="L1103" i="9"/>
  <c r="L1104" i="9"/>
  <c r="L1105" i="9"/>
  <c r="L1106" i="9"/>
  <c r="L1107" i="9"/>
  <c r="L1108" i="9"/>
  <c r="L1109" i="9"/>
  <c r="L1110" i="9"/>
  <c r="L1111" i="9"/>
  <c r="L1112" i="9"/>
  <c r="L1113" i="9"/>
  <c r="L1114" i="9"/>
  <c r="L1115" i="9"/>
  <c r="L1116" i="9"/>
  <c r="L1117" i="9"/>
  <c r="L1118" i="9"/>
  <c r="L1119" i="9"/>
  <c r="L1120" i="9"/>
  <c r="L1121" i="9"/>
  <c r="L1122" i="9"/>
  <c r="L1123" i="9"/>
  <c r="L1124" i="9"/>
  <c r="L1125" i="9"/>
  <c r="L1126" i="9"/>
  <c r="L1127" i="9"/>
  <c r="L1128" i="9"/>
  <c r="L1129" i="9"/>
  <c r="L1130" i="9"/>
  <c r="L1131" i="9"/>
  <c r="L1132" i="9"/>
  <c r="L1133" i="9"/>
  <c r="L1134" i="9"/>
  <c r="L1135" i="9"/>
  <c r="L1136" i="9"/>
  <c r="L1137" i="9"/>
  <c r="L1138" i="9"/>
  <c r="L1139" i="9"/>
  <c r="L1140" i="9"/>
  <c r="L1141" i="9"/>
  <c r="L1142" i="9"/>
  <c r="L1143" i="9"/>
  <c r="L1144" i="9"/>
  <c r="L1145" i="9"/>
  <c r="L1146" i="9"/>
  <c r="L1147" i="9"/>
  <c r="L1148" i="9"/>
  <c r="L1149" i="9"/>
  <c r="L1150" i="9"/>
  <c r="L1151" i="9"/>
  <c r="L1152" i="9"/>
  <c r="L1153" i="9"/>
  <c r="L1154" i="9"/>
  <c r="L1155" i="9"/>
  <c r="L1156" i="9"/>
  <c r="L1157" i="9"/>
  <c r="L1158" i="9"/>
  <c r="L1159" i="9"/>
  <c r="L1160" i="9"/>
  <c r="L1161" i="9"/>
  <c r="L1162" i="9"/>
  <c r="L1163" i="9"/>
  <c r="L1164" i="9"/>
  <c r="L1165" i="9"/>
  <c r="L1166" i="9"/>
  <c r="L1167" i="9"/>
  <c r="L1168" i="9"/>
  <c r="L1169" i="9"/>
  <c r="L1170" i="9"/>
  <c r="L1171" i="9"/>
  <c r="L1172" i="9"/>
  <c r="L1173" i="9"/>
  <c r="L1174" i="9"/>
  <c r="L1175" i="9"/>
  <c r="L1176" i="9"/>
  <c r="L1177" i="9"/>
  <c r="L1178" i="9"/>
  <c r="L1179" i="9"/>
  <c r="L1180" i="9"/>
  <c r="L1181" i="9"/>
  <c r="L1182" i="9"/>
  <c r="L1183" i="9"/>
  <c r="L1184" i="9"/>
  <c r="L1185" i="9"/>
  <c r="L1186" i="9"/>
  <c r="L1187" i="9"/>
  <c r="L1188" i="9"/>
  <c r="L1189" i="9"/>
  <c r="L1190" i="9"/>
  <c r="L1191" i="9"/>
  <c r="L1192" i="9"/>
  <c r="L1193" i="9"/>
  <c r="L1194" i="9"/>
  <c r="L1195" i="9"/>
  <c r="L1196" i="9"/>
  <c r="L1197" i="9"/>
  <c r="L1198" i="9"/>
  <c r="L1199" i="9"/>
  <c r="L1200" i="9"/>
  <c r="L1201" i="9"/>
  <c r="L1202" i="9"/>
  <c r="L1203" i="9"/>
  <c r="L1204" i="9"/>
  <c r="L1205" i="9"/>
  <c r="L1206" i="9"/>
  <c r="L1207" i="9"/>
  <c r="L1208" i="9"/>
  <c r="L1209" i="9"/>
  <c r="L1210" i="9"/>
  <c r="L1211" i="9"/>
  <c r="L1212" i="9"/>
  <c r="L1213" i="9"/>
  <c r="L1214" i="9"/>
  <c r="L1215" i="9"/>
  <c r="L1216" i="9"/>
  <c r="L1217" i="9"/>
  <c r="L1218" i="9"/>
  <c r="L1219" i="9"/>
  <c r="L1220" i="9"/>
  <c r="L1221" i="9"/>
  <c r="L1222" i="9"/>
  <c r="L1223" i="9"/>
  <c r="L1224" i="9"/>
  <c r="L1225" i="9"/>
  <c r="L1226" i="9"/>
  <c r="L1227" i="9"/>
  <c r="L1228" i="9"/>
  <c r="L1229" i="9"/>
  <c r="L1230" i="9"/>
  <c r="L1231" i="9"/>
  <c r="L1232" i="9"/>
  <c r="L1233" i="9"/>
  <c r="L1234" i="9"/>
  <c r="L1235" i="9"/>
  <c r="L1236" i="9"/>
  <c r="L1237" i="9"/>
  <c r="L1238" i="9"/>
  <c r="L1239" i="9"/>
  <c r="L1240" i="9"/>
  <c r="L1241" i="9"/>
  <c r="L1242" i="9"/>
  <c r="L1243" i="9"/>
  <c r="L1244" i="9"/>
  <c r="L1245" i="9"/>
  <c r="L1246" i="9"/>
  <c r="L1247" i="9"/>
  <c r="L1248" i="9"/>
  <c r="L1249" i="9"/>
  <c r="L1250" i="9"/>
  <c r="L1251" i="9"/>
  <c r="L1252" i="9"/>
  <c r="L1253" i="9"/>
  <c r="L1254" i="9"/>
  <c r="L1255" i="9"/>
  <c r="L1256" i="9"/>
  <c r="L1257" i="9"/>
  <c r="L1258" i="9"/>
  <c r="L1259" i="9"/>
  <c r="L1260" i="9"/>
  <c r="L1261" i="9"/>
  <c r="L1262" i="9"/>
  <c r="L1263" i="9"/>
  <c r="L1264" i="9"/>
  <c r="L1265" i="9"/>
  <c r="L1266" i="9"/>
  <c r="L1267" i="9"/>
  <c r="L1268" i="9"/>
  <c r="L1269" i="9"/>
  <c r="L1270" i="9"/>
  <c r="L1271" i="9"/>
  <c r="L1272" i="9"/>
  <c r="L1273" i="9"/>
  <c r="L1274" i="9"/>
  <c r="L1275" i="9"/>
  <c r="L1276" i="9"/>
  <c r="L1277" i="9"/>
  <c r="L1278" i="9"/>
  <c r="L1279" i="9"/>
  <c r="L1280" i="9"/>
  <c r="L1281" i="9"/>
  <c r="L1282" i="9"/>
  <c r="L1283" i="9"/>
  <c r="L1284" i="9"/>
  <c r="L1285" i="9"/>
  <c r="L1286" i="9"/>
  <c r="L1287" i="9"/>
  <c r="L1288" i="9"/>
  <c r="L1289" i="9"/>
  <c r="L1290" i="9"/>
  <c r="L1291" i="9"/>
  <c r="L1292" i="9"/>
  <c r="L1293" i="9"/>
  <c r="L1294" i="9"/>
  <c r="L1295" i="9"/>
  <c r="L1296" i="9"/>
  <c r="L1297" i="9"/>
  <c r="L1298" i="9"/>
  <c r="L1299" i="9"/>
  <c r="L1300" i="9"/>
  <c r="L1301" i="9"/>
  <c r="L1302" i="9"/>
  <c r="L1303" i="9"/>
  <c r="L1304" i="9"/>
  <c r="L1305" i="9"/>
  <c r="L1306" i="9"/>
  <c r="L1307" i="9"/>
  <c r="L1308" i="9"/>
  <c r="L1309" i="9"/>
  <c r="L1310" i="9"/>
  <c r="L1311" i="9"/>
  <c r="L1312" i="9"/>
  <c r="L1313" i="9"/>
  <c r="L1314" i="9"/>
  <c r="L1315" i="9"/>
  <c r="L1316" i="9"/>
  <c r="L1317" i="9"/>
  <c r="L1318" i="9"/>
  <c r="L1319" i="9"/>
  <c r="L1320" i="9"/>
  <c r="L1321" i="9"/>
  <c r="L1322" i="9"/>
  <c r="L1323" i="9"/>
  <c r="L1324" i="9"/>
  <c r="L1325" i="9"/>
  <c r="L1326" i="9"/>
  <c r="L1327" i="9"/>
  <c r="L1328" i="9"/>
  <c r="L1329" i="9"/>
  <c r="L1330" i="9"/>
  <c r="L1331" i="9"/>
  <c r="L1332" i="9"/>
  <c r="L1333" i="9"/>
  <c r="L1334" i="9"/>
  <c r="L1335" i="9"/>
  <c r="L1336" i="9"/>
  <c r="L1337" i="9"/>
  <c r="L1338" i="9"/>
  <c r="L1339" i="9"/>
  <c r="L1340" i="9"/>
  <c r="L1341" i="9"/>
  <c r="L1342" i="9"/>
  <c r="L1343" i="9"/>
  <c r="L1344" i="9"/>
  <c r="L1345" i="9"/>
  <c r="L1346" i="9"/>
  <c r="L1347" i="9"/>
  <c r="L1348" i="9"/>
  <c r="L1349" i="9"/>
  <c r="L1350" i="9"/>
  <c r="L1351" i="9"/>
  <c r="L1352" i="9"/>
  <c r="L1353" i="9"/>
  <c r="L1354" i="9"/>
  <c r="L1355" i="9"/>
  <c r="L1356" i="9"/>
  <c r="L1357" i="9"/>
  <c r="L1358" i="9"/>
  <c r="L1359" i="9"/>
  <c r="L1360" i="9"/>
  <c r="L1361" i="9"/>
  <c r="L1362" i="9"/>
  <c r="L1363" i="9"/>
  <c r="L1364" i="9"/>
  <c r="L1365" i="9"/>
  <c r="L1366" i="9"/>
  <c r="L1367" i="9"/>
  <c r="L1368" i="9"/>
  <c r="L1369" i="9"/>
  <c r="L1370" i="9"/>
  <c r="L1371" i="9"/>
  <c r="L1372" i="9"/>
  <c r="L1373" i="9"/>
  <c r="L1374" i="9"/>
  <c r="L1375" i="9"/>
  <c r="L1376" i="9"/>
  <c r="L1377" i="9"/>
  <c r="L1378" i="9"/>
  <c r="L1379" i="9"/>
  <c r="L1380" i="9"/>
  <c r="L1381" i="9"/>
  <c r="L1382" i="9"/>
  <c r="L1383" i="9"/>
  <c r="L1384" i="9"/>
  <c r="L1385" i="9"/>
  <c r="L1386" i="9"/>
  <c r="L1387" i="9"/>
  <c r="L1388" i="9"/>
  <c r="L1389" i="9"/>
  <c r="L1390" i="9"/>
  <c r="L1391" i="9"/>
  <c r="L1392" i="9"/>
  <c r="L1393" i="9"/>
  <c r="L1394" i="9"/>
  <c r="L1395" i="9"/>
  <c r="L1396" i="9"/>
  <c r="L1397" i="9"/>
  <c r="L1398" i="9"/>
  <c r="L1399" i="9"/>
  <c r="L1400" i="9"/>
  <c r="L1401" i="9"/>
  <c r="L1402" i="9"/>
  <c r="L1403" i="9"/>
  <c r="L1404" i="9"/>
  <c r="L1405" i="9"/>
  <c r="L1406" i="9"/>
  <c r="L1407" i="9"/>
  <c r="L1408" i="9"/>
  <c r="L1409" i="9"/>
  <c r="L1410" i="9"/>
  <c r="L1411" i="9"/>
  <c r="L1412" i="9"/>
  <c r="L1413" i="9"/>
  <c r="L1414" i="9"/>
  <c r="L1415" i="9"/>
  <c r="L1416" i="9"/>
  <c r="L1417" i="9"/>
  <c r="L1418" i="9"/>
  <c r="L1419" i="9"/>
  <c r="L1420" i="9"/>
  <c r="L1421" i="9"/>
  <c r="L1422" i="9"/>
  <c r="L1423" i="9"/>
  <c r="L1424" i="9"/>
  <c r="L1425" i="9"/>
  <c r="L1426" i="9"/>
  <c r="L1427" i="9"/>
  <c r="L1428" i="9"/>
  <c r="L1429" i="9"/>
  <c r="L1430" i="9"/>
  <c r="L1431" i="9"/>
  <c r="L1432" i="9"/>
  <c r="L1433" i="9"/>
  <c r="L1434" i="9"/>
  <c r="L1435" i="9"/>
  <c r="L1436" i="9"/>
  <c r="L1437" i="9"/>
  <c r="L1438" i="9"/>
  <c r="L1439" i="9"/>
  <c r="L1440" i="9"/>
  <c r="L1441" i="9"/>
  <c r="L1442" i="9"/>
  <c r="L1443" i="9"/>
  <c r="L1444" i="9"/>
  <c r="L1445" i="9"/>
  <c r="L1446" i="9"/>
  <c r="L1447" i="9"/>
  <c r="L1448" i="9"/>
  <c r="L1449" i="9"/>
  <c r="L1450" i="9"/>
  <c r="L1451" i="9"/>
  <c r="L1452" i="9"/>
  <c r="L1453" i="9"/>
  <c r="L1454" i="9"/>
  <c r="L1455" i="9"/>
  <c r="L1456" i="9"/>
  <c r="L1457" i="9"/>
  <c r="L1458" i="9"/>
  <c r="L1459" i="9"/>
  <c r="L1460" i="9"/>
  <c r="L1461" i="9"/>
  <c r="L1462" i="9"/>
  <c r="L1463" i="9"/>
  <c r="L1464" i="9"/>
  <c r="L1465" i="9"/>
  <c r="L1466" i="9"/>
  <c r="L1467" i="9"/>
  <c r="L1468" i="9"/>
  <c r="L1469" i="9"/>
  <c r="L1470" i="9"/>
  <c r="L1471" i="9"/>
  <c r="L1472" i="9"/>
  <c r="L1473" i="9"/>
  <c r="L1474" i="9"/>
  <c r="L1475" i="9"/>
  <c r="L1476" i="9"/>
  <c r="L1477" i="9"/>
  <c r="L1478" i="9"/>
  <c r="L1479" i="9"/>
  <c r="L1480" i="9"/>
  <c r="L1481" i="9"/>
  <c r="L1482" i="9"/>
  <c r="L1483" i="9"/>
  <c r="L1484" i="9"/>
  <c r="L1485" i="9"/>
  <c r="L1486" i="9"/>
  <c r="L1487" i="9"/>
  <c r="L1488" i="9"/>
  <c r="L1489" i="9"/>
  <c r="L1490" i="9"/>
  <c r="L1491" i="9"/>
  <c r="L1492" i="9"/>
  <c r="L1493" i="9"/>
  <c r="L1494" i="9"/>
  <c r="L1495" i="9"/>
  <c r="L1496" i="9"/>
  <c r="L1497" i="9"/>
  <c r="L1498" i="9"/>
  <c r="L1499" i="9"/>
  <c r="L1500" i="9"/>
  <c r="L1501" i="9"/>
  <c r="L1502" i="9"/>
  <c r="L1503" i="9"/>
  <c r="L1504" i="9"/>
  <c r="L1505" i="9"/>
  <c r="L1506" i="9"/>
  <c r="L1507" i="9"/>
  <c r="L1508" i="9"/>
  <c r="L1509" i="9"/>
  <c r="L1510" i="9"/>
  <c r="L1511" i="9"/>
  <c r="L1512" i="9"/>
  <c r="L1513" i="9"/>
  <c r="L1514" i="9"/>
  <c r="L1515" i="9"/>
  <c r="L1516" i="9"/>
  <c r="L1517" i="9"/>
  <c r="L1518" i="9"/>
  <c r="L1519" i="9"/>
  <c r="L1520" i="9"/>
  <c r="L1521" i="9"/>
  <c r="L1522" i="9"/>
  <c r="L1523" i="9"/>
  <c r="L1524" i="9"/>
  <c r="L1525" i="9"/>
  <c r="L1526" i="9"/>
  <c r="L1527" i="9"/>
  <c r="L1528" i="9"/>
  <c r="L1529" i="9"/>
  <c r="L1530" i="9"/>
  <c r="L1531" i="9"/>
  <c r="L29" i="9"/>
  <c r="L30" i="9"/>
  <c r="L31" i="9"/>
  <c r="L32" i="9"/>
  <c r="L33" i="9"/>
  <c r="L34" i="9"/>
  <c r="L35" i="9"/>
  <c r="L36" i="9"/>
  <c r="L37" i="9"/>
  <c r="L38" i="9"/>
  <c r="L39" i="9"/>
  <c r="L28" i="9"/>
  <c r="C7" i="13"/>
  <c r="C4" i="13"/>
  <c r="C5" i="13"/>
  <c r="E4" i="13"/>
  <c r="C8" i="13"/>
  <c r="D28" i="7" l="1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L11" i="7"/>
  <c r="M27" i="7"/>
  <c r="J27" i="7"/>
  <c r="K27" i="7"/>
  <c r="L27" i="7"/>
  <c r="I27" i="7"/>
  <c r="J26" i="7"/>
  <c r="K26" i="7"/>
  <c r="L26" i="7"/>
  <c r="I26" i="7"/>
  <c r="V25" i="7"/>
  <c r="U25" i="7"/>
  <c r="T25" i="7"/>
  <c r="S25" i="7"/>
  <c r="R25" i="7"/>
  <c r="Q25" i="7"/>
  <c r="P25" i="7"/>
  <c r="O25" i="7"/>
  <c r="N25" i="7"/>
  <c r="M25" i="7"/>
  <c r="K25" i="7"/>
  <c r="L25" i="7"/>
  <c r="J25" i="7"/>
  <c r="I25" i="7"/>
  <c r="H25" i="7"/>
  <c r="G25" i="7"/>
  <c r="F25" i="7"/>
  <c r="E25" i="7"/>
  <c r="D25" i="7"/>
  <c r="C25" i="7"/>
  <c r="P24" i="7"/>
  <c r="Q24" i="7"/>
  <c r="R24" i="7"/>
  <c r="S24" i="7"/>
  <c r="T24" i="7"/>
  <c r="U24" i="7"/>
  <c r="V24" i="7"/>
  <c r="D24" i="7"/>
  <c r="E24" i="7"/>
  <c r="F24" i="7"/>
  <c r="G24" i="7"/>
  <c r="H24" i="7"/>
  <c r="I24" i="7"/>
  <c r="J24" i="7"/>
  <c r="K24" i="7"/>
  <c r="L24" i="7"/>
  <c r="M24" i="7"/>
  <c r="N24" i="7"/>
  <c r="O24" i="7"/>
  <c r="C24" i="7"/>
  <c r="K20" i="7"/>
  <c r="L20" i="7"/>
  <c r="M20" i="7"/>
  <c r="N20" i="7"/>
  <c r="O20" i="7"/>
  <c r="P20" i="7"/>
  <c r="Q20" i="7"/>
  <c r="R20" i="7"/>
  <c r="S20" i="7"/>
  <c r="T20" i="7"/>
  <c r="U20" i="7"/>
  <c r="J20" i="7"/>
  <c r="Q18" i="7"/>
  <c r="D18" i="7"/>
  <c r="E18" i="7"/>
  <c r="F18" i="7"/>
  <c r="G18" i="7"/>
  <c r="H18" i="7"/>
  <c r="I18" i="7"/>
  <c r="C18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C17" i="7"/>
  <c r="Q12" i="7"/>
  <c r="I12" i="7"/>
  <c r="D11" i="7"/>
  <c r="C38" i="7" l="1"/>
  <c r="B75" i="15" l="1"/>
  <c r="B76" i="15" s="1"/>
  <c r="B77" i="15" l="1"/>
  <c r="B78" i="15" l="1"/>
  <c r="B79" i="15" l="1"/>
  <c r="B80" i="15" l="1"/>
  <c r="B81" i="15" l="1"/>
  <c r="B82" i="15" l="1"/>
  <c r="B83" i="15" l="1"/>
  <c r="B84" i="15" l="1"/>
  <c r="B85" i="15" l="1"/>
  <c r="B86" i="15" l="1"/>
  <c r="M8" i="13"/>
  <c r="B87" i="15" l="1"/>
  <c r="B88" i="15" l="1"/>
  <c r="B89" i="15" l="1"/>
  <c r="T29" i="9"/>
  <c r="B90" i="15" l="1"/>
  <c r="B91" i="15" l="1"/>
  <c r="B92" i="15" l="1"/>
  <c r="W25" i="7"/>
  <c r="X25" i="7"/>
  <c r="W24" i="7"/>
  <c r="X24" i="7"/>
  <c r="Y24" i="7"/>
  <c r="Z24" i="7"/>
  <c r="AA24" i="7" s="1"/>
  <c r="B93" i="15" l="1"/>
  <c r="W17" i="7"/>
  <c r="Y25" i="7"/>
  <c r="X17" i="7"/>
  <c r="Y17" i="7"/>
  <c r="Z17" i="7"/>
  <c r="AA17" i="7" s="1"/>
  <c r="B94" i="15" l="1"/>
  <c r="Z25" i="7"/>
  <c r="AA25" i="7" s="1"/>
  <c r="B95" i="15" l="1"/>
  <c r="M5" i="13"/>
  <c r="P19" i="13" l="1"/>
  <c r="O19" i="13"/>
  <c r="N19" i="13"/>
  <c r="M19" i="13"/>
  <c r="M20" i="13" s="1"/>
  <c r="Q19" i="13"/>
  <c r="B96" i="15"/>
  <c r="D11" i="14"/>
  <c r="M4" i="13"/>
  <c r="B97" i="15" l="1"/>
  <c r="B98" i="15" l="1"/>
  <c r="B99" i="15" l="1"/>
  <c r="B100" i="15" l="1"/>
  <c r="E10" i="8"/>
  <c r="D9" i="8"/>
  <c r="D10" i="8"/>
  <c r="D8" i="8"/>
  <c r="D7" i="8"/>
  <c r="D5" i="8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C31" i="7"/>
  <c r="C28" i="7"/>
  <c r="AA28" i="7" s="1"/>
  <c r="E27" i="7"/>
  <c r="F27" i="7"/>
  <c r="G27" i="7"/>
  <c r="H27" i="7"/>
  <c r="N27" i="7"/>
  <c r="O27" i="7"/>
  <c r="P27" i="7"/>
  <c r="Q27" i="7"/>
  <c r="R27" i="7"/>
  <c r="S27" i="7"/>
  <c r="T27" i="7"/>
  <c r="U27" i="7"/>
  <c r="D27" i="7"/>
  <c r="C27" i="7"/>
  <c r="AB67" i="6"/>
  <c r="W28" i="7" l="1"/>
  <c r="B101" i="15"/>
  <c r="X67" i="6"/>
  <c r="D10" i="14"/>
  <c r="Z67" i="6"/>
  <c r="Y67" i="6"/>
  <c r="AA67" i="6"/>
  <c r="V31" i="7"/>
  <c r="W31" i="7" s="1"/>
  <c r="X31" i="7" s="1"/>
  <c r="V28" i="7"/>
  <c r="Z28" i="7"/>
  <c r="Y28" i="7"/>
  <c r="X28" i="7"/>
  <c r="M6" i="13"/>
  <c r="B102" i="15" l="1"/>
  <c r="Y31" i="7"/>
  <c r="Z31" i="7" s="1"/>
  <c r="AA31" i="7" l="1"/>
  <c r="B103" i="15"/>
  <c r="B104" i="15" l="1"/>
  <c r="C4" i="10"/>
  <c r="C2" i="10"/>
  <c r="D2" i="14" l="1"/>
  <c r="B37" i="10"/>
  <c r="C37" i="10" s="1"/>
  <c r="C36" i="10"/>
  <c r="B105" i="15"/>
  <c r="D3" i="14"/>
  <c r="B36" i="10"/>
  <c r="D39" i="10" l="1"/>
  <c r="E39" i="10"/>
  <c r="F39" i="10"/>
  <c r="C39" i="10"/>
  <c r="B106" i="15"/>
  <c r="B107" i="15" l="1"/>
  <c r="Z4" i="9" l="1"/>
  <c r="B108" i="15"/>
  <c r="Y2" i="6"/>
  <c r="X2" i="6"/>
  <c r="W2" i="6"/>
  <c r="D8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V7" i="6"/>
  <c r="C3" i="13" s="1"/>
  <c r="U7" i="6"/>
  <c r="T7" i="6"/>
  <c r="T12" i="6" s="1"/>
  <c r="S7" i="6"/>
  <c r="S12" i="6" s="1"/>
  <c r="R7" i="6"/>
  <c r="R12" i="6" s="1"/>
  <c r="Q7" i="6"/>
  <c r="Q12" i="6" s="1"/>
  <c r="P7" i="6"/>
  <c r="P12" i="6" s="1"/>
  <c r="O7" i="6"/>
  <c r="O12" i="6" s="1"/>
  <c r="N7" i="6"/>
  <c r="N12" i="6" s="1"/>
  <c r="M7" i="6"/>
  <c r="M12" i="6" s="1"/>
  <c r="L7" i="6"/>
  <c r="L12" i="6" s="1"/>
  <c r="K7" i="6"/>
  <c r="K12" i="6" s="1"/>
  <c r="J7" i="6"/>
  <c r="J12" i="6" s="1"/>
  <c r="I7" i="6"/>
  <c r="I12" i="6" s="1"/>
  <c r="H7" i="6"/>
  <c r="H12" i="6" s="1"/>
  <c r="G7" i="6"/>
  <c r="G12" i="6" s="1"/>
  <c r="F7" i="6"/>
  <c r="F12" i="6" s="1"/>
  <c r="E7" i="6"/>
  <c r="E12" i="6" s="1"/>
  <c r="Q18" i="13" l="1"/>
  <c r="B109" i="15"/>
  <c r="U12" i="6"/>
  <c r="V12" i="6"/>
  <c r="K22" i="6"/>
  <c r="M22" i="6"/>
  <c r="L22" i="6"/>
  <c r="I22" i="6"/>
  <c r="V22" i="6"/>
  <c r="T22" i="6"/>
  <c r="F22" i="6"/>
  <c r="D22" i="6"/>
  <c r="H22" i="6"/>
  <c r="G22" i="6"/>
  <c r="R22" i="6"/>
  <c r="Q22" i="6"/>
  <c r="N22" i="6"/>
  <c r="J22" i="6"/>
  <c r="S22" i="6"/>
  <c r="E22" i="6"/>
  <c r="P22" i="6"/>
  <c r="U22" i="6"/>
  <c r="O22" i="6"/>
  <c r="G4" i="13" l="1"/>
  <c r="F4" i="13"/>
  <c r="Y11" i="6"/>
  <c r="X11" i="6"/>
  <c r="W11" i="6"/>
  <c r="AJ20" i="4" s="1"/>
  <c r="W7" i="6"/>
  <c r="Z11" i="6"/>
  <c r="B110" i="15"/>
  <c r="X7" i="6"/>
  <c r="E3" i="13" s="1"/>
  <c r="Y7" i="6"/>
  <c r="F3" i="13" s="1"/>
  <c r="O40" i="9" l="1"/>
  <c r="O52" i="9"/>
  <c r="O64" i="9"/>
  <c r="O76" i="9"/>
  <c r="O88" i="9"/>
  <c r="O100" i="9"/>
  <c r="O112" i="9"/>
  <c r="O124" i="9"/>
  <c r="O136" i="9"/>
  <c r="O148" i="9"/>
  <c r="O160" i="9"/>
  <c r="O172" i="9"/>
  <c r="O184" i="9"/>
  <c r="O196" i="9"/>
  <c r="O208" i="9"/>
  <c r="O220" i="9"/>
  <c r="O232" i="9"/>
  <c r="O244" i="9"/>
  <c r="O256" i="9"/>
  <c r="O268" i="9"/>
  <c r="O280" i="9"/>
  <c r="O292" i="9"/>
  <c r="O304" i="9"/>
  <c r="O316" i="9"/>
  <c r="O328" i="9"/>
  <c r="O340" i="9"/>
  <c r="O352" i="9"/>
  <c r="O364" i="9"/>
  <c r="O376" i="9"/>
  <c r="O388" i="9"/>
  <c r="O400" i="9"/>
  <c r="O412" i="9"/>
  <c r="O424" i="9"/>
  <c r="O436" i="9"/>
  <c r="O448" i="9"/>
  <c r="O460" i="9"/>
  <c r="O472" i="9"/>
  <c r="O484" i="9"/>
  <c r="O496" i="9"/>
  <c r="O508" i="9"/>
  <c r="O520" i="9"/>
  <c r="O532" i="9"/>
  <c r="O544" i="9"/>
  <c r="O556" i="9"/>
  <c r="O568" i="9"/>
  <c r="O580" i="9"/>
  <c r="O592" i="9"/>
  <c r="O604" i="9"/>
  <c r="O616" i="9"/>
  <c r="O628" i="9"/>
  <c r="O640" i="9"/>
  <c r="O652" i="9"/>
  <c r="O664" i="9"/>
  <c r="O676" i="9"/>
  <c r="O688" i="9"/>
  <c r="O700" i="9"/>
  <c r="O712" i="9"/>
  <c r="O724" i="9"/>
  <c r="O736" i="9"/>
  <c r="O748" i="9"/>
  <c r="O760" i="9"/>
  <c r="O772" i="9"/>
  <c r="O784" i="9"/>
  <c r="O796" i="9"/>
  <c r="O808" i="9"/>
  <c r="O820" i="9"/>
  <c r="O832" i="9"/>
  <c r="O844" i="9"/>
  <c r="O856" i="9"/>
  <c r="O868" i="9"/>
  <c r="O880" i="9"/>
  <c r="O892" i="9"/>
  <c r="O904" i="9"/>
  <c r="O916" i="9"/>
  <c r="O928" i="9"/>
  <c r="O940" i="9"/>
  <c r="O952" i="9"/>
  <c r="O964" i="9"/>
  <c r="O976" i="9"/>
  <c r="O988" i="9"/>
  <c r="O1000" i="9"/>
  <c r="O1012" i="9"/>
  <c r="O1024" i="9"/>
  <c r="O1036" i="9"/>
  <c r="O1048" i="9"/>
  <c r="O29" i="9"/>
  <c r="O41" i="9"/>
  <c r="O53" i="9"/>
  <c r="O65" i="9"/>
  <c r="O77" i="9"/>
  <c r="O89" i="9"/>
  <c r="O101" i="9"/>
  <c r="O113" i="9"/>
  <c r="O125" i="9"/>
  <c r="O137" i="9"/>
  <c r="O149" i="9"/>
  <c r="O161" i="9"/>
  <c r="O173" i="9"/>
  <c r="O185" i="9"/>
  <c r="O197" i="9"/>
  <c r="O209" i="9"/>
  <c r="O221" i="9"/>
  <c r="O233" i="9"/>
  <c r="O245" i="9"/>
  <c r="O257" i="9"/>
  <c r="O269" i="9"/>
  <c r="O281" i="9"/>
  <c r="O293" i="9"/>
  <c r="O305" i="9"/>
  <c r="O317" i="9"/>
  <c r="O329" i="9"/>
  <c r="O341" i="9"/>
  <c r="O353" i="9"/>
  <c r="O365" i="9"/>
  <c r="O377" i="9"/>
  <c r="O389" i="9"/>
  <c r="O401" i="9"/>
  <c r="O413" i="9"/>
  <c r="O425" i="9"/>
  <c r="O437" i="9"/>
  <c r="O449" i="9"/>
  <c r="O461" i="9"/>
  <c r="O473" i="9"/>
  <c r="O485" i="9"/>
  <c r="O497" i="9"/>
  <c r="O509" i="9"/>
  <c r="O521" i="9"/>
  <c r="O533" i="9"/>
  <c r="O545" i="9"/>
  <c r="O557" i="9"/>
  <c r="O569" i="9"/>
  <c r="O581" i="9"/>
  <c r="O593" i="9"/>
  <c r="O605" i="9"/>
  <c r="O617" i="9"/>
  <c r="O629" i="9"/>
  <c r="O641" i="9"/>
  <c r="O653" i="9"/>
  <c r="O665" i="9"/>
  <c r="O677" i="9"/>
  <c r="O689" i="9"/>
  <c r="O701" i="9"/>
  <c r="O713" i="9"/>
  <c r="O725" i="9"/>
  <c r="O737" i="9"/>
  <c r="O749" i="9"/>
  <c r="O761" i="9"/>
  <c r="O773" i="9"/>
  <c r="O785" i="9"/>
  <c r="O797" i="9"/>
  <c r="O809" i="9"/>
  <c r="O821" i="9"/>
  <c r="O833" i="9"/>
  <c r="O845" i="9"/>
  <c r="O857" i="9"/>
  <c r="O869" i="9"/>
  <c r="O881" i="9"/>
  <c r="O893" i="9"/>
  <c r="O905" i="9"/>
  <c r="O917" i="9"/>
  <c r="O929" i="9"/>
  <c r="O941" i="9"/>
  <c r="O953" i="9"/>
  <c r="O965" i="9"/>
  <c r="O977" i="9"/>
  <c r="O989" i="9"/>
  <c r="O1001" i="9"/>
  <c r="O1013" i="9"/>
  <c r="O1025" i="9"/>
  <c r="O30" i="9"/>
  <c r="O42" i="9"/>
  <c r="O54" i="9"/>
  <c r="O66" i="9"/>
  <c r="O78" i="9"/>
  <c r="O90" i="9"/>
  <c r="O102" i="9"/>
  <c r="O114" i="9"/>
  <c r="O126" i="9"/>
  <c r="O138" i="9"/>
  <c r="O150" i="9"/>
  <c r="O162" i="9"/>
  <c r="O174" i="9"/>
  <c r="O186" i="9"/>
  <c r="O198" i="9"/>
  <c r="O210" i="9"/>
  <c r="O222" i="9"/>
  <c r="O234" i="9"/>
  <c r="O246" i="9"/>
  <c r="O258" i="9"/>
  <c r="O270" i="9"/>
  <c r="O282" i="9"/>
  <c r="O294" i="9"/>
  <c r="O306" i="9"/>
  <c r="O318" i="9"/>
  <c r="O330" i="9"/>
  <c r="O342" i="9"/>
  <c r="O354" i="9"/>
  <c r="O366" i="9"/>
  <c r="O378" i="9"/>
  <c r="O390" i="9"/>
  <c r="O402" i="9"/>
  <c r="O414" i="9"/>
  <c r="O426" i="9"/>
  <c r="O438" i="9"/>
  <c r="O450" i="9"/>
  <c r="O462" i="9"/>
  <c r="O474" i="9"/>
  <c r="O486" i="9"/>
  <c r="O498" i="9"/>
  <c r="O510" i="9"/>
  <c r="O522" i="9"/>
  <c r="O534" i="9"/>
  <c r="O546" i="9"/>
  <c r="O558" i="9"/>
  <c r="O570" i="9"/>
  <c r="O582" i="9"/>
  <c r="O594" i="9"/>
  <c r="O606" i="9"/>
  <c r="O618" i="9"/>
  <c r="O630" i="9"/>
  <c r="O642" i="9"/>
  <c r="O654" i="9"/>
  <c r="O666" i="9"/>
  <c r="O678" i="9"/>
  <c r="O690" i="9"/>
  <c r="O702" i="9"/>
  <c r="O714" i="9"/>
  <c r="O726" i="9"/>
  <c r="O738" i="9"/>
  <c r="O750" i="9"/>
  <c r="O762" i="9"/>
  <c r="O774" i="9"/>
  <c r="O786" i="9"/>
  <c r="O798" i="9"/>
  <c r="O810" i="9"/>
  <c r="O822" i="9"/>
  <c r="O834" i="9"/>
  <c r="O846" i="9"/>
  <c r="O858" i="9"/>
  <c r="O870" i="9"/>
  <c r="O882" i="9"/>
  <c r="O894" i="9"/>
  <c r="O906" i="9"/>
  <c r="O918" i="9"/>
  <c r="O930" i="9"/>
  <c r="O942" i="9"/>
  <c r="O954" i="9"/>
  <c r="O966" i="9"/>
  <c r="O978" i="9"/>
  <c r="O990" i="9"/>
  <c r="O1002" i="9"/>
  <c r="O1014" i="9"/>
  <c r="O1026" i="9"/>
  <c r="O31" i="9"/>
  <c r="O43" i="9"/>
  <c r="O55" i="9"/>
  <c r="O67" i="9"/>
  <c r="O79" i="9"/>
  <c r="O91" i="9"/>
  <c r="O103" i="9"/>
  <c r="O115" i="9"/>
  <c r="O127" i="9"/>
  <c r="O139" i="9"/>
  <c r="O151" i="9"/>
  <c r="O163" i="9"/>
  <c r="O175" i="9"/>
  <c r="O187" i="9"/>
  <c r="O199" i="9"/>
  <c r="O211" i="9"/>
  <c r="O223" i="9"/>
  <c r="O235" i="9"/>
  <c r="O247" i="9"/>
  <c r="O259" i="9"/>
  <c r="O271" i="9"/>
  <c r="O283" i="9"/>
  <c r="O295" i="9"/>
  <c r="O307" i="9"/>
  <c r="O319" i="9"/>
  <c r="O331" i="9"/>
  <c r="O343" i="9"/>
  <c r="O355" i="9"/>
  <c r="O367" i="9"/>
  <c r="O379" i="9"/>
  <c r="O391" i="9"/>
  <c r="O403" i="9"/>
  <c r="O415" i="9"/>
  <c r="O427" i="9"/>
  <c r="O439" i="9"/>
  <c r="O451" i="9"/>
  <c r="O463" i="9"/>
  <c r="O475" i="9"/>
  <c r="O487" i="9"/>
  <c r="O499" i="9"/>
  <c r="O511" i="9"/>
  <c r="O523" i="9"/>
  <c r="O535" i="9"/>
  <c r="O547" i="9"/>
  <c r="O559" i="9"/>
  <c r="O571" i="9"/>
  <c r="O583" i="9"/>
  <c r="O595" i="9"/>
  <c r="O607" i="9"/>
  <c r="O619" i="9"/>
  <c r="O631" i="9"/>
  <c r="O643" i="9"/>
  <c r="O655" i="9"/>
  <c r="O667" i="9"/>
  <c r="O679" i="9"/>
  <c r="O691" i="9"/>
  <c r="O703" i="9"/>
  <c r="O715" i="9"/>
  <c r="O727" i="9"/>
  <c r="O739" i="9"/>
  <c r="O751" i="9"/>
  <c r="O763" i="9"/>
  <c r="O775" i="9"/>
  <c r="O787" i="9"/>
  <c r="O799" i="9"/>
  <c r="O811" i="9"/>
  <c r="O823" i="9"/>
  <c r="O835" i="9"/>
  <c r="O847" i="9"/>
  <c r="O859" i="9"/>
  <c r="O871" i="9"/>
  <c r="O883" i="9"/>
  <c r="O895" i="9"/>
  <c r="O907" i="9"/>
  <c r="O919" i="9"/>
  <c r="O931" i="9"/>
  <c r="O943" i="9"/>
  <c r="O955" i="9"/>
  <c r="O967" i="9"/>
  <c r="O979" i="9"/>
  <c r="O991" i="9"/>
  <c r="O32" i="9"/>
  <c r="O44" i="9"/>
  <c r="O56" i="9"/>
  <c r="O68" i="9"/>
  <c r="O80" i="9"/>
  <c r="O92" i="9"/>
  <c r="O104" i="9"/>
  <c r="O116" i="9"/>
  <c r="O128" i="9"/>
  <c r="O140" i="9"/>
  <c r="O152" i="9"/>
  <c r="O164" i="9"/>
  <c r="O176" i="9"/>
  <c r="O188" i="9"/>
  <c r="O200" i="9"/>
  <c r="O212" i="9"/>
  <c r="O224" i="9"/>
  <c r="O236" i="9"/>
  <c r="O248" i="9"/>
  <c r="O260" i="9"/>
  <c r="O272" i="9"/>
  <c r="O284" i="9"/>
  <c r="O296" i="9"/>
  <c r="O308" i="9"/>
  <c r="O320" i="9"/>
  <c r="O332" i="9"/>
  <c r="O344" i="9"/>
  <c r="O356" i="9"/>
  <c r="O368" i="9"/>
  <c r="O380" i="9"/>
  <c r="O392" i="9"/>
  <c r="O404" i="9"/>
  <c r="O416" i="9"/>
  <c r="O428" i="9"/>
  <c r="O440" i="9"/>
  <c r="O452" i="9"/>
  <c r="O464" i="9"/>
  <c r="O476" i="9"/>
  <c r="O488" i="9"/>
  <c r="O500" i="9"/>
  <c r="O512" i="9"/>
  <c r="O524" i="9"/>
  <c r="O536" i="9"/>
  <c r="O548" i="9"/>
  <c r="O560" i="9"/>
  <c r="O572" i="9"/>
  <c r="O584" i="9"/>
  <c r="O596" i="9"/>
  <c r="O608" i="9"/>
  <c r="O620" i="9"/>
  <c r="O632" i="9"/>
  <c r="O644" i="9"/>
  <c r="O656" i="9"/>
  <c r="O668" i="9"/>
  <c r="O680" i="9"/>
  <c r="O692" i="9"/>
  <c r="O704" i="9"/>
  <c r="O716" i="9"/>
  <c r="O728" i="9"/>
  <c r="O740" i="9"/>
  <c r="O752" i="9"/>
  <c r="O764" i="9"/>
  <c r="O776" i="9"/>
  <c r="O788" i="9"/>
  <c r="O800" i="9"/>
  <c r="O812" i="9"/>
  <c r="O824" i="9"/>
  <c r="O836" i="9"/>
  <c r="O848" i="9"/>
  <c r="O860" i="9"/>
  <c r="O872" i="9"/>
  <c r="O884" i="9"/>
  <c r="O896" i="9"/>
  <c r="O33" i="9"/>
  <c r="O45" i="9"/>
  <c r="O57" i="9"/>
  <c r="O69" i="9"/>
  <c r="O81" i="9"/>
  <c r="O93" i="9"/>
  <c r="O105" i="9"/>
  <c r="O117" i="9"/>
  <c r="O129" i="9"/>
  <c r="O141" i="9"/>
  <c r="O153" i="9"/>
  <c r="O165" i="9"/>
  <c r="O177" i="9"/>
  <c r="O189" i="9"/>
  <c r="O201" i="9"/>
  <c r="O213" i="9"/>
  <c r="O225" i="9"/>
  <c r="O237" i="9"/>
  <c r="O249" i="9"/>
  <c r="O261" i="9"/>
  <c r="O273" i="9"/>
  <c r="O285" i="9"/>
  <c r="O297" i="9"/>
  <c r="O309" i="9"/>
  <c r="O321" i="9"/>
  <c r="O333" i="9"/>
  <c r="O345" i="9"/>
  <c r="O357" i="9"/>
  <c r="O369" i="9"/>
  <c r="O381" i="9"/>
  <c r="O393" i="9"/>
  <c r="O405" i="9"/>
  <c r="O417" i="9"/>
  <c r="O429" i="9"/>
  <c r="O441" i="9"/>
  <c r="O453" i="9"/>
  <c r="O465" i="9"/>
  <c r="O477" i="9"/>
  <c r="O489" i="9"/>
  <c r="O501" i="9"/>
  <c r="O513" i="9"/>
  <c r="O525" i="9"/>
  <c r="O537" i="9"/>
  <c r="O549" i="9"/>
  <c r="O561" i="9"/>
  <c r="O573" i="9"/>
  <c r="O585" i="9"/>
  <c r="O597" i="9"/>
  <c r="O609" i="9"/>
  <c r="O621" i="9"/>
  <c r="O633" i="9"/>
  <c r="O645" i="9"/>
  <c r="O657" i="9"/>
  <c r="O669" i="9"/>
  <c r="O681" i="9"/>
  <c r="O693" i="9"/>
  <c r="O705" i="9"/>
  <c r="O717" i="9"/>
  <c r="O729" i="9"/>
  <c r="O741" i="9"/>
  <c r="O753" i="9"/>
  <c r="O765" i="9"/>
  <c r="O777" i="9"/>
  <c r="O789" i="9"/>
  <c r="O801" i="9"/>
  <c r="O813" i="9"/>
  <c r="O825" i="9"/>
  <c r="O837" i="9"/>
  <c r="O849" i="9"/>
  <c r="O861" i="9"/>
  <c r="O873" i="9"/>
  <c r="O885" i="9"/>
  <c r="O897" i="9"/>
  <c r="O909" i="9"/>
  <c r="O921" i="9"/>
  <c r="O933" i="9"/>
  <c r="O945" i="9"/>
  <c r="O957" i="9"/>
  <c r="O969" i="9"/>
  <c r="O981" i="9"/>
  <c r="O993" i="9"/>
  <c r="O1005" i="9"/>
  <c r="O1017" i="9"/>
  <c r="O1029" i="9"/>
  <c r="O1041" i="9"/>
  <c r="O34" i="9"/>
  <c r="O46" i="9"/>
  <c r="O58" i="9"/>
  <c r="O70" i="9"/>
  <c r="O82" i="9"/>
  <c r="O94" i="9"/>
  <c r="O106" i="9"/>
  <c r="O118" i="9"/>
  <c r="O130" i="9"/>
  <c r="O142" i="9"/>
  <c r="O154" i="9"/>
  <c r="O166" i="9"/>
  <c r="O178" i="9"/>
  <c r="O190" i="9"/>
  <c r="O202" i="9"/>
  <c r="O214" i="9"/>
  <c r="O226" i="9"/>
  <c r="O238" i="9"/>
  <c r="O250" i="9"/>
  <c r="O262" i="9"/>
  <c r="O274" i="9"/>
  <c r="O286" i="9"/>
  <c r="O298" i="9"/>
  <c r="O310" i="9"/>
  <c r="O322" i="9"/>
  <c r="O334" i="9"/>
  <c r="O346" i="9"/>
  <c r="O358" i="9"/>
  <c r="O370" i="9"/>
  <c r="O382" i="9"/>
  <c r="O394" i="9"/>
  <c r="O406" i="9"/>
  <c r="O418" i="9"/>
  <c r="O430" i="9"/>
  <c r="O442" i="9"/>
  <c r="O454" i="9"/>
  <c r="O466" i="9"/>
  <c r="O478" i="9"/>
  <c r="O490" i="9"/>
  <c r="O502" i="9"/>
  <c r="O514" i="9"/>
  <c r="O526" i="9"/>
  <c r="O538" i="9"/>
  <c r="O550" i="9"/>
  <c r="O562" i="9"/>
  <c r="O574" i="9"/>
  <c r="O586" i="9"/>
  <c r="O598" i="9"/>
  <c r="O610" i="9"/>
  <c r="O622" i="9"/>
  <c r="O634" i="9"/>
  <c r="O646" i="9"/>
  <c r="O658" i="9"/>
  <c r="O670" i="9"/>
  <c r="O682" i="9"/>
  <c r="O694" i="9"/>
  <c r="O706" i="9"/>
  <c r="O35" i="9"/>
  <c r="O47" i="9"/>
  <c r="O59" i="9"/>
  <c r="O71" i="9"/>
  <c r="O83" i="9"/>
  <c r="O95" i="9"/>
  <c r="O107" i="9"/>
  <c r="O119" i="9"/>
  <c r="O131" i="9"/>
  <c r="O143" i="9"/>
  <c r="O155" i="9"/>
  <c r="O167" i="9"/>
  <c r="O179" i="9"/>
  <c r="O191" i="9"/>
  <c r="O203" i="9"/>
  <c r="O215" i="9"/>
  <c r="O227" i="9"/>
  <c r="O239" i="9"/>
  <c r="O251" i="9"/>
  <c r="O263" i="9"/>
  <c r="O275" i="9"/>
  <c r="O287" i="9"/>
  <c r="O299" i="9"/>
  <c r="O311" i="9"/>
  <c r="O323" i="9"/>
  <c r="O335" i="9"/>
  <c r="O347" i="9"/>
  <c r="O359" i="9"/>
  <c r="O371" i="9"/>
  <c r="O383" i="9"/>
  <c r="O395" i="9"/>
  <c r="O407" i="9"/>
  <c r="O419" i="9"/>
  <c r="O431" i="9"/>
  <c r="O443" i="9"/>
  <c r="O455" i="9"/>
  <c r="O467" i="9"/>
  <c r="O479" i="9"/>
  <c r="O491" i="9"/>
  <c r="O503" i="9"/>
  <c r="O515" i="9"/>
  <c r="O527" i="9"/>
  <c r="O539" i="9"/>
  <c r="O551" i="9"/>
  <c r="O563" i="9"/>
  <c r="O575" i="9"/>
  <c r="O587" i="9"/>
  <c r="O599" i="9"/>
  <c r="O611" i="9"/>
  <c r="O623" i="9"/>
  <c r="O635" i="9"/>
  <c r="O647" i="9"/>
  <c r="O659" i="9"/>
  <c r="O671" i="9"/>
  <c r="O683" i="9"/>
  <c r="O695" i="9"/>
  <c r="O707" i="9"/>
  <c r="O36" i="9"/>
  <c r="O48" i="9"/>
  <c r="O60" i="9"/>
  <c r="O72" i="9"/>
  <c r="O84" i="9"/>
  <c r="O96" i="9"/>
  <c r="O108" i="9"/>
  <c r="O120" i="9"/>
  <c r="O132" i="9"/>
  <c r="O144" i="9"/>
  <c r="O156" i="9"/>
  <c r="O168" i="9"/>
  <c r="O180" i="9"/>
  <c r="O192" i="9"/>
  <c r="O204" i="9"/>
  <c r="O216" i="9"/>
  <c r="O228" i="9"/>
  <c r="O240" i="9"/>
  <c r="O252" i="9"/>
  <c r="O264" i="9"/>
  <c r="O276" i="9"/>
  <c r="O288" i="9"/>
  <c r="O300" i="9"/>
  <c r="O312" i="9"/>
  <c r="O324" i="9"/>
  <c r="O336" i="9"/>
  <c r="O348" i="9"/>
  <c r="O360" i="9"/>
  <c r="O372" i="9"/>
  <c r="O384" i="9"/>
  <c r="O396" i="9"/>
  <c r="O408" i="9"/>
  <c r="O420" i="9"/>
  <c r="O432" i="9"/>
  <c r="O444" i="9"/>
  <c r="O456" i="9"/>
  <c r="O468" i="9"/>
  <c r="O480" i="9"/>
  <c r="O492" i="9"/>
  <c r="O504" i="9"/>
  <c r="O516" i="9"/>
  <c r="O528" i="9"/>
  <c r="O540" i="9"/>
  <c r="O552" i="9"/>
  <c r="O564" i="9"/>
  <c r="O576" i="9"/>
  <c r="O588" i="9"/>
  <c r="O600" i="9"/>
  <c r="O612" i="9"/>
  <c r="O624" i="9"/>
  <c r="O636" i="9"/>
  <c r="O648" i="9"/>
  <c r="O660" i="9"/>
  <c r="O672" i="9"/>
  <c r="O684" i="9"/>
  <c r="O696" i="9"/>
  <c r="O708" i="9"/>
  <c r="O720" i="9"/>
  <c r="O732" i="9"/>
  <c r="O744" i="9"/>
  <c r="O756" i="9"/>
  <c r="O768" i="9"/>
  <c r="O780" i="9"/>
  <c r="O792" i="9"/>
  <c r="O804" i="9"/>
  <c r="O816" i="9"/>
  <c r="O828" i="9"/>
  <c r="O840" i="9"/>
  <c r="O852" i="9"/>
  <c r="O864" i="9"/>
  <c r="O37" i="9"/>
  <c r="O49" i="9"/>
  <c r="O61" i="9"/>
  <c r="O73" i="9"/>
  <c r="O85" i="9"/>
  <c r="O97" i="9"/>
  <c r="O109" i="9"/>
  <c r="O121" i="9"/>
  <c r="O133" i="9"/>
  <c r="O145" i="9"/>
  <c r="O157" i="9"/>
  <c r="O169" i="9"/>
  <c r="O181" i="9"/>
  <c r="O193" i="9"/>
  <c r="O205" i="9"/>
  <c r="O217" i="9"/>
  <c r="O229" i="9"/>
  <c r="O241" i="9"/>
  <c r="O253" i="9"/>
  <c r="O265" i="9"/>
  <c r="O277" i="9"/>
  <c r="O289" i="9"/>
  <c r="O301" i="9"/>
  <c r="O313" i="9"/>
  <c r="O325" i="9"/>
  <c r="O337" i="9"/>
  <c r="O349" i="9"/>
  <c r="O361" i="9"/>
  <c r="O373" i="9"/>
  <c r="O385" i="9"/>
  <c r="O397" i="9"/>
  <c r="O409" i="9"/>
  <c r="O421" i="9"/>
  <c r="O433" i="9"/>
  <c r="O38" i="9"/>
  <c r="O50" i="9"/>
  <c r="O62" i="9"/>
  <c r="O74" i="9"/>
  <c r="O86" i="9"/>
  <c r="O98" i="9"/>
  <c r="O110" i="9"/>
  <c r="O122" i="9"/>
  <c r="O134" i="9"/>
  <c r="O146" i="9"/>
  <c r="O158" i="9"/>
  <c r="O170" i="9"/>
  <c r="O182" i="9"/>
  <c r="O194" i="9"/>
  <c r="O206" i="9"/>
  <c r="O218" i="9"/>
  <c r="O230" i="9"/>
  <c r="O242" i="9"/>
  <c r="O254" i="9"/>
  <c r="O266" i="9"/>
  <c r="O278" i="9"/>
  <c r="O290" i="9"/>
  <c r="O302" i="9"/>
  <c r="O314" i="9"/>
  <c r="O326" i="9"/>
  <c r="O338" i="9"/>
  <c r="O350" i="9"/>
  <c r="O362" i="9"/>
  <c r="O374" i="9"/>
  <c r="O386" i="9"/>
  <c r="O398" i="9"/>
  <c r="O410" i="9"/>
  <c r="O422" i="9"/>
  <c r="O434" i="9"/>
  <c r="O446" i="9"/>
  <c r="O39" i="9"/>
  <c r="O51" i="9"/>
  <c r="O63" i="9"/>
  <c r="O75" i="9"/>
  <c r="O87" i="9"/>
  <c r="O99" i="9"/>
  <c r="O111" i="9"/>
  <c r="O123" i="9"/>
  <c r="O135" i="9"/>
  <c r="O147" i="9"/>
  <c r="O159" i="9"/>
  <c r="O171" i="9"/>
  <c r="O183" i="9"/>
  <c r="O195" i="9"/>
  <c r="O207" i="9"/>
  <c r="O219" i="9"/>
  <c r="O363" i="9"/>
  <c r="O469" i="9"/>
  <c r="O517" i="9"/>
  <c r="O565" i="9"/>
  <c r="O613" i="9"/>
  <c r="O661" i="9"/>
  <c r="O709" i="9"/>
  <c r="O735" i="9"/>
  <c r="O767" i="9"/>
  <c r="O794" i="9"/>
  <c r="O826" i="9"/>
  <c r="O853" i="9"/>
  <c r="O878" i="9"/>
  <c r="O902" i="9"/>
  <c r="O924" i="9"/>
  <c r="O946" i="9"/>
  <c r="O963" i="9"/>
  <c r="O985" i="9"/>
  <c r="O1006" i="9"/>
  <c r="O1022" i="9"/>
  <c r="O1039" i="9"/>
  <c r="O1053" i="9"/>
  <c r="O1065" i="9"/>
  <c r="O1077" i="9"/>
  <c r="O1089" i="9"/>
  <c r="O1101" i="9"/>
  <c r="O1113" i="9"/>
  <c r="O1125" i="9"/>
  <c r="O1137" i="9"/>
  <c r="O1149" i="9"/>
  <c r="O1161" i="9"/>
  <c r="O1173" i="9"/>
  <c r="O1185" i="9"/>
  <c r="O1197" i="9"/>
  <c r="O1209" i="9"/>
  <c r="O1221" i="9"/>
  <c r="O1233" i="9"/>
  <c r="O1245" i="9"/>
  <c r="O1257" i="9"/>
  <c r="O1269" i="9"/>
  <c r="O1281" i="9"/>
  <c r="O1293" i="9"/>
  <c r="O1305" i="9"/>
  <c r="O1317" i="9"/>
  <c r="O1329" i="9"/>
  <c r="O1341" i="9"/>
  <c r="O1353" i="9"/>
  <c r="O1365" i="9"/>
  <c r="O1377" i="9"/>
  <c r="O1389" i="9"/>
  <c r="O1401" i="9"/>
  <c r="O1413" i="9"/>
  <c r="O1425" i="9"/>
  <c r="O1437" i="9"/>
  <c r="O1449" i="9"/>
  <c r="O1461" i="9"/>
  <c r="O1473" i="9"/>
  <c r="O1485" i="9"/>
  <c r="O1497" i="9"/>
  <c r="O1509" i="9"/>
  <c r="O1521" i="9"/>
  <c r="O1510" i="9"/>
  <c r="O1522" i="9"/>
  <c r="O1523" i="9"/>
  <c r="O1464" i="9"/>
  <c r="O1500" i="9"/>
  <c r="O1489" i="9"/>
  <c r="O1311" i="9"/>
  <c r="O1407" i="9"/>
  <c r="O1503" i="9"/>
  <c r="O1434" i="9"/>
  <c r="O1447" i="9"/>
  <c r="O1376" i="9"/>
  <c r="O1472" i="9"/>
  <c r="O231" i="9"/>
  <c r="O375" i="9"/>
  <c r="O470" i="9"/>
  <c r="O518" i="9"/>
  <c r="O566" i="9"/>
  <c r="O614" i="9"/>
  <c r="O662" i="9"/>
  <c r="O710" i="9"/>
  <c r="O742" i="9"/>
  <c r="O769" i="9"/>
  <c r="O795" i="9"/>
  <c r="O827" i="9"/>
  <c r="O854" i="9"/>
  <c r="O879" i="9"/>
  <c r="O903" i="9"/>
  <c r="O925" i="9"/>
  <c r="O947" i="9"/>
  <c r="O968" i="9"/>
  <c r="O986" i="9"/>
  <c r="O1007" i="9"/>
  <c r="O1023" i="9"/>
  <c r="O1040" i="9"/>
  <c r="O1054" i="9"/>
  <c r="O1066" i="9"/>
  <c r="O1078" i="9"/>
  <c r="O1090" i="9"/>
  <c r="O1102" i="9"/>
  <c r="O1114" i="9"/>
  <c r="O1126" i="9"/>
  <c r="O1138" i="9"/>
  <c r="O1150" i="9"/>
  <c r="O1162" i="9"/>
  <c r="O1174" i="9"/>
  <c r="O1186" i="9"/>
  <c r="O1198" i="9"/>
  <c r="O1210" i="9"/>
  <c r="O1222" i="9"/>
  <c r="O1234" i="9"/>
  <c r="O1246" i="9"/>
  <c r="O1258" i="9"/>
  <c r="O1270" i="9"/>
  <c r="O1282" i="9"/>
  <c r="O1294" i="9"/>
  <c r="O1306" i="9"/>
  <c r="O1318" i="9"/>
  <c r="O1330" i="9"/>
  <c r="O1342" i="9"/>
  <c r="O1354" i="9"/>
  <c r="O1366" i="9"/>
  <c r="O1378" i="9"/>
  <c r="O1390" i="9"/>
  <c r="O1402" i="9"/>
  <c r="O1414" i="9"/>
  <c r="O1426" i="9"/>
  <c r="O1438" i="9"/>
  <c r="O1450" i="9"/>
  <c r="O1462" i="9"/>
  <c r="O1474" i="9"/>
  <c r="O1486" i="9"/>
  <c r="O1498" i="9"/>
  <c r="O1452" i="9"/>
  <c r="O1524" i="9"/>
  <c r="O1525" i="9"/>
  <c r="O1335" i="9"/>
  <c r="O1419" i="9"/>
  <c r="O1479" i="9"/>
  <c r="O1516" i="9"/>
  <c r="O1506" i="9"/>
  <c r="O1483" i="9"/>
  <c r="O1400" i="9"/>
  <c r="O243" i="9"/>
  <c r="O387" i="9"/>
  <c r="O471" i="9"/>
  <c r="O519" i="9"/>
  <c r="O567" i="9"/>
  <c r="O615" i="9"/>
  <c r="O663" i="9"/>
  <c r="O711" i="9"/>
  <c r="O743" i="9"/>
  <c r="O770" i="9"/>
  <c r="O802" i="9"/>
  <c r="O829" i="9"/>
  <c r="O855" i="9"/>
  <c r="O886" i="9"/>
  <c r="O908" i="9"/>
  <c r="O926" i="9"/>
  <c r="O948" i="9"/>
  <c r="O970" i="9"/>
  <c r="O987" i="9"/>
  <c r="O1008" i="9"/>
  <c r="O1027" i="9"/>
  <c r="O1042" i="9"/>
  <c r="O1055" i="9"/>
  <c r="O1067" i="9"/>
  <c r="O1079" i="9"/>
  <c r="O1091" i="9"/>
  <c r="O1103" i="9"/>
  <c r="O1115" i="9"/>
  <c r="O1127" i="9"/>
  <c r="O1139" i="9"/>
  <c r="O1151" i="9"/>
  <c r="O1163" i="9"/>
  <c r="O1175" i="9"/>
  <c r="O1187" i="9"/>
  <c r="O1199" i="9"/>
  <c r="O1211" i="9"/>
  <c r="O1223" i="9"/>
  <c r="O1235" i="9"/>
  <c r="O1247" i="9"/>
  <c r="O1259" i="9"/>
  <c r="O1271" i="9"/>
  <c r="O1283" i="9"/>
  <c r="O1295" i="9"/>
  <c r="O1307" i="9"/>
  <c r="O1319" i="9"/>
  <c r="O1331" i="9"/>
  <c r="O1343" i="9"/>
  <c r="O1355" i="9"/>
  <c r="O1367" i="9"/>
  <c r="O1379" i="9"/>
  <c r="O1391" i="9"/>
  <c r="O1403" i="9"/>
  <c r="O1415" i="9"/>
  <c r="O1427" i="9"/>
  <c r="O1439" i="9"/>
  <c r="O1451" i="9"/>
  <c r="O1463" i="9"/>
  <c r="O1475" i="9"/>
  <c r="O1487" i="9"/>
  <c r="O1499" i="9"/>
  <c r="O1511" i="9"/>
  <c r="O1476" i="9"/>
  <c r="O1512" i="9"/>
  <c r="O1501" i="9"/>
  <c r="O1323" i="9"/>
  <c r="O1371" i="9"/>
  <c r="O1443" i="9"/>
  <c r="O1527" i="9"/>
  <c r="O1504" i="9"/>
  <c r="O1446" i="9"/>
  <c r="O1471" i="9"/>
  <c r="O1412" i="9"/>
  <c r="O1460" i="9"/>
  <c r="O255" i="9"/>
  <c r="O399" i="9"/>
  <c r="O481" i="9"/>
  <c r="O529" i="9"/>
  <c r="O577" i="9"/>
  <c r="O625" i="9"/>
  <c r="O673" i="9"/>
  <c r="O718" i="9"/>
  <c r="O745" i="9"/>
  <c r="O771" i="9"/>
  <c r="O803" i="9"/>
  <c r="O830" i="9"/>
  <c r="O862" i="9"/>
  <c r="O887" i="9"/>
  <c r="O910" i="9"/>
  <c r="O927" i="9"/>
  <c r="O949" i="9"/>
  <c r="O971" i="9"/>
  <c r="O992" i="9"/>
  <c r="O1009" i="9"/>
  <c r="O1028" i="9"/>
  <c r="O1043" i="9"/>
  <c r="O1056" i="9"/>
  <c r="O1068" i="9"/>
  <c r="O1080" i="9"/>
  <c r="O1092" i="9"/>
  <c r="O1104" i="9"/>
  <c r="O1116" i="9"/>
  <c r="O1128" i="9"/>
  <c r="O1140" i="9"/>
  <c r="O1152" i="9"/>
  <c r="O1164" i="9"/>
  <c r="O1176" i="9"/>
  <c r="O1188" i="9"/>
  <c r="O1200" i="9"/>
  <c r="O1212" i="9"/>
  <c r="O1224" i="9"/>
  <c r="O1236" i="9"/>
  <c r="O1248" i="9"/>
  <c r="O1260" i="9"/>
  <c r="O1272" i="9"/>
  <c r="O1284" i="9"/>
  <c r="O1296" i="9"/>
  <c r="O1308" i="9"/>
  <c r="O1320" i="9"/>
  <c r="O1332" i="9"/>
  <c r="O1344" i="9"/>
  <c r="O1356" i="9"/>
  <c r="O1368" i="9"/>
  <c r="O1380" i="9"/>
  <c r="O1392" i="9"/>
  <c r="O1404" i="9"/>
  <c r="O1416" i="9"/>
  <c r="O1428" i="9"/>
  <c r="O1440" i="9"/>
  <c r="O1488" i="9"/>
  <c r="O1287" i="9"/>
  <c r="O1383" i="9"/>
  <c r="O1467" i="9"/>
  <c r="O1529" i="9"/>
  <c r="O1494" i="9"/>
  <c r="O1459" i="9"/>
  <c r="O1352" i="9"/>
  <c r="O1496" i="9"/>
  <c r="O267" i="9"/>
  <c r="O411" i="9"/>
  <c r="O482" i="9"/>
  <c r="O530" i="9"/>
  <c r="O578" i="9"/>
  <c r="O626" i="9"/>
  <c r="O674" i="9"/>
  <c r="O719" i="9"/>
  <c r="O746" i="9"/>
  <c r="O778" i="9"/>
  <c r="O805" i="9"/>
  <c r="O831" i="9"/>
  <c r="O863" i="9"/>
  <c r="O888" i="9"/>
  <c r="O911" i="9"/>
  <c r="O932" i="9"/>
  <c r="O950" i="9"/>
  <c r="O972" i="9"/>
  <c r="O994" i="9"/>
  <c r="O1010" i="9"/>
  <c r="O1030" i="9"/>
  <c r="O1044" i="9"/>
  <c r="O1057" i="9"/>
  <c r="O1069" i="9"/>
  <c r="O1081" i="9"/>
  <c r="O1093" i="9"/>
  <c r="O1105" i="9"/>
  <c r="O1117" i="9"/>
  <c r="O1129" i="9"/>
  <c r="O1141" i="9"/>
  <c r="O1153" i="9"/>
  <c r="O1165" i="9"/>
  <c r="O1177" i="9"/>
  <c r="O1189" i="9"/>
  <c r="O1201" i="9"/>
  <c r="O1213" i="9"/>
  <c r="O1225" i="9"/>
  <c r="O1237" i="9"/>
  <c r="O1249" i="9"/>
  <c r="O1261" i="9"/>
  <c r="O1273" i="9"/>
  <c r="O1285" i="9"/>
  <c r="O1297" i="9"/>
  <c r="O1309" i="9"/>
  <c r="O1321" i="9"/>
  <c r="O1333" i="9"/>
  <c r="O1345" i="9"/>
  <c r="O1357" i="9"/>
  <c r="O1369" i="9"/>
  <c r="O1381" i="9"/>
  <c r="O1393" i="9"/>
  <c r="O1405" i="9"/>
  <c r="O1417" i="9"/>
  <c r="O1429" i="9"/>
  <c r="O1441" i="9"/>
  <c r="O1453" i="9"/>
  <c r="O1465" i="9"/>
  <c r="O1477" i="9"/>
  <c r="O1513" i="9"/>
  <c r="O1359" i="9"/>
  <c r="O1431" i="9"/>
  <c r="O1491" i="9"/>
  <c r="O1517" i="9"/>
  <c r="O1530" i="9"/>
  <c r="O1507" i="9"/>
  <c r="O1364" i="9"/>
  <c r="O1484" i="9"/>
  <c r="O279" i="9"/>
  <c r="O423" i="9"/>
  <c r="O483" i="9"/>
  <c r="O531" i="9"/>
  <c r="O579" i="9"/>
  <c r="O627" i="9"/>
  <c r="O675" i="9"/>
  <c r="O721" i="9"/>
  <c r="O747" i="9"/>
  <c r="O779" i="9"/>
  <c r="O806" i="9"/>
  <c r="O838" i="9"/>
  <c r="O865" i="9"/>
  <c r="O889" i="9"/>
  <c r="O912" i="9"/>
  <c r="O934" i="9"/>
  <c r="O951" i="9"/>
  <c r="O973" i="9"/>
  <c r="O995" i="9"/>
  <c r="O1011" i="9"/>
  <c r="O1031" i="9"/>
  <c r="O1045" i="9"/>
  <c r="O1058" i="9"/>
  <c r="O1070" i="9"/>
  <c r="O1082" i="9"/>
  <c r="O1094" i="9"/>
  <c r="O1106" i="9"/>
  <c r="O1118" i="9"/>
  <c r="O1130" i="9"/>
  <c r="O1142" i="9"/>
  <c r="O1154" i="9"/>
  <c r="O1166" i="9"/>
  <c r="O1178" i="9"/>
  <c r="O1190" i="9"/>
  <c r="O1202" i="9"/>
  <c r="O1214" i="9"/>
  <c r="O1226" i="9"/>
  <c r="O1238" i="9"/>
  <c r="O1250" i="9"/>
  <c r="O1262" i="9"/>
  <c r="O1274" i="9"/>
  <c r="O1286" i="9"/>
  <c r="O1298" i="9"/>
  <c r="O1310" i="9"/>
  <c r="O1322" i="9"/>
  <c r="O1334" i="9"/>
  <c r="O1346" i="9"/>
  <c r="O1358" i="9"/>
  <c r="O1370" i="9"/>
  <c r="O1382" i="9"/>
  <c r="O1394" i="9"/>
  <c r="O1406" i="9"/>
  <c r="O1418" i="9"/>
  <c r="O1430" i="9"/>
  <c r="O1442" i="9"/>
  <c r="O1454" i="9"/>
  <c r="O1466" i="9"/>
  <c r="O1478" i="9"/>
  <c r="O1490" i="9"/>
  <c r="O1502" i="9"/>
  <c r="O1514" i="9"/>
  <c r="O1526" i="9"/>
  <c r="O1275" i="9"/>
  <c r="O1455" i="9"/>
  <c r="O1528" i="9"/>
  <c r="O1470" i="9"/>
  <c r="O1495" i="9"/>
  <c r="O1340" i="9"/>
  <c r="O1508" i="9"/>
  <c r="O291" i="9"/>
  <c r="O435" i="9"/>
  <c r="O493" i="9"/>
  <c r="O541" i="9"/>
  <c r="O589" i="9"/>
  <c r="O637" i="9"/>
  <c r="O685" i="9"/>
  <c r="O722" i="9"/>
  <c r="O754" i="9"/>
  <c r="O781" i="9"/>
  <c r="O807" i="9"/>
  <c r="O839" i="9"/>
  <c r="O866" i="9"/>
  <c r="O890" i="9"/>
  <c r="O913" i="9"/>
  <c r="O935" i="9"/>
  <c r="O956" i="9"/>
  <c r="O974" i="9"/>
  <c r="O996" i="9"/>
  <c r="O1015" i="9"/>
  <c r="O1032" i="9"/>
  <c r="O1046" i="9"/>
  <c r="O1059" i="9"/>
  <c r="O1071" i="9"/>
  <c r="O1083" i="9"/>
  <c r="O1095" i="9"/>
  <c r="O1107" i="9"/>
  <c r="O1119" i="9"/>
  <c r="O1131" i="9"/>
  <c r="O1143" i="9"/>
  <c r="O1155" i="9"/>
  <c r="O1167" i="9"/>
  <c r="O1179" i="9"/>
  <c r="O1191" i="9"/>
  <c r="O1203" i="9"/>
  <c r="O1215" i="9"/>
  <c r="O1227" i="9"/>
  <c r="O1239" i="9"/>
  <c r="O1251" i="9"/>
  <c r="O1263" i="9"/>
  <c r="O1299" i="9"/>
  <c r="O1347" i="9"/>
  <c r="O1395" i="9"/>
  <c r="O1515" i="9"/>
  <c r="O1423" i="9"/>
  <c r="O1436" i="9"/>
  <c r="O1520" i="9"/>
  <c r="O303" i="9"/>
  <c r="O445" i="9"/>
  <c r="O494" i="9"/>
  <c r="O542" i="9"/>
  <c r="O590" i="9"/>
  <c r="O638" i="9"/>
  <c r="O686" i="9"/>
  <c r="O723" i="9"/>
  <c r="O755" i="9"/>
  <c r="O782" i="9"/>
  <c r="O814" i="9"/>
  <c r="O841" i="9"/>
  <c r="O867" i="9"/>
  <c r="O891" i="9"/>
  <c r="O914" i="9"/>
  <c r="O936" i="9"/>
  <c r="O958" i="9"/>
  <c r="O975" i="9"/>
  <c r="O997" i="9"/>
  <c r="O1016" i="9"/>
  <c r="O1033" i="9"/>
  <c r="O1047" i="9"/>
  <c r="O1060" i="9"/>
  <c r="O1072" i="9"/>
  <c r="O1084" i="9"/>
  <c r="O1096" i="9"/>
  <c r="O1108" i="9"/>
  <c r="O1120" i="9"/>
  <c r="O1132" i="9"/>
  <c r="O1144" i="9"/>
  <c r="O1156" i="9"/>
  <c r="O1168" i="9"/>
  <c r="O1180" i="9"/>
  <c r="O1192" i="9"/>
  <c r="O1204" i="9"/>
  <c r="O1216" i="9"/>
  <c r="O1228" i="9"/>
  <c r="O1240" i="9"/>
  <c r="O1252" i="9"/>
  <c r="O1264" i="9"/>
  <c r="O1276" i="9"/>
  <c r="O1288" i="9"/>
  <c r="O1300" i="9"/>
  <c r="O1312" i="9"/>
  <c r="O1324" i="9"/>
  <c r="O1336" i="9"/>
  <c r="O1348" i="9"/>
  <c r="O1360" i="9"/>
  <c r="O1372" i="9"/>
  <c r="O1384" i="9"/>
  <c r="O1396" i="9"/>
  <c r="O1408" i="9"/>
  <c r="O1420" i="9"/>
  <c r="O1432" i="9"/>
  <c r="O1444" i="9"/>
  <c r="O1456" i="9"/>
  <c r="O1468" i="9"/>
  <c r="O1480" i="9"/>
  <c r="O1492" i="9"/>
  <c r="O1482" i="9"/>
  <c r="O1519" i="9"/>
  <c r="O1388" i="9"/>
  <c r="O315" i="9"/>
  <c r="O447" i="9"/>
  <c r="O495" i="9"/>
  <c r="O543" i="9"/>
  <c r="O591" i="9"/>
  <c r="O639" i="9"/>
  <c r="O687" i="9"/>
  <c r="O730" i="9"/>
  <c r="O757" i="9"/>
  <c r="O783" i="9"/>
  <c r="O815" i="9"/>
  <c r="O842" i="9"/>
  <c r="O874" i="9"/>
  <c r="O898" i="9"/>
  <c r="O915" i="9"/>
  <c r="O937" i="9"/>
  <c r="O959" i="9"/>
  <c r="O980" i="9"/>
  <c r="O998" i="9"/>
  <c r="O1018" i="9"/>
  <c r="O1034" i="9"/>
  <c r="O1049" i="9"/>
  <c r="O1061" i="9"/>
  <c r="O1073" i="9"/>
  <c r="O1085" i="9"/>
  <c r="O1097" i="9"/>
  <c r="O1109" i="9"/>
  <c r="O1121" i="9"/>
  <c r="O1133" i="9"/>
  <c r="O1145" i="9"/>
  <c r="O1157" i="9"/>
  <c r="O1169" i="9"/>
  <c r="O1181" i="9"/>
  <c r="O1193" i="9"/>
  <c r="O1205" i="9"/>
  <c r="O1217" i="9"/>
  <c r="O1229" i="9"/>
  <c r="O1241" i="9"/>
  <c r="O1253" i="9"/>
  <c r="O1265" i="9"/>
  <c r="O1277" i="9"/>
  <c r="O1289" i="9"/>
  <c r="O1301" i="9"/>
  <c r="O1313" i="9"/>
  <c r="O1325" i="9"/>
  <c r="O1337" i="9"/>
  <c r="O1349" i="9"/>
  <c r="O1361" i="9"/>
  <c r="O1373" i="9"/>
  <c r="O1385" i="9"/>
  <c r="O1397" i="9"/>
  <c r="O1409" i="9"/>
  <c r="O1421" i="9"/>
  <c r="O1433" i="9"/>
  <c r="O1445" i="9"/>
  <c r="O1457" i="9"/>
  <c r="O1469" i="9"/>
  <c r="O1481" i="9"/>
  <c r="O1493" i="9"/>
  <c r="O1505" i="9"/>
  <c r="O1458" i="9"/>
  <c r="O1304" i="9"/>
  <c r="O327" i="9"/>
  <c r="O457" i="9"/>
  <c r="O505" i="9"/>
  <c r="O553" i="9"/>
  <c r="O601" i="9"/>
  <c r="O649" i="9"/>
  <c r="O697" i="9"/>
  <c r="O731" i="9"/>
  <c r="O758" i="9"/>
  <c r="O790" i="9"/>
  <c r="O817" i="9"/>
  <c r="O843" i="9"/>
  <c r="O875" i="9"/>
  <c r="O899" i="9"/>
  <c r="O920" i="9"/>
  <c r="O938" i="9"/>
  <c r="O960" i="9"/>
  <c r="O982" i="9"/>
  <c r="O999" i="9"/>
  <c r="O1019" i="9"/>
  <c r="O1035" i="9"/>
  <c r="O1050" i="9"/>
  <c r="O1062" i="9"/>
  <c r="O1074" i="9"/>
  <c r="O1086" i="9"/>
  <c r="O1098" i="9"/>
  <c r="O1110" i="9"/>
  <c r="O1122" i="9"/>
  <c r="O1134" i="9"/>
  <c r="O1146" i="9"/>
  <c r="O1158" i="9"/>
  <c r="O1170" i="9"/>
  <c r="O1182" i="9"/>
  <c r="O1194" i="9"/>
  <c r="O1206" i="9"/>
  <c r="O1218" i="9"/>
  <c r="O1230" i="9"/>
  <c r="O1242" i="9"/>
  <c r="O1254" i="9"/>
  <c r="O1266" i="9"/>
  <c r="O1278" i="9"/>
  <c r="O1290" i="9"/>
  <c r="O1302" i="9"/>
  <c r="O1314" i="9"/>
  <c r="O1326" i="9"/>
  <c r="O1338" i="9"/>
  <c r="O1350" i="9"/>
  <c r="O1362" i="9"/>
  <c r="O1374" i="9"/>
  <c r="O1386" i="9"/>
  <c r="O1398" i="9"/>
  <c r="O1410" i="9"/>
  <c r="O1422" i="9"/>
  <c r="O1518" i="9"/>
  <c r="O1316" i="9"/>
  <c r="O339" i="9"/>
  <c r="O458" i="9"/>
  <c r="O506" i="9"/>
  <c r="O554" i="9"/>
  <c r="O602" i="9"/>
  <c r="O650" i="9"/>
  <c r="O698" i="9"/>
  <c r="O733" i="9"/>
  <c r="O759" i="9"/>
  <c r="O791" i="9"/>
  <c r="O818" i="9"/>
  <c r="O850" i="9"/>
  <c r="O876" i="9"/>
  <c r="O900" i="9"/>
  <c r="O922" i="9"/>
  <c r="O939" i="9"/>
  <c r="O961" i="9"/>
  <c r="O983" i="9"/>
  <c r="O1003" i="9"/>
  <c r="O1020" i="9"/>
  <c r="O1037" i="9"/>
  <c r="O1051" i="9"/>
  <c r="O1063" i="9"/>
  <c r="O1075" i="9"/>
  <c r="O1087" i="9"/>
  <c r="O1099" i="9"/>
  <c r="O1111" i="9"/>
  <c r="O1123" i="9"/>
  <c r="O1135" i="9"/>
  <c r="O1147" i="9"/>
  <c r="O1159" i="9"/>
  <c r="O1171" i="9"/>
  <c r="O1183" i="9"/>
  <c r="O1195" i="9"/>
  <c r="O1207" i="9"/>
  <c r="O1219" i="9"/>
  <c r="O1231" i="9"/>
  <c r="O1243" i="9"/>
  <c r="O1255" i="9"/>
  <c r="O1267" i="9"/>
  <c r="O1279" i="9"/>
  <c r="O1291" i="9"/>
  <c r="O1303" i="9"/>
  <c r="O1315" i="9"/>
  <c r="O1327" i="9"/>
  <c r="O1339" i="9"/>
  <c r="O1351" i="9"/>
  <c r="O1363" i="9"/>
  <c r="O1375" i="9"/>
  <c r="O1387" i="9"/>
  <c r="O1399" i="9"/>
  <c r="O1411" i="9"/>
  <c r="O1435" i="9"/>
  <c r="O1424" i="9"/>
  <c r="O351" i="9"/>
  <c r="O459" i="9"/>
  <c r="O507" i="9"/>
  <c r="O555" i="9"/>
  <c r="O603" i="9"/>
  <c r="O651" i="9"/>
  <c r="O699" i="9"/>
  <c r="O734" i="9"/>
  <c r="O766" i="9"/>
  <c r="O793" i="9"/>
  <c r="O819" i="9"/>
  <c r="O851" i="9"/>
  <c r="O877" i="9"/>
  <c r="O901" i="9"/>
  <c r="O923" i="9"/>
  <c r="O944" i="9"/>
  <c r="O962" i="9"/>
  <c r="O984" i="9"/>
  <c r="O1004" i="9"/>
  <c r="O1021" i="9"/>
  <c r="O1038" i="9"/>
  <c r="O1052" i="9"/>
  <c r="O1064" i="9"/>
  <c r="O1076" i="9"/>
  <c r="O1088" i="9"/>
  <c r="O1100" i="9"/>
  <c r="O1112" i="9"/>
  <c r="O1124" i="9"/>
  <c r="O1136" i="9"/>
  <c r="O1148" i="9"/>
  <c r="O1160" i="9"/>
  <c r="O1172" i="9"/>
  <c r="O1184" i="9"/>
  <c r="O1196" i="9"/>
  <c r="O1208" i="9"/>
  <c r="O1220" i="9"/>
  <c r="O1232" i="9"/>
  <c r="O1244" i="9"/>
  <c r="O1256" i="9"/>
  <c r="O1268" i="9"/>
  <c r="O1280" i="9"/>
  <c r="O1292" i="9"/>
  <c r="O1328" i="9"/>
  <c r="O1448" i="9"/>
  <c r="F41" i="9"/>
  <c r="F53" i="9"/>
  <c r="F65" i="9"/>
  <c r="F77" i="9"/>
  <c r="F89" i="9"/>
  <c r="F101" i="9"/>
  <c r="F113" i="9"/>
  <c r="F125" i="9"/>
  <c r="F137" i="9"/>
  <c r="F149" i="9"/>
  <c r="F161" i="9"/>
  <c r="F173" i="9"/>
  <c r="F185" i="9"/>
  <c r="F197" i="9"/>
  <c r="F209" i="9"/>
  <c r="F221" i="9"/>
  <c r="F233" i="9"/>
  <c r="F245" i="9"/>
  <c r="F257" i="9"/>
  <c r="F269" i="9"/>
  <c r="F281" i="9"/>
  <c r="F293" i="9"/>
  <c r="F305" i="9"/>
  <c r="F317" i="9"/>
  <c r="F329" i="9"/>
  <c r="F341" i="9"/>
  <c r="F353" i="9"/>
  <c r="F365" i="9"/>
  <c r="F377" i="9"/>
  <c r="F389" i="9"/>
  <c r="F401" i="9"/>
  <c r="F413" i="9"/>
  <c r="F425" i="9"/>
  <c r="F437" i="9"/>
  <c r="F449" i="9"/>
  <c r="F461" i="9"/>
  <c r="F473" i="9"/>
  <c r="F485" i="9"/>
  <c r="F497" i="9"/>
  <c r="F509" i="9"/>
  <c r="F521" i="9"/>
  <c r="F533" i="9"/>
  <c r="F545" i="9"/>
  <c r="F557" i="9"/>
  <c r="F569" i="9"/>
  <c r="F581" i="9"/>
  <c r="F593" i="9"/>
  <c r="F605" i="9"/>
  <c r="F617" i="9"/>
  <c r="F629" i="9"/>
  <c r="F641" i="9"/>
  <c r="F653" i="9"/>
  <c r="F665" i="9"/>
  <c r="F677" i="9"/>
  <c r="F689" i="9"/>
  <c r="F701" i="9"/>
  <c r="F713" i="9"/>
  <c r="F725" i="9"/>
  <c r="F737" i="9"/>
  <c r="F749" i="9"/>
  <c r="F761" i="9"/>
  <c r="F773" i="9"/>
  <c r="F785" i="9"/>
  <c r="F797" i="9"/>
  <c r="F809" i="9"/>
  <c r="F821" i="9"/>
  <c r="F833" i="9"/>
  <c r="F845" i="9"/>
  <c r="F857" i="9"/>
  <c r="F869" i="9"/>
  <c r="F881" i="9"/>
  <c r="F893" i="9"/>
  <c r="F905" i="9"/>
  <c r="F917" i="9"/>
  <c r="F929" i="9"/>
  <c r="F941" i="9"/>
  <c r="F953" i="9"/>
  <c r="F965" i="9"/>
  <c r="F977" i="9"/>
  <c r="F989" i="9"/>
  <c r="F1001" i="9"/>
  <c r="F1013" i="9"/>
  <c r="F1025" i="9"/>
  <c r="F1037" i="9"/>
  <c r="F1049" i="9"/>
  <c r="F30" i="9"/>
  <c r="F42" i="9"/>
  <c r="F54" i="9"/>
  <c r="F66" i="9"/>
  <c r="F78" i="9"/>
  <c r="F90" i="9"/>
  <c r="F102" i="9"/>
  <c r="F114" i="9"/>
  <c r="F126" i="9"/>
  <c r="F138" i="9"/>
  <c r="F150" i="9"/>
  <c r="F162" i="9"/>
  <c r="F174" i="9"/>
  <c r="F186" i="9"/>
  <c r="F198" i="9"/>
  <c r="F210" i="9"/>
  <c r="F222" i="9"/>
  <c r="F234" i="9"/>
  <c r="F246" i="9"/>
  <c r="F258" i="9"/>
  <c r="F270" i="9"/>
  <c r="F282" i="9"/>
  <c r="F294" i="9"/>
  <c r="F306" i="9"/>
  <c r="F318" i="9"/>
  <c r="F330" i="9"/>
  <c r="F342" i="9"/>
  <c r="F354" i="9"/>
  <c r="F366" i="9"/>
  <c r="F378" i="9"/>
  <c r="F390" i="9"/>
  <c r="F402" i="9"/>
  <c r="F414" i="9"/>
  <c r="F426" i="9"/>
  <c r="F438" i="9"/>
  <c r="F450" i="9"/>
  <c r="F462" i="9"/>
  <c r="F474" i="9"/>
  <c r="F486" i="9"/>
  <c r="F498" i="9"/>
  <c r="F510" i="9"/>
  <c r="F522" i="9"/>
  <c r="F534" i="9"/>
  <c r="F546" i="9"/>
  <c r="F558" i="9"/>
  <c r="F570" i="9"/>
  <c r="F582" i="9"/>
  <c r="F594" i="9"/>
  <c r="F606" i="9"/>
  <c r="F618" i="9"/>
  <c r="F630" i="9"/>
  <c r="F642" i="9"/>
  <c r="F654" i="9"/>
  <c r="F666" i="9"/>
  <c r="F678" i="9"/>
  <c r="F690" i="9"/>
  <c r="F702" i="9"/>
  <c r="F714" i="9"/>
  <c r="F726" i="9"/>
  <c r="F738" i="9"/>
  <c r="F750" i="9"/>
  <c r="F762" i="9"/>
  <c r="F774" i="9"/>
  <c r="F786" i="9"/>
  <c r="F798" i="9"/>
  <c r="F810" i="9"/>
  <c r="F822" i="9"/>
  <c r="F834" i="9"/>
  <c r="F846" i="9"/>
  <c r="F858" i="9"/>
  <c r="F870" i="9"/>
  <c r="F882" i="9"/>
  <c r="F894" i="9"/>
  <c r="F906" i="9"/>
  <c r="F918" i="9"/>
  <c r="F930" i="9"/>
  <c r="F942" i="9"/>
  <c r="F954" i="9"/>
  <c r="F966" i="9"/>
  <c r="F978" i="9"/>
  <c r="F990" i="9"/>
  <c r="F1002" i="9"/>
  <c r="F1014" i="9"/>
  <c r="F1026" i="9"/>
  <c r="F1038" i="9"/>
  <c r="F31" i="9"/>
  <c r="F43" i="9"/>
  <c r="F55" i="9"/>
  <c r="F67" i="9"/>
  <c r="F79" i="9"/>
  <c r="F91" i="9"/>
  <c r="F103" i="9"/>
  <c r="F115" i="9"/>
  <c r="F127" i="9"/>
  <c r="F139" i="9"/>
  <c r="F151" i="9"/>
  <c r="F163" i="9"/>
  <c r="F175" i="9"/>
  <c r="F187" i="9"/>
  <c r="F199" i="9"/>
  <c r="F211" i="9"/>
  <c r="F223" i="9"/>
  <c r="F235" i="9"/>
  <c r="F247" i="9"/>
  <c r="F259" i="9"/>
  <c r="F271" i="9"/>
  <c r="F283" i="9"/>
  <c r="F295" i="9"/>
  <c r="F307" i="9"/>
  <c r="F319" i="9"/>
  <c r="F331" i="9"/>
  <c r="F343" i="9"/>
  <c r="F355" i="9"/>
  <c r="F367" i="9"/>
  <c r="F379" i="9"/>
  <c r="F391" i="9"/>
  <c r="F403" i="9"/>
  <c r="F415" i="9"/>
  <c r="F427" i="9"/>
  <c r="F439" i="9"/>
  <c r="F451" i="9"/>
  <c r="F463" i="9"/>
  <c r="F475" i="9"/>
  <c r="F487" i="9"/>
  <c r="F499" i="9"/>
  <c r="F511" i="9"/>
  <c r="F523" i="9"/>
  <c r="F535" i="9"/>
  <c r="F547" i="9"/>
  <c r="F559" i="9"/>
  <c r="F571" i="9"/>
  <c r="F583" i="9"/>
  <c r="F595" i="9"/>
  <c r="F607" i="9"/>
  <c r="F619" i="9"/>
  <c r="F631" i="9"/>
  <c r="F643" i="9"/>
  <c r="F655" i="9"/>
  <c r="F667" i="9"/>
  <c r="F679" i="9"/>
  <c r="F691" i="9"/>
  <c r="F703" i="9"/>
  <c r="F715" i="9"/>
  <c r="F727" i="9"/>
  <c r="F739" i="9"/>
  <c r="F751" i="9"/>
  <c r="F763" i="9"/>
  <c r="F775" i="9"/>
  <c r="F787" i="9"/>
  <c r="F799" i="9"/>
  <c r="F811" i="9"/>
  <c r="F823" i="9"/>
  <c r="F835" i="9"/>
  <c r="F847" i="9"/>
  <c r="F859" i="9"/>
  <c r="F871" i="9"/>
  <c r="F883" i="9"/>
  <c r="F895" i="9"/>
  <c r="F907" i="9"/>
  <c r="F919" i="9"/>
  <c r="F931" i="9"/>
  <c r="F943" i="9"/>
  <c r="F955" i="9"/>
  <c r="F967" i="9"/>
  <c r="F979" i="9"/>
  <c r="F991" i="9"/>
  <c r="F1003" i="9"/>
  <c r="F1015" i="9"/>
  <c r="F1027" i="9"/>
  <c r="F1039" i="9"/>
  <c r="F32" i="9"/>
  <c r="F44" i="9"/>
  <c r="F56" i="9"/>
  <c r="F68" i="9"/>
  <c r="F80" i="9"/>
  <c r="F92" i="9"/>
  <c r="F104" i="9"/>
  <c r="F116" i="9"/>
  <c r="F128" i="9"/>
  <c r="F140" i="9"/>
  <c r="F152" i="9"/>
  <c r="F164" i="9"/>
  <c r="F176" i="9"/>
  <c r="F188" i="9"/>
  <c r="F200" i="9"/>
  <c r="F212" i="9"/>
  <c r="F224" i="9"/>
  <c r="F236" i="9"/>
  <c r="F248" i="9"/>
  <c r="F260" i="9"/>
  <c r="F272" i="9"/>
  <c r="F284" i="9"/>
  <c r="F296" i="9"/>
  <c r="F308" i="9"/>
  <c r="F320" i="9"/>
  <c r="F332" i="9"/>
  <c r="F344" i="9"/>
  <c r="F356" i="9"/>
  <c r="F368" i="9"/>
  <c r="F380" i="9"/>
  <c r="F392" i="9"/>
  <c r="F404" i="9"/>
  <c r="F416" i="9"/>
  <c r="F428" i="9"/>
  <c r="F440" i="9"/>
  <c r="F452" i="9"/>
  <c r="F464" i="9"/>
  <c r="F476" i="9"/>
  <c r="F488" i="9"/>
  <c r="F500" i="9"/>
  <c r="F512" i="9"/>
  <c r="F524" i="9"/>
  <c r="F536" i="9"/>
  <c r="F548" i="9"/>
  <c r="F560" i="9"/>
  <c r="F572" i="9"/>
  <c r="F584" i="9"/>
  <c r="F596" i="9"/>
  <c r="F608" i="9"/>
  <c r="F620" i="9"/>
  <c r="F632" i="9"/>
  <c r="F644" i="9"/>
  <c r="F656" i="9"/>
  <c r="F668" i="9"/>
  <c r="F680" i="9"/>
  <c r="F692" i="9"/>
  <c r="F704" i="9"/>
  <c r="F716" i="9"/>
  <c r="F728" i="9"/>
  <c r="F740" i="9"/>
  <c r="F752" i="9"/>
  <c r="F764" i="9"/>
  <c r="F776" i="9"/>
  <c r="F788" i="9"/>
  <c r="F800" i="9"/>
  <c r="F812" i="9"/>
  <c r="F824" i="9"/>
  <c r="F836" i="9"/>
  <c r="F848" i="9"/>
  <c r="F860" i="9"/>
  <c r="F872" i="9"/>
  <c r="F884" i="9"/>
  <c r="F896" i="9"/>
  <c r="F908" i="9"/>
  <c r="F920" i="9"/>
  <c r="F932" i="9"/>
  <c r="F944" i="9"/>
  <c r="F956" i="9"/>
  <c r="F968" i="9"/>
  <c r="F980" i="9"/>
  <c r="F992" i="9"/>
  <c r="F1004" i="9"/>
  <c r="F1016" i="9"/>
  <c r="F1028" i="9"/>
  <c r="F1040" i="9"/>
  <c r="F33" i="9"/>
  <c r="F45" i="9"/>
  <c r="F57" i="9"/>
  <c r="F69" i="9"/>
  <c r="F81" i="9"/>
  <c r="F93" i="9"/>
  <c r="F105" i="9"/>
  <c r="F117" i="9"/>
  <c r="F129" i="9"/>
  <c r="F141" i="9"/>
  <c r="F153" i="9"/>
  <c r="F165" i="9"/>
  <c r="F177" i="9"/>
  <c r="F189" i="9"/>
  <c r="F201" i="9"/>
  <c r="F213" i="9"/>
  <c r="F225" i="9"/>
  <c r="F237" i="9"/>
  <c r="F249" i="9"/>
  <c r="F261" i="9"/>
  <c r="F273" i="9"/>
  <c r="F285" i="9"/>
  <c r="F297" i="9"/>
  <c r="F309" i="9"/>
  <c r="F321" i="9"/>
  <c r="F333" i="9"/>
  <c r="F345" i="9"/>
  <c r="F357" i="9"/>
  <c r="F369" i="9"/>
  <c r="F381" i="9"/>
  <c r="F393" i="9"/>
  <c r="F405" i="9"/>
  <c r="F417" i="9"/>
  <c r="F429" i="9"/>
  <c r="F441" i="9"/>
  <c r="F453" i="9"/>
  <c r="F465" i="9"/>
  <c r="F477" i="9"/>
  <c r="F489" i="9"/>
  <c r="F501" i="9"/>
  <c r="F513" i="9"/>
  <c r="F525" i="9"/>
  <c r="F537" i="9"/>
  <c r="F549" i="9"/>
  <c r="F561" i="9"/>
  <c r="F573" i="9"/>
  <c r="F585" i="9"/>
  <c r="F597" i="9"/>
  <c r="F609" i="9"/>
  <c r="F621" i="9"/>
  <c r="F633" i="9"/>
  <c r="F645" i="9"/>
  <c r="F657" i="9"/>
  <c r="F669" i="9"/>
  <c r="F681" i="9"/>
  <c r="F693" i="9"/>
  <c r="F705" i="9"/>
  <c r="F717" i="9"/>
  <c r="F729" i="9"/>
  <c r="F741" i="9"/>
  <c r="F753" i="9"/>
  <c r="F765" i="9"/>
  <c r="F777" i="9"/>
  <c r="F789" i="9"/>
  <c r="F801" i="9"/>
  <c r="F813" i="9"/>
  <c r="F825" i="9"/>
  <c r="F837" i="9"/>
  <c r="F849" i="9"/>
  <c r="F861" i="9"/>
  <c r="F873" i="9"/>
  <c r="F885" i="9"/>
  <c r="F897" i="9"/>
  <c r="F909" i="9"/>
  <c r="F921" i="9"/>
  <c r="F933" i="9"/>
  <c r="F945" i="9"/>
  <c r="F957" i="9"/>
  <c r="F969" i="9"/>
  <c r="F981" i="9"/>
  <c r="F993" i="9"/>
  <c r="F1005" i="9"/>
  <c r="F1017" i="9"/>
  <c r="F1029" i="9"/>
  <c r="F1041" i="9"/>
  <c r="F34" i="9"/>
  <c r="F46" i="9"/>
  <c r="F58" i="9"/>
  <c r="F70" i="9"/>
  <c r="F82" i="9"/>
  <c r="F94" i="9"/>
  <c r="F106" i="9"/>
  <c r="F118" i="9"/>
  <c r="F130" i="9"/>
  <c r="F142" i="9"/>
  <c r="F154" i="9"/>
  <c r="F166" i="9"/>
  <c r="F178" i="9"/>
  <c r="F190" i="9"/>
  <c r="F202" i="9"/>
  <c r="F214" i="9"/>
  <c r="F226" i="9"/>
  <c r="F238" i="9"/>
  <c r="F250" i="9"/>
  <c r="F262" i="9"/>
  <c r="F274" i="9"/>
  <c r="F286" i="9"/>
  <c r="F298" i="9"/>
  <c r="F310" i="9"/>
  <c r="F322" i="9"/>
  <c r="F334" i="9"/>
  <c r="F346" i="9"/>
  <c r="F358" i="9"/>
  <c r="F370" i="9"/>
  <c r="F382" i="9"/>
  <c r="F394" i="9"/>
  <c r="F406" i="9"/>
  <c r="F418" i="9"/>
  <c r="F430" i="9"/>
  <c r="F442" i="9"/>
  <c r="F454" i="9"/>
  <c r="F466" i="9"/>
  <c r="F478" i="9"/>
  <c r="F490" i="9"/>
  <c r="F502" i="9"/>
  <c r="F514" i="9"/>
  <c r="F526" i="9"/>
  <c r="F538" i="9"/>
  <c r="F550" i="9"/>
  <c r="F562" i="9"/>
  <c r="F574" i="9"/>
  <c r="F586" i="9"/>
  <c r="F598" i="9"/>
  <c r="F610" i="9"/>
  <c r="F622" i="9"/>
  <c r="F634" i="9"/>
  <c r="F646" i="9"/>
  <c r="F658" i="9"/>
  <c r="F670" i="9"/>
  <c r="F682" i="9"/>
  <c r="F694" i="9"/>
  <c r="F706" i="9"/>
  <c r="F718" i="9"/>
  <c r="F730" i="9"/>
  <c r="F742" i="9"/>
  <c r="F754" i="9"/>
  <c r="F766" i="9"/>
  <c r="F778" i="9"/>
  <c r="F790" i="9"/>
  <c r="F802" i="9"/>
  <c r="F814" i="9"/>
  <c r="F826" i="9"/>
  <c r="F838" i="9"/>
  <c r="F850" i="9"/>
  <c r="F862" i="9"/>
  <c r="F874" i="9"/>
  <c r="F886" i="9"/>
  <c r="F898" i="9"/>
  <c r="F910" i="9"/>
  <c r="F922" i="9"/>
  <c r="F934" i="9"/>
  <c r="F946" i="9"/>
  <c r="F958" i="9"/>
  <c r="F970" i="9"/>
  <c r="F982" i="9"/>
  <c r="F994" i="9"/>
  <c r="F1006" i="9"/>
  <c r="F1018" i="9"/>
  <c r="F1030" i="9"/>
  <c r="F1042" i="9"/>
  <c r="F1054" i="9"/>
  <c r="F35" i="9"/>
  <c r="F47" i="9"/>
  <c r="F59" i="9"/>
  <c r="F71" i="9"/>
  <c r="F83" i="9"/>
  <c r="F95" i="9"/>
  <c r="F107" i="9"/>
  <c r="F119" i="9"/>
  <c r="F131" i="9"/>
  <c r="F143" i="9"/>
  <c r="F155" i="9"/>
  <c r="F167" i="9"/>
  <c r="F179" i="9"/>
  <c r="F191" i="9"/>
  <c r="F203" i="9"/>
  <c r="F215" i="9"/>
  <c r="F227" i="9"/>
  <c r="F239" i="9"/>
  <c r="F251" i="9"/>
  <c r="F263" i="9"/>
  <c r="F275" i="9"/>
  <c r="F287" i="9"/>
  <c r="F299" i="9"/>
  <c r="F311" i="9"/>
  <c r="F323" i="9"/>
  <c r="F335" i="9"/>
  <c r="F347" i="9"/>
  <c r="F359" i="9"/>
  <c r="F371" i="9"/>
  <c r="F383" i="9"/>
  <c r="F395" i="9"/>
  <c r="F407" i="9"/>
  <c r="F419" i="9"/>
  <c r="F431" i="9"/>
  <c r="F443" i="9"/>
  <c r="F455" i="9"/>
  <c r="F467" i="9"/>
  <c r="F479" i="9"/>
  <c r="F491" i="9"/>
  <c r="F503" i="9"/>
  <c r="F515" i="9"/>
  <c r="F527" i="9"/>
  <c r="F539" i="9"/>
  <c r="F551" i="9"/>
  <c r="F563" i="9"/>
  <c r="F575" i="9"/>
  <c r="F587" i="9"/>
  <c r="F599" i="9"/>
  <c r="F611" i="9"/>
  <c r="F623" i="9"/>
  <c r="F635" i="9"/>
  <c r="F647" i="9"/>
  <c r="F659" i="9"/>
  <c r="F671" i="9"/>
  <c r="F683" i="9"/>
  <c r="F695" i="9"/>
  <c r="F707" i="9"/>
  <c r="F36" i="9"/>
  <c r="F48" i="9"/>
  <c r="F60" i="9"/>
  <c r="F72" i="9"/>
  <c r="F84" i="9"/>
  <c r="F96" i="9"/>
  <c r="F108" i="9"/>
  <c r="F120" i="9"/>
  <c r="F132" i="9"/>
  <c r="F144" i="9"/>
  <c r="F156" i="9"/>
  <c r="F168" i="9"/>
  <c r="F180" i="9"/>
  <c r="F192" i="9"/>
  <c r="F204" i="9"/>
  <c r="F216" i="9"/>
  <c r="F228" i="9"/>
  <c r="F240" i="9"/>
  <c r="F252" i="9"/>
  <c r="F264" i="9"/>
  <c r="F276" i="9"/>
  <c r="F288" i="9"/>
  <c r="F300" i="9"/>
  <c r="F312" i="9"/>
  <c r="F324" i="9"/>
  <c r="F336" i="9"/>
  <c r="F348" i="9"/>
  <c r="F360" i="9"/>
  <c r="F372" i="9"/>
  <c r="F384" i="9"/>
  <c r="F396" i="9"/>
  <c r="F408" i="9"/>
  <c r="F420" i="9"/>
  <c r="F432" i="9"/>
  <c r="F444" i="9"/>
  <c r="F456" i="9"/>
  <c r="F468" i="9"/>
  <c r="F480" i="9"/>
  <c r="F492" i="9"/>
  <c r="F504" i="9"/>
  <c r="F516" i="9"/>
  <c r="F528" i="9"/>
  <c r="F540" i="9"/>
  <c r="F552" i="9"/>
  <c r="F564" i="9"/>
  <c r="F576" i="9"/>
  <c r="F588" i="9"/>
  <c r="F600" i="9"/>
  <c r="F612" i="9"/>
  <c r="F624" i="9"/>
  <c r="F636" i="9"/>
  <c r="F648" i="9"/>
  <c r="F660" i="9"/>
  <c r="F672" i="9"/>
  <c r="F684" i="9"/>
  <c r="F696" i="9"/>
  <c r="F708" i="9"/>
  <c r="F720" i="9"/>
  <c r="F732" i="9"/>
  <c r="F744" i="9"/>
  <c r="F756" i="9"/>
  <c r="F768" i="9"/>
  <c r="F780" i="9"/>
  <c r="F792" i="9"/>
  <c r="F804" i="9"/>
  <c r="F816" i="9"/>
  <c r="F828" i="9"/>
  <c r="F37" i="9"/>
  <c r="F49" i="9"/>
  <c r="F61" i="9"/>
  <c r="F73" i="9"/>
  <c r="F85" i="9"/>
  <c r="F97" i="9"/>
  <c r="F109" i="9"/>
  <c r="F121" i="9"/>
  <c r="F133" i="9"/>
  <c r="F145" i="9"/>
  <c r="F157" i="9"/>
  <c r="F169" i="9"/>
  <c r="F181" i="9"/>
  <c r="F193" i="9"/>
  <c r="F205" i="9"/>
  <c r="F217" i="9"/>
  <c r="F229" i="9"/>
  <c r="F241" i="9"/>
  <c r="F253" i="9"/>
  <c r="F265" i="9"/>
  <c r="F277" i="9"/>
  <c r="F289" i="9"/>
  <c r="F301" i="9"/>
  <c r="F313" i="9"/>
  <c r="F325" i="9"/>
  <c r="F337" i="9"/>
  <c r="F349" i="9"/>
  <c r="F361" i="9"/>
  <c r="F373" i="9"/>
  <c r="F385" i="9"/>
  <c r="F397" i="9"/>
  <c r="F409" i="9"/>
  <c r="F421" i="9"/>
  <c r="F433" i="9"/>
  <c r="F445" i="9"/>
  <c r="F457" i="9"/>
  <c r="F469" i="9"/>
  <c r="F481" i="9"/>
  <c r="F493" i="9"/>
  <c r="F505" i="9"/>
  <c r="F517" i="9"/>
  <c r="F529" i="9"/>
  <c r="F541" i="9"/>
  <c r="F553" i="9"/>
  <c r="F565" i="9"/>
  <c r="F577" i="9"/>
  <c r="F589" i="9"/>
  <c r="F601" i="9"/>
  <c r="F613" i="9"/>
  <c r="F625" i="9"/>
  <c r="F637" i="9"/>
  <c r="F649" i="9"/>
  <c r="F661" i="9"/>
  <c r="F673" i="9"/>
  <c r="F685" i="9"/>
  <c r="F697" i="9"/>
  <c r="F709" i="9"/>
  <c r="F721" i="9"/>
  <c r="F733" i="9"/>
  <c r="F745" i="9"/>
  <c r="F757" i="9"/>
  <c r="F769" i="9"/>
  <c r="F781" i="9"/>
  <c r="F793" i="9"/>
  <c r="F805" i="9"/>
  <c r="F817" i="9"/>
  <c r="F38" i="9"/>
  <c r="F50" i="9"/>
  <c r="F62" i="9"/>
  <c r="F74" i="9"/>
  <c r="F86" i="9"/>
  <c r="F98" i="9"/>
  <c r="F110" i="9"/>
  <c r="F122" i="9"/>
  <c r="F134" i="9"/>
  <c r="F146" i="9"/>
  <c r="F158" i="9"/>
  <c r="F170" i="9"/>
  <c r="F182" i="9"/>
  <c r="F194" i="9"/>
  <c r="F206" i="9"/>
  <c r="F218" i="9"/>
  <c r="F230" i="9"/>
  <c r="F242" i="9"/>
  <c r="F254" i="9"/>
  <c r="F266" i="9"/>
  <c r="F278" i="9"/>
  <c r="F290" i="9"/>
  <c r="F302" i="9"/>
  <c r="F314" i="9"/>
  <c r="F326" i="9"/>
  <c r="F338" i="9"/>
  <c r="F350" i="9"/>
  <c r="F362" i="9"/>
  <c r="F374" i="9"/>
  <c r="F386" i="9"/>
  <c r="F398" i="9"/>
  <c r="F410" i="9"/>
  <c r="F422" i="9"/>
  <c r="F434" i="9"/>
  <c r="F446" i="9"/>
  <c r="F458" i="9"/>
  <c r="F470" i="9"/>
  <c r="F482" i="9"/>
  <c r="F494" i="9"/>
  <c r="F506" i="9"/>
  <c r="F518" i="9"/>
  <c r="F530" i="9"/>
  <c r="F542" i="9"/>
  <c r="F554" i="9"/>
  <c r="F566" i="9"/>
  <c r="F578" i="9"/>
  <c r="F590" i="9"/>
  <c r="F602" i="9"/>
  <c r="F614" i="9"/>
  <c r="F626" i="9"/>
  <c r="F638" i="9"/>
  <c r="F650" i="9"/>
  <c r="F662" i="9"/>
  <c r="F674" i="9"/>
  <c r="F686" i="9"/>
  <c r="F698" i="9"/>
  <c r="F710" i="9"/>
  <c r="F722" i="9"/>
  <c r="F734" i="9"/>
  <c r="F746" i="9"/>
  <c r="F758" i="9"/>
  <c r="F39" i="9"/>
  <c r="F51" i="9"/>
  <c r="F63" i="9"/>
  <c r="F75" i="9"/>
  <c r="F87" i="9"/>
  <c r="F99" i="9"/>
  <c r="F111" i="9"/>
  <c r="F123" i="9"/>
  <c r="F135" i="9"/>
  <c r="F147" i="9"/>
  <c r="F159" i="9"/>
  <c r="F171" i="9"/>
  <c r="F183" i="9"/>
  <c r="F195" i="9"/>
  <c r="F207" i="9"/>
  <c r="F219" i="9"/>
  <c r="F231" i="9"/>
  <c r="F243" i="9"/>
  <c r="F255" i="9"/>
  <c r="F267" i="9"/>
  <c r="F279" i="9"/>
  <c r="F291" i="9"/>
  <c r="F303" i="9"/>
  <c r="F315" i="9"/>
  <c r="F327" i="9"/>
  <c r="F339" i="9"/>
  <c r="F351" i="9"/>
  <c r="F363" i="9"/>
  <c r="F375" i="9"/>
  <c r="F387" i="9"/>
  <c r="F399" i="9"/>
  <c r="F411" i="9"/>
  <c r="F423" i="9"/>
  <c r="F435" i="9"/>
  <c r="F447" i="9"/>
  <c r="F459" i="9"/>
  <c r="F471" i="9"/>
  <c r="F483" i="9"/>
  <c r="F495" i="9"/>
  <c r="F507" i="9"/>
  <c r="F519" i="9"/>
  <c r="F531" i="9"/>
  <c r="F543" i="9"/>
  <c r="F555" i="9"/>
  <c r="F567" i="9"/>
  <c r="F579" i="9"/>
  <c r="F591" i="9"/>
  <c r="F603" i="9"/>
  <c r="F615" i="9"/>
  <c r="F627" i="9"/>
  <c r="F639" i="9"/>
  <c r="F651" i="9"/>
  <c r="F663" i="9"/>
  <c r="F675" i="9"/>
  <c r="F687" i="9"/>
  <c r="F699" i="9"/>
  <c r="F711" i="9"/>
  <c r="F40" i="9"/>
  <c r="F52" i="9"/>
  <c r="F64" i="9"/>
  <c r="F76" i="9"/>
  <c r="F88" i="9"/>
  <c r="F100" i="9"/>
  <c r="F112" i="9"/>
  <c r="F124" i="9"/>
  <c r="F136" i="9"/>
  <c r="F148" i="9"/>
  <c r="F160" i="9"/>
  <c r="F172" i="9"/>
  <c r="F184" i="9"/>
  <c r="F196" i="9"/>
  <c r="F208" i="9"/>
  <c r="F220" i="9"/>
  <c r="F232" i="9"/>
  <c r="F244" i="9"/>
  <c r="F256" i="9"/>
  <c r="F268" i="9"/>
  <c r="F280" i="9"/>
  <c r="F292" i="9"/>
  <c r="F304" i="9"/>
  <c r="F316" i="9"/>
  <c r="F328" i="9"/>
  <c r="F340" i="9"/>
  <c r="F352" i="9"/>
  <c r="F364" i="9"/>
  <c r="F376" i="9"/>
  <c r="F388" i="9"/>
  <c r="F400" i="9"/>
  <c r="F412" i="9"/>
  <c r="F424" i="9"/>
  <c r="F436" i="9"/>
  <c r="F448" i="9"/>
  <c r="F460" i="9"/>
  <c r="F472" i="9"/>
  <c r="F484" i="9"/>
  <c r="F496" i="9"/>
  <c r="F508" i="9"/>
  <c r="F520" i="9"/>
  <c r="F532" i="9"/>
  <c r="F544" i="9"/>
  <c r="F556" i="9"/>
  <c r="F568" i="9"/>
  <c r="F712" i="9"/>
  <c r="F760" i="9"/>
  <c r="F796" i="9"/>
  <c r="F831" i="9"/>
  <c r="F855" i="9"/>
  <c r="F879" i="9"/>
  <c r="F903" i="9"/>
  <c r="F927" i="9"/>
  <c r="F951" i="9"/>
  <c r="F975" i="9"/>
  <c r="F999" i="9"/>
  <c r="F1023" i="9"/>
  <c r="F1047" i="9"/>
  <c r="F1061" i="9"/>
  <c r="F1073" i="9"/>
  <c r="F1085" i="9"/>
  <c r="F1097" i="9"/>
  <c r="F1109" i="9"/>
  <c r="F1121" i="9"/>
  <c r="F1133" i="9"/>
  <c r="F1145" i="9"/>
  <c r="F1157" i="9"/>
  <c r="F1169" i="9"/>
  <c r="F1181" i="9"/>
  <c r="F1193" i="9"/>
  <c r="F1205" i="9"/>
  <c r="F1217" i="9"/>
  <c r="F1229" i="9"/>
  <c r="F1241" i="9"/>
  <c r="F1253" i="9"/>
  <c r="F1265" i="9"/>
  <c r="F1277" i="9"/>
  <c r="F1289" i="9"/>
  <c r="F1301" i="9"/>
  <c r="F1313" i="9"/>
  <c r="F1325" i="9"/>
  <c r="F1337" i="9"/>
  <c r="F1349" i="9"/>
  <c r="F1361" i="9"/>
  <c r="F1373" i="9"/>
  <c r="F1385" i="9"/>
  <c r="F1397" i="9"/>
  <c r="F1409" i="9"/>
  <c r="F1421" i="9"/>
  <c r="F1433" i="9"/>
  <c r="F1445" i="9"/>
  <c r="F1457" i="9"/>
  <c r="F1469" i="9"/>
  <c r="F1481" i="9"/>
  <c r="F1493" i="9"/>
  <c r="F1505" i="9"/>
  <c r="F1517" i="9"/>
  <c r="F1529" i="9"/>
  <c r="F1506" i="9"/>
  <c r="F1530" i="9"/>
  <c r="F1484" i="9"/>
  <c r="F1521" i="9"/>
  <c r="F1486" i="9"/>
  <c r="F1403" i="9"/>
  <c r="F1475" i="9"/>
  <c r="F1248" i="9"/>
  <c r="F1392" i="9"/>
  <c r="F1500" i="9"/>
  <c r="F1418" i="9"/>
  <c r="F1526" i="9"/>
  <c r="F1515" i="9"/>
  <c r="F1312" i="9"/>
  <c r="F580" i="9"/>
  <c r="F719" i="9"/>
  <c r="F767" i="9"/>
  <c r="F803" i="9"/>
  <c r="F832" i="9"/>
  <c r="F856" i="9"/>
  <c r="F880" i="9"/>
  <c r="F904" i="9"/>
  <c r="F928" i="9"/>
  <c r="F952" i="9"/>
  <c r="F976" i="9"/>
  <c r="F1000" i="9"/>
  <c r="F1024" i="9"/>
  <c r="F1048" i="9"/>
  <c r="F1062" i="9"/>
  <c r="F1074" i="9"/>
  <c r="F1086" i="9"/>
  <c r="F1098" i="9"/>
  <c r="F1110" i="9"/>
  <c r="F1122" i="9"/>
  <c r="F1134" i="9"/>
  <c r="F1146" i="9"/>
  <c r="F1158" i="9"/>
  <c r="F1170" i="9"/>
  <c r="F1182" i="9"/>
  <c r="F1194" i="9"/>
  <c r="F1206" i="9"/>
  <c r="F1218" i="9"/>
  <c r="F1230" i="9"/>
  <c r="F1242" i="9"/>
  <c r="F1254" i="9"/>
  <c r="F1266" i="9"/>
  <c r="F1278" i="9"/>
  <c r="F1290" i="9"/>
  <c r="F1302" i="9"/>
  <c r="F1314" i="9"/>
  <c r="F1326" i="9"/>
  <c r="F1338" i="9"/>
  <c r="F1350" i="9"/>
  <c r="F1362" i="9"/>
  <c r="F1374" i="9"/>
  <c r="F1386" i="9"/>
  <c r="F1398" i="9"/>
  <c r="F1410" i="9"/>
  <c r="F1422" i="9"/>
  <c r="F1434" i="9"/>
  <c r="F1446" i="9"/>
  <c r="F1458" i="9"/>
  <c r="F1470" i="9"/>
  <c r="F1482" i="9"/>
  <c r="F1494" i="9"/>
  <c r="F1518" i="9"/>
  <c r="F1508" i="9"/>
  <c r="F1497" i="9"/>
  <c r="F1510" i="9"/>
  <c r="F1391" i="9"/>
  <c r="F1523" i="9"/>
  <c r="F1320" i="9"/>
  <c r="F1344" i="9"/>
  <c r="F1416" i="9"/>
  <c r="F1464" i="9"/>
  <c r="F1453" i="9"/>
  <c r="F1513" i="9"/>
  <c r="F1514" i="9"/>
  <c r="F1419" i="9"/>
  <c r="F1408" i="9"/>
  <c r="F1480" i="9"/>
  <c r="F592" i="9"/>
  <c r="F723" i="9"/>
  <c r="F770" i="9"/>
  <c r="F806" i="9"/>
  <c r="F839" i="9"/>
  <c r="F863" i="9"/>
  <c r="F887" i="9"/>
  <c r="F911" i="9"/>
  <c r="F935" i="9"/>
  <c r="F959" i="9"/>
  <c r="F983" i="9"/>
  <c r="F1007" i="9"/>
  <c r="F1031" i="9"/>
  <c r="F1050" i="9"/>
  <c r="F1063" i="9"/>
  <c r="F1075" i="9"/>
  <c r="F1087" i="9"/>
  <c r="F1099" i="9"/>
  <c r="F1111" i="9"/>
  <c r="F1123" i="9"/>
  <c r="F1135" i="9"/>
  <c r="F1147" i="9"/>
  <c r="F1159" i="9"/>
  <c r="F1171" i="9"/>
  <c r="F1183" i="9"/>
  <c r="F1195" i="9"/>
  <c r="F1207" i="9"/>
  <c r="F1219" i="9"/>
  <c r="F1231" i="9"/>
  <c r="F1243" i="9"/>
  <c r="F1255" i="9"/>
  <c r="F1267" i="9"/>
  <c r="F1279" i="9"/>
  <c r="F1291" i="9"/>
  <c r="F1303" i="9"/>
  <c r="F1315" i="9"/>
  <c r="F1327" i="9"/>
  <c r="F1339" i="9"/>
  <c r="F1351" i="9"/>
  <c r="F1363" i="9"/>
  <c r="F1375" i="9"/>
  <c r="F1387" i="9"/>
  <c r="F1399" i="9"/>
  <c r="F1411" i="9"/>
  <c r="F1423" i="9"/>
  <c r="F1435" i="9"/>
  <c r="F1447" i="9"/>
  <c r="F1459" i="9"/>
  <c r="F1471" i="9"/>
  <c r="F1483" i="9"/>
  <c r="F1495" i="9"/>
  <c r="F1507" i="9"/>
  <c r="F1519" i="9"/>
  <c r="F1520" i="9"/>
  <c r="F1509" i="9"/>
  <c r="F1498" i="9"/>
  <c r="F1415" i="9"/>
  <c r="F1272" i="9"/>
  <c r="F1380" i="9"/>
  <c r="F1476" i="9"/>
  <c r="F1501" i="9"/>
  <c r="F1490" i="9"/>
  <c r="F1395" i="9"/>
  <c r="F1384" i="9"/>
  <c r="F1456" i="9"/>
  <c r="F604" i="9"/>
  <c r="F724" i="9"/>
  <c r="F771" i="9"/>
  <c r="F807" i="9"/>
  <c r="F840" i="9"/>
  <c r="F864" i="9"/>
  <c r="F888" i="9"/>
  <c r="F912" i="9"/>
  <c r="F936" i="9"/>
  <c r="F960" i="9"/>
  <c r="F984" i="9"/>
  <c r="F1008" i="9"/>
  <c r="F1032" i="9"/>
  <c r="F1051" i="9"/>
  <c r="F1064" i="9"/>
  <c r="F1076" i="9"/>
  <c r="F1088" i="9"/>
  <c r="F1100" i="9"/>
  <c r="F1112" i="9"/>
  <c r="F1124" i="9"/>
  <c r="F1136" i="9"/>
  <c r="F1148" i="9"/>
  <c r="F1160" i="9"/>
  <c r="F1172" i="9"/>
  <c r="F1184" i="9"/>
  <c r="F1196" i="9"/>
  <c r="F1208" i="9"/>
  <c r="F1220" i="9"/>
  <c r="F1232" i="9"/>
  <c r="F1244" i="9"/>
  <c r="F1256" i="9"/>
  <c r="F1268" i="9"/>
  <c r="F1280" i="9"/>
  <c r="F1292" i="9"/>
  <c r="F1304" i="9"/>
  <c r="F1316" i="9"/>
  <c r="F1328" i="9"/>
  <c r="F1340" i="9"/>
  <c r="F1352" i="9"/>
  <c r="F1364" i="9"/>
  <c r="F1376" i="9"/>
  <c r="F1388" i="9"/>
  <c r="F1400" i="9"/>
  <c r="F1412" i="9"/>
  <c r="F1424" i="9"/>
  <c r="F1436" i="9"/>
  <c r="F1448" i="9"/>
  <c r="F1460" i="9"/>
  <c r="F1472" i="9"/>
  <c r="F1496" i="9"/>
  <c r="F1462" i="9"/>
  <c r="F1451" i="9"/>
  <c r="F1499" i="9"/>
  <c r="F1260" i="9"/>
  <c r="F1452" i="9"/>
  <c r="F1502" i="9"/>
  <c r="F1407" i="9"/>
  <c r="F1420" i="9"/>
  <c r="F1468" i="9"/>
  <c r="F616" i="9"/>
  <c r="F731" i="9"/>
  <c r="F772" i="9"/>
  <c r="F808" i="9"/>
  <c r="F841" i="9"/>
  <c r="F865" i="9"/>
  <c r="F889" i="9"/>
  <c r="F913" i="9"/>
  <c r="F937" i="9"/>
  <c r="F961" i="9"/>
  <c r="F985" i="9"/>
  <c r="F1009" i="9"/>
  <c r="F1033" i="9"/>
  <c r="F1052" i="9"/>
  <c r="F1065" i="9"/>
  <c r="F1077" i="9"/>
  <c r="F1089" i="9"/>
  <c r="F1101" i="9"/>
  <c r="F1113" i="9"/>
  <c r="F1125" i="9"/>
  <c r="F1137" i="9"/>
  <c r="F1149" i="9"/>
  <c r="F1161" i="9"/>
  <c r="F1173" i="9"/>
  <c r="F1185" i="9"/>
  <c r="F1197" i="9"/>
  <c r="F1209" i="9"/>
  <c r="F1221" i="9"/>
  <c r="F1233" i="9"/>
  <c r="F1245" i="9"/>
  <c r="F1257" i="9"/>
  <c r="F1269" i="9"/>
  <c r="F1281" i="9"/>
  <c r="F1293" i="9"/>
  <c r="F1305" i="9"/>
  <c r="F1317" i="9"/>
  <c r="F1329" i="9"/>
  <c r="F1341" i="9"/>
  <c r="F1353" i="9"/>
  <c r="F1365" i="9"/>
  <c r="F1377" i="9"/>
  <c r="F1389" i="9"/>
  <c r="F1401" i="9"/>
  <c r="F1413" i="9"/>
  <c r="F1425" i="9"/>
  <c r="F1437" i="9"/>
  <c r="F1449" i="9"/>
  <c r="F1461" i="9"/>
  <c r="F1473" i="9"/>
  <c r="F1485" i="9"/>
  <c r="F1522" i="9"/>
  <c r="F1439" i="9"/>
  <c r="F1511" i="9"/>
  <c r="F1308" i="9"/>
  <c r="F1368" i="9"/>
  <c r="F1440" i="9"/>
  <c r="F1465" i="9"/>
  <c r="F1430" i="9"/>
  <c r="F1479" i="9"/>
  <c r="F1336" i="9"/>
  <c r="F628" i="9"/>
  <c r="F735" i="9"/>
  <c r="F779" i="9"/>
  <c r="F815" i="9"/>
  <c r="F842" i="9"/>
  <c r="F866" i="9"/>
  <c r="F890" i="9"/>
  <c r="F914" i="9"/>
  <c r="F938" i="9"/>
  <c r="F962" i="9"/>
  <c r="F986" i="9"/>
  <c r="F1010" i="9"/>
  <c r="F1034" i="9"/>
  <c r="F1053" i="9"/>
  <c r="F1066" i="9"/>
  <c r="F1078" i="9"/>
  <c r="F1090" i="9"/>
  <c r="F1102" i="9"/>
  <c r="F1114" i="9"/>
  <c r="F1126" i="9"/>
  <c r="F1138" i="9"/>
  <c r="F1150" i="9"/>
  <c r="F1162" i="9"/>
  <c r="F1174" i="9"/>
  <c r="F1186" i="9"/>
  <c r="F1198" i="9"/>
  <c r="F1210" i="9"/>
  <c r="F1222" i="9"/>
  <c r="F1234" i="9"/>
  <c r="F1246" i="9"/>
  <c r="F1258" i="9"/>
  <c r="F1270" i="9"/>
  <c r="F1282" i="9"/>
  <c r="F1294" i="9"/>
  <c r="F1306" i="9"/>
  <c r="F1318" i="9"/>
  <c r="F1330" i="9"/>
  <c r="F1342" i="9"/>
  <c r="F1354" i="9"/>
  <c r="F1366" i="9"/>
  <c r="F1378" i="9"/>
  <c r="F1390" i="9"/>
  <c r="F1402" i="9"/>
  <c r="F1414" i="9"/>
  <c r="F1426" i="9"/>
  <c r="F1438" i="9"/>
  <c r="F1450" i="9"/>
  <c r="F1474" i="9"/>
  <c r="F1427" i="9"/>
  <c r="F1487" i="9"/>
  <c r="F1236" i="9"/>
  <c r="F1404" i="9"/>
  <c r="F1512" i="9"/>
  <c r="F1525" i="9"/>
  <c r="F1466" i="9"/>
  <c r="F1455" i="9"/>
  <c r="F1324" i="9"/>
  <c r="F640" i="9"/>
  <c r="F736" i="9"/>
  <c r="F782" i="9"/>
  <c r="F818" i="9"/>
  <c r="F843" i="9"/>
  <c r="F867" i="9"/>
  <c r="F891" i="9"/>
  <c r="F915" i="9"/>
  <c r="F939" i="9"/>
  <c r="F963" i="9"/>
  <c r="F987" i="9"/>
  <c r="F1011" i="9"/>
  <c r="F1035" i="9"/>
  <c r="F1055" i="9"/>
  <c r="F1067" i="9"/>
  <c r="F1079" i="9"/>
  <c r="F1091" i="9"/>
  <c r="F1103" i="9"/>
  <c r="F1115" i="9"/>
  <c r="F1127" i="9"/>
  <c r="F1139" i="9"/>
  <c r="F1151" i="9"/>
  <c r="F1163" i="9"/>
  <c r="F1175" i="9"/>
  <c r="F1187" i="9"/>
  <c r="F1199" i="9"/>
  <c r="F1211" i="9"/>
  <c r="F1223" i="9"/>
  <c r="F1235" i="9"/>
  <c r="F1247" i="9"/>
  <c r="F1259" i="9"/>
  <c r="F1271" i="9"/>
  <c r="F1283" i="9"/>
  <c r="F1295" i="9"/>
  <c r="F1307" i="9"/>
  <c r="F1319" i="9"/>
  <c r="F1331" i="9"/>
  <c r="F1343" i="9"/>
  <c r="F1355" i="9"/>
  <c r="F1367" i="9"/>
  <c r="F1379" i="9"/>
  <c r="F1463" i="9"/>
  <c r="F1284" i="9"/>
  <c r="F1332" i="9"/>
  <c r="F1428" i="9"/>
  <c r="F1524" i="9"/>
  <c r="F1489" i="9"/>
  <c r="F1478" i="9"/>
  <c r="F1431" i="9"/>
  <c r="F1527" i="9"/>
  <c r="F1432" i="9"/>
  <c r="F652" i="9"/>
  <c r="F743" i="9"/>
  <c r="F783" i="9"/>
  <c r="F819" i="9"/>
  <c r="F844" i="9"/>
  <c r="F868" i="9"/>
  <c r="F892" i="9"/>
  <c r="F916" i="9"/>
  <c r="F940" i="9"/>
  <c r="F964" i="9"/>
  <c r="F988" i="9"/>
  <c r="F1012" i="9"/>
  <c r="F1036" i="9"/>
  <c r="F1056" i="9"/>
  <c r="F1068" i="9"/>
  <c r="F1080" i="9"/>
  <c r="F1092" i="9"/>
  <c r="F1104" i="9"/>
  <c r="F1116" i="9"/>
  <c r="F1128" i="9"/>
  <c r="F1140" i="9"/>
  <c r="F1152" i="9"/>
  <c r="F1164" i="9"/>
  <c r="F1176" i="9"/>
  <c r="F1188" i="9"/>
  <c r="F1200" i="9"/>
  <c r="F1212" i="9"/>
  <c r="F1224" i="9"/>
  <c r="F1296" i="9"/>
  <c r="F1356" i="9"/>
  <c r="F1488" i="9"/>
  <c r="F1491" i="9"/>
  <c r="F1372" i="9"/>
  <c r="F1504" i="9"/>
  <c r="F664" i="9"/>
  <c r="F747" i="9"/>
  <c r="F784" i="9"/>
  <c r="F820" i="9"/>
  <c r="F851" i="9"/>
  <c r="F875" i="9"/>
  <c r="F899" i="9"/>
  <c r="F923" i="9"/>
  <c r="F947" i="9"/>
  <c r="F971" i="9"/>
  <c r="F995" i="9"/>
  <c r="F1019" i="9"/>
  <c r="F1043" i="9"/>
  <c r="F1057" i="9"/>
  <c r="F1069" i="9"/>
  <c r="F1081" i="9"/>
  <c r="F1093" i="9"/>
  <c r="F1105" i="9"/>
  <c r="F1117" i="9"/>
  <c r="F1129" i="9"/>
  <c r="F1141" i="9"/>
  <c r="F1153" i="9"/>
  <c r="F1165" i="9"/>
  <c r="F1177" i="9"/>
  <c r="F1189" i="9"/>
  <c r="F1201" i="9"/>
  <c r="F1213" i="9"/>
  <c r="F1225" i="9"/>
  <c r="F1237" i="9"/>
  <c r="F1249" i="9"/>
  <c r="F1261" i="9"/>
  <c r="F1273" i="9"/>
  <c r="F1285" i="9"/>
  <c r="F1297" i="9"/>
  <c r="F1309" i="9"/>
  <c r="F1321" i="9"/>
  <c r="F1333" i="9"/>
  <c r="F1345" i="9"/>
  <c r="F1357" i="9"/>
  <c r="F1369" i="9"/>
  <c r="F1381" i="9"/>
  <c r="F1393" i="9"/>
  <c r="F1405" i="9"/>
  <c r="F1417" i="9"/>
  <c r="F1429" i="9"/>
  <c r="F1441" i="9"/>
  <c r="F1477" i="9"/>
  <c r="F1454" i="9"/>
  <c r="F1467" i="9"/>
  <c r="F1348" i="9"/>
  <c r="F1516" i="9"/>
  <c r="F676" i="9"/>
  <c r="F748" i="9"/>
  <c r="F791" i="9"/>
  <c r="F827" i="9"/>
  <c r="F852" i="9"/>
  <c r="F876" i="9"/>
  <c r="F900" i="9"/>
  <c r="F924" i="9"/>
  <c r="F948" i="9"/>
  <c r="F972" i="9"/>
  <c r="F996" i="9"/>
  <c r="F1020" i="9"/>
  <c r="F1044" i="9"/>
  <c r="F1058" i="9"/>
  <c r="F1070" i="9"/>
  <c r="F1082" i="9"/>
  <c r="F1094" i="9"/>
  <c r="F1106" i="9"/>
  <c r="F1118" i="9"/>
  <c r="F1130" i="9"/>
  <c r="F1142" i="9"/>
  <c r="F1154" i="9"/>
  <c r="F1166" i="9"/>
  <c r="F1178" i="9"/>
  <c r="F1190" i="9"/>
  <c r="F1202" i="9"/>
  <c r="F1214" i="9"/>
  <c r="F1226" i="9"/>
  <c r="F1238" i="9"/>
  <c r="F1250" i="9"/>
  <c r="F1262" i="9"/>
  <c r="F1274" i="9"/>
  <c r="F1286" i="9"/>
  <c r="F1298" i="9"/>
  <c r="F1310" i="9"/>
  <c r="F1322" i="9"/>
  <c r="F1334" i="9"/>
  <c r="F1346" i="9"/>
  <c r="F1358" i="9"/>
  <c r="F1370" i="9"/>
  <c r="F1382" i="9"/>
  <c r="F1394" i="9"/>
  <c r="F1406" i="9"/>
  <c r="F1442" i="9"/>
  <c r="F1503" i="9"/>
  <c r="F1360" i="9"/>
  <c r="F1492" i="9"/>
  <c r="F688" i="9"/>
  <c r="F755" i="9"/>
  <c r="F794" i="9"/>
  <c r="F829" i="9"/>
  <c r="F853" i="9"/>
  <c r="F877" i="9"/>
  <c r="F901" i="9"/>
  <c r="F925" i="9"/>
  <c r="F949" i="9"/>
  <c r="F973" i="9"/>
  <c r="F997" i="9"/>
  <c r="F1021" i="9"/>
  <c r="F1045" i="9"/>
  <c r="F1059" i="9"/>
  <c r="F1071" i="9"/>
  <c r="F1083" i="9"/>
  <c r="F1095" i="9"/>
  <c r="F1107" i="9"/>
  <c r="F1119" i="9"/>
  <c r="F1131" i="9"/>
  <c r="F1143" i="9"/>
  <c r="F1155" i="9"/>
  <c r="F1167" i="9"/>
  <c r="F1179" i="9"/>
  <c r="F1191" i="9"/>
  <c r="F1203" i="9"/>
  <c r="F1215" i="9"/>
  <c r="F1227" i="9"/>
  <c r="F1239" i="9"/>
  <c r="F1251" i="9"/>
  <c r="F1263" i="9"/>
  <c r="F1275" i="9"/>
  <c r="F1287" i="9"/>
  <c r="F1299" i="9"/>
  <c r="F1311" i="9"/>
  <c r="F1323" i="9"/>
  <c r="F1335" i="9"/>
  <c r="F1347" i="9"/>
  <c r="F1359" i="9"/>
  <c r="F1371" i="9"/>
  <c r="F1383" i="9"/>
  <c r="F1443" i="9"/>
  <c r="F1444" i="9"/>
  <c r="F1528" i="9"/>
  <c r="F700" i="9"/>
  <c r="F759" i="9"/>
  <c r="F795" i="9"/>
  <c r="F830" i="9"/>
  <c r="F854" i="9"/>
  <c r="F878" i="9"/>
  <c r="F902" i="9"/>
  <c r="F926" i="9"/>
  <c r="F950" i="9"/>
  <c r="F974" i="9"/>
  <c r="F998" i="9"/>
  <c r="F1022" i="9"/>
  <c r="F1046" i="9"/>
  <c r="F1060" i="9"/>
  <c r="F1072" i="9"/>
  <c r="F1084" i="9"/>
  <c r="F1096" i="9"/>
  <c r="F1108" i="9"/>
  <c r="F1120" i="9"/>
  <c r="F1132" i="9"/>
  <c r="F1144" i="9"/>
  <c r="F1156" i="9"/>
  <c r="F1168" i="9"/>
  <c r="F1180" i="9"/>
  <c r="F1192" i="9"/>
  <c r="F1204" i="9"/>
  <c r="F1216" i="9"/>
  <c r="F1228" i="9"/>
  <c r="F1240" i="9"/>
  <c r="F1252" i="9"/>
  <c r="F1264" i="9"/>
  <c r="F1276" i="9"/>
  <c r="F1288" i="9"/>
  <c r="F1300" i="9"/>
  <c r="F1396" i="9"/>
  <c r="F29" i="9"/>
  <c r="I4" i="13"/>
  <c r="AB11" i="6"/>
  <c r="AB7" i="6"/>
  <c r="H4" i="13"/>
  <c r="W12" i="6"/>
  <c r="AA11" i="6"/>
  <c r="B111" i="15"/>
  <c r="Y21" i="6"/>
  <c r="F7" i="13" s="1"/>
  <c r="Z21" i="6"/>
  <c r="G7" i="13" s="1"/>
  <c r="X21" i="6"/>
  <c r="E7" i="13" s="1"/>
  <c r="Y12" i="6"/>
  <c r="X12" i="6"/>
  <c r="Z7" i="6"/>
  <c r="G3" i="13" s="1"/>
  <c r="AA7" i="6"/>
  <c r="H3" i="13" s="1"/>
  <c r="AB12" i="6" l="1"/>
  <c r="I3" i="13"/>
  <c r="AA21" i="6"/>
  <c r="H7" i="13" s="1"/>
  <c r="AB21" i="6"/>
  <c r="I7" i="13" s="1"/>
  <c r="AB15" i="6"/>
  <c r="I5" i="13" s="1"/>
  <c r="B112" i="15"/>
  <c r="AA12" i="6"/>
  <c r="Z12" i="6"/>
  <c r="AB17" i="6" l="1"/>
  <c r="B113" i="15"/>
  <c r="AQ39" i="4"/>
  <c r="AH25" i="4" s="1"/>
  <c r="AQ35" i="4"/>
  <c r="AQ36" i="4"/>
  <c r="AH22" i="4" s="1"/>
  <c r="AP22" i="4" s="1"/>
  <c r="AQ37" i="4"/>
  <c r="AH23" i="4" s="1"/>
  <c r="AQ38" i="4"/>
  <c r="AH24" i="4" s="1"/>
  <c r="AQ41" i="4" l="1"/>
  <c r="AH21" i="4"/>
  <c r="AB19" i="6"/>
  <c r="B114" i="15"/>
  <c r="AR24" i="4"/>
  <c r="AS24" i="4" s="1"/>
  <c r="AQ24" i="4"/>
  <c r="AP24" i="4"/>
  <c r="AO24" i="4"/>
  <c r="AQ23" i="4"/>
  <c r="AP23" i="4"/>
  <c r="AO23" i="4"/>
  <c r="AQ22" i="4"/>
  <c r="AO22" i="4"/>
  <c r="AR22" i="4"/>
  <c r="AS22" i="4" s="1"/>
  <c r="AQ21" i="4"/>
  <c r="AP21" i="4"/>
  <c r="AO21" i="4"/>
  <c r="AQ8" i="4"/>
  <c r="AQ7" i="4"/>
  <c r="AS27" i="4" l="1"/>
  <c r="AS26" i="4"/>
  <c r="AQ26" i="4"/>
  <c r="B115" i="15"/>
  <c r="AQ27" i="4"/>
  <c r="AP27" i="4"/>
  <c r="AO27" i="4"/>
  <c r="AO26" i="4"/>
  <c r="AP26" i="4"/>
  <c r="AR27" i="4"/>
  <c r="AR26" i="4"/>
  <c r="B116" i="15" l="1"/>
  <c r="B117" i="15" l="1"/>
  <c r="B118" i="15" l="1"/>
  <c r="B119" i="15" l="1"/>
  <c r="B120" i="15" l="1"/>
  <c r="B121" i="15" l="1"/>
  <c r="B122" i="15" l="1"/>
  <c r="B123" i="15" l="1"/>
  <c r="B124" i="15" l="1"/>
  <c r="B125" i="15" l="1"/>
  <c r="B126" i="15" l="1"/>
  <c r="B127" i="15" l="1"/>
  <c r="B128" i="15" l="1"/>
  <c r="B129" i="15" l="1"/>
  <c r="B130" i="15" l="1"/>
  <c r="B131" i="15" l="1"/>
  <c r="B132" i="15" l="1"/>
  <c r="B133" i="15" l="1"/>
  <c r="B134" i="15" l="1"/>
  <c r="D15" i="14" l="1"/>
  <c r="G41" i="15"/>
  <c r="B135" i="15"/>
  <c r="N2" i="15" l="1"/>
  <c r="H41" i="15"/>
  <c r="I41" i="15" s="1"/>
  <c r="J41" i="15" s="1"/>
  <c r="F41" i="15"/>
  <c r="E41" i="15" s="1"/>
  <c r="D41" i="15" s="1"/>
  <c r="B136" i="15"/>
  <c r="N3" i="15" l="1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B137" i="15"/>
  <c r="D36" i="10" l="1"/>
  <c r="B138" i="15"/>
  <c r="B139" i="15" l="1"/>
  <c r="E36" i="10" l="1"/>
  <c r="B140" i="15"/>
  <c r="B141" i="15" l="1"/>
  <c r="F36" i="10" l="1"/>
  <c r="B142" i="15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D19" i="6"/>
  <c r="W17" i="6"/>
  <c r="W19" i="6" s="1"/>
  <c r="C6" i="13"/>
  <c r="P16" i="6"/>
  <c r="E17" i="6"/>
  <c r="E18" i="6" s="1"/>
  <c r="E19" i="6"/>
  <c r="F17" i="6"/>
  <c r="S17" i="6"/>
  <c r="S19" i="6"/>
  <c r="O17" i="6"/>
  <c r="O19" i="6" s="1"/>
  <c r="Q17" i="6"/>
  <c r="Q19" i="6" s="1"/>
  <c r="T17" i="6"/>
  <c r="T19" i="6"/>
  <c r="V17" i="6"/>
  <c r="L17" i="6"/>
  <c r="L19" i="6" s="1"/>
  <c r="H17" i="6"/>
  <c r="H19" i="6" s="1"/>
  <c r="N17" i="6"/>
  <c r="N19" i="6"/>
  <c r="J17" i="6"/>
  <c r="J19" i="6" s="1"/>
  <c r="J18" i="6"/>
  <c r="M17" i="6"/>
  <c r="R17" i="6"/>
  <c r="R18" i="6" s="1"/>
  <c r="U17" i="6"/>
  <c r="U18" i="6" s="1"/>
  <c r="U19" i="6"/>
  <c r="I17" i="6"/>
  <c r="I19" i="6"/>
  <c r="P17" i="6"/>
  <c r="K17" i="6"/>
  <c r="G17" i="6"/>
  <c r="G19" i="6" s="1"/>
  <c r="G16" i="6"/>
  <c r="I16" i="6"/>
  <c r="E16" i="6"/>
  <c r="H16" i="6"/>
  <c r="S16" i="6"/>
  <c r="M16" i="6"/>
  <c r="L16" i="6"/>
  <c r="F16" i="6"/>
  <c r="J16" i="6"/>
  <c r="T16" i="6"/>
  <c r="Q16" i="6"/>
  <c r="N16" i="6"/>
  <c r="K16" i="6"/>
  <c r="R16" i="6"/>
  <c r="O16" i="6"/>
  <c r="U16" i="6"/>
  <c r="D16" i="6"/>
  <c r="V16" i="6"/>
  <c r="G18" i="6" l="1"/>
  <c r="K18" i="6"/>
  <c r="L18" i="6"/>
  <c r="P18" i="6"/>
  <c r="M18" i="6"/>
  <c r="F18" i="6"/>
  <c r="V18" i="6"/>
  <c r="Q18" i="6"/>
  <c r="R19" i="6"/>
  <c r="K19" i="6"/>
  <c r="I18" i="6"/>
  <c r="H18" i="6"/>
  <c r="Z15" i="6"/>
  <c r="G5" i="13" s="1"/>
  <c r="Y15" i="6"/>
  <c r="F5" i="13" s="1"/>
  <c r="AA15" i="6"/>
  <c r="H5" i="13" s="1"/>
  <c r="X15" i="6"/>
  <c r="E5" i="13" s="1"/>
  <c r="E6" i="13" s="1"/>
  <c r="P19" i="6"/>
  <c r="M19" i="6"/>
  <c r="O18" i="6"/>
  <c r="V19" i="6"/>
  <c r="S18" i="6"/>
  <c r="N18" i="6"/>
  <c r="T18" i="6"/>
  <c r="F19" i="6"/>
  <c r="W18" i="6"/>
  <c r="I6" i="13" l="1"/>
  <c r="AA17" i="6"/>
  <c r="AB18" i="6" s="1"/>
  <c r="G6" i="13"/>
  <c r="Y17" i="6"/>
  <c r="X17" i="6"/>
  <c r="F6" i="13"/>
  <c r="Z17" i="6"/>
  <c r="H6" i="13"/>
  <c r="Z18" i="6" l="1"/>
  <c r="Z19" i="6"/>
  <c r="Y19" i="6"/>
  <c r="Y18" i="6"/>
  <c r="AA18" i="6"/>
  <c r="AA19" i="6"/>
  <c r="X18" i="6"/>
  <c r="X19" i="6"/>
  <c r="E24" i="6"/>
  <c r="P24" i="6"/>
  <c r="AH28" i="6" s="1"/>
  <c r="O24" i="6"/>
  <c r="N24" i="6"/>
  <c r="M24" i="6"/>
  <c r="L24" i="6"/>
  <c r="F24" i="6"/>
  <c r="K24" i="6"/>
  <c r="V24" i="6"/>
  <c r="J24" i="6"/>
  <c r="U24" i="6"/>
  <c r="I24" i="6"/>
  <c r="T24" i="6"/>
  <c r="H24" i="6"/>
  <c r="S24" i="6"/>
  <c r="G24" i="6"/>
  <c r="R24" i="6"/>
  <c r="D24" i="6"/>
  <c r="Q24" i="6"/>
  <c r="P70" i="6" l="1"/>
  <c r="Q70" i="6"/>
  <c r="T70" i="6"/>
  <c r="S70" i="6"/>
  <c r="I70" i="6"/>
  <c r="O70" i="6"/>
  <c r="L70" i="6"/>
  <c r="K70" i="6"/>
  <c r="J70" i="6"/>
  <c r="U70" i="6"/>
  <c r="F70" i="6"/>
  <c r="M70" i="6"/>
  <c r="V70" i="6"/>
  <c r="N70" i="6"/>
  <c r="E70" i="6"/>
  <c r="G70" i="6"/>
  <c r="H70" i="6"/>
  <c r="D70" i="6"/>
  <c r="R70" i="6"/>
  <c r="AB70" i="6" l="1"/>
  <c r="AB69" i="6" s="1"/>
  <c r="X70" i="6"/>
  <c r="X69" i="6" s="1"/>
  <c r="AA70" i="6"/>
  <c r="AA69" i="6" s="1"/>
  <c r="Y70" i="6"/>
  <c r="Y69" i="6" s="1"/>
  <c r="Z70" i="6"/>
  <c r="Z69" i="6" s="1"/>
  <c r="U13" i="7" l="1"/>
  <c r="F13" i="7"/>
  <c r="S13" i="7"/>
  <c r="L13" i="7"/>
  <c r="M13" i="7"/>
  <c r="H13" i="7"/>
  <c r="J13" i="7"/>
  <c r="D13" i="7"/>
  <c r="I13" i="7"/>
  <c r="T13" i="7"/>
  <c r="N13" i="7"/>
  <c r="Q13" i="7"/>
  <c r="P13" i="7"/>
  <c r="O13" i="7"/>
  <c r="E13" i="7"/>
  <c r="R13" i="7"/>
  <c r="K13" i="7"/>
  <c r="C13" i="7"/>
  <c r="G13" i="7"/>
  <c r="V13" i="7" l="1"/>
  <c r="H19" i="7"/>
  <c r="S19" i="7"/>
  <c r="K19" i="7"/>
  <c r="U19" i="7"/>
  <c r="G19" i="7"/>
  <c r="L19" i="7"/>
  <c r="D19" i="7"/>
  <c r="M19" i="7"/>
  <c r="J19" i="7"/>
  <c r="I19" i="7"/>
  <c r="T19" i="7"/>
  <c r="F19" i="7"/>
  <c r="E19" i="7"/>
  <c r="O19" i="7"/>
  <c r="Q19" i="7"/>
  <c r="P19" i="7"/>
  <c r="R19" i="7"/>
  <c r="C19" i="7"/>
  <c r="N19" i="7"/>
  <c r="X12" i="7" l="1"/>
  <c r="X13" i="7" s="1"/>
  <c r="AA12" i="7"/>
  <c r="AA13" i="7" s="1"/>
  <c r="Z12" i="7"/>
  <c r="Z13" i="7" s="1"/>
  <c r="Y12" i="7"/>
  <c r="Y13" i="7" s="1"/>
  <c r="AA19" i="7"/>
  <c r="AA18" i="7" s="1"/>
  <c r="W12" i="7"/>
  <c r="W13" i="7" s="1"/>
  <c r="W20" i="7"/>
  <c r="X20" i="7"/>
  <c r="Y20" i="7"/>
  <c r="Z20" i="7"/>
  <c r="AA20" i="7" s="1"/>
  <c r="Y19" i="7" l="1"/>
  <c r="Y18" i="7" s="1"/>
  <c r="W19" i="7"/>
  <c r="W18" i="7" s="1"/>
  <c r="Z19" i="7"/>
  <c r="Z18" i="7" s="1"/>
  <c r="X19" i="7"/>
  <c r="X18" i="7" s="1"/>
  <c r="M30" i="7"/>
  <c r="G30" i="7"/>
  <c r="H30" i="7"/>
  <c r="J30" i="7"/>
  <c r="O30" i="7"/>
  <c r="F30" i="7"/>
  <c r="T30" i="7"/>
  <c r="Q30" i="7"/>
  <c r="K30" i="7"/>
  <c r="D30" i="7"/>
  <c r="P30" i="7"/>
  <c r="R30" i="7"/>
  <c r="N30" i="7"/>
  <c r="S30" i="7"/>
  <c r="L30" i="7"/>
  <c r="U30" i="7"/>
  <c r="I30" i="7"/>
  <c r="C30" i="7"/>
  <c r="E30" i="7"/>
  <c r="Y30" i="7" l="1"/>
  <c r="Y29" i="7" s="1"/>
  <c r="P33" i="7"/>
  <c r="T33" i="7"/>
  <c r="D33" i="7"/>
  <c r="U33" i="7"/>
  <c r="E33" i="7"/>
  <c r="H33" i="7"/>
  <c r="I33" i="7"/>
  <c r="G33" i="7"/>
  <c r="K33" i="7"/>
  <c r="O33" i="7"/>
  <c r="L33" i="7"/>
  <c r="N33" i="7"/>
  <c r="S33" i="7"/>
  <c r="J33" i="7"/>
  <c r="F33" i="7"/>
  <c r="R33" i="7"/>
  <c r="M33" i="7"/>
  <c r="C33" i="7"/>
  <c r="Q33" i="7"/>
  <c r="X30" i="7" l="1"/>
  <c r="X29" i="7" s="1"/>
  <c r="Z30" i="7"/>
  <c r="Z29" i="7" s="1"/>
  <c r="W30" i="7"/>
  <c r="W29" i="7" s="1"/>
  <c r="AA30" i="7"/>
  <c r="AA29" i="7" s="1"/>
  <c r="V33" i="7" l="1"/>
  <c r="AA32" i="7" s="1"/>
  <c r="AA33" i="7" s="1"/>
  <c r="Y32" i="7" l="1"/>
  <c r="Y33" i="7" s="1"/>
  <c r="X32" i="7"/>
  <c r="X33" i="7" s="1"/>
  <c r="W32" i="7"/>
  <c r="W33" i="7" s="1"/>
  <c r="Z32" i="7"/>
  <c r="Z33" i="7" s="1"/>
  <c r="E5" i="8" l="1"/>
  <c r="O5" i="8"/>
  <c r="U5" i="8"/>
  <c r="T5" i="8"/>
  <c r="P5" i="8"/>
  <c r="N5" i="8"/>
  <c r="J5" i="8"/>
  <c r="G5" i="8"/>
  <c r="V5" i="8"/>
  <c r="F5" i="8"/>
  <c r="M5" i="8"/>
  <c r="L5" i="8"/>
  <c r="K5" i="8"/>
  <c r="I5" i="8"/>
  <c r="H5" i="8"/>
  <c r="S5" i="8"/>
  <c r="R5" i="8"/>
  <c r="Q5" i="8"/>
  <c r="P8" i="8" l="1"/>
  <c r="J8" i="8"/>
  <c r="J9" i="8" s="1"/>
  <c r="J81" i="6" s="1"/>
  <c r="E9" i="8"/>
  <c r="E81" i="6" s="1"/>
  <c r="E80" i="6"/>
  <c r="M8" i="8"/>
  <c r="K8" i="8"/>
  <c r="R8" i="8"/>
  <c r="Q8" i="8"/>
  <c r="G8" i="8"/>
  <c r="S8" i="8"/>
  <c r="V8" i="8"/>
  <c r="L8" i="8"/>
  <c r="L9" i="8" s="1"/>
  <c r="L81" i="6" s="1"/>
  <c r="N8" i="8"/>
  <c r="N80" i="6" s="1"/>
  <c r="T8" i="8"/>
  <c r="O8" i="8"/>
  <c r="I8" i="8"/>
  <c r="I10" i="8" s="1"/>
  <c r="H8" i="8"/>
  <c r="U8" i="8"/>
  <c r="U80" i="6"/>
  <c r="N7" i="8"/>
  <c r="H7" i="8"/>
  <c r="F7" i="8"/>
  <c r="M7" i="8"/>
  <c r="E7" i="8"/>
  <c r="I7" i="8"/>
  <c r="G7" i="8"/>
  <c r="L7" i="8"/>
  <c r="F8" i="8"/>
  <c r="F10" i="8" s="1"/>
  <c r="T10" i="8" l="1"/>
  <c r="Q9" i="8"/>
  <c r="Q81" i="6" s="1"/>
  <c r="Q10" i="8"/>
  <c r="R10" i="8"/>
  <c r="G9" i="8"/>
  <c r="G81" i="6" s="1"/>
  <c r="G10" i="8"/>
  <c r="O80" i="6"/>
  <c r="O10" i="8"/>
  <c r="K9" i="8"/>
  <c r="K81" i="6" s="1"/>
  <c r="K10" i="8"/>
  <c r="M9" i="8"/>
  <c r="M81" i="6" s="1"/>
  <c r="M10" i="8"/>
  <c r="N9" i="8"/>
  <c r="N81" i="6" s="1"/>
  <c r="N10" i="8"/>
  <c r="O9" i="8"/>
  <c r="O81" i="6" s="1"/>
  <c r="L80" i="6"/>
  <c r="L10" i="8"/>
  <c r="J10" i="8"/>
  <c r="V80" i="6"/>
  <c r="V10" i="8"/>
  <c r="P80" i="6"/>
  <c r="P10" i="8"/>
  <c r="I80" i="6"/>
  <c r="U10" i="8"/>
  <c r="W10" i="8"/>
  <c r="S80" i="6"/>
  <c r="S10" i="8"/>
  <c r="H80" i="6"/>
  <c r="H10" i="8"/>
  <c r="S9" i="8"/>
  <c r="S81" i="6" s="1"/>
  <c r="W9" i="8"/>
  <c r="W81" i="6" s="1"/>
  <c r="Q80" i="6"/>
  <c r="J80" i="6"/>
  <c r="W80" i="6"/>
  <c r="V9" i="8"/>
  <c r="V81" i="6" s="1"/>
  <c r="T80" i="6"/>
  <c r="M80" i="6"/>
  <c r="F80" i="6"/>
  <c r="K80" i="6"/>
  <c r="U9" i="8"/>
  <c r="U81" i="6" s="1"/>
  <c r="I9" i="8"/>
  <c r="I81" i="6" s="1"/>
  <c r="F9" i="8"/>
  <c r="F81" i="6" s="1"/>
  <c r="G80" i="6"/>
  <c r="P9" i="8"/>
  <c r="P81" i="6" s="1"/>
  <c r="T9" i="8"/>
  <c r="T81" i="6" s="1"/>
  <c r="R80" i="6"/>
  <c r="H9" i="8"/>
  <c r="H81" i="6" s="1"/>
  <c r="R9" i="8"/>
  <c r="R81" i="6" s="1"/>
  <c r="C17" i="13" l="1"/>
  <c r="X5" i="8"/>
  <c r="X4" i="8" s="1"/>
  <c r="AB5" i="8"/>
  <c r="Z5" i="8"/>
  <c r="AA5" i="8"/>
  <c r="Y5" i="8" l="1"/>
  <c r="Y4" i="8" s="1"/>
  <c r="Z4" i="8" l="1"/>
  <c r="AA4" i="8" l="1"/>
  <c r="AB4" i="8" l="1"/>
  <c r="X27" i="7" l="1"/>
  <c r="Y27" i="7"/>
  <c r="Z27" i="7"/>
  <c r="AA27" i="7"/>
  <c r="W27" i="7"/>
  <c r="W26" i="7" s="1"/>
  <c r="X26" i="7" l="1"/>
  <c r="Y26" i="7" l="1"/>
  <c r="Z26" i="7" l="1"/>
  <c r="AA26" i="7" l="1"/>
  <c r="Y24" i="6" l="1"/>
  <c r="Y23" i="6" s="1"/>
  <c r="F8" i="13" l="1"/>
  <c r="Z24" i="6"/>
  <c r="Z23" i="6" s="1"/>
  <c r="X24" i="6"/>
  <c r="X23" i="6" s="1"/>
  <c r="AA24" i="6"/>
  <c r="AA23" i="6" s="1"/>
  <c r="AB24" i="6"/>
  <c r="AB23" i="6" s="1"/>
  <c r="E8" i="13" l="1"/>
  <c r="I8" i="13"/>
  <c r="H8" i="13"/>
  <c r="G8" i="13"/>
  <c r="P28" i="6" l="1"/>
  <c r="Q28" i="6" l="1"/>
  <c r="R28" i="6" l="1"/>
  <c r="S28" i="6" l="1"/>
  <c r="T28" i="6" l="1"/>
  <c r="U28" i="6" l="1"/>
  <c r="V28" i="6" l="1"/>
  <c r="C10" i="13" l="1"/>
  <c r="W28" i="6"/>
  <c r="Z28" i="6"/>
  <c r="Z27" i="6" s="1"/>
  <c r="G10" i="13" l="1"/>
  <c r="X28" i="6"/>
  <c r="X27" i="6" s="1"/>
  <c r="AB28" i="6"/>
  <c r="AB27" i="6" s="1"/>
  <c r="Y28" i="6"/>
  <c r="Y27" i="6" s="1"/>
  <c r="AA28" i="6"/>
  <c r="AA27" i="6" s="1"/>
  <c r="I10" i="13" l="1"/>
  <c r="F10" i="13"/>
  <c r="E10" i="13"/>
  <c r="H10" i="13"/>
  <c r="G28" i="6" l="1"/>
  <c r="H28" i="6" l="1"/>
  <c r="I28" i="6" l="1"/>
  <c r="C9" i="13"/>
  <c r="C12" i="13" s="1"/>
  <c r="W83" i="6"/>
  <c r="C15" i="13" s="1"/>
  <c r="W84" i="6"/>
  <c r="P83" i="6"/>
  <c r="J83" i="6"/>
  <c r="I83" i="6"/>
  <c r="T83" i="6"/>
  <c r="S83" i="6"/>
  <c r="H83" i="6"/>
  <c r="H84" i="6" s="1"/>
  <c r="H26" i="6"/>
  <c r="N83" i="6"/>
  <c r="G26" i="6"/>
  <c r="G83" i="6"/>
  <c r="G84" i="6" s="1"/>
  <c r="K26" i="6"/>
  <c r="K84" i="6"/>
  <c r="K83" i="6"/>
  <c r="L83" i="6"/>
  <c r="L84" i="6" s="1"/>
  <c r="L26" i="6"/>
  <c r="R83" i="6"/>
  <c r="O83" i="6"/>
  <c r="M83" i="6"/>
  <c r="M84" i="6" s="1"/>
  <c r="M26" i="6"/>
  <c r="E83" i="6"/>
  <c r="E84" i="6" s="1"/>
  <c r="E26" i="6"/>
  <c r="Q83" i="6"/>
  <c r="U83" i="6"/>
  <c r="F83" i="6"/>
  <c r="F84" i="6" s="1"/>
  <c r="F26" i="6"/>
  <c r="V26" i="6"/>
  <c r="V84" i="6"/>
  <c r="V83" i="6"/>
  <c r="D83" i="6"/>
  <c r="D84" i="6" s="1"/>
  <c r="W26" i="6"/>
  <c r="O30" i="6"/>
  <c r="N30" i="6"/>
  <c r="W31" i="6"/>
  <c r="W55" i="6" s="1"/>
  <c r="V30" i="6"/>
  <c r="U30" i="6"/>
  <c r="U31" i="6"/>
  <c r="U55" i="6" s="1"/>
  <c r="E30" i="6"/>
  <c r="E31" i="6"/>
  <c r="E64" i="6" s="1"/>
  <c r="W30" i="6"/>
  <c r="T30" i="6"/>
  <c r="H30" i="6"/>
  <c r="H31" i="6"/>
  <c r="P30" i="6"/>
  <c r="P31" i="6"/>
  <c r="P57" i="6" s="1"/>
  <c r="M31" i="6"/>
  <c r="L30" i="6"/>
  <c r="K30" i="6"/>
  <c r="K31" i="6"/>
  <c r="K57" i="6" s="1"/>
  <c r="I30" i="6"/>
  <c r="S30" i="6"/>
  <c r="S31" i="6"/>
  <c r="S33" i="6" s="1"/>
  <c r="G30" i="6"/>
  <c r="Q30" i="6"/>
  <c r="J30" i="6"/>
  <c r="R30" i="6"/>
  <c r="R31" i="6"/>
  <c r="R55" i="6" s="1"/>
  <c r="F30" i="6"/>
  <c r="F31" i="6"/>
  <c r="F55" i="6" s="1"/>
  <c r="D26" i="6"/>
  <c r="X26" i="6"/>
  <c r="X25" i="6" s="1"/>
  <c r="T31" i="6" l="1"/>
  <c r="J31" i="6"/>
  <c r="J55" i="6" s="1"/>
  <c r="Q31" i="6"/>
  <c r="V31" i="6"/>
  <c r="V33" i="6" s="1"/>
  <c r="AA26" i="6"/>
  <c r="AA25" i="6" s="1"/>
  <c r="H9" i="13" s="1"/>
  <c r="H12" i="13" s="1"/>
  <c r="H14" i="13" s="1"/>
  <c r="T32" i="6"/>
  <c r="F33" i="6"/>
  <c r="S55" i="6"/>
  <c r="T33" i="6"/>
  <c r="N31" i="6"/>
  <c r="N55" i="6" s="1"/>
  <c r="T55" i="6"/>
  <c r="O31" i="6"/>
  <c r="M64" i="6"/>
  <c r="M33" i="6"/>
  <c r="M55" i="6"/>
  <c r="M57" i="6"/>
  <c r="E72" i="6"/>
  <c r="E67" i="6"/>
  <c r="M30" i="6"/>
  <c r="Y26" i="6"/>
  <c r="Y25" i="6" s="1"/>
  <c r="X29" i="6"/>
  <c r="E9" i="13"/>
  <c r="E12" i="13" s="1"/>
  <c r="E14" i="13" s="1"/>
  <c r="I31" i="6"/>
  <c r="L31" i="6"/>
  <c r="P55" i="6"/>
  <c r="K64" i="6"/>
  <c r="P64" i="6"/>
  <c r="W33" i="6"/>
  <c r="Q64" i="6"/>
  <c r="Q57" i="6"/>
  <c r="Q32" i="6"/>
  <c r="G31" i="6"/>
  <c r="W32" i="6"/>
  <c r="R57" i="6"/>
  <c r="R64" i="6"/>
  <c r="H64" i="6"/>
  <c r="H57" i="6"/>
  <c r="U32" i="6"/>
  <c r="U57" i="6"/>
  <c r="U33" i="6"/>
  <c r="U64" i="6"/>
  <c r="D30" i="6"/>
  <c r="D31" i="6"/>
  <c r="E32" i="6" s="1"/>
  <c r="R33" i="6"/>
  <c r="R32" i="6"/>
  <c r="K55" i="6"/>
  <c r="E57" i="6"/>
  <c r="F32" i="6"/>
  <c r="H55" i="6"/>
  <c r="Q33" i="6"/>
  <c r="Q55" i="6"/>
  <c r="H33" i="6"/>
  <c r="Z26" i="6"/>
  <c r="Z25" i="6" s="1"/>
  <c r="V57" i="6"/>
  <c r="V64" i="6"/>
  <c r="S64" i="6"/>
  <c r="S57" i="6"/>
  <c r="K33" i="6"/>
  <c r="AB26" i="6"/>
  <c r="AB25" i="6" s="1"/>
  <c r="T57" i="6"/>
  <c r="T64" i="6"/>
  <c r="W64" i="6"/>
  <c r="E55" i="6"/>
  <c r="F64" i="6"/>
  <c r="F57" i="6"/>
  <c r="S32" i="6"/>
  <c r="P33" i="6"/>
  <c r="E33" i="6"/>
  <c r="V32" i="6" l="1"/>
  <c r="V55" i="6"/>
  <c r="AA29" i="6"/>
  <c r="J32" i="6"/>
  <c r="J33" i="6"/>
  <c r="J64" i="6"/>
  <c r="J72" i="6" s="1"/>
  <c r="O32" i="6"/>
  <c r="O57" i="6"/>
  <c r="O55" i="6"/>
  <c r="N64" i="6"/>
  <c r="N72" i="6" s="1"/>
  <c r="N57" i="6"/>
  <c r="P32" i="6"/>
  <c r="N32" i="6"/>
  <c r="N33" i="6"/>
  <c r="O64" i="6"/>
  <c r="O67" i="6" s="1"/>
  <c r="O33" i="6"/>
  <c r="J57" i="6"/>
  <c r="K32" i="6"/>
  <c r="E74" i="6"/>
  <c r="F72" i="6"/>
  <c r="F67" i="6"/>
  <c r="W57" i="6"/>
  <c r="S72" i="6"/>
  <c r="S67" i="6"/>
  <c r="V72" i="6"/>
  <c r="V67" i="6"/>
  <c r="G9" i="13"/>
  <c r="G12" i="13" s="1"/>
  <c r="G14" i="13" s="1"/>
  <c r="Z29" i="6"/>
  <c r="L57" i="6"/>
  <c r="L64" i="6"/>
  <c r="L33" i="6"/>
  <c r="L32" i="6"/>
  <c r="L55" i="6"/>
  <c r="M32" i="6"/>
  <c r="U72" i="6"/>
  <c r="U67" i="6"/>
  <c r="K72" i="6"/>
  <c r="K67" i="6"/>
  <c r="R67" i="6"/>
  <c r="R72" i="6"/>
  <c r="I57" i="6"/>
  <c r="I64" i="6"/>
  <c r="I55" i="6"/>
  <c r="I32" i="6"/>
  <c r="I33" i="6"/>
  <c r="M72" i="6"/>
  <c r="M67" i="6"/>
  <c r="G57" i="6"/>
  <c r="G64" i="6"/>
  <c r="G55" i="6"/>
  <c r="G33" i="6"/>
  <c r="G32" i="6"/>
  <c r="H32" i="6"/>
  <c r="AA84" i="6"/>
  <c r="AA83" i="6" s="1"/>
  <c r="H15" i="13" s="1"/>
  <c r="Y84" i="6"/>
  <c r="Y83" i="6" s="1"/>
  <c r="F15" i="13" s="1"/>
  <c r="Z84" i="6"/>
  <c r="Z83" i="6" s="1"/>
  <c r="G15" i="13" s="1"/>
  <c r="X84" i="6"/>
  <c r="X83" i="6" s="1"/>
  <c r="E15" i="13" s="1"/>
  <c r="AB84" i="6"/>
  <c r="AB83" i="6" s="1"/>
  <c r="I15" i="13" s="1"/>
  <c r="AE4" i="8"/>
  <c r="P72" i="6"/>
  <c r="P67" i="6"/>
  <c r="T72" i="6"/>
  <c r="T67" i="6"/>
  <c r="D64" i="6"/>
  <c r="D55" i="6"/>
  <c r="D33" i="6"/>
  <c r="D57" i="6"/>
  <c r="X31" i="6"/>
  <c r="X30" i="6"/>
  <c r="AA30" i="6"/>
  <c r="AA31" i="6"/>
  <c r="Q67" i="6"/>
  <c r="Q72" i="6"/>
  <c r="H72" i="6"/>
  <c r="H67" i="6"/>
  <c r="W72" i="6"/>
  <c r="W67" i="6"/>
  <c r="I9" i="13"/>
  <c r="I12" i="13" s="1"/>
  <c r="I14" i="13" s="1"/>
  <c r="AB29" i="6"/>
  <c r="F9" i="13"/>
  <c r="F12" i="13" s="1"/>
  <c r="F14" i="13" s="1"/>
  <c r="Y29" i="6"/>
  <c r="J67" i="6" l="1"/>
  <c r="N67" i="6"/>
  <c r="O72" i="6"/>
  <c r="P73" i="6" s="1"/>
  <c r="W73" i="6"/>
  <c r="W74" i="6"/>
  <c r="S73" i="6"/>
  <c r="S74" i="6"/>
  <c r="M74" i="6"/>
  <c r="V74" i="6"/>
  <c r="V73" i="6"/>
  <c r="AB30" i="6"/>
  <c r="AB31" i="6"/>
  <c r="AB64" i="6" s="1"/>
  <c r="D67" i="6"/>
  <c r="D72" i="6"/>
  <c r="AA64" i="6"/>
  <c r="AA66" i="6" s="1"/>
  <c r="AA55" i="6" s="1"/>
  <c r="AA56" i="6"/>
  <c r="AA57" i="6" s="1"/>
  <c r="AA33" i="6"/>
  <c r="K74" i="6"/>
  <c r="K73" i="6"/>
  <c r="F73" i="6"/>
  <c r="F74" i="6"/>
  <c r="X64" i="6"/>
  <c r="X66" i="6" s="1"/>
  <c r="X72" i="6" s="1"/>
  <c r="X56" i="6"/>
  <c r="X57" i="6" s="1"/>
  <c r="X33" i="6"/>
  <c r="X32" i="6"/>
  <c r="H74" i="6"/>
  <c r="T73" i="6"/>
  <c r="T74" i="6"/>
  <c r="I72" i="6"/>
  <c r="J73" i="6" s="1"/>
  <c r="I67" i="6"/>
  <c r="L72" i="6"/>
  <c r="M73" i="6" s="1"/>
  <c r="L67" i="6"/>
  <c r="X7" i="8"/>
  <c r="X6" i="8" s="1"/>
  <c r="AA7" i="8"/>
  <c r="Z7" i="8"/>
  <c r="Y7" i="8"/>
  <c r="AB7" i="8"/>
  <c r="O73" i="6"/>
  <c r="O74" i="6"/>
  <c r="Y30" i="6"/>
  <c r="Y31" i="6"/>
  <c r="Q73" i="6"/>
  <c r="Q74" i="6"/>
  <c r="P74" i="6"/>
  <c r="G72" i="6"/>
  <c r="G67" i="6"/>
  <c r="U74" i="6"/>
  <c r="U73" i="6"/>
  <c r="N73" i="6"/>
  <c r="N74" i="6"/>
  <c r="J74" i="6"/>
  <c r="R73" i="6"/>
  <c r="R74" i="6"/>
  <c r="Z30" i="6"/>
  <c r="Z31" i="6"/>
  <c r="AA32" i="6" s="1"/>
  <c r="AB66" i="6" l="1"/>
  <c r="AB72" i="6" s="1"/>
  <c r="X55" i="6"/>
  <c r="X73" i="6"/>
  <c r="Y64" i="6"/>
  <c r="Y66" i="6" s="1"/>
  <c r="Y55" i="6" s="1"/>
  <c r="Y56" i="6"/>
  <c r="Y57" i="6" s="1"/>
  <c r="Y32" i="6"/>
  <c r="Y33" i="6"/>
  <c r="D74" i="6"/>
  <c r="E73" i="6"/>
  <c r="AB56" i="6"/>
  <c r="AB57" i="6" s="1"/>
  <c r="AB33" i="6"/>
  <c r="AB32" i="6"/>
  <c r="AB55" i="6"/>
  <c r="AA72" i="6"/>
  <c r="X8" i="8"/>
  <c r="Y6" i="8"/>
  <c r="G74" i="6"/>
  <c r="G73" i="6"/>
  <c r="L73" i="6"/>
  <c r="L74" i="6"/>
  <c r="H73" i="6"/>
  <c r="Z64" i="6"/>
  <c r="Z66" i="6" s="1"/>
  <c r="Z55" i="6" s="1"/>
  <c r="Z56" i="6"/>
  <c r="Z57" i="6" s="1"/>
  <c r="Z33" i="6"/>
  <c r="Z32" i="6"/>
  <c r="I74" i="6"/>
  <c r="I73" i="6"/>
  <c r="X74" i="6" l="1"/>
  <c r="Z72" i="6"/>
  <c r="AA73" i="6" s="1"/>
  <c r="Y8" i="8"/>
  <c r="Z6" i="8"/>
  <c r="X10" i="8"/>
  <c r="X9" i="8"/>
  <c r="X81" i="6" s="1"/>
  <c r="X80" i="6"/>
  <c r="AA74" i="6"/>
  <c r="Y72" i="6"/>
  <c r="AA6" i="8" l="1"/>
  <c r="Z8" i="8"/>
  <c r="Y80" i="6"/>
  <c r="F17" i="13" s="1"/>
  <c r="Y10" i="8"/>
  <c r="Y9" i="8"/>
  <c r="Y81" i="6" s="1"/>
  <c r="Z73" i="6"/>
  <c r="Z74" i="6"/>
  <c r="AB73" i="6"/>
  <c r="AB74" i="6"/>
  <c r="Y74" i="6"/>
  <c r="Y73" i="6"/>
  <c r="E17" i="13"/>
  <c r="Z10" i="8" l="1"/>
  <c r="Z80" i="6"/>
  <c r="Z9" i="8"/>
  <c r="Z81" i="6" s="1"/>
  <c r="AB6" i="8"/>
  <c r="AB8" i="8" s="1"/>
  <c r="AA8" i="8"/>
  <c r="G17" i="13" l="1"/>
  <c r="AA10" i="8"/>
  <c r="AA80" i="6"/>
  <c r="AA9" i="8"/>
  <c r="AA81" i="6" s="1"/>
  <c r="AB10" i="8"/>
  <c r="AB80" i="6"/>
  <c r="AB9" i="8"/>
  <c r="AB81" i="6" s="1"/>
  <c r="H17" i="13" l="1"/>
  <c r="I17" i="13"/>
  <c r="N7" i="7" l="1"/>
  <c r="L7" i="7"/>
  <c r="T7" i="7"/>
  <c r="D7" i="7"/>
  <c r="J7" i="7"/>
  <c r="S7" i="7"/>
  <c r="G7" i="7"/>
  <c r="M7" i="7"/>
  <c r="K7" i="7"/>
  <c r="U7" i="7"/>
  <c r="I7" i="7"/>
  <c r="H7" i="7"/>
  <c r="O7" i="7"/>
  <c r="R7" i="7"/>
  <c r="Q7" i="7"/>
  <c r="E7" i="7"/>
  <c r="P7" i="7"/>
  <c r="C7" i="7"/>
  <c r="AJ40" i="4" l="1"/>
  <c r="AQ40" i="4" s="1"/>
  <c r="Q8" i="7"/>
  <c r="V8" i="7"/>
  <c r="T8" i="7"/>
  <c r="R8" i="7"/>
  <c r="U8" i="7"/>
  <c r="S8" i="7"/>
  <c r="C8" i="10" l="1"/>
  <c r="C9" i="10" s="1"/>
  <c r="H2" i="10" s="1"/>
  <c r="C13" i="10" s="1"/>
  <c r="D24" i="10" s="1"/>
  <c r="B28" i="10" l="1"/>
  <c r="C16" i="10" l="1"/>
  <c r="M13" i="13"/>
  <c r="M21" i="13" s="1"/>
  <c r="F24" i="10"/>
  <c r="F14" i="10" s="1"/>
  <c r="G24" i="10"/>
  <c r="G14" i="10" s="1"/>
  <c r="E24" i="10"/>
  <c r="B31" i="10" l="1"/>
  <c r="D16" i="10"/>
  <c r="C17" i="10"/>
  <c r="E14" i="10"/>
  <c r="D13" i="10"/>
  <c r="M12" i="13"/>
  <c r="D5" i="14"/>
  <c r="E13" i="10" l="1"/>
  <c r="O13" i="13" s="1"/>
  <c r="O21" i="13" s="1"/>
  <c r="O20" i="13" s="1"/>
  <c r="M14" i="13"/>
  <c r="H7" i="5"/>
  <c r="I3" i="5" s="1"/>
  <c r="N13" i="13"/>
  <c r="N21" i="13" s="1"/>
  <c r="N20" i="13" s="1"/>
  <c r="C28" i="10"/>
  <c r="D6" i="14"/>
  <c r="D7" i="14"/>
  <c r="D28" i="10"/>
  <c r="F13" i="10"/>
  <c r="I8" i="5" l="1"/>
  <c r="I4" i="5"/>
  <c r="I5" i="5"/>
  <c r="I6" i="5" s="1"/>
  <c r="I7" i="5" s="1"/>
  <c r="J3" i="5" s="1"/>
  <c r="P13" i="13"/>
  <c r="P21" i="13" s="1"/>
  <c r="P20" i="13" s="1"/>
  <c r="G13" i="10"/>
  <c r="E28" i="10"/>
  <c r="I9" i="5" l="1"/>
  <c r="J8" i="5"/>
  <c r="J4" i="5"/>
  <c r="J5" i="5"/>
  <c r="J6" i="5" s="1"/>
  <c r="J7" i="5" s="1"/>
  <c r="F28" i="10"/>
  <c r="Q13" i="13"/>
  <c r="Q21" i="13" s="1"/>
  <c r="Q20" i="13" s="1"/>
  <c r="M7" i="13" s="1"/>
  <c r="I19" i="13" s="1"/>
  <c r="J9" i="5" l="1"/>
  <c r="K3" i="5"/>
  <c r="C45" i="15"/>
  <c r="Y3" i="15"/>
  <c r="N63" i="15" l="1"/>
  <c r="N62" i="15"/>
  <c r="N61" i="15" s="1"/>
  <c r="N60" i="15" s="1"/>
  <c r="N59" i="15" s="1"/>
  <c r="N58" i="15" s="1"/>
  <c r="N57" i="15" s="1"/>
  <c r="N56" i="15" s="1"/>
  <c r="N55" i="15" s="1"/>
  <c r="N54" i="15" s="1"/>
  <c r="N53" i="15" s="1"/>
  <c r="N64" i="15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N80" i="15" s="1"/>
  <c r="N81" i="15" s="1"/>
  <c r="N82" i="15" s="1"/>
  <c r="N83" i="15" s="1"/>
  <c r="N84" i="15" s="1"/>
  <c r="N85" i="15" s="1"/>
  <c r="N86" i="15" s="1"/>
  <c r="N87" i="15" s="1"/>
  <c r="N88" i="15" s="1"/>
  <c r="N89" i="15" s="1"/>
  <c r="N90" i="15" s="1"/>
  <c r="N91" i="15" s="1"/>
  <c r="N92" i="15" s="1"/>
  <c r="N93" i="15" s="1"/>
  <c r="N94" i="15" s="1"/>
  <c r="N95" i="15" s="1"/>
  <c r="N96" i="15" s="1"/>
  <c r="N97" i="15" s="1"/>
  <c r="N98" i="15" s="1"/>
  <c r="N99" i="15" s="1"/>
  <c r="N100" i="15" s="1"/>
  <c r="N101" i="15" s="1"/>
  <c r="N102" i="15" s="1"/>
  <c r="N103" i="15" s="1"/>
  <c r="C44" i="15"/>
  <c r="C43" i="15" s="1"/>
  <c r="C42" i="15" s="1"/>
  <c r="C46" i="15"/>
  <c r="C47" i="15" s="1"/>
  <c r="C48" i="15" s="1"/>
  <c r="K5" i="5"/>
  <c r="K6" i="5" s="1"/>
  <c r="K7" i="5" s="1"/>
  <c r="K4" i="5"/>
  <c r="K8" i="5"/>
  <c r="L3" i="5" l="1"/>
  <c r="K9" i="5"/>
  <c r="L8" i="5" l="1"/>
  <c r="L5" i="5"/>
  <c r="L6" i="5" s="1"/>
  <c r="L4" i="5"/>
  <c r="L7" i="5" l="1"/>
  <c r="M3" i="5" s="1"/>
  <c r="L9" i="5"/>
  <c r="M8" i="5" l="1"/>
  <c r="M4" i="5"/>
  <c r="M5" i="5"/>
  <c r="M6" i="5" s="1"/>
  <c r="M7" i="5" s="1"/>
  <c r="N3" i="5" s="1"/>
  <c r="M9" i="5" l="1"/>
  <c r="N8" i="5"/>
  <c r="N5" i="5"/>
  <c r="N6" i="5" s="1"/>
  <c r="N7" i="5" s="1"/>
  <c r="N4" i="5"/>
  <c r="O3" i="5" l="1"/>
  <c r="N9" i="5"/>
  <c r="O8" i="5" l="1"/>
  <c r="O4" i="5"/>
  <c r="O5" i="5"/>
  <c r="O6" i="5" s="1"/>
  <c r="O7" i="5" s="1"/>
  <c r="P3" i="5" l="1"/>
  <c r="O9" i="5"/>
  <c r="P8" i="5" l="1"/>
  <c r="P5" i="5"/>
  <c r="P6" i="5" s="1"/>
  <c r="P7" i="5" s="1"/>
  <c r="P4" i="5"/>
  <c r="Q3" i="5" l="1"/>
  <c r="P9" i="5"/>
  <c r="Q5" i="5" l="1"/>
  <c r="Q6" i="5" s="1"/>
  <c r="Q7" i="5" s="1"/>
  <c r="Q8" i="5"/>
  <c r="Q4" i="5"/>
  <c r="Q9" i="5" l="1"/>
  <c r="R3" i="5"/>
  <c r="R4" i="5" l="1"/>
  <c r="R5" i="5"/>
  <c r="R8" i="5"/>
  <c r="R6" i="5" l="1"/>
  <c r="R7" i="5" s="1"/>
  <c r="P11" i="7"/>
  <c r="H15" i="7"/>
  <c r="H21" i="7" s="1"/>
  <c r="D15" i="7"/>
  <c r="D21" i="7" s="1"/>
  <c r="E15" i="7"/>
  <c r="E21" i="7"/>
  <c r="F15" i="7"/>
  <c r="F21" i="7" s="1"/>
  <c r="G15" i="7"/>
  <c r="G21" i="7"/>
  <c r="S11" i="7"/>
  <c r="I11" i="7"/>
  <c r="G11" i="7"/>
  <c r="H11" i="7"/>
  <c r="N11" i="7"/>
  <c r="T11" i="7"/>
  <c r="U11" i="7"/>
  <c r="F11" i="7"/>
  <c r="Q11" i="7"/>
  <c r="R11" i="7"/>
  <c r="M11" i="7"/>
  <c r="O11" i="7"/>
  <c r="M15" i="7"/>
  <c r="M21" i="7" s="1"/>
  <c r="J21" i="7"/>
  <c r="L15" i="7"/>
  <c r="L21" i="7"/>
  <c r="S15" i="7"/>
  <c r="S21" i="7"/>
  <c r="O15" i="7"/>
  <c r="O21" i="7" s="1"/>
  <c r="R15" i="7"/>
  <c r="R21" i="7"/>
  <c r="V15" i="7"/>
  <c r="V21" i="7"/>
  <c r="U15" i="7"/>
  <c r="U21" i="7"/>
  <c r="I15" i="7"/>
  <c r="I21" i="7"/>
  <c r="K15" i="7"/>
  <c r="K21" i="7"/>
  <c r="P15" i="7"/>
  <c r="P21" i="7"/>
  <c r="N15" i="7"/>
  <c r="N21" i="7" s="1"/>
  <c r="Q15" i="7"/>
  <c r="Q21" i="7"/>
  <c r="V11" i="7"/>
  <c r="T15" i="7"/>
  <c r="T21" i="7"/>
  <c r="C15" i="7"/>
  <c r="C21" i="7"/>
  <c r="E11" i="7"/>
  <c r="E40" i="13" l="1"/>
  <c r="R9" i="5"/>
  <c r="C158" i="15" s="1"/>
  <c r="E28" i="13"/>
  <c r="C225" i="15"/>
  <c r="C260" i="15"/>
  <c r="C137" i="15"/>
  <c r="AA11" i="7"/>
  <c r="X11" i="7"/>
  <c r="Z11" i="7"/>
  <c r="W11" i="7"/>
  <c r="W10" i="7" s="1"/>
  <c r="Y11" i="7"/>
  <c r="C142" i="15" l="1"/>
  <c r="C134" i="15"/>
  <c r="C250" i="15"/>
  <c r="C211" i="15"/>
  <c r="C89" i="15"/>
  <c r="C228" i="15"/>
  <c r="C123" i="15"/>
  <c r="C243" i="15"/>
  <c r="C109" i="15"/>
  <c r="C221" i="15"/>
  <c r="C239" i="15"/>
  <c r="C237" i="15"/>
  <c r="C230" i="15"/>
  <c r="C156" i="15"/>
  <c r="C201" i="15"/>
  <c r="C87" i="15"/>
  <c r="C84" i="15"/>
  <c r="C85" i="15"/>
  <c r="C86" i="15"/>
  <c r="C130" i="15"/>
  <c r="C265" i="15"/>
  <c r="C224" i="15"/>
  <c r="C121" i="15"/>
  <c r="C157" i="15"/>
  <c r="C251" i="15"/>
  <c r="C83" i="15"/>
  <c r="C274" i="15"/>
  <c r="C182" i="15"/>
  <c r="C159" i="15"/>
  <c r="C245" i="15"/>
  <c r="C106" i="15"/>
  <c r="C144" i="15"/>
  <c r="C162" i="15"/>
  <c r="C172" i="15"/>
  <c r="C198" i="15"/>
  <c r="C192" i="15"/>
  <c r="C163" i="15"/>
  <c r="C143" i="15"/>
  <c r="C242" i="15"/>
  <c r="C154" i="15"/>
  <c r="C213" i="15"/>
  <c r="C147" i="15"/>
  <c r="C88" i="15"/>
  <c r="C269" i="15"/>
  <c r="C234" i="15"/>
  <c r="C183" i="15"/>
  <c r="C167" i="15"/>
  <c r="C94" i="15"/>
  <c r="C188" i="15"/>
  <c r="C184" i="15"/>
  <c r="C118" i="15"/>
  <c r="C102" i="15"/>
  <c r="C261" i="15"/>
  <c r="C266" i="15"/>
  <c r="C112" i="15"/>
  <c r="C270" i="15"/>
  <c r="C153" i="15"/>
  <c r="C78" i="15"/>
  <c r="C133" i="15"/>
  <c r="C139" i="15"/>
  <c r="C227" i="15"/>
  <c r="C152" i="15"/>
  <c r="C110" i="15"/>
  <c r="C155" i="15"/>
  <c r="C100" i="15"/>
  <c r="C98" i="15"/>
  <c r="C80" i="15"/>
  <c r="C222" i="15"/>
  <c r="C214" i="15"/>
  <c r="C95" i="15"/>
  <c r="C111" i="15"/>
  <c r="C129" i="15"/>
  <c r="C151" i="15"/>
  <c r="C148" i="15"/>
  <c r="C132" i="15"/>
  <c r="C210" i="15"/>
  <c r="C233" i="15"/>
  <c r="C146" i="15"/>
  <c r="C174" i="15"/>
  <c r="C166" i="15"/>
  <c r="C199" i="15"/>
  <c r="C219" i="15"/>
  <c r="C161" i="15"/>
  <c r="C179" i="15"/>
  <c r="C178" i="15"/>
  <c r="C257" i="15"/>
  <c r="C202" i="15"/>
  <c r="C232" i="15"/>
  <c r="C229" i="15"/>
  <c r="C114" i="15"/>
  <c r="C93" i="15"/>
  <c r="C150" i="15"/>
  <c r="C177" i="15"/>
  <c r="C96" i="15"/>
  <c r="C82" i="15"/>
  <c r="C104" i="15"/>
  <c r="C108" i="15"/>
  <c r="C249" i="15"/>
  <c r="C223" i="15"/>
  <c r="C203" i="15"/>
  <c r="C120" i="15"/>
  <c r="C125" i="15"/>
  <c r="C171" i="15"/>
  <c r="C215" i="15"/>
  <c r="C185" i="15"/>
  <c r="C208" i="15"/>
  <c r="C235" i="15"/>
  <c r="C122" i="15"/>
  <c r="C256" i="15"/>
  <c r="C107" i="15"/>
  <c r="C138" i="15"/>
  <c r="C97" i="15"/>
  <c r="C113" i="15"/>
  <c r="C77" i="15"/>
  <c r="C263" i="15"/>
  <c r="C181" i="15"/>
  <c r="C216" i="15"/>
  <c r="C205" i="15"/>
  <c r="C180" i="15"/>
  <c r="C141" i="15"/>
  <c r="C115" i="15"/>
  <c r="C209" i="15"/>
  <c r="C264" i="15"/>
  <c r="C79" i="15"/>
  <c r="C206" i="15"/>
  <c r="C197" i="15"/>
  <c r="C149" i="15"/>
  <c r="C135" i="15"/>
  <c r="C168" i="15"/>
  <c r="C226" i="15"/>
  <c r="C212" i="15"/>
  <c r="C194" i="15"/>
  <c r="C145" i="15"/>
  <c r="C101" i="15"/>
  <c r="C247" i="15"/>
  <c r="C175" i="15"/>
  <c r="C164" i="15"/>
  <c r="C131" i="15"/>
  <c r="C204" i="15"/>
  <c r="C231" i="15"/>
  <c r="C273" i="15"/>
  <c r="C91" i="15"/>
  <c r="C200" i="15"/>
  <c r="C272" i="15"/>
  <c r="C195" i="15"/>
  <c r="C196" i="15"/>
  <c r="C220" i="15"/>
  <c r="C92" i="15"/>
  <c r="C103" i="15"/>
  <c r="C258" i="15"/>
  <c r="C254" i="15"/>
  <c r="C191" i="15"/>
  <c r="C271" i="15"/>
  <c r="C267" i="15"/>
  <c r="C241" i="15"/>
  <c r="C170" i="15"/>
  <c r="C262" i="15"/>
  <c r="C140" i="15"/>
  <c r="C173" i="15"/>
  <c r="C244" i="15"/>
  <c r="C268" i="15"/>
  <c r="C259" i="15"/>
  <c r="C116" i="15"/>
  <c r="C136" i="15"/>
  <c r="C75" i="15"/>
  <c r="C90" i="15"/>
  <c r="C187" i="15"/>
  <c r="C76" i="15"/>
  <c r="C246" i="15"/>
  <c r="C119" i="15"/>
  <c r="C252" i="15"/>
  <c r="C117" i="15"/>
  <c r="C193" i="15"/>
  <c r="C189" i="15"/>
  <c r="C218" i="15"/>
  <c r="C169" i="15"/>
  <c r="C124" i="15"/>
  <c r="C238" i="15"/>
  <c r="C186" i="15"/>
  <c r="C99" i="15"/>
  <c r="C176" i="15"/>
  <c r="C236" i="15"/>
  <c r="C160" i="15"/>
  <c r="C253" i="15"/>
  <c r="C240" i="15"/>
  <c r="C105" i="15"/>
  <c r="C217" i="15"/>
  <c r="C207" i="15"/>
  <c r="C248" i="15"/>
  <c r="C74" i="15"/>
  <c r="C128" i="15"/>
  <c r="C127" i="15"/>
  <c r="C190" i="15"/>
  <c r="C81" i="15"/>
  <c r="C255" i="15"/>
  <c r="C126" i="15"/>
  <c r="C165" i="15"/>
  <c r="E29" i="13"/>
  <c r="E31" i="13" s="1"/>
  <c r="W15" i="7"/>
  <c r="W21" i="7" s="1"/>
  <c r="X10" i="7"/>
  <c r="X15" i="7" l="1"/>
  <c r="X21" i="7" s="1"/>
  <c r="Y10" i="7"/>
  <c r="Y15" i="7" l="1"/>
  <c r="Y21" i="7" s="1"/>
  <c r="Z10" i="7"/>
  <c r="Z15" i="7" l="1"/>
  <c r="Z21" i="7" s="1"/>
  <c r="AA10" i="7"/>
  <c r="AA15" i="7" l="1"/>
  <c r="AA21" i="7" s="1"/>
  <c r="F35" i="7" l="1"/>
  <c r="I35" i="7"/>
  <c r="N35" i="7"/>
  <c r="S35" i="7"/>
  <c r="T35" i="7"/>
  <c r="H35" i="7"/>
  <c r="D35" i="7"/>
  <c r="R35" i="7"/>
  <c r="G35" i="7"/>
  <c r="F40" i="7" s="1"/>
  <c r="O35" i="7"/>
  <c r="E35" i="7"/>
  <c r="K35" i="7"/>
  <c r="Q35" i="7"/>
  <c r="V35" i="7"/>
  <c r="J35" i="7"/>
  <c r="P35" i="7"/>
  <c r="M35" i="7"/>
  <c r="U35" i="7"/>
  <c r="L35" i="7"/>
  <c r="Q40" i="7" l="1"/>
  <c r="G40" i="7"/>
  <c r="S40" i="7"/>
  <c r="S41" i="7" s="1"/>
  <c r="R40" i="7"/>
  <c r="H40" i="7"/>
  <c r="O77" i="6"/>
  <c r="N41" i="7"/>
  <c r="L40" i="7"/>
  <c r="P40" i="7"/>
  <c r="M40" i="7"/>
  <c r="H41" i="7"/>
  <c r="I77" i="6"/>
  <c r="E40" i="7"/>
  <c r="O40" i="7"/>
  <c r="H77" i="6"/>
  <c r="G41" i="7"/>
  <c r="G77" i="6"/>
  <c r="F41" i="7"/>
  <c r="D40" i="7"/>
  <c r="I40" i="7"/>
  <c r="J40" i="7"/>
  <c r="K40" i="7"/>
  <c r="T40" i="7"/>
  <c r="T77" i="6" l="1"/>
  <c r="S77" i="6"/>
  <c r="R41" i="7"/>
  <c r="R77" i="6"/>
  <c r="Q41" i="7"/>
  <c r="I78" i="6"/>
  <c r="I86" i="6"/>
  <c r="I87" i="6" s="1"/>
  <c r="G78" i="6"/>
  <c r="G86" i="6"/>
  <c r="G87" i="6" s="1"/>
  <c r="I41" i="7"/>
  <c r="J77" i="6"/>
  <c r="T86" i="6"/>
  <c r="T87" i="6" s="1"/>
  <c r="T78" i="6"/>
  <c r="D41" i="7"/>
  <c r="E77" i="6"/>
  <c r="P77" i="6"/>
  <c r="O41" i="7"/>
  <c r="H86" i="6"/>
  <c r="H87" i="6" s="1"/>
  <c r="H78" i="6"/>
  <c r="L41" i="7"/>
  <c r="M77" i="6"/>
  <c r="U41" i="7"/>
  <c r="V77" i="6"/>
  <c r="P41" i="7"/>
  <c r="Q77" i="6"/>
  <c r="T41" i="7"/>
  <c r="U77" i="6"/>
  <c r="L77" i="6"/>
  <c r="K41" i="7"/>
  <c r="N77" i="6"/>
  <c r="M41" i="7"/>
  <c r="F77" i="6"/>
  <c r="E41" i="7"/>
  <c r="K77" i="6"/>
  <c r="J41" i="7"/>
  <c r="O78" i="6"/>
  <c r="O86" i="6"/>
  <c r="O87" i="6" s="1"/>
  <c r="R86" i="6" l="1"/>
  <c r="R87" i="6" s="1"/>
  <c r="R78" i="6"/>
  <c r="S78" i="6"/>
  <c r="S86" i="6"/>
  <c r="S87" i="6" s="1"/>
  <c r="L86" i="6"/>
  <c r="L87" i="6" s="1"/>
  <c r="L78" i="6"/>
  <c r="V78" i="6"/>
  <c r="V86" i="6"/>
  <c r="V87" i="6" s="1"/>
  <c r="P78" i="6"/>
  <c r="P86" i="6"/>
  <c r="P87" i="6" s="1"/>
  <c r="E86" i="6"/>
  <c r="E87" i="6" s="1"/>
  <c r="E78" i="6"/>
  <c r="K78" i="6"/>
  <c r="K86" i="6"/>
  <c r="K87" i="6" s="1"/>
  <c r="U86" i="6"/>
  <c r="U87" i="6" s="1"/>
  <c r="U78" i="6"/>
  <c r="Q78" i="6"/>
  <c r="Q86" i="6"/>
  <c r="Q87" i="6" s="1"/>
  <c r="J86" i="6"/>
  <c r="J87" i="6" s="1"/>
  <c r="J78" i="6"/>
  <c r="M86" i="6"/>
  <c r="M87" i="6" s="1"/>
  <c r="M78" i="6"/>
  <c r="F86" i="6"/>
  <c r="F87" i="6" s="1"/>
  <c r="F78" i="6"/>
  <c r="N86" i="6"/>
  <c r="N87" i="6" s="1"/>
  <c r="N78" i="6"/>
  <c r="AA35" i="7" l="1"/>
  <c r="AA37" i="7" s="1"/>
  <c r="Z35" i="7"/>
  <c r="Z37" i="7" s="1"/>
  <c r="Y35" i="7"/>
  <c r="Y37" i="7" s="1"/>
  <c r="X35" i="7"/>
  <c r="X37" i="7" s="1"/>
  <c r="W35" i="7"/>
  <c r="W37" i="7" s="1"/>
  <c r="C35" i="7"/>
  <c r="AA38" i="7" l="1"/>
  <c r="Z40" i="7"/>
  <c r="Z38" i="7"/>
  <c r="Y40" i="7"/>
  <c r="Y38" i="7"/>
  <c r="X40" i="7"/>
  <c r="W38" i="7"/>
  <c r="X38" i="7"/>
  <c r="W40" i="7"/>
  <c r="V40" i="7"/>
  <c r="C40" i="7"/>
  <c r="Z41" i="7" l="1"/>
  <c r="H16" i="13"/>
  <c r="H18" i="13" s="1"/>
  <c r="H20" i="13" s="1"/>
  <c r="AA77" i="6"/>
  <c r="G16" i="13"/>
  <c r="G18" i="13" s="1"/>
  <c r="G20" i="13" s="1"/>
  <c r="Y41" i="7"/>
  <c r="Z77" i="6"/>
  <c r="X41" i="7"/>
  <c r="F16" i="13"/>
  <c r="F18" i="13" s="1"/>
  <c r="F20" i="13" s="1"/>
  <c r="Y77" i="6"/>
  <c r="W77" i="6"/>
  <c r="V41" i="7"/>
  <c r="X77" i="6"/>
  <c r="W41" i="7"/>
  <c r="E16" i="13"/>
  <c r="E18" i="13" s="1"/>
  <c r="E20" i="13" s="1"/>
  <c r="AA40" i="7"/>
  <c r="AA41" i="7" s="1"/>
  <c r="C41" i="7"/>
  <c r="D77" i="6"/>
  <c r="AA86" i="6" l="1"/>
  <c r="AA87" i="6" s="1"/>
  <c r="AA78" i="6"/>
  <c r="Z78" i="6"/>
  <c r="Z86" i="6"/>
  <c r="Z87" i="6" s="1"/>
  <c r="Y86" i="6"/>
  <c r="Y87" i="6" s="1"/>
  <c r="Y78" i="6"/>
  <c r="Q3" i="15"/>
  <c r="Q15" i="15"/>
  <c r="Q27" i="15"/>
  <c r="Q39" i="15"/>
  <c r="Q66" i="15"/>
  <c r="Q78" i="15"/>
  <c r="Q90" i="15"/>
  <c r="Q102" i="15"/>
  <c r="Q86" i="15"/>
  <c r="Q2" i="15"/>
  <c r="Q100" i="15"/>
  <c r="Q26" i="15"/>
  <c r="Q4" i="15"/>
  <c r="Q16" i="15"/>
  <c r="Q28" i="15"/>
  <c r="Q40" i="15"/>
  <c r="Q67" i="15"/>
  <c r="Q79" i="15"/>
  <c r="Q91" i="15"/>
  <c r="Q103" i="15"/>
  <c r="Q63" i="15"/>
  <c r="Q97" i="15"/>
  <c r="Q74" i="15"/>
  <c r="Q24" i="15"/>
  <c r="Q88" i="15"/>
  <c r="Q89" i="15"/>
  <c r="Q5" i="15"/>
  <c r="Q17" i="15"/>
  <c r="Q29" i="15"/>
  <c r="Q41" i="15"/>
  <c r="Q68" i="15"/>
  <c r="Q80" i="15"/>
  <c r="Q92" i="15"/>
  <c r="Q53" i="15"/>
  <c r="Q95" i="15"/>
  <c r="Q11" i="15"/>
  <c r="Q60" i="15"/>
  <c r="Q13" i="15"/>
  <c r="Q62" i="15"/>
  <c r="Q6" i="15"/>
  <c r="Q18" i="15"/>
  <c r="Q30" i="15"/>
  <c r="Q42" i="15"/>
  <c r="Q69" i="15"/>
  <c r="Q81" i="15"/>
  <c r="Q93" i="15"/>
  <c r="Q54" i="15"/>
  <c r="Q83" i="15"/>
  <c r="Q35" i="15"/>
  <c r="Q75" i="15"/>
  <c r="Q76" i="15"/>
  <c r="Q65" i="15"/>
  <c r="Q7" i="15"/>
  <c r="Q19" i="15"/>
  <c r="Q31" i="15"/>
  <c r="Q43" i="15"/>
  <c r="Q70" i="15"/>
  <c r="Q82" i="15"/>
  <c r="Q94" i="15"/>
  <c r="Q55" i="15"/>
  <c r="Q71" i="15"/>
  <c r="Q47" i="15"/>
  <c r="Q87" i="15"/>
  <c r="Q64" i="15"/>
  <c r="Q77" i="15"/>
  <c r="Q8" i="15"/>
  <c r="Q20" i="15"/>
  <c r="Q32" i="15"/>
  <c r="Q44" i="15"/>
  <c r="Q56" i="15"/>
  <c r="Q59" i="15"/>
  <c r="Q36" i="15"/>
  <c r="Q37" i="15"/>
  <c r="Q38" i="15"/>
  <c r="Q9" i="15"/>
  <c r="Q21" i="15"/>
  <c r="Q33" i="15"/>
  <c r="Q45" i="15"/>
  <c r="Q72" i="15"/>
  <c r="Q84" i="15"/>
  <c r="Q96" i="15"/>
  <c r="Q57" i="15"/>
  <c r="Q73" i="15"/>
  <c r="Q23" i="15"/>
  <c r="Q99" i="15"/>
  <c r="Q25" i="15"/>
  <c r="Q101" i="15"/>
  <c r="Q10" i="15"/>
  <c r="Q22" i="15"/>
  <c r="Q34" i="15"/>
  <c r="Q46" i="15"/>
  <c r="Q85" i="15"/>
  <c r="Q58" i="15"/>
  <c r="Q98" i="15"/>
  <c r="Q12" i="15"/>
  <c r="Q61" i="15"/>
  <c r="Q14" i="15"/>
  <c r="X78" i="6"/>
  <c r="X86" i="6"/>
  <c r="X87" i="6" s="1"/>
  <c r="AB77" i="6"/>
  <c r="W86" i="6"/>
  <c r="W87" i="6" s="1"/>
  <c r="C16" i="13"/>
  <c r="C18" i="13" s="1"/>
  <c r="C20" i="13" s="1"/>
  <c r="W78" i="6"/>
  <c r="D86" i="6"/>
  <c r="D87" i="6" s="1"/>
  <c r="D78" i="6"/>
  <c r="AB86" i="6" l="1"/>
  <c r="I16" i="13"/>
  <c r="I18" i="13" s="1"/>
  <c r="I20" i="13" s="1"/>
  <c r="AB78" i="6"/>
  <c r="F21" i="13" l="1"/>
  <c r="E21" i="13" s="1"/>
  <c r="I21" i="13"/>
  <c r="H21" i="13"/>
  <c r="G21" i="13"/>
  <c r="P2" i="15"/>
  <c r="O2" i="15"/>
  <c r="R2" i="15" s="1"/>
  <c r="O63" i="15"/>
  <c r="P76" i="15"/>
  <c r="O95" i="15"/>
  <c r="O18" i="15"/>
  <c r="P82" i="15"/>
  <c r="O29" i="15"/>
  <c r="E44" i="15"/>
  <c r="P5" i="15"/>
  <c r="O57" i="15"/>
  <c r="P68" i="15"/>
  <c r="F45" i="15"/>
  <c r="P75" i="15"/>
  <c r="J42" i="15"/>
  <c r="J44" i="15"/>
  <c r="P80" i="15"/>
  <c r="P30" i="15"/>
  <c r="D44" i="15"/>
  <c r="P64" i="15"/>
  <c r="R64" i="15" s="1"/>
  <c r="P10" i="15"/>
  <c r="O24" i="15"/>
  <c r="O73" i="15"/>
  <c r="O66" i="15"/>
  <c r="O69" i="15"/>
  <c r="P61" i="15"/>
  <c r="O60" i="15"/>
  <c r="AB87" i="6"/>
  <c r="I43" i="15"/>
  <c r="P59" i="15"/>
  <c r="O4" i="15"/>
  <c r="P71" i="15"/>
  <c r="O25" i="15"/>
  <c r="O23" i="15"/>
  <c r="P20" i="15"/>
  <c r="E48" i="15"/>
  <c r="F43" i="15"/>
  <c r="P19" i="15"/>
  <c r="D47" i="15"/>
  <c r="O19" i="15"/>
  <c r="O61" i="15"/>
  <c r="P84" i="15"/>
  <c r="O14" i="15"/>
  <c r="O22" i="15"/>
  <c r="P36" i="15"/>
  <c r="O74" i="15"/>
  <c r="O12" i="15"/>
  <c r="P40" i="15"/>
  <c r="O102" i="15"/>
  <c r="O64" i="15"/>
  <c r="O79" i="15"/>
  <c r="P73" i="15"/>
  <c r="O85" i="15"/>
  <c r="P69" i="15"/>
  <c r="R69" i="15" s="1"/>
  <c r="G46" i="15"/>
  <c r="O96" i="15"/>
  <c r="O82" i="15"/>
  <c r="P9" i="15"/>
  <c r="P70" i="15"/>
  <c r="O103" i="15"/>
  <c r="P26" i="15"/>
  <c r="O15" i="15"/>
  <c r="E46" i="15"/>
  <c r="P23" i="15"/>
  <c r="D45" i="15"/>
  <c r="O17" i="15"/>
  <c r="P78" i="15"/>
  <c r="O39" i="15"/>
  <c r="O88" i="15"/>
  <c r="P96" i="15"/>
  <c r="P79" i="15"/>
  <c r="E47" i="15"/>
  <c r="O43" i="15"/>
  <c r="P18" i="15"/>
  <c r="O45" i="15"/>
  <c r="O6" i="15"/>
  <c r="P14" i="15"/>
  <c r="O86" i="15"/>
  <c r="O13" i="15"/>
  <c r="P65" i="15"/>
  <c r="O11" i="15"/>
  <c r="O77" i="15"/>
  <c r="F48" i="15"/>
  <c r="D42" i="15"/>
  <c r="O87" i="15"/>
  <c r="P62" i="15"/>
  <c r="O44" i="15"/>
  <c r="G48" i="15"/>
  <c r="P53" i="15"/>
  <c r="P86" i="15"/>
  <c r="H45" i="15"/>
  <c r="P67" i="15"/>
  <c r="R67" i="15" s="1"/>
  <c r="P15" i="15"/>
  <c r="J46" i="15"/>
  <c r="O65" i="15"/>
  <c r="P46" i="15"/>
  <c r="O47" i="15"/>
  <c r="H43" i="15"/>
  <c r="P41" i="15"/>
  <c r="P7" i="15"/>
  <c r="J45" i="15"/>
  <c r="I42" i="15"/>
  <c r="P81" i="15"/>
  <c r="I48" i="15"/>
  <c r="F46" i="15"/>
  <c r="J47" i="15"/>
  <c r="D43" i="15"/>
  <c r="P77" i="15"/>
  <c r="R77" i="15" s="1"/>
  <c r="P31" i="15"/>
  <c r="P17" i="15"/>
  <c r="O97" i="15"/>
  <c r="O81" i="15"/>
  <c r="P34" i="15"/>
  <c r="P58" i="15"/>
  <c r="P87" i="15"/>
  <c r="R87" i="15" s="1"/>
  <c r="P54" i="15"/>
  <c r="I45" i="15"/>
  <c r="D46" i="15"/>
  <c r="P94" i="15"/>
  <c r="O3" i="15"/>
  <c r="O42" i="15"/>
  <c r="P63" i="15"/>
  <c r="P8" i="15"/>
  <c r="O83" i="15"/>
  <c r="H48" i="15"/>
  <c r="P55" i="15"/>
  <c r="G45" i="15"/>
  <c r="O90" i="15"/>
  <c r="P100" i="15"/>
  <c r="O54" i="15"/>
  <c r="H42" i="15"/>
  <c r="O92" i="15"/>
  <c r="G42" i="15"/>
  <c r="I44" i="15"/>
  <c r="P28" i="15"/>
  <c r="P29" i="15"/>
  <c r="O101" i="15"/>
  <c r="O76" i="15"/>
  <c r="P6" i="15"/>
  <c r="R6" i="15" s="1"/>
  <c r="H47" i="15"/>
  <c r="H46" i="15"/>
  <c r="P95" i="15"/>
  <c r="P83" i="15"/>
  <c r="O5" i="15"/>
  <c r="P32" i="15"/>
  <c r="P39" i="15"/>
  <c r="O21" i="15"/>
  <c r="O27" i="15"/>
  <c r="P56" i="15"/>
  <c r="O8" i="15"/>
  <c r="O30" i="15"/>
  <c r="P25" i="15"/>
  <c r="P74" i="15"/>
  <c r="O62" i="15"/>
  <c r="G43" i="15"/>
  <c r="P21" i="15"/>
  <c r="O26" i="15"/>
  <c r="O41" i="15"/>
  <c r="P98" i="15"/>
  <c r="P97" i="15"/>
  <c r="O16" i="15"/>
  <c r="O56" i="15"/>
  <c r="O33" i="15"/>
  <c r="P24" i="15"/>
  <c r="O70" i="15"/>
  <c r="O80" i="15"/>
  <c r="P47" i="15"/>
  <c r="O32" i="15"/>
  <c r="I47" i="15"/>
  <c r="P37" i="15"/>
  <c r="O84" i="15"/>
  <c r="O53" i="15"/>
  <c r="O100" i="15"/>
  <c r="P44" i="15"/>
  <c r="R44" i="15" s="1"/>
  <c r="O28" i="15"/>
  <c r="P38" i="15"/>
  <c r="P13" i="15"/>
  <c r="P103" i="15"/>
  <c r="J43" i="15"/>
  <c r="P42" i="15"/>
  <c r="O36" i="15"/>
  <c r="O67" i="15"/>
  <c r="P101" i="15"/>
  <c r="P60" i="15"/>
  <c r="R60" i="15" s="1"/>
  <c r="F44" i="15"/>
  <c r="O99" i="15"/>
  <c r="P22" i="15"/>
  <c r="O72" i="15"/>
  <c r="O31" i="15"/>
  <c r="P89" i="15"/>
  <c r="O35" i="15"/>
  <c r="O10" i="15"/>
  <c r="P4" i="15"/>
  <c r="O46" i="15"/>
  <c r="E42" i="15"/>
  <c r="P43" i="15"/>
  <c r="R43" i="15" s="1"/>
  <c r="J48" i="15"/>
  <c r="O34" i="15"/>
  <c r="P90" i="15"/>
  <c r="O78" i="15"/>
  <c r="O68" i="15"/>
  <c r="P35" i="15"/>
  <c r="P45" i="15"/>
  <c r="G44" i="15"/>
  <c r="O89" i="15"/>
  <c r="P11" i="15"/>
  <c r="F47" i="15"/>
  <c r="O94" i="15"/>
  <c r="P66" i="15"/>
  <c r="P91" i="15"/>
  <c r="O55" i="15"/>
  <c r="F42" i="15"/>
  <c r="I46" i="15"/>
  <c r="O7" i="15"/>
  <c r="O71" i="15"/>
  <c r="P16" i="15"/>
  <c r="O20" i="15"/>
  <c r="O58" i="15"/>
  <c r="P92" i="15"/>
  <c r="O59" i="15"/>
  <c r="G47" i="15"/>
  <c r="E45" i="15"/>
  <c r="P12" i="15"/>
  <c r="P93" i="15"/>
  <c r="O93" i="15"/>
  <c r="O37" i="15"/>
  <c r="P3" i="15"/>
  <c r="R3" i="15" s="1"/>
  <c r="P72" i="15"/>
  <c r="O75" i="15"/>
  <c r="E43" i="15"/>
  <c r="P57" i="15"/>
  <c r="O98" i="15"/>
  <c r="D48" i="15"/>
  <c r="P33" i="15"/>
  <c r="H44" i="15"/>
  <c r="P102" i="15"/>
  <c r="R102" i="15" s="1"/>
  <c r="O91" i="15"/>
  <c r="O38" i="15"/>
  <c r="P85" i="15"/>
  <c r="O9" i="15"/>
  <c r="O40" i="15"/>
  <c r="P99" i="15"/>
  <c r="P27" i="15"/>
  <c r="P88" i="15"/>
  <c r="R42" i="15" l="1"/>
  <c r="R86" i="15"/>
  <c r="R97" i="15"/>
  <c r="R103" i="15"/>
  <c r="R93" i="15"/>
  <c r="R38" i="15"/>
  <c r="R24" i="15"/>
  <c r="R25" i="15"/>
  <c r="R54" i="15"/>
  <c r="R65" i="15"/>
  <c r="R71" i="15"/>
  <c r="R82" i="15"/>
  <c r="R12" i="15"/>
  <c r="R66" i="15"/>
  <c r="R74" i="15"/>
  <c r="R7" i="15"/>
  <c r="R23" i="15"/>
  <c r="R73" i="15"/>
  <c r="R92" i="15"/>
  <c r="R91" i="15"/>
  <c r="R88" i="15"/>
  <c r="R62" i="15"/>
  <c r="R57" i="15"/>
  <c r="R11" i="15"/>
  <c r="R80" i="15"/>
  <c r="C46" i="13"/>
  <c r="R37" i="15"/>
  <c r="R47" i="15"/>
  <c r="R81" i="15"/>
  <c r="R29" i="15"/>
  <c r="R22" i="15"/>
  <c r="R27" i="15"/>
  <c r="R17" i="15"/>
  <c r="R45" i="15"/>
  <c r="R85" i="15"/>
  <c r="R78" i="15"/>
  <c r="R55" i="15"/>
  <c r="R58" i="15"/>
  <c r="R84" i="15"/>
  <c r="R59" i="15"/>
  <c r="R30" i="15"/>
  <c r="R56" i="15"/>
  <c r="R34" i="15"/>
  <c r="R53" i="15"/>
  <c r="R14" i="15"/>
  <c r="R90" i="15"/>
  <c r="R76" i="15"/>
  <c r="R101" i="15"/>
  <c r="R98" i="15"/>
  <c r="R28" i="15"/>
  <c r="R8" i="15"/>
  <c r="R41" i="15"/>
  <c r="R63" i="15"/>
  <c r="R18" i="15"/>
  <c r="R19" i="15"/>
  <c r="R61" i="15"/>
  <c r="R75" i="15"/>
  <c r="R39" i="15"/>
  <c r="R4" i="15"/>
  <c r="R32" i="15"/>
  <c r="R31" i="15"/>
  <c r="R26" i="15"/>
  <c r="R16" i="15"/>
  <c r="R21" i="15"/>
  <c r="R46" i="15"/>
  <c r="R40" i="15"/>
  <c r="R68" i="15"/>
  <c r="R83" i="15"/>
  <c r="R94" i="15"/>
  <c r="R79" i="15"/>
  <c r="R70" i="15"/>
  <c r="R20" i="15"/>
  <c r="R33" i="15"/>
  <c r="R35" i="15"/>
  <c r="R89" i="15"/>
  <c r="R95" i="15"/>
  <c r="R96" i="15"/>
  <c r="R9" i="15"/>
  <c r="R5" i="15"/>
  <c r="R99" i="15"/>
  <c r="R72" i="15"/>
  <c r="R13" i="15"/>
  <c r="R100" i="15"/>
  <c r="R15" i="15"/>
  <c r="R36" i="15"/>
  <c r="R10" i="15"/>
  <c r="C31" i="10"/>
  <c r="E16" i="10" l="1"/>
  <c r="D31" i="10" s="1"/>
  <c r="E17" i="10"/>
  <c r="H27" i="5" s="1"/>
  <c r="F16" i="10"/>
  <c r="F17" i="10" s="1"/>
  <c r="H37" i="5" s="1"/>
  <c r="E31" i="10"/>
  <c r="D17" i="10"/>
  <c r="O12" i="13"/>
  <c r="N12" i="13"/>
  <c r="O14" i="13" l="1"/>
  <c r="I23" i="5"/>
  <c r="N14" i="13"/>
  <c r="H17" i="5"/>
  <c r="I13" i="5" s="1"/>
  <c r="P12" i="13"/>
  <c r="P14" i="13"/>
  <c r="I33" i="5"/>
  <c r="I24" i="5" l="1"/>
  <c r="I25" i="5"/>
  <c r="I26" i="5" s="1"/>
  <c r="I27" i="5" s="1"/>
  <c r="J23" i="5" s="1"/>
  <c r="I38" i="5"/>
  <c r="I28" i="5"/>
  <c r="I18" i="5"/>
  <c r="I14" i="5"/>
  <c r="I15" i="5"/>
  <c r="I16" i="5" s="1"/>
  <c r="I17" i="5" s="1"/>
  <c r="J13" i="5" s="1"/>
  <c r="I34" i="5"/>
  <c r="I35" i="5"/>
  <c r="I36" i="5" s="1"/>
  <c r="I29" i="5" l="1"/>
  <c r="J25" i="5"/>
  <c r="J26" i="5" s="1"/>
  <c r="J27" i="5" s="1"/>
  <c r="K23" i="5" s="1"/>
  <c r="J28" i="5"/>
  <c r="J24" i="5"/>
  <c r="J38" i="5"/>
  <c r="J18" i="5"/>
  <c r="J14" i="5"/>
  <c r="J15" i="5"/>
  <c r="J16" i="5" s="1"/>
  <c r="J17" i="5" s="1"/>
  <c r="K13" i="5" s="1"/>
  <c r="I37" i="5"/>
  <c r="J33" i="5" s="1"/>
  <c r="I39" i="5"/>
  <c r="I19" i="5"/>
  <c r="J29" i="5" l="1"/>
  <c r="J19" i="5"/>
  <c r="K24" i="5"/>
  <c r="K25" i="5"/>
  <c r="K26" i="5" s="1"/>
  <c r="K27" i="5" s="1"/>
  <c r="L23" i="5" s="1"/>
  <c r="K28" i="5"/>
  <c r="K38" i="5"/>
  <c r="J34" i="5"/>
  <c r="J35" i="5"/>
  <c r="J36" i="5" s="1"/>
  <c r="K18" i="5"/>
  <c r="K15" i="5"/>
  <c r="K16" i="5" s="1"/>
  <c r="K17" i="5" s="1"/>
  <c r="L13" i="5" s="1"/>
  <c r="K14" i="5"/>
  <c r="K29" i="5" l="1"/>
  <c r="L38" i="5"/>
  <c r="L28" i="5"/>
  <c r="L25" i="5"/>
  <c r="L26" i="5" s="1"/>
  <c r="L27" i="5" s="1"/>
  <c r="M23" i="5" s="1"/>
  <c r="L24" i="5"/>
  <c r="L18" i="5"/>
  <c r="L14" i="5"/>
  <c r="L15" i="5"/>
  <c r="L16" i="5" s="1"/>
  <c r="L17" i="5" s="1"/>
  <c r="M13" i="5" s="1"/>
  <c r="J37" i="5"/>
  <c r="K33" i="5" s="1"/>
  <c r="J39" i="5"/>
  <c r="K19" i="5"/>
  <c r="L29" i="5" l="1"/>
  <c r="M28" i="5"/>
  <c r="M38" i="5"/>
  <c r="M25" i="5"/>
  <c r="M26" i="5" s="1"/>
  <c r="M27" i="5" s="1"/>
  <c r="N23" i="5" s="1"/>
  <c r="M24" i="5"/>
  <c r="M18" i="5"/>
  <c r="M14" i="5"/>
  <c r="M15" i="5"/>
  <c r="M16" i="5" s="1"/>
  <c r="M17" i="5" s="1"/>
  <c r="N13" i="5" s="1"/>
  <c r="K34" i="5"/>
  <c r="K35" i="5"/>
  <c r="K36" i="5" s="1"/>
  <c r="L19" i="5"/>
  <c r="N38" i="5" l="1"/>
  <c r="N24" i="5"/>
  <c r="N28" i="5"/>
  <c r="N25" i="5"/>
  <c r="N26" i="5" s="1"/>
  <c r="N27" i="5" s="1"/>
  <c r="O23" i="5" s="1"/>
  <c r="M19" i="5"/>
  <c r="M29" i="5"/>
  <c r="K37" i="5"/>
  <c r="L33" i="5" s="1"/>
  <c r="K39" i="5"/>
  <c r="N14" i="5"/>
  <c r="N18" i="5"/>
  <c r="N15" i="5"/>
  <c r="N16" i="5" s="1"/>
  <c r="N17" i="5" s="1"/>
  <c r="O13" i="5" s="1"/>
  <c r="N29" i="5" l="1"/>
  <c r="O24" i="5"/>
  <c r="O38" i="5"/>
  <c r="O28" i="5"/>
  <c r="O25" i="5"/>
  <c r="O26" i="5" s="1"/>
  <c r="O27" i="5" s="1"/>
  <c r="P23" i="5" s="1"/>
  <c r="L34" i="5"/>
  <c r="L35" i="5"/>
  <c r="L36" i="5" s="1"/>
  <c r="O18" i="5"/>
  <c r="O14" i="5"/>
  <c r="O15" i="5"/>
  <c r="O16" i="5" s="1"/>
  <c r="O17" i="5" s="1"/>
  <c r="P13" i="5" s="1"/>
  <c r="N19" i="5"/>
  <c r="O29" i="5" l="1"/>
  <c r="P38" i="5"/>
  <c r="P24" i="5"/>
  <c r="P25" i="5"/>
  <c r="P26" i="5" s="1"/>
  <c r="P27" i="5" s="1"/>
  <c r="Q23" i="5" s="1"/>
  <c r="P28" i="5"/>
  <c r="L37" i="5"/>
  <c r="M33" i="5" s="1"/>
  <c r="L39" i="5"/>
  <c r="P14" i="5"/>
  <c r="P18" i="5"/>
  <c r="P15" i="5"/>
  <c r="P16" i="5" s="1"/>
  <c r="P17" i="5" s="1"/>
  <c r="Q13" i="5" s="1"/>
  <c r="O19" i="5"/>
  <c r="P29" i="5" l="1"/>
  <c r="Q28" i="5"/>
  <c r="Q24" i="5"/>
  <c r="Q38" i="5"/>
  <c r="Q25" i="5"/>
  <c r="Q26" i="5" s="1"/>
  <c r="Q27" i="5" s="1"/>
  <c r="R23" i="5" s="1"/>
  <c r="P19" i="5"/>
  <c r="M34" i="5"/>
  <c r="M35" i="5"/>
  <c r="M36" i="5" s="1"/>
  <c r="Q15" i="5"/>
  <c r="Q16" i="5" s="1"/>
  <c r="Q17" i="5" s="1"/>
  <c r="R13" i="5" s="1"/>
  <c r="Q18" i="5"/>
  <c r="Q14" i="5"/>
  <c r="Q19" i="5" l="1"/>
  <c r="R38" i="5"/>
  <c r="R28" i="5"/>
  <c r="R25" i="5"/>
  <c r="R24" i="5"/>
  <c r="Q29" i="5"/>
  <c r="R18" i="5"/>
  <c r="R14" i="5"/>
  <c r="R15" i="5"/>
  <c r="M37" i="5"/>
  <c r="N33" i="5" s="1"/>
  <c r="M39" i="5"/>
  <c r="R26" i="5" l="1"/>
  <c r="N34" i="5"/>
  <c r="N35" i="5"/>
  <c r="N36" i="5" s="1"/>
  <c r="R16" i="5"/>
  <c r="R17" i="5" s="1"/>
  <c r="R19" i="5"/>
  <c r="F40" i="13" l="1"/>
  <c r="R27" i="5"/>
  <c r="R29" i="5"/>
  <c r="E233" i="15" s="1"/>
  <c r="G40" i="13"/>
  <c r="D198" i="15"/>
  <c r="D240" i="15"/>
  <c r="D99" i="15"/>
  <c r="D105" i="15"/>
  <c r="D206" i="15"/>
  <c r="D224" i="15"/>
  <c r="D165" i="15"/>
  <c r="D154" i="15"/>
  <c r="D269" i="15"/>
  <c r="D94" i="15"/>
  <c r="D136" i="15"/>
  <c r="D167" i="15"/>
  <c r="D274" i="15"/>
  <c r="D156" i="15"/>
  <c r="D218" i="15"/>
  <c r="D267" i="15"/>
  <c r="D161" i="15"/>
  <c r="F28" i="13"/>
  <c r="F29" i="13" s="1"/>
  <c r="F31" i="13" s="1"/>
  <c r="D260" i="15"/>
  <c r="D200" i="15"/>
  <c r="D83" i="15"/>
  <c r="D259" i="15"/>
  <c r="D209" i="15"/>
  <c r="D254" i="15"/>
  <c r="D230" i="15"/>
  <c r="D90" i="15"/>
  <c r="D155" i="15"/>
  <c r="D196" i="15"/>
  <c r="D121" i="15"/>
  <c r="D247" i="15"/>
  <c r="D233" i="15"/>
  <c r="D92" i="15"/>
  <c r="D245" i="15"/>
  <c r="D229" i="15"/>
  <c r="D177" i="15"/>
  <c r="D127" i="15"/>
  <c r="D147" i="15"/>
  <c r="D186" i="15"/>
  <c r="D164" i="15"/>
  <c r="D201" i="15"/>
  <c r="D271" i="15"/>
  <c r="D199" i="15"/>
  <c r="D182" i="15"/>
  <c r="D84" i="15"/>
  <c r="D95" i="15"/>
  <c r="D184" i="15"/>
  <c r="D159" i="15"/>
  <c r="D239" i="15"/>
  <c r="D82" i="15"/>
  <c r="D266" i="15"/>
  <c r="D243" i="15"/>
  <c r="D215" i="15"/>
  <c r="D270" i="15"/>
  <c r="D178" i="15"/>
  <c r="D212" i="15"/>
  <c r="D141" i="15"/>
  <c r="D142" i="15"/>
  <c r="D166" i="15"/>
  <c r="D130" i="15"/>
  <c r="D133" i="15"/>
  <c r="D181" i="15"/>
  <c r="D231" i="15"/>
  <c r="D163" i="15"/>
  <c r="D152" i="15"/>
  <c r="D261" i="15"/>
  <c r="D173" i="15"/>
  <c r="D109" i="15"/>
  <c r="D236" i="15"/>
  <c r="D211" i="15"/>
  <c r="D213" i="15"/>
  <c r="D87" i="15"/>
  <c r="D193" i="15"/>
  <c r="D124" i="15"/>
  <c r="D119" i="15"/>
  <c r="D227" i="15"/>
  <c r="D98" i="15"/>
  <c r="D175" i="15"/>
  <c r="D113" i="15"/>
  <c r="D185" i="15"/>
  <c r="D115" i="15"/>
  <c r="D85" i="15"/>
  <c r="D135" i="15"/>
  <c r="D117" i="15"/>
  <c r="D187" i="15"/>
  <c r="D88" i="15"/>
  <c r="D174" i="15"/>
  <c r="D265" i="15"/>
  <c r="D216" i="15"/>
  <c r="D232" i="15"/>
  <c r="D75" i="15"/>
  <c r="D123" i="15"/>
  <c r="D248" i="15"/>
  <c r="D249" i="15"/>
  <c r="D207" i="15"/>
  <c r="D137" i="15"/>
  <c r="D138" i="15"/>
  <c r="D146" i="15"/>
  <c r="D126" i="15"/>
  <c r="D264" i="15"/>
  <c r="D255" i="15"/>
  <c r="D194" i="15"/>
  <c r="D234" i="15"/>
  <c r="D262" i="15"/>
  <c r="D91" i="15"/>
  <c r="D76" i="15"/>
  <c r="D125" i="15"/>
  <c r="D263" i="15"/>
  <c r="D235" i="15"/>
  <c r="D140" i="15"/>
  <c r="D149" i="15"/>
  <c r="D208" i="15"/>
  <c r="D86" i="15"/>
  <c r="D77" i="15"/>
  <c r="D101" i="15"/>
  <c r="D170" i="15"/>
  <c r="D190" i="15"/>
  <c r="D183" i="15"/>
  <c r="D162" i="15"/>
  <c r="D171" i="15"/>
  <c r="D158" i="15"/>
  <c r="D176" i="15"/>
  <c r="D134" i="15"/>
  <c r="D253" i="15"/>
  <c r="D150" i="15"/>
  <c r="D210" i="15"/>
  <c r="D100" i="15"/>
  <c r="D191" i="15"/>
  <c r="D120" i="15"/>
  <c r="D169" i="15"/>
  <c r="D118" i="15"/>
  <c r="D112" i="15"/>
  <c r="D96" i="15"/>
  <c r="D89" i="15"/>
  <c r="D202" i="15"/>
  <c r="D160" i="15"/>
  <c r="D104" i="15"/>
  <c r="D272" i="15"/>
  <c r="D114" i="15"/>
  <c r="D106" i="15"/>
  <c r="D110" i="15"/>
  <c r="D256" i="15"/>
  <c r="D225" i="15"/>
  <c r="D78" i="15"/>
  <c r="D197" i="15"/>
  <c r="D246" i="15"/>
  <c r="D220" i="15"/>
  <c r="D143" i="15"/>
  <c r="D221" i="15"/>
  <c r="D93" i="15"/>
  <c r="D129" i="15"/>
  <c r="D273" i="15"/>
  <c r="D131" i="15"/>
  <c r="D195" i="15"/>
  <c r="D257" i="15"/>
  <c r="D107" i="15"/>
  <c r="D122" i="15"/>
  <c r="D237" i="15"/>
  <c r="D116" i="15"/>
  <c r="D217" i="15"/>
  <c r="D223" i="15"/>
  <c r="D188" i="15"/>
  <c r="D128" i="15"/>
  <c r="D108" i="15"/>
  <c r="D219" i="15"/>
  <c r="D192" i="15"/>
  <c r="D81" i="15"/>
  <c r="D168" i="15"/>
  <c r="D180" i="15"/>
  <c r="D204" i="15"/>
  <c r="D157" i="15"/>
  <c r="D222" i="15"/>
  <c r="D79" i="15"/>
  <c r="D148" i="15"/>
  <c r="D241" i="15"/>
  <c r="D228" i="15"/>
  <c r="D226" i="15"/>
  <c r="D242" i="15"/>
  <c r="D258" i="15"/>
  <c r="D145" i="15"/>
  <c r="D251" i="15"/>
  <c r="D139" i="15"/>
  <c r="D74" i="15"/>
  <c r="D111" i="15"/>
  <c r="D250" i="15"/>
  <c r="D203" i="15"/>
  <c r="D252" i="15"/>
  <c r="D244" i="15"/>
  <c r="D205" i="15"/>
  <c r="D151" i="15"/>
  <c r="D214" i="15"/>
  <c r="D189" i="15"/>
  <c r="D268" i="15"/>
  <c r="D238" i="15"/>
  <c r="D97" i="15"/>
  <c r="D172" i="15"/>
  <c r="D144" i="15"/>
  <c r="D103" i="15"/>
  <c r="D132" i="15"/>
  <c r="D179" i="15"/>
  <c r="D102" i="15"/>
  <c r="D153" i="15"/>
  <c r="D80" i="15"/>
  <c r="N37" i="5"/>
  <c r="O33" i="5" s="1"/>
  <c r="N39" i="5"/>
  <c r="E101" i="15" l="1"/>
  <c r="E187" i="15"/>
  <c r="E85" i="15"/>
  <c r="E244" i="15"/>
  <c r="E135" i="15"/>
  <c r="E209" i="15"/>
  <c r="E215" i="15"/>
  <c r="E110" i="15"/>
  <c r="E198" i="15"/>
  <c r="E250" i="15"/>
  <c r="E230" i="15"/>
  <c r="E192" i="15"/>
  <c r="E203" i="15"/>
  <c r="E155" i="15"/>
  <c r="E147" i="15"/>
  <c r="E156" i="15"/>
  <c r="E82" i="15"/>
  <c r="E94" i="15"/>
  <c r="E251" i="15"/>
  <c r="E140" i="15"/>
  <c r="E168" i="15"/>
  <c r="E232" i="15"/>
  <c r="G28" i="13"/>
  <c r="G29" i="13" s="1"/>
  <c r="G31" i="13" s="1"/>
  <c r="E229" i="15"/>
  <c r="E141" i="15"/>
  <c r="E125" i="15"/>
  <c r="E216" i="15"/>
  <c r="E217" i="15"/>
  <c r="E144" i="15"/>
  <c r="E107" i="15"/>
  <c r="E118" i="15"/>
  <c r="E153" i="15"/>
  <c r="E246" i="15"/>
  <c r="E213" i="15"/>
  <c r="E234" i="15"/>
  <c r="E236" i="15"/>
  <c r="E222" i="15"/>
  <c r="E132" i="15"/>
  <c r="E274" i="15"/>
  <c r="E252" i="15"/>
  <c r="E191" i="15"/>
  <c r="E80" i="15"/>
  <c r="E267" i="15"/>
  <c r="E227" i="15"/>
  <c r="E148" i="15"/>
  <c r="E265" i="15"/>
  <c r="E122" i="15"/>
  <c r="E254" i="15"/>
  <c r="E189" i="15"/>
  <c r="E260" i="15"/>
  <c r="E129" i="15"/>
  <c r="E239" i="15"/>
  <c r="E152" i="15"/>
  <c r="E160" i="15"/>
  <c r="E199" i="15"/>
  <c r="E240" i="15"/>
  <c r="E177" i="15"/>
  <c r="E102" i="15"/>
  <c r="E223" i="15"/>
  <c r="E115" i="15"/>
  <c r="E114" i="15"/>
  <c r="E257" i="15"/>
  <c r="E228" i="15"/>
  <c r="E104" i="15"/>
  <c r="E242" i="15"/>
  <c r="E92" i="15"/>
  <c r="E157" i="15"/>
  <c r="E181" i="15"/>
  <c r="E235" i="15"/>
  <c r="E161" i="15"/>
  <c r="E163" i="15"/>
  <c r="E136" i="15"/>
  <c r="E255" i="15"/>
  <c r="E190" i="15"/>
  <c r="E167" i="15"/>
  <c r="E162" i="15"/>
  <c r="E273" i="15"/>
  <c r="E270" i="15"/>
  <c r="E133" i="15"/>
  <c r="E169" i="15"/>
  <c r="E225" i="15"/>
  <c r="E271" i="15"/>
  <c r="E247" i="15"/>
  <c r="E84" i="15"/>
  <c r="E83" i="15"/>
  <c r="E96" i="15"/>
  <c r="E124" i="15"/>
  <c r="E256" i="15"/>
  <c r="E131" i="15"/>
  <c r="E149" i="15"/>
  <c r="E241" i="15"/>
  <c r="E145" i="15"/>
  <c r="E166" i="15"/>
  <c r="E151" i="15"/>
  <c r="E211" i="15"/>
  <c r="E138" i="15"/>
  <c r="E130" i="15"/>
  <c r="E179" i="15"/>
  <c r="E91" i="15"/>
  <c r="E158" i="15"/>
  <c r="E139" i="15"/>
  <c r="E123" i="15"/>
  <c r="E142" i="15"/>
  <c r="E88" i="15"/>
  <c r="E74" i="15"/>
  <c r="E97" i="15"/>
  <c r="E205" i="15"/>
  <c r="E237" i="15"/>
  <c r="E86" i="15"/>
  <c r="E176" i="15"/>
  <c r="E87" i="15"/>
  <c r="E218" i="15"/>
  <c r="E196" i="15"/>
  <c r="E253" i="15"/>
  <c r="E75" i="15"/>
  <c r="E204" i="15"/>
  <c r="E98" i="15"/>
  <c r="E272" i="15"/>
  <c r="E219" i="15"/>
  <c r="E81" i="15"/>
  <c r="E170" i="15"/>
  <c r="E172" i="15"/>
  <c r="E197" i="15"/>
  <c r="E184" i="15"/>
  <c r="E263" i="15"/>
  <c r="E154" i="15"/>
  <c r="E99" i="15"/>
  <c r="E174" i="15"/>
  <c r="E262" i="15"/>
  <c r="E105" i="15"/>
  <c r="E128" i="15"/>
  <c r="E137" i="15"/>
  <c r="E193" i="15"/>
  <c r="E150" i="15"/>
  <c r="E188" i="15"/>
  <c r="E243" i="15"/>
  <c r="E207" i="15"/>
  <c r="E90" i="15"/>
  <c r="E185" i="15"/>
  <c r="E126" i="15"/>
  <c r="E249" i="15"/>
  <c r="E214" i="15"/>
  <c r="E76" i="15"/>
  <c r="E112" i="15"/>
  <c r="E264" i="15"/>
  <c r="E95" i="15"/>
  <c r="E178" i="15"/>
  <c r="E109" i="15"/>
  <c r="E212" i="15"/>
  <c r="E231" i="15"/>
  <c r="E186" i="15"/>
  <c r="E210" i="15"/>
  <c r="E261" i="15"/>
  <c r="E113" i="15"/>
  <c r="E202" i="15"/>
  <c r="E182" i="15"/>
  <c r="E259" i="15"/>
  <c r="E224" i="15"/>
  <c r="E111" i="15"/>
  <c r="E108" i="15"/>
  <c r="E266" i="15"/>
  <c r="E121" i="15"/>
  <c r="E159" i="15"/>
  <c r="E183" i="15"/>
  <c r="E106" i="15"/>
  <c r="E226" i="15"/>
  <c r="E175" i="15"/>
  <c r="E78" i="15"/>
  <c r="E200" i="15"/>
  <c r="E258" i="15"/>
  <c r="E194" i="15"/>
  <c r="E89" i="15"/>
  <c r="E165" i="15"/>
  <c r="E77" i="15"/>
  <c r="E195" i="15"/>
  <c r="E164" i="15"/>
  <c r="E268" i="15"/>
  <c r="E180" i="15"/>
  <c r="E221" i="15"/>
  <c r="E238" i="15"/>
  <c r="E248" i="15"/>
  <c r="E269" i="15"/>
  <c r="E143" i="15"/>
  <c r="E206" i="15"/>
  <c r="E100" i="15"/>
  <c r="E171" i="15"/>
  <c r="E117" i="15"/>
  <c r="E146" i="15"/>
  <c r="E127" i="15"/>
  <c r="E93" i="15"/>
  <c r="E208" i="15"/>
  <c r="E134" i="15"/>
  <c r="E220" i="15"/>
  <c r="E173" i="15"/>
  <c r="E119" i="15"/>
  <c r="E120" i="15"/>
  <c r="E245" i="15"/>
  <c r="E79" i="15"/>
  <c r="E116" i="15"/>
  <c r="E103" i="15"/>
  <c r="E201" i="15"/>
  <c r="O35" i="5"/>
  <c r="O36" i="5" s="1"/>
  <c r="O34" i="5"/>
  <c r="O37" i="5" l="1"/>
  <c r="P33" i="5" s="1"/>
  <c r="O39" i="5"/>
  <c r="P34" i="5" l="1"/>
  <c r="P35" i="5"/>
  <c r="P36" i="5" s="1"/>
  <c r="P37" i="5" l="1"/>
  <c r="Q33" i="5" s="1"/>
  <c r="P39" i="5"/>
  <c r="Q35" i="5" l="1"/>
  <c r="Q36" i="5" s="1"/>
  <c r="Q34" i="5"/>
  <c r="Q37" i="5" l="1"/>
  <c r="R33" i="5" s="1"/>
  <c r="Q39" i="5"/>
  <c r="R34" i="5" l="1"/>
  <c r="R35" i="5"/>
  <c r="H40" i="13" l="1"/>
  <c r="R36" i="5"/>
  <c r="R37" i="5" l="1"/>
  <c r="R39" i="5"/>
  <c r="F148" i="15" l="1"/>
  <c r="F215" i="15"/>
  <c r="F267" i="15"/>
  <c r="F169" i="15"/>
  <c r="F142" i="15"/>
  <c r="F172" i="15"/>
  <c r="F255" i="15"/>
  <c r="F137" i="15"/>
  <c r="F124" i="15"/>
  <c r="F106" i="15"/>
  <c r="F203" i="15"/>
  <c r="F83" i="15"/>
  <c r="F143" i="15"/>
  <c r="F229" i="15"/>
  <c r="F155" i="15"/>
  <c r="F114" i="15"/>
  <c r="F191" i="15"/>
  <c r="F127" i="15"/>
  <c r="F238" i="15"/>
  <c r="F232" i="15"/>
  <c r="F88" i="15"/>
  <c r="F247" i="15"/>
  <c r="F161" i="15"/>
  <c r="F239" i="15"/>
  <c r="F183" i="15"/>
  <c r="F139" i="15"/>
  <c r="F166" i="15"/>
  <c r="F146" i="15"/>
  <c r="F130" i="15"/>
  <c r="F153" i="15"/>
  <c r="F97" i="15"/>
  <c r="F273" i="15"/>
  <c r="F206" i="15"/>
  <c r="F199" i="15"/>
  <c r="F82" i="15"/>
  <c r="F99" i="15"/>
  <c r="F115" i="15"/>
  <c r="F205" i="15"/>
  <c r="F133" i="15"/>
  <c r="F213" i="15"/>
  <c r="F123" i="15"/>
  <c r="F175" i="15"/>
  <c r="F111" i="15"/>
  <c r="F244" i="15"/>
  <c r="F101" i="15"/>
  <c r="F256" i="15"/>
  <c r="F147" i="15"/>
  <c r="F81" i="15"/>
  <c r="F78" i="15"/>
  <c r="F207" i="15"/>
  <c r="F216" i="15"/>
  <c r="F94" i="15"/>
  <c r="F241" i="15"/>
  <c r="F116" i="15"/>
  <c r="F225" i="15"/>
  <c r="F234" i="15"/>
  <c r="F193" i="15"/>
  <c r="F144" i="15"/>
  <c r="F102" i="15"/>
  <c r="F248" i="15"/>
  <c r="F96" i="15"/>
  <c r="F178" i="15"/>
  <c r="F164" i="15"/>
  <c r="F254" i="15"/>
  <c r="F253" i="15"/>
  <c r="F85" i="15"/>
  <c r="F159" i="15"/>
  <c r="F86" i="15"/>
  <c r="F233" i="15"/>
  <c r="F165" i="15"/>
  <c r="F100" i="15"/>
  <c r="F230" i="15"/>
  <c r="F113" i="15"/>
  <c r="F196" i="15"/>
  <c r="F98" i="15"/>
  <c r="F90" i="15"/>
  <c r="F182" i="15"/>
  <c r="F110" i="15"/>
  <c r="F269" i="15"/>
  <c r="F223" i="15"/>
  <c r="F224" i="15"/>
  <c r="F180" i="15"/>
  <c r="F120" i="15"/>
  <c r="F201" i="15"/>
  <c r="F119" i="15"/>
  <c r="F134" i="15"/>
  <c r="F217" i="15"/>
  <c r="F105" i="15"/>
  <c r="F263" i="15"/>
  <c r="F212" i="15"/>
  <c r="F112" i="15"/>
  <c r="F262" i="15"/>
  <c r="F222" i="15"/>
  <c r="F92" i="15"/>
  <c r="F152" i="15"/>
  <c r="F218" i="15"/>
  <c r="F149" i="15"/>
  <c r="F174" i="15"/>
  <c r="F158" i="15"/>
  <c r="F268" i="15"/>
  <c r="F177" i="15"/>
  <c r="F187" i="15"/>
  <c r="F170" i="15"/>
  <c r="F135" i="15"/>
  <c r="F128" i="15"/>
  <c r="F246" i="15"/>
  <c r="F200" i="15"/>
  <c r="F184" i="15"/>
  <c r="F136" i="15"/>
  <c r="F243" i="15"/>
  <c r="F266" i="15"/>
  <c r="F221" i="15"/>
  <c r="F237" i="15"/>
  <c r="F160" i="15"/>
  <c r="F210" i="15"/>
  <c r="F154" i="15"/>
  <c r="F208" i="15"/>
  <c r="F192" i="15"/>
  <c r="F188" i="15"/>
  <c r="F264" i="15"/>
  <c r="F117" i="15"/>
  <c r="F198" i="15"/>
  <c r="F271" i="15"/>
  <c r="F74" i="15"/>
  <c r="F125" i="15"/>
  <c r="F235" i="15"/>
  <c r="F156" i="15"/>
  <c r="F75" i="15"/>
  <c r="F185" i="15"/>
  <c r="F131" i="15"/>
  <c r="F242" i="15"/>
  <c r="F157" i="15"/>
  <c r="F95" i="15"/>
  <c r="F121" i="15"/>
  <c r="F261" i="15"/>
  <c r="F109" i="15"/>
  <c r="F214" i="15"/>
  <c r="F202" i="15"/>
  <c r="F138" i="15"/>
  <c r="F176" i="15"/>
  <c r="F226" i="15"/>
  <c r="F126" i="15"/>
  <c r="F252" i="15"/>
  <c r="F181" i="15"/>
  <c r="F186" i="15"/>
  <c r="F93" i="15"/>
  <c r="F171" i="15"/>
  <c r="F173" i="15"/>
  <c r="F195" i="15"/>
  <c r="F251" i="15"/>
  <c r="F227" i="15"/>
  <c r="F141" i="15"/>
  <c r="F190" i="15"/>
  <c r="F163" i="15"/>
  <c r="F272" i="15"/>
  <c r="F249" i="15"/>
  <c r="F259" i="15"/>
  <c r="F250" i="15"/>
  <c r="F258" i="15"/>
  <c r="F211" i="15"/>
  <c r="F194" i="15"/>
  <c r="F118" i="15"/>
  <c r="F122" i="15"/>
  <c r="F77" i="15"/>
  <c r="F179" i="15"/>
  <c r="F104" i="15"/>
  <c r="F79" i="15"/>
  <c r="F162" i="15"/>
  <c r="F76" i="15"/>
  <c r="F167" i="15"/>
  <c r="F219" i="15"/>
  <c r="F197" i="15"/>
  <c r="F257" i="15"/>
  <c r="F145" i="15"/>
  <c r="F220" i="15"/>
  <c r="F265" i="15"/>
  <c r="F168" i="15"/>
  <c r="F103" i="15"/>
  <c r="F260" i="15"/>
  <c r="F228" i="15"/>
  <c r="F240" i="15"/>
  <c r="F91" i="15"/>
  <c r="F189" i="15"/>
  <c r="F231" i="15"/>
  <c r="F80" i="15"/>
  <c r="F204" i="15"/>
  <c r="F150" i="15"/>
  <c r="F89" i="15"/>
  <c r="H28" i="13"/>
  <c r="H29" i="13" s="1"/>
  <c r="H31" i="13" s="1"/>
  <c r="F140" i="15"/>
  <c r="F245" i="15"/>
  <c r="F274" i="15"/>
  <c r="F132" i="15"/>
  <c r="F108" i="15"/>
  <c r="F236" i="15"/>
  <c r="F84" i="15"/>
  <c r="F151" i="15"/>
  <c r="F209" i="15"/>
  <c r="F270" i="15"/>
  <c r="F107" i="15"/>
  <c r="F129" i="15"/>
  <c r="F87" i="15"/>
  <c r="F31" i="10"/>
  <c r="G17" i="10"/>
  <c r="Q14" i="13" s="1"/>
  <c r="H47" i="5"/>
  <c r="I43" i="5"/>
  <c r="I45" i="5" s="1"/>
  <c r="I46" i="5" s="1"/>
  <c r="I47" i="5" s="1"/>
  <c r="J43" i="5" s="1"/>
  <c r="J48" i="5" l="1"/>
  <c r="J44" i="5"/>
  <c r="J45" i="5"/>
  <c r="J46" i="5" s="1"/>
  <c r="J47" i="5" s="1"/>
  <c r="K43" i="5" s="1"/>
  <c r="I48" i="5"/>
  <c r="I49" i="5" s="1"/>
  <c r="I44" i="5"/>
  <c r="Q12" i="13"/>
  <c r="H83" i="15" l="1"/>
  <c r="H226" i="15"/>
  <c r="H218" i="15"/>
  <c r="H214" i="15"/>
  <c r="H200" i="15"/>
  <c r="H89" i="15"/>
  <c r="H223" i="15"/>
  <c r="H165" i="15"/>
  <c r="H149" i="15"/>
  <c r="H121" i="15"/>
  <c r="H229" i="15"/>
  <c r="H155" i="15"/>
  <c r="H270" i="15"/>
  <c r="H85" i="15"/>
  <c r="H123" i="15"/>
  <c r="H117" i="15"/>
  <c r="H260" i="15"/>
  <c r="H219" i="15"/>
  <c r="H254" i="15"/>
  <c r="H126" i="15"/>
  <c r="H190" i="15"/>
  <c r="H228" i="15"/>
  <c r="H142" i="15"/>
  <c r="H183" i="15"/>
  <c r="H274" i="15"/>
  <c r="H211" i="15"/>
  <c r="H118" i="15"/>
  <c r="H102" i="15"/>
  <c r="H127" i="15"/>
  <c r="H98" i="15"/>
  <c r="H103" i="15"/>
  <c r="H111" i="15"/>
  <c r="H197" i="15"/>
  <c r="H130" i="15"/>
  <c r="H74" i="15"/>
  <c r="H170" i="15"/>
  <c r="H173" i="15"/>
  <c r="H193" i="15"/>
  <c r="H236" i="15"/>
  <c r="H172" i="15"/>
  <c r="H227" i="15"/>
  <c r="H181" i="15"/>
  <c r="H77" i="15"/>
  <c r="H176" i="15"/>
  <c r="H152" i="15"/>
  <c r="H162" i="15"/>
  <c r="H192" i="15"/>
  <c r="H99" i="15"/>
  <c r="H259" i="15"/>
  <c r="H187" i="15"/>
  <c r="H86" i="15"/>
  <c r="H145" i="15"/>
  <c r="H199" i="15"/>
  <c r="H146" i="15"/>
  <c r="H157" i="15"/>
  <c r="H272" i="15"/>
  <c r="H144" i="15"/>
  <c r="H235" i="15"/>
  <c r="H247" i="15"/>
  <c r="H160" i="15"/>
  <c r="H178" i="15"/>
  <c r="H252" i="15"/>
  <c r="H232" i="15"/>
  <c r="H122" i="15"/>
  <c r="H97" i="15"/>
  <c r="H104" i="15"/>
  <c r="H159" i="15"/>
  <c r="H125" i="15"/>
  <c r="H273" i="15"/>
  <c r="H137" i="15"/>
  <c r="H134" i="15"/>
  <c r="H215" i="15"/>
  <c r="H264" i="15"/>
  <c r="H93" i="15"/>
  <c r="I30" i="13"/>
  <c r="H76" i="15"/>
  <c r="H164" i="15"/>
  <c r="H269" i="15"/>
  <c r="H237" i="15"/>
  <c r="H107" i="15"/>
  <c r="H224" i="15"/>
  <c r="H175" i="15"/>
  <c r="H161" i="15"/>
  <c r="H204" i="15"/>
  <c r="H208" i="15"/>
  <c r="H179" i="15"/>
  <c r="H141" i="15"/>
  <c r="H268" i="15"/>
  <c r="H128" i="15"/>
  <c r="H174" i="15"/>
  <c r="H220" i="15"/>
  <c r="H138" i="15"/>
  <c r="H262" i="15"/>
  <c r="H207" i="15"/>
  <c r="H205" i="15"/>
  <c r="H169" i="15"/>
  <c r="H110" i="15"/>
  <c r="H255" i="15"/>
  <c r="H257" i="15"/>
  <c r="H244" i="15"/>
  <c r="H238" i="15"/>
  <c r="H114" i="15"/>
  <c r="H96" i="15"/>
  <c r="H116" i="15"/>
  <c r="H191" i="15"/>
  <c r="H216" i="15"/>
  <c r="H119" i="15"/>
  <c r="H109" i="15"/>
  <c r="H105" i="15"/>
  <c r="H136" i="15"/>
  <c r="H82" i="15"/>
  <c r="H81" i="15"/>
  <c r="H154" i="15"/>
  <c r="H133" i="15"/>
  <c r="H261" i="15"/>
  <c r="H240" i="15"/>
  <c r="H167" i="15"/>
  <c r="H263" i="15"/>
  <c r="H88" i="15"/>
  <c r="H182" i="15"/>
  <c r="H188" i="15"/>
  <c r="H112" i="15"/>
  <c r="H221" i="15"/>
  <c r="H194" i="15"/>
  <c r="H140" i="15"/>
  <c r="H151" i="15"/>
  <c r="H120" i="15"/>
  <c r="H258" i="15"/>
  <c r="H217" i="15"/>
  <c r="H124" i="15"/>
  <c r="H185" i="15"/>
  <c r="H251" i="15"/>
  <c r="H267" i="15"/>
  <c r="H253" i="15"/>
  <c r="H203" i="15"/>
  <c r="H92" i="15"/>
  <c r="H241" i="15"/>
  <c r="H256" i="15"/>
  <c r="H115" i="15"/>
  <c r="H271" i="15"/>
  <c r="H249" i="15"/>
  <c r="H198" i="15"/>
  <c r="H222" i="15"/>
  <c r="H242" i="15"/>
  <c r="H106" i="15"/>
  <c r="H129" i="15"/>
  <c r="H135" i="15"/>
  <c r="H94" i="15"/>
  <c r="H201" i="15"/>
  <c r="H95" i="15"/>
  <c r="H150" i="15"/>
  <c r="H248" i="15"/>
  <c r="H101" i="15"/>
  <c r="H75" i="15"/>
  <c r="H189" i="15"/>
  <c r="H148" i="15"/>
  <c r="H78" i="15"/>
  <c r="H231" i="15"/>
  <c r="H212" i="15"/>
  <c r="H168" i="15"/>
  <c r="H239" i="15"/>
  <c r="H225" i="15"/>
  <c r="H156" i="15"/>
  <c r="H206" i="15"/>
  <c r="H265" i="15"/>
  <c r="H230" i="15"/>
  <c r="H147" i="15"/>
  <c r="H186" i="15"/>
  <c r="H213" i="15"/>
  <c r="H87" i="15"/>
  <c r="H166" i="15"/>
  <c r="H177" i="15"/>
  <c r="H80" i="15"/>
  <c r="H108" i="15"/>
  <c r="H233" i="15"/>
  <c r="H84" i="15"/>
  <c r="H131" i="15"/>
  <c r="H210" i="15"/>
  <c r="H209" i="15"/>
  <c r="H196" i="15"/>
  <c r="H143" i="15"/>
  <c r="H91" i="15"/>
  <c r="H195" i="15"/>
  <c r="H153" i="15"/>
  <c r="H132" i="15"/>
  <c r="H246" i="15"/>
  <c r="H163" i="15"/>
  <c r="H139" i="15"/>
  <c r="H266" i="15"/>
  <c r="H90" i="15"/>
  <c r="H202" i="15"/>
  <c r="H250" i="15"/>
  <c r="H100" i="15"/>
  <c r="H243" i="15"/>
  <c r="H180" i="15"/>
  <c r="H245" i="15"/>
  <c r="H158" i="15"/>
  <c r="H171" i="15"/>
  <c r="H184" i="15"/>
  <c r="H234" i="15"/>
  <c r="H79" i="15"/>
  <c r="H113" i="15"/>
  <c r="K44" i="5"/>
  <c r="K48" i="5"/>
  <c r="K49" i="5" s="1"/>
  <c r="K45" i="5"/>
  <c r="K46" i="5" s="1"/>
  <c r="K47" i="5" s="1"/>
  <c r="L43" i="5" s="1"/>
  <c r="J49" i="5"/>
  <c r="L48" i="5" l="1"/>
  <c r="L44" i="5"/>
  <c r="L45" i="5"/>
  <c r="L46" i="5" s="1"/>
  <c r="L47" i="5" s="1"/>
  <c r="M43" i="5" s="1"/>
  <c r="M44" i="5" l="1"/>
  <c r="M48" i="5"/>
  <c r="M49" i="5" s="1"/>
  <c r="M45" i="5"/>
  <c r="M46" i="5" s="1"/>
  <c r="M47" i="5" s="1"/>
  <c r="N43" i="5" s="1"/>
  <c r="L49" i="5"/>
  <c r="N48" i="5" l="1"/>
  <c r="N44" i="5"/>
  <c r="N45" i="5"/>
  <c r="N46" i="5" s="1"/>
  <c r="N47" i="5" s="1"/>
  <c r="O43" i="5" s="1"/>
  <c r="O44" i="5" l="1"/>
  <c r="O45" i="5"/>
  <c r="O46" i="5" s="1"/>
  <c r="O47" i="5" s="1"/>
  <c r="P43" i="5" s="1"/>
  <c r="O48" i="5"/>
  <c r="N49" i="5"/>
  <c r="E32" i="13" s="1"/>
  <c r="E33" i="13" s="1"/>
  <c r="P48" i="5" l="1"/>
  <c r="P44" i="5"/>
  <c r="P45" i="5"/>
  <c r="P46" i="5" s="1"/>
  <c r="P47" i="5" s="1"/>
  <c r="Q43" i="5" s="1"/>
  <c r="O49" i="5"/>
  <c r="F32" i="13" s="1"/>
  <c r="F33" i="13" s="1"/>
  <c r="Q44" i="5" l="1"/>
  <c r="Q45" i="5"/>
  <c r="Q46" i="5" s="1"/>
  <c r="Q47" i="5" s="1"/>
  <c r="R43" i="5" s="1"/>
  <c r="Q48" i="5"/>
  <c r="Q49" i="5" s="1"/>
  <c r="H32" i="13" s="1"/>
  <c r="H33" i="13" s="1"/>
  <c r="P49" i="5"/>
  <c r="G32" i="13" s="1"/>
  <c r="G33" i="13" s="1"/>
  <c r="R48" i="5" l="1"/>
  <c r="R44" i="5"/>
  <c r="R45" i="5"/>
  <c r="R46" i="5" l="1"/>
  <c r="R47" i="5" s="1"/>
  <c r="I28" i="13" l="1"/>
  <c r="I29" i="13" s="1"/>
  <c r="I31" i="13" s="1"/>
  <c r="G92" i="15"/>
  <c r="G155" i="15"/>
  <c r="G167" i="15"/>
  <c r="R49" i="5"/>
  <c r="G78" i="15" s="1"/>
  <c r="I40" i="13"/>
  <c r="I41" i="13" s="1"/>
  <c r="H41" i="13" s="1"/>
  <c r="G41" i="13" s="1"/>
  <c r="F41" i="13" s="1"/>
  <c r="E41" i="13" s="1"/>
  <c r="C48" i="13" s="1"/>
  <c r="G245" i="15" l="1"/>
  <c r="G273" i="15"/>
  <c r="G74" i="15"/>
  <c r="G203" i="15"/>
  <c r="G200" i="15"/>
  <c r="I200" i="15" s="1"/>
  <c r="J200" i="15" s="1"/>
  <c r="G129" i="15"/>
  <c r="I129" i="15" s="1"/>
  <c r="J129" i="15" s="1"/>
  <c r="G126" i="15"/>
  <c r="I126" i="15" s="1"/>
  <c r="J126" i="15" s="1"/>
  <c r="G257" i="15"/>
  <c r="I257" i="15" s="1"/>
  <c r="J257" i="15" s="1"/>
  <c r="G135" i="15"/>
  <c r="I135" i="15" s="1"/>
  <c r="J135" i="15" s="1"/>
  <c r="G211" i="15"/>
  <c r="I211" i="15" s="1"/>
  <c r="J211" i="15" s="1"/>
  <c r="G88" i="15"/>
  <c r="G219" i="15"/>
  <c r="G139" i="15"/>
  <c r="G236" i="15"/>
  <c r="G218" i="15"/>
  <c r="G268" i="15"/>
  <c r="I268" i="15" s="1"/>
  <c r="J268" i="15" s="1"/>
  <c r="G142" i="15"/>
  <c r="I142" i="15" s="1"/>
  <c r="J142" i="15" s="1"/>
  <c r="G226" i="15"/>
  <c r="I226" i="15" s="1"/>
  <c r="J226" i="15" s="1"/>
  <c r="G77" i="15"/>
  <c r="I77" i="15" s="1"/>
  <c r="J77" i="15" s="1"/>
  <c r="G141" i="15"/>
  <c r="I141" i="15" s="1"/>
  <c r="J141" i="15" s="1"/>
  <c r="G174" i="15"/>
  <c r="I174" i="15" s="1"/>
  <c r="J174" i="15" s="1"/>
  <c r="G263" i="15"/>
  <c r="I263" i="15" s="1"/>
  <c r="J263" i="15" s="1"/>
  <c r="G164" i="15"/>
  <c r="G208" i="15"/>
  <c r="G256" i="15"/>
  <c r="G241" i="15"/>
  <c r="G87" i="15"/>
  <c r="I87" i="15" s="1"/>
  <c r="J87" i="15" s="1"/>
  <c r="G152" i="15"/>
  <c r="I152" i="15" s="1"/>
  <c r="J152" i="15" s="1"/>
  <c r="G205" i="15"/>
  <c r="I205" i="15" s="1"/>
  <c r="J205" i="15" s="1"/>
  <c r="G117" i="15"/>
  <c r="I117" i="15" s="1"/>
  <c r="J117" i="15" s="1"/>
  <c r="G85" i="15"/>
  <c r="I85" i="15" s="1"/>
  <c r="J85" i="15" s="1"/>
  <c r="G232" i="15"/>
  <c r="I232" i="15" s="1"/>
  <c r="J232" i="15" s="1"/>
  <c r="G204" i="15"/>
  <c r="I204" i="15" s="1"/>
  <c r="J204" i="15" s="1"/>
  <c r="G243" i="15"/>
  <c r="G230" i="15"/>
  <c r="G111" i="15"/>
  <c r="G81" i="15"/>
  <c r="G148" i="15"/>
  <c r="I148" i="15" s="1"/>
  <c r="J148" i="15" s="1"/>
  <c r="G113" i="15"/>
  <c r="I113" i="15" s="1"/>
  <c r="J113" i="15" s="1"/>
  <c r="G271" i="15"/>
  <c r="I271" i="15" s="1"/>
  <c r="J271" i="15" s="1"/>
  <c r="G179" i="15"/>
  <c r="I179" i="15" s="1"/>
  <c r="J179" i="15" s="1"/>
  <c r="G124" i="15"/>
  <c r="I124" i="15" s="1"/>
  <c r="J124" i="15" s="1"/>
  <c r="G239" i="15"/>
  <c r="I239" i="15" s="1"/>
  <c r="J239" i="15" s="1"/>
  <c r="G249" i="15"/>
  <c r="I249" i="15" s="1"/>
  <c r="J249" i="15" s="1"/>
  <c r="G189" i="15"/>
  <c r="I189" i="15" s="1"/>
  <c r="J189" i="15" s="1"/>
  <c r="G123" i="15"/>
  <c r="G114" i="15"/>
  <c r="G94" i="15"/>
  <c r="G217" i="15"/>
  <c r="G242" i="15"/>
  <c r="I242" i="15" s="1"/>
  <c r="J242" i="15" s="1"/>
  <c r="G186" i="15"/>
  <c r="I186" i="15" s="1"/>
  <c r="J186" i="15" s="1"/>
  <c r="G80" i="15"/>
  <c r="I80" i="15" s="1"/>
  <c r="J80" i="15" s="1"/>
  <c r="G136" i="15"/>
  <c r="I136" i="15" s="1"/>
  <c r="J136" i="15" s="1"/>
  <c r="G182" i="15"/>
  <c r="I182" i="15" s="1"/>
  <c r="J182" i="15" s="1"/>
  <c r="G225" i="15"/>
  <c r="I225" i="15" s="1"/>
  <c r="J225" i="15" s="1"/>
  <c r="G159" i="15"/>
  <c r="I159" i="15" s="1"/>
  <c r="J159" i="15" s="1"/>
  <c r="G206" i="15"/>
  <c r="I206" i="15" s="1"/>
  <c r="J206" i="15" s="1"/>
  <c r="G253" i="15"/>
  <c r="D9" i="14"/>
  <c r="D14" i="14" s="1"/>
  <c r="I32" i="13"/>
  <c r="I78" i="15" s="1"/>
  <c r="J78" i="15" s="1"/>
  <c r="G194" i="15"/>
  <c r="I194" i="15" s="1"/>
  <c r="J194" i="15" s="1"/>
  <c r="G193" i="15"/>
  <c r="I193" i="15" s="1"/>
  <c r="J193" i="15" s="1"/>
  <c r="G213" i="15"/>
  <c r="I213" i="15" s="1"/>
  <c r="J213" i="15" s="1"/>
  <c r="G214" i="15"/>
  <c r="I214" i="15" s="1"/>
  <c r="J214" i="15" s="1"/>
  <c r="G97" i="15"/>
  <c r="I97" i="15" s="1"/>
  <c r="J97" i="15" s="1"/>
  <c r="G172" i="15"/>
  <c r="I172" i="15" s="1"/>
  <c r="J172" i="15" s="1"/>
  <c r="G212" i="15"/>
  <c r="I212" i="15" s="1"/>
  <c r="J212" i="15" s="1"/>
  <c r="G146" i="15"/>
  <c r="I146" i="15" s="1"/>
  <c r="J146" i="15" s="1"/>
  <c r="G119" i="15"/>
  <c r="I119" i="15" s="1"/>
  <c r="J119" i="15" s="1"/>
  <c r="G170" i="15"/>
  <c r="G265" i="15"/>
  <c r="I265" i="15" s="1"/>
  <c r="J265" i="15" s="1"/>
  <c r="G143" i="15"/>
  <c r="I143" i="15" s="1"/>
  <c r="J143" i="15" s="1"/>
  <c r="G259" i="15"/>
  <c r="I259" i="15" s="1"/>
  <c r="J259" i="15" s="1"/>
  <c r="G106" i="15"/>
  <c r="I106" i="15" s="1"/>
  <c r="J106" i="15" s="1"/>
  <c r="G118" i="15"/>
  <c r="I118" i="15" s="1"/>
  <c r="J118" i="15" s="1"/>
  <c r="G237" i="15"/>
  <c r="I237" i="15" s="1"/>
  <c r="J237" i="15" s="1"/>
  <c r="G196" i="15"/>
  <c r="I196" i="15" s="1"/>
  <c r="J196" i="15" s="1"/>
  <c r="G238" i="15"/>
  <c r="I238" i="15" s="1"/>
  <c r="J238" i="15" s="1"/>
  <c r="I167" i="15"/>
  <c r="J167" i="15" s="1"/>
  <c r="G91" i="15"/>
  <c r="I91" i="15" s="1"/>
  <c r="J91" i="15" s="1"/>
  <c r="G175" i="15"/>
  <c r="I175" i="15" s="1"/>
  <c r="J175" i="15" s="1"/>
  <c r="G199" i="15"/>
  <c r="G110" i="15"/>
  <c r="I110" i="15" s="1"/>
  <c r="J110" i="15" s="1"/>
  <c r="G95" i="15"/>
  <c r="I95" i="15" s="1"/>
  <c r="J95" i="15" s="1"/>
  <c r="G220" i="15"/>
  <c r="I220" i="15" s="1"/>
  <c r="J220" i="15" s="1"/>
  <c r="G223" i="15"/>
  <c r="I223" i="15" s="1"/>
  <c r="J223" i="15" s="1"/>
  <c r="G173" i="15"/>
  <c r="I173" i="15" s="1"/>
  <c r="J173" i="15" s="1"/>
  <c r="G222" i="15"/>
  <c r="I222" i="15" s="1"/>
  <c r="J222" i="15" s="1"/>
  <c r="I33" i="13"/>
  <c r="G224" i="15"/>
  <c r="I224" i="15" s="1"/>
  <c r="J224" i="15" s="1"/>
  <c r="G255" i="15"/>
  <c r="I255" i="15" s="1"/>
  <c r="J255" i="15" s="1"/>
  <c r="G83" i="15"/>
  <c r="I83" i="15" s="1"/>
  <c r="J83" i="15" s="1"/>
  <c r="G191" i="15"/>
  <c r="I191" i="15" s="1"/>
  <c r="J191" i="15" s="1"/>
  <c r="G207" i="15"/>
  <c r="I207" i="15" s="1"/>
  <c r="J207" i="15" s="1"/>
  <c r="G138" i="15"/>
  <c r="I138" i="15" s="1"/>
  <c r="J138" i="15" s="1"/>
  <c r="G105" i="15"/>
  <c r="I105" i="15" s="1"/>
  <c r="J105" i="15" s="1"/>
  <c r="G180" i="15"/>
  <c r="I180" i="15" s="1"/>
  <c r="J180" i="15" s="1"/>
  <c r="G215" i="15"/>
  <c r="I215" i="15" s="1"/>
  <c r="J215" i="15" s="1"/>
  <c r="G132" i="15"/>
  <c r="I132" i="15" s="1"/>
  <c r="J132" i="15" s="1"/>
  <c r="G102" i="15"/>
  <c r="I102" i="15" s="1"/>
  <c r="J102" i="15" s="1"/>
  <c r="G140" i="15"/>
  <c r="I140" i="15" s="1"/>
  <c r="J140" i="15" s="1"/>
  <c r="G250" i="15"/>
  <c r="I250" i="15" s="1"/>
  <c r="J250" i="15" s="1"/>
  <c r="G210" i="15"/>
  <c r="I210" i="15" s="1"/>
  <c r="J210" i="15" s="1"/>
  <c r="G181" i="15"/>
  <c r="I181" i="15" s="1"/>
  <c r="J181" i="15" s="1"/>
  <c r="G188" i="15"/>
  <c r="I188" i="15" s="1"/>
  <c r="J188" i="15" s="1"/>
  <c r="G93" i="15"/>
  <c r="I93" i="15" s="1"/>
  <c r="J93" i="15" s="1"/>
  <c r="G162" i="15"/>
  <c r="I162" i="15" s="1"/>
  <c r="J162" i="15" s="1"/>
  <c r="G260" i="15"/>
  <c r="I260" i="15" s="1"/>
  <c r="J260" i="15" s="1"/>
  <c r="G176" i="15"/>
  <c r="I176" i="15" s="1"/>
  <c r="J176" i="15" s="1"/>
  <c r="G82" i="15"/>
  <c r="I82" i="15" s="1"/>
  <c r="J82" i="15" s="1"/>
  <c r="G100" i="15"/>
  <c r="I100" i="15" s="1"/>
  <c r="J100" i="15" s="1"/>
  <c r="G116" i="15"/>
  <c r="I116" i="15" s="1"/>
  <c r="J116" i="15" s="1"/>
  <c r="G128" i="15"/>
  <c r="I128" i="15" s="1"/>
  <c r="J128" i="15" s="1"/>
  <c r="G156" i="15"/>
  <c r="I156" i="15" s="1"/>
  <c r="J156" i="15" s="1"/>
  <c r="G112" i="15"/>
  <c r="I112" i="15" s="1"/>
  <c r="J112" i="15" s="1"/>
  <c r="G130" i="15"/>
  <c r="I130" i="15" s="1"/>
  <c r="J130" i="15" s="1"/>
  <c r="G244" i="15"/>
  <c r="I244" i="15" s="1"/>
  <c r="J244" i="15" s="1"/>
  <c r="G76" i="15"/>
  <c r="I76" i="15" s="1"/>
  <c r="J76" i="15" s="1"/>
  <c r="G240" i="15"/>
  <c r="I240" i="15" s="1"/>
  <c r="J240" i="15" s="1"/>
  <c r="G98" i="15"/>
  <c r="I98" i="15" s="1"/>
  <c r="J98" i="15" s="1"/>
  <c r="G177" i="15"/>
  <c r="I177" i="15" s="1"/>
  <c r="J177" i="15" s="1"/>
  <c r="G195" i="15"/>
  <c r="I195" i="15" s="1"/>
  <c r="J195" i="15" s="1"/>
  <c r="G228" i="15"/>
  <c r="I228" i="15" s="1"/>
  <c r="J228" i="15" s="1"/>
  <c r="G235" i="15"/>
  <c r="I235" i="15" s="1"/>
  <c r="J235" i="15" s="1"/>
  <c r="G267" i="15"/>
  <c r="I267" i="15" s="1"/>
  <c r="J267" i="15" s="1"/>
  <c r="G137" i="15"/>
  <c r="I137" i="15" s="1"/>
  <c r="J137" i="15" s="1"/>
  <c r="G160" i="15"/>
  <c r="I160" i="15" s="1"/>
  <c r="J160" i="15" s="1"/>
  <c r="G270" i="15"/>
  <c r="I270" i="15" s="1"/>
  <c r="J270" i="15" s="1"/>
  <c r="G247" i="15"/>
  <c r="I247" i="15" s="1"/>
  <c r="J247" i="15" s="1"/>
  <c r="G153" i="15"/>
  <c r="I153" i="15" s="1"/>
  <c r="J153" i="15" s="1"/>
  <c r="G131" i="15"/>
  <c r="I131" i="15" s="1"/>
  <c r="J131" i="15" s="1"/>
  <c r="G108" i="15"/>
  <c r="I108" i="15" s="1"/>
  <c r="J108" i="15" s="1"/>
  <c r="G86" i="15"/>
  <c r="I86" i="15" s="1"/>
  <c r="J86" i="15" s="1"/>
  <c r="G264" i="15"/>
  <c r="I264" i="15" s="1"/>
  <c r="J264" i="15" s="1"/>
  <c r="G187" i="15"/>
  <c r="I187" i="15" s="1"/>
  <c r="J187" i="15" s="1"/>
  <c r="G149" i="15"/>
  <c r="I149" i="15" s="1"/>
  <c r="J149" i="15" s="1"/>
  <c r="G183" i="15"/>
  <c r="I183" i="15" s="1"/>
  <c r="J183" i="15" s="1"/>
  <c r="G216" i="15"/>
  <c r="I216" i="15" s="1"/>
  <c r="J216" i="15" s="1"/>
  <c r="G101" i="15"/>
  <c r="I101" i="15" s="1"/>
  <c r="J101" i="15" s="1"/>
  <c r="G96" i="15"/>
  <c r="I96" i="15" s="1"/>
  <c r="J96" i="15" s="1"/>
  <c r="G190" i="15"/>
  <c r="I190" i="15" s="1"/>
  <c r="J190" i="15" s="1"/>
  <c r="G209" i="15"/>
  <c r="I209" i="15" s="1"/>
  <c r="J209" i="15" s="1"/>
  <c r="G104" i="15"/>
  <c r="I104" i="15" s="1"/>
  <c r="J104" i="15" s="1"/>
  <c r="G144" i="15"/>
  <c r="I144" i="15" s="1"/>
  <c r="J144" i="15" s="1"/>
  <c r="G221" i="15"/>
  <c r="I221" i="15" s="1"/>
  <c r="J221" i="15" s="1"/>
  <c r="G120" i="15"/>
  <c r="I120" i="15" s="1"/>
  <c r="J120" i="15" s="1"/>
  <c r="G233" i="15"/>
  <c r="I233" i="15" s="1"/>
  <c r="J233" i="15" s="1"/>
  <c r="G79" i="15"/>
  <c r="I79" i="15" s="1"/>
  <c r="J79" i="15" s="1"/>
  <c r="G184" i="15"/>
  <c r="I184" i="15" s="1"/>
  <c r="J184" i="15" s="1"/>
  <c r="G147" i="15"/>
  <c r="I147" i="15" s="1"/>
  <c r="J147" i="15" s="1"/>
  <c r="G261" i="15"/>
  <c r="I261" i="15" s="1"/>
  <c r="J261" i="15" s="1"/>
  <c r="G246" i="15"/>
  <c r="I246" i="15" s="1"/>
  <c r="J246" i="15" s="1"/>
  <c r="G192" i="15"/>
  <c r="I192" i="15" s="1"/>
  <c r="J192" i="15" s="1"/>
  <c r="G89" i="15"/>
  <c r="I89" i="15" s="1"/>
  <c r="J89" i="15" s="1"/>
  <c r="G169" i="15"/>
  <c r="I169" i="15" s="1"/>
  <c r="J169" i="15" s="1"/>
  <c r="G151" i="15"/>
  <c r="I151" i="15" s="1"/>
  <c r="J151" i="15" s="1"/>
  <c r="G197" i="15"/>
  <c r="I197" i="15" s="1"/>
  <c r="J197" i="15" s="1"/>
  <c r="G161" i="15"/>
  <c r="I161" i="15" s="1"/>
  <c r="J161" i="15" s="1"/>
  <c r="G109" i="15"/>
  <c r="I109" i="15" s="1"/>
  <c r="J109" i="15" s="1"/>
  <c r="G75" i="15"/>
  <c r="I75" i="15" s="1"/>
  <c r="J75" i="15" s="1"/>
  <c r="G227" i="15"/>
  <c r="I227" i="15" s="1"/>
  <c r="J227" i="15" s="1"/>
  <c r="G252" i="15"/>
  <c r="I252" i="15" s="1"/>
  <c r="J252" i="15" s="1"/>
  <c r="G234" i="15"/>
  <c r="I234" i="15" s="1"/>
  <c r="J234" i="15" s="1"/>
  <c r="G201" i="15"/>
  <c r="I201" i="15" s="1"/>
  <c r="J201" i="15" s="1"/>
  <c r="G185" i="15"/>
  <c r="I185" i="15" s="1"/>
  <c r="J185" i="15" s="1"/>
  <c r="G84" i="15"/>
  <c r="I84" i="15" s="1"/>
  <c r="J84" i="15" s="1"/>
  <c r="G125" i="15"/>
  <c r="I125" i="15" s="1"/>
  <c r="J125" i="15" s="1"/>
  <c r="G90" i="15"/>
  <c r="I90" i="15" s="1"/>
  <c r="J90" i="15" s="1"/>
  <c r="G163" i="15"/>
  <c r="I163" i="15" s="1"/>
  <c r="J163" i="15" s="1"/>
  <c r="G133" i="15"/>
  <c r="I133" i="15" s="1"/>
  <c r="J133" i="15" s="1"/>
  <c r="G272" i="15"/>
  <c r="I272" i="15" s="1"/>
  <c r="J272" i="15" s="1"/>
  <c r="G99" i="15"/>
  <c r="I99" i="15" s="1"/>
  <c r="J99" i="15" s="1"/>
  <c r="G122" i="15"/>
  <c r="I122" i="15" s="1"/>
  <c r="J122" i="15" s="1"/>
  <c r="G258" i="15"/>
  <c r="I258" i="15" s="1"/>
  <c r="J258" i="15" s="1"/>
  <c r="G134" i="15"/>
  <c r="I134" i="15" s="1"/>
  <c r="J134" i="15" s="1"/>
  <c r="G150" i="15"/>
  <c r="I150" i="15" s="1"/>
  <c r="J150" i="15" s="1"/>
  <c r="G269" i="15"/>
  <c r="I269" i="15" s="1"/>
  <c r="J269" i="15" s="1"/>
  <c r="G198" i="15"/>
  <c r="I198" i="15" s="1"/>
  <c r="J198" i="15" s="1"/>
  <c r="G165" i="15"/>
  <c r="I165" i="15" s="1"/>
  <c r="J165" i="15" s="1"/>
  <c r="G254" i="15"/>
  <c r="I254" i="15" s="1"/>
  <c r="J254" i="15" s="1"/>
  <c r="G103" i="15"/>
  <c r="I103" i="15" s="1"/>
  <c r="J103" i="15" s="1"/>
  <c r="G248" i="15"/>
  <c r="I248" i="15" s="1"/>
  <c r="J248" i="15" s="1"/>
  <c r="G231" i="15"/>
  <c r="I231" i="15" s="1"/>
  <c r="J231" i="15" s="1"/>
  <c r="G274" i="15"/>
  <c r="I274" i="15" s="1"/>
  <c r="J274" i="15" s="1"/>
  <c r="G107" i="15"/>
  <c r="I107" i="15" s="1"/>
  <c r="J107" i="15" s="1"/>
  <c r="G154" i="15"/>
  <c r="I154" i="15" s="1"/>
  <c r="J154" i="15" s="1"/>
  <c r="G157" i="15"/>
  <c r="I157" i="15" s="1"/>
  <c r="J157" i="15" s="1"/>
  <c r="G262" i="15"/>
  <c r="I262" i="15" s="1"/>
  <c r="J262" i="15" s="1"/>
  <c r="G171" i="15"/>
  <c r="I171" i="15" s="1"/>
  <c r="J171" i="15" s="1"/>
  <c r="G127" i="15"/>
  <c r="I127" i="15" s="1"/>
  <c r="J127" i="15" s="1"/>
  <c r="G115" i="15"/>
  <c r="I115" i="15" s="1"/>
  <c r="J115" i="15" s="1"/>
  <c r="G202" i="15"/>
  <c r="I202" i="15" s="1"/>
  <c r="J202" i="15" s="1"/>
  <c r="G266" i="15"/>
  <c r="I266" i="15" s="1"/>
  <c r="J266" i="15" s="1"/>
  <c r="G121" i="15"/>
  <c r="I121" i="15" s="1"/>
  <c r="J121" i="15" s="1"/>
  <c r="G158" i="15"/>
  <c r="I158" i="15" s="1"/>
  <c r="J158" i="15" s="1"/>
  <c r="G178" i="15"/>
  <c r="I178" i="15" s="1"/>
  <c r="J178" i="15" s="1"/>
  <c r="G145" i="15"/>
  <c r="I145" i="15" s="1"/>
  <c r="J145" i="15" s="1"/>
  <c r="G168" i="15"/>
  <c r="I168" i="15" s="1"/>
  <c r="J168" i="15" s="1"/>
  <c r="G229" i="15"/>
  <c r="I229" i="15" s="1"/>
  <c r="J229" i="15" s="1"/>
  <c r="G251" i="15"/>
  <c r="I251" i="15" s="1"/>
  <c r="J251" i="15" s="1"/>
  <c r="G166" i="15"/>
  <c r="I166" i="15" s="1"/>
  <c r="J166" i="15" s="1"/>
  <c r="H34" i="13" l="1"/>
  <c r="E33" i="10" s="1"/>
  <c r="I34" i="13"/>
  <c r="F33" i="10" s="1"/>
  <c r="G34" i="13"/>
  <c r="D33" i="10" s="1"/>
  <c r="E34" i="13"/>
  <c r="F34" i="13"/>
  <c r="C33" i="10" s="1"/>
  <c r="I203" i="15"/>
  <c r="J203" i="15" s="1"/>
  <c r="I241" i="15"/>
  <c r="J241" i="15" s="1"/>
  <c r="I218" i="15"/>
  <c r="J218" i="15" s="1"/>
  <c r="I74" i="15"/>
  <c r="J74" i="15" s="1"/>
  <c r="I217" i="15"/>
  <c r="J217" i="15" s="1"/>
  <c r="I81" i="15"/>
  <c r="J81" i="15" s="1"/>
  <c r="I256" i="15"/>
  <c r="J256" i="15" s="1"/>
  <c r="I236" i="15"/>
  <c r="J236" i="15" s="1"/>
  <c r="I273" i="15"/>
  <c r="J273" i="15" s="1"/>
  <c r="I94" i="15"/>
  <c r="J94" i="15" s="1"/>
  <c r="I111" i="15"/>
  <c r="J111" i="15" s="1"/>
  <c r="I155" i="15"/>
  <c r="J155" i="15" s="1"/>
  <c r="I139" i="15"/>
  <c r="J139" i="15" s="1"/>
  <c r="I245" i="15"/>
  <c r="J245" i="15" s="1"/>
  <c r="D17" i="14"/>
  <c r="D19" i="14" s="1"/>
  <c r="C41" i="10" s="1"/>
  <c r="D16" i="14"/>
  <c r="D18" i="14" s="1"/>
  <c r="I114" i="15"/>
  <c r="J114" i="15" s="1"/>
  <c r="I230" i="15"/>
  <c r="J230" i="15" s="1"/>
  <c r="I208" i="15"/>
  <c r="J208" i="15" s="1"/>
  <c r="I219" i="15"/>
  <c r="J219" i="15" s="1"/>
  <c r="I92" i="15"/>
  <c r="J92" i="15" s="1"/>
  <c r="I199" i="15"/>
  <c r="J199" i="15" s="1"/>
  <c r="I170" i="15"/>
  <c r="J170" i="15" s="1"/>
  <c r="I253" i="15"/>
  <c r="J253" i="15" s="1"/>
  <c r="I123" i="15"/>
  <c r="J123" i="15" s="1"/>
  <c r="I243" i="15"/>
  <c r="J243" i="15" s="1"/>
  <c r="I164" i="15"/>
  <c r="J164" i="15" s="1"/>
  <c r="I88" i="15"/>
  <c r="J88" i="15" s="1"/>
  <c r="D40" i="10" l="1"/>
  <c r="C34" i="10"/>
  <c r="C46" i="10"/>
  <c r="C47" i="10" s="1"/>
  <c r="C32" i="10"/>
  <c r="C47" i="13"/>
  <c r="B33" i="10"/>
  <c r="D32" i="10"/>
  <c r="D34" i="10"/>
  <c r="D46" i="10"/>
  <c r="D47" i="10" s="1"/>
  <c r="E40" i="10"/>
  <c r="F32" i="10"/>
  <c r="F46" i="10"/>
  <c r="F47" i="10" s="1"/>
  <c r="F34" i="10"/>
  <c r="F40" i="10"/>
  <c r="E46" i="10"/>
  <c r="E47" i="10" s="1"/>
  <c r="E34" i="10"/>
  <c r="E32" i="10"/>
  <c r="D38" i="10" l="1"/>
  <c r="E42" i="10" s="1"/>
  <c r="F37" i="10" s="1"/>
  <c r="E18" i="10"/>
  <c r="S74" i="15"/>
  <c r="S102" i="15"/>
  <c r="S59" i="15"/>
  <c r="S6" i="15"/>
  <c r="S79" i="15"/>
  <c r="S30" i="15"/>
  <c r="S99" i="15"/>
  <c r="S33" i="15"/>
  <c r="S23" i="15"/>
  <c r="S89" i="15"/>
  <c r="S46" i="15"/>
  <c r="S18" i="15"/>
  <c r="S13" i="15"/>
  <c r="S29" i="15"/>
  <c r="S2" i="15"/>
  <c r="S42" i="15"/>
  <c r="S35" i="15"/>
  <c r="S22" i="15"/>
  <c r="S88" i="15"/>
  <c r="S85" i="15"/>
  <c r="S9" i="15"/>
  <c r="S62" i="15"/>
  <c r="S60" i="15"/>
  <c r="S63" i="15"/>
  <c r="C49" i="13"/>
  <c r="S65" i="15"/>
  <c r="S68" i="15"/>
  <c r="S40" i="15"/>
  <c r="S31" i="15"/>
  <c r="S53" i="15"/>
  <c r="S70" i="15"/>
  <c r="S81" i="15"/>
  <c r="S10" i="15"/>
  <c r="S37" i="15"/>
  <c r="S58" i="15"/>
  <c r="S80" i="15"/>
  <c r="S90" i="15"/>
  <c r="S83" i="15"/>
  <c r="S54" i="15"/>
  <c r="S34" i="15"/>
  <c r="S56" i="15"/>
  <c r="S77" i="15"/>
  <c r="S45" i="15"/>
  <c r="S72" i="15"/>
  <c r="S36" i="15"/>
  <c r="S41" i="15"/>
  <c r="S14" i="15"/>
  <c r="S69" i="15"/>
  <c r="S84" i="15"/>
  <c r="S21" i="15"/>
  <c r="S43" i="15"/>
  <c r="S12" i="15"/>
  <c r="S39" i="15"/>
  <c r="S11" i="15"/>
  <c r="S3" i="15"/>
  <c r="S44" i="15"/>
  <c r="S16" i="15"/>
  <c r="S75" i="15"/>
  <c r="S71" i="15"/>
  <c r="S38" i="15"/>
  <c r="S47" i="15"/>
  <c r="S66" i="15"/>
  <c r="S25" i="15"/>
  <c r="S61" i="15"/>
  <c r="S55" i="15"/>
  <c r="S98" i="15"/>
  <c r="S101" i="15"/>
  <c r="S24" i="15"/>
  <c r="S17" i="15"/>
  <c r="S5" i="15"/>
  <c r="S86" i="15"/>
  <c r="S32" i="15"/>
  <c r="S4" i="15"/>
  <c r="S100" i="15"/>
  <c r="S7" i="15"/>
  <c r="S73" i="15"/>
  <c r="S76" i="15"/>
  <c r="S27" i="15"/>
  <c r="S94" i="15"/>
  <c r="S64" i="15"/>
  <c r="S97" i="15"/>
  <c r="S87" i="15"/>
  <c r="S93" i="15"/>
  <c r="S78" i="15"/>
  <c r="S96" i="15"/>
  <c r="S19" i="15"/>
  <c r="S15" i="15"/>
  <c r="S8" i="15"/>
  <c r="S82" i="15"/>
  <c r="S92" i="15"/>
  <c r="S28" i="15"/>
  <c r="S95" i="15"/>
  <c r="S57" i="15"/>
  <c r="S20" i="15"/>
  <c r="S26" i="15"/>
  <c r="S103" i="15"/>
  <c r="S91" i="15"/>
  <c r="S67" i="15"/>
  <c r="F18" i="10"/>
  <c r="E38" i="10"/>
  <c r="F42" i="10" s="1"/>
  <c r="F43" i="10" s="1"/>
  <c r="D43" i="10"/>
  <c r="F38" i="10"/>
  <c r="G18" i="10"/>
  <c r="B32" i="10"/>
  <c r="B46" i="10"/>
  <c r="B47" i="10" s="1"/>
  <c r="C40" i="10"/>
  <c r="H5" i="10"/>
  <c r="B34" i="10"/>
  <c r="C38" i="10"/>
  <c r="D42" i="10" s="1"/>
  <c r="E37" i="10" s="1"/>
  <c r="D18" i="10"/>
  <c r="AH20" i="4" l="1"/>
  <c r="H3" i="10"/>
  <c r="B38" i="10"/>
  <c r="C42" i="10" s="1"/>
  <c r="C18" i="10"/>
  <c r="E43" i="10"/>
  <c r="D37" i="10" l="1"/>
  <c r="C43" i="10"/>
  <c r="AP20" i="4"/>
  <c r="AQ20" i="4"/>
  <c r="C7" i="10"/>
  <c r="AO2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H27" authorId="0" shapeId="0" xr:uid="{79C12503-3BBD-A148-9476-155E246D99AC}">
      <text>
        <r>
          <rPr>
            <b/>
            <sz val="9"/>
            <color rgb="FF000000"/>
            <rFont val="Tahoma"/>
            <family val="2"/>
          </rPr>
          <t>=DSGRID("S&amp;PCOMP"," ","-9Y","YRE","D","RowHeader=true;ColHeader=true;DispSeriesDescription=false;YearlyTSFormat=false;QuarterlyTSFormat=false","")</t>
        </r>
      </text>
    </comment>
    <comment ref="L27" authorId="0" shapeId="0" xr:uid="{46E2A08F-1433-6743-ACD9-209128AA6C17}">
      <text>
        <r>
          <rPr>
            <b/>
            <sz val="9"/>
            <color rgb="FF000000"/>
            <rFont val="Tahoma"/>
            <family val="2"/>
          </rPr>
          <t>=DSGRID("S&amp;PCOMP"," ","-9Y","YRE","D","RowHeader=true;ColHeader=true;DispSeriesDescription=false;YearlyTSFormat=false;QuarterlyTSFormat=false","")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<sst xmlns="http://schemas.openxmlformats.org/spreadsheetml/2006/main" count="823" uniqueCount="441">
  <si>
    <t>Date</t>
  </si>
  <si>
    <t>EBIT</t>
  </si>
  <si>
    <t>EBITDA</t>
  </si>
  <si>
    <t xml:space="preserve"> </t>
  </si>
  <si>
    <t>Revenue</t>
  </si>
  <si>
    <t>Other Revenue</t>
  </si>
  <si>
    <t xml:space="preserve">  Total Revenue</t>
  </si>
  <si>
    <t>Cost Of Goods Sold</t>
  </si>
  <si>
    <t xml:space="preserve">  Gross Profit</t>
  </si>
  <si>
    <t>Selling General &amp; Admin Exp.</t>
  </si>
  <si>
    <t>R &amp; D Exp.</t>
  </si>
  <si>
    <t>Depreciation &amp; Amort.</t>
  </si>
  <si>
    <t>Other Operating Expense/(Income)</t>
  </si>
  <si>
    <t xml:space="preserve">  Other Operating Exp., Total</t>
  </si>
  <si>
    <t>Interest Expense</t>
  </si>
  <si>
    <t>Interest and Invest. Income</t>
  </si>
  <si>
    <t xml:space="preserve">  Net Interest Exp.</t>
  </si>
  <si>
    <t>Other Non-Operating Inc. (Exp.)</t>
  </si>
  <si>
    <t xml:space="preserve">  EBT Excl. Unusual Items</t>
  </si>
  <si>
    <t>Merger &amp; Related Restruct. Charges</t>
  </si>
  <si>
    <t>Impairment of Goodwill</t>
  </si>
  <si>
    <t>Gain (Loss) On Sale Of Invest.</t>
  </si>
  <si>
    <t>Other Unusual Items</t>
  </si>
  <si>
    <t xml:space="preserve">  EBT Incl. Unusual Items</t>
  </si>
  <si>
    <t>Income Tax Expense</t>
  </si>
  <si>
    <t xml:space="preserve">  Earnings from Cont. Ops.</t>
  </si>
  <si>
    <t>Earnings of Discontinued Ops.</t>
  </si>
  <si>
    <t>Extraord. Item &amp; Account. Change</t>
  </si>
  <si>
    <t xml:space="preserve">  Net Income to Company</t>
  </si>
  <si>
    <t>Minority Int. in Earnings</t>
  </si>
  <si>
    <t xml:space="preserve">  Net Income</t>
  </si>
  <si>
    <t>Principal Competitors</t>
  </si>
  <si>
    <t>-</t>
  </si>
  <si>
    <t>Market Data</t>
  </si>
  <si>
    <t>Financial Data</t>
  </si>
  <si>
    <t>Valuation</t>
  </si>
  <si>
    <t xml:space="preserve">AVG Growth rate </t>
  </si>
  <si>
    <t>Price</t>
  </si>
  <si>
    <t>Market Cap</t>
  </si>
  <si>
    <t>EV</t>
  </si>
  <si>
    <t>Earnings</t>
  </si>
  <si>
    <t>EV/Sales</t>
  </si>
  <si>
    <t>EV/EBITDA</t>
  </si>
  <si>
    <t>EV/EBIT</t>
  </si>
  <si>
    <t>P/E</t>
  </si>
  <si>
    <t>Gross Profit</t>
  </si>
  <si>
    <t>Average Gross Profit</t>
  </si>
  <si>
    <t>Company Name</t>
  </si>
  <si>
    <t>x</t>
  </si>
  <si>
    <t>Return on Assets %</t>
  </si>
  <si>
    <t>Average Return on Assets %</t>
  </si>
  <si>
    <t xml:space="preserve"> Names</t>
  </si>
  <si>
    <t>Net Leverage</t>
  </si>
  <si>
    <t>Data collected from Capital IQ</t>
  </si>
  <si>
    <t>Value of unlevered firm</t>
  </si>
  <si>
    <t>Cost of debt</t>
  </si>
  <si>
    <t>Credit spread estimation</t>
  </si>
  <si>
    <t>Coverage ratio</t>
  </si>
  <si>
    <t>Rating</t>
  </si>
  <si>
    <t>Spread</t>
  </si>
  <si>
    <t>Default probability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</si>
  <si>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</si>
  <si>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</si>
  <si>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</si>
  <si>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</si>
  <si>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</si>
  <si>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</si>
  <si>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</si>
  <si>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</si>
  <si>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</si>
  <si>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</si>
  <si>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</si>
  <si>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&gt;</t>
  </si>
  <si>
    <t>≤ to</t>
  </si>
  <si>
    <t>Trailing interest coverage ratio</t>
  </si>
  <si>
    <t>D</t>
  </si>
  <si>
    <t>Credit rating</t>
  </si>
  <si>
    <t>C</t>
  </si>
  <si>
    <t>Credit spread</t>
  </si>
  <si>
    <t>CC</t>
  </si>
  <si>
    <t>Yield on debt</t>
  </si>
  <si>
    <t>CCC</t>
  </si>
  <si>
    <t>B-</t>
  </si>
  <si>
    <t>Prob of default</t>
  </si>
  <si>
    <t>B</t>
  </si>
  <si>
    <t>B+</t>
  </si>
  <si>
    <t>BB</t>
  </si>
  <si>
    <t>BB+</t>
  </si>
  <si>
    <t>BBB</t>
  </si>
  <si>
    <t>A-</t>
  </si>
  <si>
    <t>A</t>
  </si>
  <si>
    <t>A+</t>
  </si>
  <si>
    <t>AA</t>
  </si>
  <si>
    <t>AAA</t>
  </si>
  <si>
    <t>USD</t>
  </si>
  <si>
    <t>% growth</t>
  </si>
  <si>
    <t xml:space="preserve">  Total Revenues</t>
  </si>
  <si>
    <t>Gross margin</t>
  </si>
  <si>
    <t>% of revenues</t>
  </si>
  <si>
    <t>Other Operating (Expense)/Income</t>
  </si>
  <si>
    <t>% margin</t>
  </si>
  <si>
    <t>% tax rate</t>
  </si>
  <si>
    <t xml:space="preserve"> Unlevered net Income</t>
  </si>
  <si>
    <t>CAPEX</t>
  </si>
  <si>
    <t>Balance sheet :</t>
  </si>
  <si>
    <t>Cash And Equivalents</t>
  </si>
  <si>
    <t>Short Term Investments</t>
  </si>
  <si>
    <t xml:space="preserve">  Total Cash &amp; ST Investments</t>
  </si>
  <si>
    <t>Accounts Receivable</t>
  </si>
  <si>
    <t>Other Receivables</t>
  </si>
  <si>
    <t>Inventory</t>
  </si>
  <si>
    <t>Other Current Assets</t>
  </si>
  <si>
    <t xml:space="preserve">  Total Current Assets</t>
  </si>
  <si>
    <t>Accounts Payable</t>
  </si>
  <si>
    <t>Accrued Exp.</t>
  </si>
  <si>
    <t>Short-term Borrowings</t>
  </si>
  <si>
    <t>Curr. Port. of LT Debt</t>
  </si>
  <si>
    <t>Curr. Port. of Cap. Leases</t>
  </si>
  <si>
    <t>Other Current Liabilities</t>
  </si>
  <si>
    <t xml:space="preserve">  Total Current Liabilities</t>
  </si>
  <si>
    <t xml:space="preserve">  Total Receivables</t>
  </si>
  <si>
    <t>Prepaid Taxes</t>
  </si>
  <si>
    <t>Unearned Revenue, Current</t>
  </si>
  <si>
    <t>Gross Property, Plant &amp; Equipment</t>
  </si>
  <si>
    <t>CAPEX in % of revenues</t>
  </si>
  <si>
    <t>CAPEX in growth in %</t>
  </si>
  <si>
    <t>Cash Flows/CAPEX</t>
  </si>
  <si>
    <t>In M$</t>
  </si>
  <si>
    <t>Year 2020</t>
  </si>
  <si>
    <t>Year 2021</t>
  </si>
  <si>
    <t>Year 2022</t>
  </si>
  <si>
    <t>Forecasts of next free interest rates( in %)</t>
  </si>
  <si>
    <t>After restructuration ($ million)</t>
  </si>
  <si>
    <t>Leverage</t>
  </si>
  <si>
    <t>Share Price ($)</t>
  </si>
  <si>
    <t>∆ Leverage</t>
  </si>
  <si>
    <t>Historical datas</t>
  </si>
  <si>
    <t>Forecast for 2021</t>
  </si>
  <si>
    <t>Forecast for 2022</t>
  </si>
  <si>
    <t>Forecast for 2023</t>
  </si>
  <si>
    <t>Average interest Free rates for 2021</t>
  </si>
  <si>
    <t>Average interest Free rates for 2022</t>
  </si>
  <si>
    <t>Year 2023</t>
  </si>
  <si>
    <t xml:space="preserve">Recovery in case of default </t>
  </si>
  <si>
    <r>
      <t xml:space="preserve">Bakruptcy cost </t>
    </r>
    <r>
      <rPr>
        <i/>
        <sz val="9"/>
        <rFont val="Arial"/>
        <family val="2"/>
      </rPr>
      <t>as % of firm value</t>
    </r>
  </si>
  <si>
    <r>
      <t>Interest paid (</t>
    </r>
    <r>
      <rPr>
        <i/>
        <sz val="10"/>
        <rFont val="Arial"/>
        <family val="2"/>
      </rPr>
      <t>in M$</t>
    </r>
    <r>
      <rPr>
        <sz val="10"/>
        <rFont val="Arial"/>
        <family val="2"/>
      </rPr>
      <t>)</t>
    </r>
  </si>
  <si>
    <t>Interest paid (in M$)</t>
  </si>
  <si>
    <t>Growth in %</t>
  </si>
  <si>
    <t>In % of revenues</t>
  </si>
  <si>
    <t>Gross Property, Plant &amp; Equipment in growth in %</t>
  </si>
  <si>
    <t>Average Gross Property, Plant &amp; Equipment in growth in %</t>
  </si>
  <si>
    <t xml:space="preserve">Average Depreciation &amp; Amort in growth in %		</t>
  </si>
  <si>
    <t>For the Fiscal Period Ending</t>
  </si>
  <si>
    <t>Increase in NWC</t>
  </si>
  <si>
    <t>Average Depreciation &amp; Amort.</t>
  </si>
  <si>
    <t>Historical period</t>
  </si>
  <si>
    <t>Projection period</t>
  </si>
  <si>
    <t>Value of Unlevered Firm</t>
  </si>
  <si>
    <t>Revenue growth</t>
  </si>
  <si>
    <t>Cost of Goods Sold</t>
  </si>
  <si>
    <t>SGA Expenses</t>
  </si>
  <si>
    <t>R&amp;D</t>
  </si>
  <si>
    <t>D&amp;A</t>
  </si>
  <si>
    <t>Taxes</t>
  </si>
  <si>
    <t>Depreciation</t>
  </si>
  <si>
    <t>Increases in Net Working Capital</t>
  </si>
  <si>
    <t>Terminal Value</t>
  </si>
  <si>
    <t>Value of Interest Tax Shields</t>
  </si>
  <si>
    <t>Interest paid</t>
  </si>
  <si>
    <t>PV Interest tax shields</t>
  </si>
  <si>
    <t>Terminal value of tax shields</t>
  </si>
  <si>
    <t>Total value of tax shields</t>
  </si>
  <si>
    <t>Sum (PVTS)</t>
  </si>
  <si>
    <t>Costs of Financial distress</t>
  </si>
  <si>
    <t>Risk neutral prob of default</t>
  </si>
  <si>
    <t>PV of tax shields</t>
  </si>
  <si>
    <t>PV of bankruptcy costs</t>
  </si>
  <si>
    <t>Income Statement for unleverage firm</t>
  </si>
  <si>
    <t>Weight of debt</t>
  </si>
  <si>
    <t>Weight of Equity</t>
  </si>
  <si>
    <t>return</t>
  </si>
  <si>
    <t>Return-Risk Free Rate</t>
  </si>
  <si>
    <t>Beta</t>
  </si>
  <si>
    <t xml:space="preserve">Share Price </t>
    <phoneticPr fontId="0" type="noConversion"/>
  </si>
  <si>
    <t>Description</t>
  </si>
  <si>
    <t>Type</t>
  </si>
  <si>
    <t>Coupon/Base Rate</t>
  </si>
  <si>
    <t>Floating Rate</t>
  </si>
  <si>
    <t>Maturity</t>
  </si>
  <si>
    <t>Seniority</t>
  </si>
  <si>
    <t>Secured</t>
  </si>
  <si>
    <t>Convertible</t>
  </si>
  <si>
    <t>Repayment Currency</t>
  </si>
  <si>
    <t>Total Shares Outstanding</t>
    <phoneticPr fontId="0" type="noConversion"/>
  </si>
  <si>
    <t>Bonds and Notes</t>
  </si>
  <si>
    <t>NA</t>
  </si>
  <si>
    <t>Senior</t>
  </si>
  <si>
    <t>No</t>
  </si>
  <si>
    <t xml:space="preserve">Total Value of Equity </t>
  </si>
  <si>
    <t xml:space="preserve">Weight of Equity </t>
  </si>
  <si>
    <t xml:space="preserve">Total bonds and notes </t>
  </si>
  <si>
    <t>Corporate tax rate</t>
  </si>
  <si>
    <t>Risk-free rate</t>
  </si>
  <si>
    <t xml:space="preserve">Terminal value </t>
    <phoneticPr fontId="0" type="noConversion"/>
  </si>
  <si>
    <t>PV of FCF discounted at WACC</t>
  </si>
  <si>
    <t xml:space="preserve">PV of Terminal value </t>
    <phoneticPr fontId="0" type="noConversion"/>
  </si>
  <si>
    <r>
      <t>Average of minority Int. in Earnings for the 7 last periods years(</t>
    </r>
    <r>
      <rPr>
        <i/>
        <sz val="12"/>
        <color theme="1"/>
        <rFont val="Arial"/>
        <family val="2"/>
      </rPr>
      <t>In % of revenues)</t>
    </r>
  </si>
  <si>
    <r>
      <rPr>
        <b/>
        <sz val="12"/>
        <color theme="1"/>
        <rFont val="Calibri"/>
        <family val="2"/>
        <scheme val="minor"/>
      </rPr>
      <t>WACC Calculation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in millions $</t>
    </r>
    <r>
      <rPr>
        <sz val="12"/>
        <color theme="1"/>
        <rFont val="Calibri"/>
        <family val="2"/>
        <scheme val="minor"/>
      </rPr>
      <t>)</t>
    </r>
  </si>
  <si>
    <t>Assumptions</t>
  </si>
  <si>
    <t>Tax rate</t>
  </si>
  <si>
    <t>Unlevered Beta</t>
  </si>
  <si>
    <t>Unlevered cost of capital</t>
  </si>
  <si>
    <t>Return of the market</t>
  </si>
  <si>
    <t>Market Risk Premium</t>
  </si>
  <si>
    <t>Bakruptcy cost as % of firm value</t>
  </si>
  <si>
    <t>Recovery in case of default</t>
  </si>
  <si>
    <t>Unlevered Free Cash Flows</t>
  </si>
  <si>
    <t>Average interest Free rates for 2023</t>
  </si>
  <si>
    <t xml:space="preserve">Assumptions </t>
  </si>
  <si>
    <t xml:space="preserve"> Risk Free Rate</t>
  </si>
  <si>
    <t>Growth rate of perpetual growth</t>
  </si>
  <si>
    <t>Value of firm</t>
  </si>
  <si>
    <t>forecasted unlevred cost of capital for 2023</t>
  </si>
  <si>
    <t>Tax Shield 2019</t>
  </si>
  <si>
    <t>Tax Shield 2020</t>
  </si>
  <si>
    <t>Tax Shield 2021</t>
  </si>
  <si>
    <t>Tax Shield 2022</t>
  </si>
  <si>
    <t>Terminal Value of tax shield</t>
  </si>
  <si>
    <t>Total TS</t>
  </si>
  <si>
    <t>Tax Shield 2023</t>
  </si>
  <si>
    <t>Perpetuity Growth</t>
  </si>
  <si>
    <t>Unlevered Cost of Capital</t>
  </si>
  <si>
    <t>in M$</t>
  </si>
  <si>
    <r>
      <t xml:space="preserve">Amount of debt </t>
    </r>
    <r>
      <rPr>
        <i/>
        <sz val="12"/>
        <color theme="1"/>
        <rFont val="Calibri"/>
        <family val="2"/>
        <scheme val="minor"/>
      </rPr>
      <t>(in M$)</t>
    </r>
  </si>
  <si>
    <r>
      <rPr>
        <b/>
        <sz val="12"/>
        <color theme="1"/>
        <rFont val="Arial"/>
        <family val="2"/>
      </rPr>
      <t>Competitor's name</t>
    </r>
    <r>
      <rPr>
        <b/>
        <sz val="8"/>
        <color theme="1"/>
        <rFont val="Arial"/>
        <family val="2"/>
      </rPr>
      <t xml:space="preserve">
</t>
    </r>
  </si>
  <si>
    <t>Other operating incomes/expenses</t>
  </si>
  <si>
    <t>Terminal value</t>
  </si>
  <si>
    <t>At the 31.Dec</t>
  </si>
  <si>
    <t>Trading days per year</t>
  </si>
  <si>
    <t xml:space="preserve">For the Fiscal Period Ending.                             (At the 31.Dec)
</t>
  </si>
  <si>
    <t>Value of unlevered firm (beginning of year, 1.1.20XX)</t>
  </si>
  <si>
    <t>Present value of tax shields (beginning of the year,1.1.20XX)</t>
  </si>
  <si>
    <t>PV of distress costs (beginning of the year,1.1.20XX)</t>
  </si>
  <si>
    <t>Value of levered firm (beginning of the year,1.1.20XX)</t>
  </si>
  <si>
    <t>Average Risk free rate forecasted for the next 5 years</t>
  </si>
  <si>
    <r>
      <t>Average of Prepaid Taxes(</t>
    </r>
    <r>
      <rPr>
        <b/>
        <i/>
        <sz val="12"/>
        <color theme="1"/>
        <rFont val="Calibri"/>
        <family val="2"/>
        <scheme val="minor"/>
      </rPr>
      <t>In% of revenues)</t>
    </r>
  </si>
  <si>
    <r>
      <t>Average Growth of Accrued Exp(</t>
    </r>
    <r>
      <rPr>
        <b/>
        <i/>
        <sz val="12"/>
        <color theme="1"/>
        <rFont val="Calibri"/>
        <family val="2"/>
        <scheme val="minor"/>
      </rPr>
      <t>In%)</t>
    </r>
  </si>
  <si>
    <r>
      <t>Average Short Term Borrowing</t>
    </r>
    <r>
      <rPr>
        <b/>
        <i/>
        <sz val="12"/>
        <color theme="1"/>
        <rFont val="Calibri"/>
        <family val="2"/>
        <scheme val="minor"/>
      </rPr>
      <t>(in% of revenues)</t>
    </r>
  </si>
  <si>
    <r>
      <t>Average Curr. Income Taxes Payable</t>
    </r>
    <r>
      <rPr>
        <b/>
        <i/>
        <sz val="12"/>
        <color theme="1"/>
        <rFont val="Calibri"/>
        <family val="2"/>
        <scheme val="minor"/>
      </rPr>
      <t>(in% of revenues)</t>
    </r>
  </si>
  <si>
    <r>
      <t>Average Other Receivable(</t>
    </r>
    <r>
      <rPr>
        <b/>
        <i/>
        <sz val="12"/>
        <color theme="1"/>
        <rFont val="Calibri"/>
        <family val="2"/>
        <scheme val="minor"/>
      </rPr>
      <t>In % of revenues</t>
    </r>
    <r>
      <rPr>
        <b/>
        <sz val="12"/>
        <color theme="1"/>
        <rFont val="Calibri"/>
        <family val="2"/>
        <scheme val="minor"/>
      </rPr>
      <t>)</t>
    </r>
  </si>
  <si>
    <t>Initial Situation</t>
  </si>
  <si>
    <t>Debt ($ million)</t>
  </si>
  <si>
    <t>Assets ($ million)</t>
  </si>
  <si>
    <t>#shares (million)</t>
  </si>
  <si>
    <t>Market value (Equity, $ million)</t>
  </si>
  <si>
    <t>Entreprise value ($ million)</t>
  </si>
  <si>
    <t>Cash &amp; Short investments equivalents ($ million)</t>
  </si>
  <si>
    <t>Market value of equity ($ million)</t>
  </si>
  <si>
    <r>
      <t>Average of cost of Goods sold(For the last 7 periods),</t>
    </r>
    <r>
      <rPr>
        <i/>
        <sz val="12"/>
        <color theme="1"/>
        <rFont val="Arial"/>
        <family val="2"/>
      </rPr>
      <t>in % of revenues</t>
    </r>
  </si>
  <si>
    <r>
      <t>Average of other operating revenues,</t>
    </r>
    <r>
      <rPr>
        <i/>
        <sz val="12"/>
        <color theme="1"/>
        <rFont val="Arial"/>
        <family val="2"/>
      </rPr>
      <t>in% of revenues</t>
    </r>
  </si>
  <si>
    <r>
      <t>Average of R&amp;D Exp,</t>
    </r>
    <r>
      <rPr>
        <i/>
        <sz val="12"/>
        <color theme="1"/>
        <rFont val="Arial"/>
        <family val="2"/>
      </rPr>
      <t>in % of revenues</t>
    </r>
  </si>
  <si>
    <t xml:space="preserve">Average of Depreciation &amp; Amort,in % of revenues	</t>
  </si>
  <si>
    <r>
      <t>Average Selling General and Admin Exp (for the 7 last periods),</t>
    </r>
    <r>
      <rPr>
        <i/>
        <sz val="12"/>
        <color theme="1"/>
        <rFont val="Arial"/>
        <family val="2"/>
      </rPr>
      <t>in% of revenues</t>
    </r>
  </si>
  <si>
    <t>Weight of Debt*</t>
  </si>
  <si>
    <t>Plus:Depreciation &amp; Amort</t>
  </si>
  <si>
    <t>Less:CAPEX</t>
  </si>
  <si>
    <t>Less:Change in NWC</t>
  </si>
  <si>
    <t>Free Cash Flow</t>
  </si>
  <si>
    <t>Total Free Cash Flow(Including Minority interests in earnings )</t>
  </si>
  <si>
    <t>% of growth</t>
  </si>
  <si>
    <t>Cash &amp; Short investments equivalents(in M$)</t>
  </si>
  <si>
    <t>Amount of debt(in M$)</t>
  </si>
  <si>
    <t>Shares Outstanding(in M)</t>
  </si>
  <si>
    <t xml:space="preserve">Net Working Capital </t>
  </si>
  <si>
    <t>Perpetual average growth of FCF</t>
  </si>
  <si>
    <t>Total Value of Debt*</t>
  </si>
  <si>
    <t>WACC</t>
  </si>
  <si>
    <t>Estimation of future unlevered cost of capital after the next 5 years</t>
  </si>
  <si>
    <t>Actual Cost of Equity</t>
  </si>
  <si>
    <t xml:space="preserve">Actual Cost of Debt </t>
  </si>
  <si>
    <r>
      <t>Average growth of account receivable</t>
    </r>
    <r>
      <rPr>
        <b/>
        <i/>
        <sz val="12"/>
        <color theme="1"/>
        <rFont val="Calibri"/>
        <family val="2"/>
        <scheme val="minor"/>
      </rPr>
      <t>(in%)</t>
    </r>
  </si>
  <si>
    <t>Depreciation &amp; Amort in % of revenue</t>
  </si>
  <si>
    <t>Levered Beta</t>
  </si>
  <si>
    <t>in $ Million</t>
  </si>
  <si>
    <t>--</t>
  </si>
  <si>
    <t>17-Jun-2022</t>
  </si>
  <si>
    <t>30-Nov-2023</t>
  </si>
  <si>
    <t>05-Apr-2024</t>
  </si>
  <si>
    <t>28-Nov-2025</t>
  </si>
  <si>
    <t>2% Notes</t>
  </si>
  <si>
    <t>1.875% Notes</t>
  </si>
  <si>
    <t>1.750% Notes</t>
  </si>
  <si>
    <t>1.50% Notes</t>
  </si>
  <si>
    <t>CHF</t>
  </si>
  <si>
    <t>Temenos- Financials</t>
  </si>
  <si>
    <t>Temenos  stocks</t>
  </si>
  <si>
    <t>SMI Index</t>
  </si>
  <si>
    <t xml:space="preserve">Annual return for SMI </t>
  </si>
  <si>
    <t>Beta(Monthly basis)</t>
  </si>
  <si>
    <t xml:space="preserve">Beta Calculation,SMI Index and Temenos stock </t>
  </si>
  <si>
    <t>Risk free rates and nominal corporate taxes</t>
  </si>
  <si>
    <t>Income Statements for the 31 December 2019</t>
  </si>
  <si>
    <t>Intuit</t>
  </si>
  <si>
    <t>Fiserv</t>
  </si>
  <si>
    <t>Simcorp</t>
  </si>
  <si>
    <t>SAP</t>
  </si>
  <si>
    <t>SOP</t>
  </si>
  <si>
    <t>Intuit ( INTU : NASDAQ)  (in M$)</t>
  </si>
  <si>
    <t>Fiserv  (FISV : NASDAQ) (in M$)</t>
  </si>
  <si>
    <t xml:space="preserve">95.83%	</t>
  </si>
  <si>
    <t>TEMN</t>
  </si>
  <si>
    <t xml:space="preserve">Provisions </t>
  </si>
  <si>
    <t xml:space="preserve"> EBIT</t>
  </si>
  <si>
    <t>Average Net Levrage (Without TEMN)</t>
  </si>
  <si>
    <t>Average(without TEMN)</t>
  </si>
  <si>
    <t>Median(without TEMN)</t>
  </si>
  <si>
    <t>Year 2024</t>
  </si>
  <si>
    <t xml:space="preserve">  Operating Income/EBITDA</t>
  </si>
  <si>
    <t>Net Leverage at the 31/12/2019</t>
  </si>
  <si>
    <t>Average metrics</t>
  </si>
  <si>
    <t xml:space="preserve"> Operating Exp. And Depreciation, Total</t>
  </si>
  <si>
    <t>Income Before Taxe</t>
  </si>
  <si>
    <t xml:space="preserve">Total debt </t>
  </si>
  <si>
    <t xml:space="preserve">Taxable Income </t>
  </si>
  <si>
    <t xml:space="preserve">Discounted values of FCF after 2023 </t>
  </si>
  <si>
    <t>NPV 2020-2023</t>
  </si>
  <si>
    <t>NPV 2020-2022</t>
  </si>
  <si>
    <t xml:space="preserve">Terminal Value </t>
  </si>
  <si>
    <t>Cash Flow in 2024</t>
  </si>
  <si>
    <t>Value of the firm</t>
  </si>
  <si>
    <t>Average daily Risk Free rates for the period</t>
  </si>
  <si>
    <t>Datas from November 2020</t>
  </si>
  <si>
    <t xml:space="preserve">Interest Expense, Net Non-Operating	</t>
  </si>
  <si>
    <t xml:space="preserve">Interest/Invest Income - Non-Operating	</t>
  </si>
  <si>
    <t xml:space="preserve">Other Non-Operating Income 	</t>
  </si>
  <si>
    <t xml:space="preserve">EBT </t>
  </si>
  <si>
    <t>Extra interest and gain growth</t>
  </si>
  <si>
    <t>%growth</t>
  </si>
  <si>
    <t>Total interest expense (income)</t>
  </si>
  <si>
    <t>Interest expense(income)</t>
  </si>
  <si>
    <t>M&amp;M WACC calculation method</t>
  </si>
  <si>
    <r>
      <t>Average growth of short term cash</t>
    </r>
    <r>
      <rPr>
        <b/>
        <i/>
        <sz val="12"/>
        <color theme="1"/>
        <rFont val="Calibri"/>
        <family val="2"/>
        <scheme val="minor"/>
      </rPr>
      <t>(in%)</t>
    </r>
  </si>
  <si>
    <t>Principal Due (US Dollar)</t>
  </si>
  <si>
    <t>Dep. Variable:</t>
  </si>
  <si>
    <t>TEMN.SW</t>
  </si>
  <si>
    <t>R-squared: </t>
  </si>
  <si>
    <t>Model:</t>
  </si>
  <si>
    <t>OLS</t>
  </si>
  <si>
    <t>Adj. R-squared: </t>
  </si>
  <si>
    <t>Method:</t>
  </si>
  <si>
    <t>Least Squares</t>
  </si>
  <si>
    <t>F-statistic: </t>
  </si>
  <si>
    <t>Date:</t>
  </si>
  <si>
    <t>Thu, 12 Nov 2020</t>
  </si>
  <si>
    <t>Prob (F-statistic):</t>
  </si>
  <si>
    <t>Time:</t>
  </si>
  <si>
    <t>Log-Likelihood: </t>
  </si>
  <si>
    <t>No. Observations:</t>
  </si>
  <si>
    <t>AIC: </t>
  </si>
  <si>
    <t>Df Residuals:</t>
  </si>
  <si>
    <t>BIC: </t>
  </si>
  <si>
    <t>Df Model:</t>
  </si>
  <si>
    <t>Covariance Type:</t>
  </si>
  <si>
    <t>nonrobust</t>
  </si>
  <si>
    <t>coef</t>
  </si>
  <si>
    <t>std err</t>
  </si>
  <si>
    <t>t</t>
  </si>
  <si>
    <t>P&gt;|t|</t>
  </si>
  <si>
    <t>[0.025</t>
  </si>
  <si>
    <t>0.975]</t>
  </si>
  <si>
    <t>const</t>
  </si>
  <si>
    <t>Omnibus:</t>
  </si>
  <si>
    <t>Durbin-Watson: </t>
  </si>
  <si>
    <t>Prob(Omnibus):</t>
  </si>
  <si>
    <t>Jarque-Bera (JB): </t>
  </si>
  <si>
    <t>Skew:</t>
  </si>
  <si>
    <t>Prob(JB): </t>
  </si>
  <si>
    <t>Kurtosis:</t>
  </si>
  <si>
    <t>Cond. No. </t>
  </si>
  <si>
    <t>Previous Share price</t>
  </si>
  <si>
    <r>
      <t>Value of the the firm-2020</t>
    </r>
    <r>
      <rPr>
        <b/>
        <i/>
        <sz val="14"/>
        <color theme="1"/>
        <rFont val="Arial"/>
        <family val="2"/>
      </rPr>
      <t>(in M$)</t>
    </r>
  </si>
  <si>
    <t>Entreprise value by using WACC</t>
  </si>
  <si>
    <t>Average interest Free rates for 2024</t>
  </si>
  <si>
    <t>Nominal flat corporate taxe rates in Switzerland for 2020</t>
  </si>
  <si>
    <t>Forecast of 2020 interest rates</t>
  </si>
  <si>
    <t>We can't go further medium term with CIR</t>
  </si>
  <si>
    <t>Weighted 10 Yr treasury bonds</t>
  </si>
  <si>
    <t>CIR Forecasts(in %)</t>
  </si>
  <si>
    <t>VaR 99%</t>
  </si>
  <si>
    <t>CVaR 99%</t>
  </si>
  <si>
    <t xml:space="preserve">VaR 95% </t>
  </si>
  <si>
    <t>CVaR 95%</t>
  </si>
  <si>
    <t xml:space="preserve">Interest risk </t>
  </si>
  <si>
    <t>Loans($ million)</t>
  </si>
  <si>
    <t>Loans(in M$)</t>
  </si>
  <si>
    <t>Bonds</t>
  </si>
  <si>
    <t>Duration</t>
  </si>
  <si>
    <t>Modified Duration</t>
  </si>
  <si>
    <t>As of the 10 Nov 2020</t>
  </si>
  <si>
    <t>Total Potential Variation of the bond values</t>
  </si>
  <si>
    <t>Variations in Bond prices(in M$)</t>
  </si>
  <si>
    <t>Zspread</t>
  </si>
  <si>
    <t>Zspreads</t>
  </si>
  <si>
    <t>Assumed Perpetual growth rate after 2024</t>
  </si>
  <si>
    <t>Short Term Investment (in M)</t>
  </si>
  <si>
    <t>Market Capitalisation (in M)</t>
  </si>
  <si>
    <t>(in M)</t>
  </si>
  <si>
    <t>Simcorp (SIM : CPH) (in M€)</t>
  </si>
  <si>
    <t>Sopra Steria (SOP  : EPA) (in M€)</t>
  </si>
  <si>
    <t>PEG</t>
  </si>
  <si>
    <t>Growth Rates(Revenues)</t>
  </si>
  <si>
    <t>Gross Profit rate</t>
  </si>
  <si>
    <t>Average Earnings' Growth rate</t>
  </si>
  <si>
    <t>Froward P/E Ratio</t>
  </si>
  <si>
    <t>Last twelve months data</t>
  </si>
  <si>
    <t>Growth Over the Prior Year/Names</t>
  </si>
  <si>
    <t>Earnings' Growth rate(10 past years basis)* %</t>
  </si>
  <si>
    <t>Converted into USD</t>
  </si>
  <si>
    <t>Market value (Equity, USD million)</t>
  </si>
  <si>
    <t>Net leverage ratio goal</t>
  </si>
  <si>
    <t>Forward P/E ratio</t>
  </si>
  <si>
    <t>APV price</t>
  </si>
  <si>
    <t>WACC price</t>
  </si>
  <si>
    <t>Target Share Price</t>
  </si>
  <si>
    <t>shares amount(in M)</t>
  </si>
  <si>
    <t>Governmental risk</t>
  </si>
  <si>
    <t>Total Revenue per region</t>
  </si>
  <si>
    <t>Europe</t>
  </si>
  <si>
    <t>The Americas</t>
  </si>
  <si>
    <t>Middle East and Africa</t>
  </si>
  <si>
    <t>APAC</t>
  </si>
  <si>
    <t xml:space="preserve">Discounted values of FCF from 2023 </t>
  </si>
  <si>
    <t>Debt to equity ratio goal</t>
  </si>
  <si>
    <t>Equity(in M$,using APV)</t>
  </si>
  <si>
    <t>Entreprise Value(in M$,using APV)</t>
  </si>
  <si>
    <t>Net realized leverag(using APV)</t>
  </si>
  <si>
    <t>FIS</t>
  </si>
  <si>
    <t>Compounded Market return(of the SMI over the last 5y)</t>
  </si>
  <si>
    <t>combo Inflation+GDP growth</t>
  </si>
  <si>
    <t>Market Premimu</t>
  </si>
  <si>
    <t>Currency risk (using Clayton's Copulas)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</si>
</sst>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8" formatCode="&quot;CHF&quot;\ #,##0.00;[Red]&quot;CHF&quot;\ \-#,##0.00"/>
    <numFmt numFmtId="44" formatCode="_ &quot;CHF&quot;\ * #,##0.00_ ;_ &quot;CHF&quot;\ * \-#,##0.00_ ;_ &quot;CHF&quot;\ * &quot;-&quot;??_ ;_ @_ "/>
    <numFmt numFmtId="43" formatCode="_ * #,##0.00_ ;_ * \-#,##0.00_ ;_ * &quot;-&quot;??_ ;_ @_ "/>
    <numFmt numFmtId="164" formatCode="_(* #,##0.0_);_(* \(#,##0.0\)_)\ ;_(* 0_)"/>
    <numFmt numFmtId="165" formatCode="_(#,##0.0%_);_(\(#,##0.0%\)_);_(#,##0.0%_)"/>
    <numFmt numFmtId="166" formatCode="0.0\x"/>
    <numFmt numFmtId="167" formatCode="&quot;$&quot;#,##0_);\(&quot;$&quot;#,##0\)"/>
    <numFmt numFmtId="168" formatCode="&quot;$&quot;#,##0_);[Red]\(&quot;$&quot;#,##0\)"/>
    <numFmt numFmtId="169" formatCode="0.0%"/>
    <numFmt numFmtId="170" formatCode="&quot;$&quot;#,##0"/>
    <numFmt numFmtId="171" formatCode="0.00_);\(0.00\)"/>
    <numFmt numFmtId="172" formatCode="_ * #,##0.0_ ;_ * \-#,##0.0_ ;_ * &quot;-&quot;?_ ;_ @_ "/>
    <numFmt numFmtId="173" formatCode="0.0_);\(0.0\)"/>
    <numFmt numFmtId="174" formatCode="0.0000%"/>
    <numFmt numFmtId="175" formatCode="0.000%"/>
    <numFmt numFmtId="176" formatCode="_(* #,##0.00_);_(* \(#,##0.00\);_(* &quot;-&quot;??_);_(@_)"/>
    <numFmt numFmtId="177" formatCode="_([$$-409]* #,##0_);_([$$-409]* \(#,##0\);_([$$-409]* &quot;-&quot;??_);_(@_)"/>
    <numFmt numFmtId="178" formatCode="_([$$-409]* #,##0.00_);_([$$-409]* \(#,##0.00\);_([$$-409]* &quot;-&quot;??_);_(@_)"/>
    <numFmt numFmtId="179" formatCode="_(* #,##0_);_(* \(#,##0\);_(* &quot;-&quot;??_);_(@_)"/>
    <numFmt numFmtId="180" formatCode="_(\ #,##0.0_);_(\ \(#,##0.0\)_);_(\ &quot; - &quot;_)"/>
    <numFmt numFmtId="181" formatCode="#,##0.0"/>
    <numFmt numFmtId="182" formatCode="#,##0.0_);[Red]\(#,##0.0\)"/>
    <numFmt numFmtId="183" formatCode="#,##0.00;\-#,##0.00;#,##0.00;&quot;--&quot;"/>
    <numFmt numFmtId="184" formatCode="dd\-mmm\-yyyy"/>
    <numFmt numFmtId="185" formatCode="#,##0.000;\-#,##0.000;#,##0.000;&quot;--&quot;"/>
    <numFmt numFmtId="186" formatCode="yyyy\-mm\-dd\ hh:mm:ss"/>
    <numFmt numFmtId="187" formatCode="0.0"/>
    <numFmt numFmtId="188" formatCode="_ [$DKK]\ * #,##0.00_ ;_ [$DKK]\ * \-#,##0.00_ ;_ [$DKK]\ * &quot;-&quot;??_ ;_ @_ "/>
    <numFmt numFmtId="189" formatCode="_ [$€-2]\ * #,##0.00_ ;_ [$€-2]\ * \-#,##0.00_ ;_ [$€-2]\ * &quot;-&quot;??_ ;_ @_ "/>
    <numFmt numFmtId="190" formatCode="_ [$USD]\ * #,##0.00_ ;_ [$USD]\ * \-#,##0.00_ ;_ [$USD]\ * &quot;-&quot;??_ ;_ @_ "/>
    <numFmt numFmtId="191" formatCode="_ * #,##0.000_ ;_ * \-#,##0.000_ ;_ * &quot;-&quot;??_ ;_ @_ "/>
    <numFmt numFmtId="192" formatCode="0.0000000000000000%"/>
    <numFmt numFmtId="193" formatCode="_-* #,##0.00\ [$CHF-100C]_-;\-* #,##0.00\ [$CHF-100C]_-;_-* &quot;-&quot;??\ [$CHF-100C]_-;_-@_-"/>
    <numFmt numFmtId="194" formatCode="_ * #,##0.0_ ;_ * \-#,##0.0_ ;_ * &quot;-&quot;??_ ;_ @_ "/>
  </numFmts>
  <fonts count="10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i/>
      <sz val="8"/>
      <color indexed="8"/>
      <name val="Arial"/>
      <family val="2"/>
    </font>
    <font>
      <b/>
      <sz val="20"/>
      <color theme="1"/>
      <name val="Calibri"/>
      <family val="2"/>
      <scheme val="minor"/>
    </font>
    <font>
      <b/>
      <u val="double"/>
      <sz val="8"/>
      <color indexed="8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u val="double"/>
      <sz val="14"/>
      <color indexed="8"/>
      <name val="Arial"/>
      <family val="2"/>
    </font>
    <font>
      <sz val="14"/>
      <color theme="1"/>
      <name val="Calibri"/>
      <family val="2"/>
      <scheme val="minor"/>
    </font>
    <font>
      <b/>
      <sz val="12"/>
      <color indexed="9"/>
      <name val="Verdana"/>
      <family val="2"/>
    </font>
    <font>
      <b/>
      <sz val="14"/>
      <color indexed="9"/>
      <name val="Verdana"/>
      <family val="2"/>
    </font>
    <font>
      <b/>
      <u/>
      <sz val="8"/>
      <color indexed="8"/>
      <name val="Arial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9"/>
      <color theme="1"/>
      <name val="Arial Narrow"/>
      <family val="2"/>
    </font>
    <font>
      <b/>
      <sz val="11"/>
      <color rgb="FFFF0000"/>
      <name val="Arial Narrow"/>
      <family val="2"/>
    </font>
    <font>
      <b/>
      <sz val="11"/>
      <color theme="8"/>
      <name val="Arial Narrow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9"/>
      <name val="Verdana"/>
      <family val="2"/>
    </font>
    <font>
      <b/>
      <sz val="8"/>
      <color indexed="8"/>
      <name val="Arial"/>
      <family val="2"/>
    </font>
    <font>
      <b/>
      <i/>
      <sz val="8"/>
      <color indexed="8"/>
      <name val="Arial"/>
      <family val="2"/>
    </font>
    <font>
      <sz val="8"/>
      <color indexed="8"/>
      <name val="Arial"/>
      <family val="2"/>
    </font>
    <font>
      <b/>
      <i/>
      <u/>
      <sz val="10"/>
      <color theme="1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i/>
      <u/>
      <sz val="10"/>
      <color theme="1"/>
      <name val="Arial"/>
      <family val="2"/>
    </font>
    <font>
      <b/>
      <sz val="10"/>
      <color rgb="FF000000"/>
      <name val="Arial"/>
      <family val="2"/>
    </font>
    <font>
      <i/>
      <sz val="10"/>
      <color theme="1"/>
      <name val="Arial"/>
      <family val="2"/>
    </font>
    <font>
      <b/>
      <sz val="8"/>
      <color indexed="9"/>
      <name val="Verdana"/>
      <family val="2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2"/>
      <color theme="1"/>
      <name val="Arial"/>
      <family val="2"/>
    </font>
    <font>
      <sz val="11"/>
      <color theme="1"/>
      <name val="Calibri"/>
      <family val="2"/>
      <charset val="1"/>
    </font>
    <font>
      <sz val="2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1"/>
      <color rgb="FF000000"/>
      <name val="Calibri"/>
      <family val="2"/>
      <charset val="1"/>
      <scheme val="minor"/>
    </font>
    <font>
      <i/>
      <sz val="9"/>
      <name val="Arial"/>
      <family val="2"/>
    </font>
    <font>
      <i/>
      <sz val="1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color indexed="8"/>
      <name val="Arial"/>
      <family val="2"/>
    </font>
    <font>
      <b/>
      <i/>
      <sz val="11"/>
      <color indexed="8"/>
      <name val="Arial"/>
      <family val="2"/>
    </font>
    <font>
      <b/>
      <sz val="12"/>
      <color theme="1"/>
      <name val="Arial"/>
      <family val="2"/>
    </font>
    <font>
      <sz val="8"/>
      <color theme="1"/>
      <name val="Times New Roman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1"/>
      <color theme="0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b/>
      <sz val="9"/>
      <color rgb="FF000000"/>
      <name val="Tahoma"/>
      <family val="2"/>
    </font>
    <font>
      <b/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"/>
      <color indexed="9"/>
      <name val="Symbol"/>
      <charset val="2"/>
    </font>
    <font>
      <b/>
      <sz val="14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rgb="FF3A3838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i/>
      <sz val="14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 (Body)"/>
    </font>
    <font>
      <sz val="14"/>
      <color theme="1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36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rgb="FF000000"/>
      <name val="Courier New"/>
      <family val="1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5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4" fillId="0" borderId="0"/>
    <xf numFmtId="0" fontId="75" fillId="0" borderId="0" applyAlignment="0"/>
  </cellStyleXfs>
  <cellXfs count="1339">
    <xf numFmtId="0" fontId="0" fillId="0" borderId="0" xfId="0"/>
    <xf numFmtId="0" fontId="1" fillId="0" borderId="0" xfId="0" applyFont="1"/>
    <xf numFmtId="0" fontId="0" fillId="0" borderId="0" xfId="0" applyBorder="1"/>
    <xf numFmtId="164" fontId="10" fillId="0" borderId="0" xfId="0" applyNumberFormat="1" applyFont="1" applyBorder="1" applyAlignment="1">
      <alignment horizontal="right" vertical="top" wrapText="1"/>
    </xf>
    <xf numFmtId="164" fontId="7" fillId="0" borderId="0" xfId="0" applyNumberFormat="1" applyFont="1" applyBorder="1" applyAlignment="1">
      <alignment horizontal="right" vertical="top" wrapText="1"/>
    </xf>
    <xf numFmtId="0" fontId="18" fillId="0" borderId="0" xfId="0" applyFont="1" applyFill="1" applyAlignment="1">
      <alignment vertical="center"/>
    </xf>
    <xf numFmtId="0" fontId="0" fillId="0" borderId="0" xfId="0" applyFill="1"/>
    <xf numFmtId="0" fontId="19" fillId="0" borderId="0" xfId="0" applyFont="1" applyFill="1" applyAlignment="1">
      <alignment vertical="center"/>
    </xf>
    <xf numFmtId="0" fontId="19" fillId="0" borderId="22" xfId="0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3" fontId="19" fillId="0" borderId="0" xfId="0" applyNumberFormat="1" applyFont="1" applyFill="1" applyAlignment="1">
      <alignment vertical="center"/>
    </xf>
    <xf numFmtId="164" fontId="19" fillId="0" borderId="0" xfId="0" applyNumberFormat="1" applyFont="1" applyFill="1" applyAlignment="1">
      <alignment vertical="center"/>
    </xf>
    <xf numFmtId="166" fontId="21" fillId="0" borderId="0" xfId="0" applyNumberFormat="1" applyFont="1" applyFill="1" applyAlignment="1">
      <alignment vertical="center"/>
    </xf>
    <xf numFmtId="166" fontId="22" fillId="0" borderId="0" xfId="0" applyNumberFormat="1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16" fillId="0" borderId="0" xfId="0" applyFont="1" applyFill="1" applyBorder="1"/>
    <xf numFmtId="0" fontId="3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top"/>
    </xf>
    <xf numFmtId="164" fontId="11" fillId="0" borderId="0" xfId="0" applyNumberFormat="1" applyFont="1" applyFill="1" applyBorder="1" applyAlignment="1">
      <alignment horizontal="right" vertical="top" wrapText="1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left" vertical="top"/>
    </xf>
    <xf numFmtId="164" fontId="7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left" vertical="top"/>
    </xf>
    <xf numFmtId="164" fontId="12" fillId="0" borderId="0" xfId="0" applyNumberFormat="1" applyFont="1" applyFill="1" applyBorder="1" applyAlignment="1">
      <alignment horizontal="right" vertical="top" wrapText="1"/>
    </xf>
    <xf numFmtId="164" fontId="3" fillId="0" borderId="0" xfId="0" applyNumberFormat="1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left" vertical="top"/>
    </xf>
    <xf numFmtId="164" fontId="10" fillId="0" borderId="0" xfId="0" applyNumberFormat="1" applyFont="1" applyFill="1" applyBorder="1" applyAlignment="1">
      <alignment horizontal="right" vertical="top" wrapText="1"/>
    </xf>
    <xf numFmtId="164" fontId="13" fillId="0" borderId="0" xfId="0" applyNumberFormat="1" applyFont="1" applyFill="1" applyBorder="1" applyAlignment="1">
      <alignment horizontal="right" vertical="top" wrapText="1"/>
    </xf>
    <xf numFmtId="164" fontId="17" fillId="0" borderId="0" xfId="0" applyNumberFormat="1" applyFont="1" applyFill="1" applyBorder="1" applyAlignment="1">
      <alignment horizontal="right" vertical="top" wrapText="1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center"/>
    </xf>
    <xf numFmtId="1" fontId="23" fillId="0" borderId="0" xfId="0" applyNumberFormat="1" applyFont="1" applyFill="1" applyBorder="1" applyAlignment="1">
      <alignment horizontal="center"/>
    </xf>
    <xf numFmtId="10" fontId="23" fillId="0" borderId="0" xfId="0" applyNumberFormat="1" applyFont="1" applyFill="1" applyBorder="1" applyAlignment="1">
      <alignment horizontal="center"/>
    </xf>
    <xf numFmtId="0" fontId="19" fillId="0" borderId="0" xfId="0" applyFont="1" applyBorder="1" applyAlignment="1">
      <alignment vertical="center"/>
    </xf>
    <xf numFmtId="3" fontId="19" fillId="0" borderId="0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3" fontId="19" fillId="0" borderId="21" xfId="0" applyNumberFormat="1" applyFont="1" applyBorder="1" applyAlignment="1">
      <alignment vertical="center"/>
    </xf>
    <xf numFmtId="3" fontId="19" fillId="0" borderId="12" xfId="0" applyNumberFormat="1" applyFont="1" applyBorder="1" applyAlignment="1">
      <alignment vertical="center"/>
    </xf>
    <xf numFmtId="164" fontId="19" fillId="0" borderId="12" xfId="0" applyNumberFormat="1" applyFont="1" applyBorder="1" applyAlignment="1">
      <alignment vertical="center"/>
    </xf>
    <xf numFmtId="164" fontId="19" fillId="0" borderId="21" xfId="0" applyNumberFormat="1" applyFont="1" applyBorder="1" applyAlignment="1">
      <alignment vertical="center"/>
    </xf>
    <xf numFmtId="0" fontId="0" fillId="0" borderId="0" xfId="0"/>
    <xf numFmtId="164" fontId="7" fillId="0" borderId="0" xfId="0" applyNumberFormat="1" applyFont="1" applyAlignment="1">
      <alignment horizontal="right" vertical="top" wrapText="1"/>
    </xf>
    <xf numFmtId="0" fontId="26" fillId="0" borderId="0" xfId="0" applyFont="1"/>
    <xf numFmtId="167" fontId="26" fillId="0" borderId="0" xfId="2" applyNumberFormat="1" applyFont="1" applyFill="1" applyBorder="1"/>
    <xf numFmtId="0" fontId="26" fillId="0" borderId="0" xfId="0" applyFont="1" applyAlignment="1">
      <alignment horizontal="center"/>
    </xf>
    <xf numFmtId="9" fontId="26" fillId="0" borderId="0" xfId="1" applyFont="1" applyFill="1" applyBorder="1" applyAlignment="1">
      <alignment horizontal="center"/>
    </xf>
    <xf numFmtId="0" fontId="23" fillId="0" borderId="0" xfId="0" applyFont="1"/>
    <xf numFmtId="10" fontId="26" fillId="0" borderId="0" xfId="1" applyNumberFormat="1" applyFont="1" applyFill="1" applyBorder="1"/>
    <xf numFmtId="10" fontId="26" fillId="0" borderId="0" xfId="1" applyNumberFormat="1" applyFont="1" applyFill="1" applyBorder="1" applyAlignment="1">
      <alignment horizontal="center"/>
    </xf>
    <xf numFmtId="9" fontId="26" fillId="0" borderId="0" xfId="1" applyFont="1" applyFill="1" applyBorder="1"/>
    <xf numFmtId="169" fontId="26" fillId="0" borderId="0" xfId="1" applyNumberFormat="1" applyFont="1" applyFill="1" applyBorder="1"/>
    <xf numFmtId="0" fontId="26" fillId="0" borderId="4" xfId="0" applyFont="1" applyBorder="1" applyAlignment="1">
      <alignment horizontal="center"/>
    </xf>
    <xf numFmtId="2" fontId="26" fillId="0" borderId="0" xfId="1" applyNumberFormat="1" applyFont="1" applyFill="1" applyBorder="1" applyAlignment="1">
      <alignment horizontal="center"/>
    </xf>
    <xf numFmtId="2" fontId="26" fillId="0" borderId="5" xfId="1" applyNumberFormat="1" applyFont="1" applyFill="1" applyBorder="1" applyAlignment="1">
      <alignment horizontal="center"/>
    </xf>
    <xf numFmtId="10" fontId="26" fillId="0" borderId="0" xfId="0" applyNumberFormat="1" applyFont="1" applyAlignment="1">
      <alignment horizontal="center"/>
    </xf>
    <xf numFmtId="10" fontId="26" fillId="0" borderId="5" xfId="1" applyNumberFormat="1" applyFont="1" applyBorder="1" applyAlignment="1">
      <alignment horizontal="center"/>
    </xf>
    <xf numFmtId="0" fontId="26" fillId="0" borderId="0" xfId="1" applyNumberFormat="1" applyFont="1" applyFill="1" applyBorder="1" applyAlignment="1">
      <alignment horizontal="center"/>
    </xf>
    <xf numFmtId="0" fontId="26" fillId="0" borderId="5" xfId="1" applyNumberFormat="1" applyFont="1" applyFill="1" applyBorder="1" applyAlignment="1">
      <alignment horizontal="center"/>
    </xf>
    <xf numFmtId="10" fontId="26" fillId="0" borderId="5" xfId="1" applyNumberFormat="1" applyFont="1" applyFill="1" applyBorder="1" applyAlignment="1">
      <alignment horizontal="center"/>
    </xf>
    <xf numFmtId="170" fontId="26" fillId="0" borderId="0" xfId="2" applyNumberFormat="1" applyFont="1" applyFill="1" applyBorder="1" applyAlignment="1">
      <alignment horizontal="center"/>
    </xf>
    <xf numFmtId="0" fontId="23" fillId="0" borderId="7" xfId="0" applyFont="1" applyBorder="1" applyAlignment="1">
      <alignment horizontal="center"/>
    </xf>
    <xf numFmtId="10" fontId="23" fillId="0" borderId="7" xfId="0" applyNumberFormat="1" applyFont="1" applyBorder="1" applyAlignment="1">
      <alignment horizontal="center"/>
    </xf>
    <xf numFmtId="10" fontId="23" fillId="0" borderId="8" xfId="0" applyNumberFormat="1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6" fillId="0" borderId="7" xfId="0" applyFont="1" applyBorder="1" applyAlignment="1">
      <alignment horizontal="center"/>
    </xf>
    <xf numFmtId="10" fontId="26" fillId="0" borderId="7" xfId="0" applyNumberFormat="1" applyFont="1" applyBorder="1" applyAlignment="1">
      <alignment horizontal="center"/>
    </xf>
    <xf numFmtId="10" fontId="26" fillId="0" borderId="8" xfId="1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/>
    <xf numFmtId="164" fontId="3" fillId="0" borderId="0" xfId="0" applyNumberFormat="1" applyFont="1" applyBorder="1" applyAlignment="1">
      <alignment horizontal="right" vertical="top" wrapText="1"/>
    </xf>
    <xf numFmtId="0" fontId="0" fillId="0" borderId="5" xfId="0" applyBorder="1"/>
    <xf numFmtId="0" fontId="28" fillId="4" borderId="0" xfId="0" applyFont="1" applyFill="1"/>
    <xf numFmtId="0" fontId="31" fillId="0" borderId="0" xfId="0" applyFont="1" applyBorder="1" applyAlignment="1">
      <alignment horizontal="left" vertical="top"/>
    </xf>
    <xf numFmtId="0" fontId="30" fillId="2" borderId="0" xfId="0" applyFont="1" applyFill="1" applyAlignment="1">
      <alignment horizontal="right" wrapText="1"/>
    </xf>
    <xf numFmtId="9" fontId="31" fillId="0" borderId="0" xfId="1" applyFont="1" applyBorder="1" applyAlignment="1">
      <alignment horizontal="right" vertical="top" wrapText="1"/>
    </xf>
    <xf numFmtId="9" fontId="31" fillId="0" borderId="0" xfId="1" applyFont="1" applyBorder="1" applyAlignment="1">
      <alignment horizontal="right" vertical="top"/>
    </xf>
    <xf numFmtId="9" fontId="7" fillId="0" borderId="0" xfId="1" applyFont="1" applyBorder="1" applyAlignment="1">
      <alignment horizontal="right" vertical="top" wrapText="1"/>
    </xf>
    <xf numFmtId="9" fontId="31" fillId="0" borderId="0" xfId="1" applyFont="1" applyBorder="1" applyAlignment="1">
      <alignment horizontal="right" wrapText="1"/>
    </xf>
    <xf numFmtId="9" fontId="0" fillId="0" borderId="0" xfId="1" applyFont="1" applyBorder="1"/>
    <xf numFmtId="9" fontId="6" fillId="0" borderId="0" xfId="1" applyFont="1" applyBorder="1"/>
    <xf numFmtId="43" fontId="6" fillId="0" borderId="0" xfId="0" applyNumberFormat="1" applyFont="1" applyBorder="1"/>
    <xf numFmtId="0" fontId="23" fillId="0" borderId="5" xfId="0" applyFont="1" applyBorder="1"/>
    <xf numFmtId="9" fontId="0" fillId="0" borderId="5" xfId="1" applyFont="1" applyBorder="1"/>
    <xf numFmtId="9" fontId="0" fillId="0" borderId="7" xfId="1" applyFont="1" applyBorder="1"/>
    <xf numFmtId="9" fontId="0" fillId="0" borderId="8" xfId="1" applyFont="1" applyBorder="1"/>
    <xf numFmtId="9" fontId="6" fillId="0" borderId="0" xfId="1" applyFont="1" applyBorder="1" applyAlignment="1">
      <alignment horizontal="center"/>
    </xf>
    <xf numFmtId="9" fontId="6" fillId="0" borderId="5" xfId="1" applyFont="1" applyBorder="1" applyAlignment="1">
      <alignment horizontal="center"/>
    </xf>
    <xf numFmtId="164" fontId="7" fillId="0" borderId="4" xfId="0" applyNumberFormat="1" applyFont="1" applyBorder="1" applyAlignment="1">
      <alignment horizontal="right" vertical="top" wrapText="1"/>
    </xf>
    <xf numFmtId="9" fontId="31" fillId="0" borderId="5" xfId="1" applyFont="1" applyBorder="1" applyAlignment="1">
      <alignment horizontal="right" vertical="top" wrapText="1"/>
    </xf>
    <xf numFmtId="164" fontId="7" fillId="0" borderId="5" xfId="0" applyNumberFormat="1" applyFont="1" applyBorder="1" applyAlignment="1">
      <alignment horizontal="right" vertical="top" wrapText="1"/>
    </xf>
    <xf numFmtId="9" fontId="31" fillId="0" borderId="4" xfId="1" applyFont="1" applyBorder="1" applyAlignment="1">
      <alignment horizontal="right" vertical="top"/>
    </xf>
    <xf numFmtId="9" fontId="31" fillId="0" borderId="5" xfId="1" applyFont="1" applyBorder="1" applyAlignment="1">
      <alignment horizontal="right" vertical="top"/>
    </xf>
    <xf numFmtId="9" fontId="7" fillId="0" borderId="4" xfId="1" applyFont="1" applyBorder="1" applyAlignment="1">
      <alignment horizontal="right" vertical="top" wrapText="1"/>
    </xf>
    <xf numFmtId="9" fontId="7" fillId="0" borderId="5" xfId="1" applyFont="1" applyBorder="1" applyAlignment="1">
      <alignment horizontal="right" vertical="top" wrapText="1"/>
    </xf>
    <xf numFmtId="9" fontId="31" fillId="0" borderId="4" xfId="1" applyFont="1" applyBorder="1" applyAlignment="1">
      <alignment horizontal="right" wrapText="1"/>
    </xf>
    <xf numFmtId="0" fontId="0" fillId="0" borderId="0" xfId="0" applyBorder="1" applyAlignment="1"/>
    <xf numFmtId="9" fontId="6" fillId="0" borderId="4" xfId="1" applyFont="1" applyBorder="1"/>
    <xf numFmtId="43" fontId="6" fillId="0" borderId="4" xfId="0" applyNumberFormat="1" applyFont="1" applyBorder="1"/>
    <xf numFmtId="165" fontId="7" fillId="0" borderId="4" xfId="0" applyNumberFormat="1" applyFont="1" applyBorder="1" applyAlignment="1">
      <alignment horizontal="right" vertical="top" wrapText="1"/>
    </xf>
    <xf numFmtId="165" fontId="7" fillId="0" borderId="0" xfId="0" applyNumberFormat="1" applyFont="1" applyBorder="1" applyAlignment="1">
      <alignment horizontal="right" vertical="top" wrapText="1"/>
    </xf>
    <xf numFmtId="0" fontId="0" fillId="0" borderId="0" xfId="0" applyBorder="1" applyAlignment="1">
      <alignment horizontal="center" vertical="center"/>
    </xf>
    <xf numFmtId="172" fontId="0" fillId="0" borderId="0" xfId="0" applyNumberFormat="1" applyBorder="1" applyAlignment="1">
      <alignment horizontal="center" vertical="center"/>
    </xf>
    <xf numFmtId="43" fontId="0" fillId="0" borderId="0" xfId="0" applyNumberFormat="1" applyBorder="1" applyAlignment="1">
      <alignment horizontal="center" vertical="center"/>
    </xf>
    <xf numFmtId="43" fontId="0" fillId="0" borderId="7" xfId="0" applyNumberFormat="1" applyBorder="1"/>
    <xf numFmtId="43" fontId="0" fillId="0" borderId="8" xfId="0" applyNumberFormat="1" applyBorder="1"/>
    <xf numFmtId="0" fontId="49" fillId="0" borderId="0" xfId="0" applyFont="1" applyBorder="1" applyAlignment="1">
      <alignment horizontal="right"/>
    </xf>
    <xf numFmtId="9" fontId="6" fillId="0" borderId="0" xfId="0" applyNumberFormat="1" applyFont="1" applyBorder="1"/>
    <xf numFmtId="9" fontId="6" fillId="0" borderId="4" xfId="1" applyFont="1" applyBorder="1" applyAlignment="1">
      <alignment horizontal="center"/>
    </xf>
    <xf numFmtId="9" fontId="31" fillId="0" borderId="4" xfId="1" applyFont="1" applyBorder="1" applyAlignment="1">
      <alignment horizontal="right" vertical="top" wrapText="1"/>
    </xf>
    <xf numFmtId="0" fontId="49" fillId="0" borderId="4" xfId="0" applyFont="1" applyBorder="1" applyAlignment="1">
      <alignment horizontal="right"/>
    </xf>
    <xf numFmtId="0" fontId="49" fillId="0" borderId="5" xfId="0" applyFont="1" applyBorder="1" applyAlignment="1">
      <alignment horizontal="right"/>
    </xf>
    <xf numFmtId="164" fontId="7" fillId="0" borderId="4" xfId="0" applyNumberFormat="1" applyFont="1" applyFill="1" applyBorder="1" applyAlignment="1">
      <alignment horizontal="right" vertical="top" wrapText="1"/>
    </xf>
    <xf numFmtId="164" fontId="7" fillId="0" borderId="5" xfId="0" applyNumberFormat="1" applyFont="1" applyFill="1" applyBorder="1" applyAlignment="1">
      <alignment horizontal="right" vertical="top" wrapText="1"/>
    </xf>
    <xf numFmtId="9" fontId="6" fillId="0" borderId="4" xfId="0" applyNumberFormat="1" applyFont="1" applyBorder="1"/>
    <xf numFmtId="9" fontId="6" fillId="0" borderId="5" xfId="0" applyNumberFormat="1" applyFont="1" applyBorder="1"/>
    <xf numFmtId="43" fontId="6" fillId="0" borderId="4" xfId="0" applyNumberFormat="1" applyFont="1" applyBorder="1" applyAlignment="1">
      <alignment horizontal="right"/>
    </xf>
    <xf numFmtId="43" fontId="6" fillId="0" borderId="0" xfId="0" applyNumberFormat="1" applyFont="1" applyBorder="1" applyAlignment="1">
      <alignment horizontal="right"/>
    </xf>
    <xf numFmtId="0" fontId="0" fillId="2" borderId="10" xfId="0" applyFill="1" applyBorder="1"/>
    <xf numFmtId="0" fontId="23" fillId="0" borderId="0" xfId="0" applyFont="1" applyBorder="1"/>
    <xf numFmtId="0" fontId="27" fillId="0" borderId="0" xfId="0" applyFont="1" applyBorder="1"/>
    <xf numFmtId="0" fontId="27" fillId="0" borderId="0" xfId="0" applyFont="1" applyBorder="1" applyAlignment="1">
      <alignment horizontal="center"/>
    </xf>
    <xf numFmtId="0" fontId="26" fillId="0" borderId="0" xfId="0" applyFont="1" applyBorder="1"/>
    <xf numFmtId="0" fontId="23" fillId="0" borderId="0" xfId="0" applyFont="1" applyBorder="1" applyAlignment="1">
      <alignment horizontal="center"/>
    </xf>
    <xf numFmtId="10" fontId="26" fillId="0" borderId="0" xfId="1" applyNumberFormat="1" applyFont="1" applyBorder="1" applyAlignment="1">
      <alignment horizontal="center"/>
    </xf>
    <xf numFmtId="10" fontId="23" fillId="0" borderId="0" xfId="0" applyNumberFormat="1" applyFont="1" applyBorder="1" applyAlignment="1">
      <alignment horizontal="center"/>
    </xf>
    <xf numFmtId="10" fontId="23" fillId="0" borderId="0" xfId="0" applyNumberFormat="1" applyFont="1" applyBorder="1"/>
    <xf numFmtId="9" fontId="23" fillId="0" borderId="0" xfId="0" applyNumberFormat="1" applyFont="1" applyBorder="1"/>
    <xf numFmtId="0" fontId="53" fillId="0" borderId="0" xfId="0" applyFont="1" applyAlignment="1"/>
    <xf numFmtId="0" fontId="53" fillId="0" borderId="0" xfId="0" applyFont="1"/>
    <xf numFmtId="3" fontId="0" fillId="0" borderId="5" xfId="0" applyNumberFormat="1" applyBorder="1"/>
    <xf numFmtId="10" fontId="0" fillId="0" borderId="8" xfId="0" applyNumberFormat="1" applyBorder="1"/>
    <xf numFmtId="10" fontId="0" fillId="0" borderId="5" xfId="0" applyNumberFormat="1" applyBorder="1"/>
    <xf numFmtId="43" fontId="0" fillId="0" borderId="5" xfId="0" applyNumberFormat="1" applyBorder="1"/>
    <xf numFmtId="43" fontId="0" fillId="0" borderId="5" xfId="3" applyFont="1" applyBorder="1"/>
    <xf numFmtId="10" fontId="0" fillId="0" borderId="0" xfId="0" applyNumberFormat="1" applyBorder="1"/>
    <xf numFmtId="0" fontId="29" fillId="0" borderId="0" xfId="0" applyFont="1" applyFill="1" applyBorder="1" applyAlignment="1">
      <alignment horizontal="right" wrapText="1"/>
    </xf>
    <xf numFmtId="0" fontId="0" fillId="0" borderId="0" xfId="0"/>
    <xf numFmtId="0" fontId="0" fillId="0" borderId="0" xfId="0"/>
    <xf numFmtId="0" fontId="28" fillId="4" borderId="0" xfId="0" applyFont="1" applyFill="1"/>
    <xf numFmtId="9" fontId="6" fillId="0" borderId="4" xfId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7" fillId="0" borderId="0" xfId="1" applyFont="1" applyFill="1" applyBorder="1" applyAlignment="1">
      <alignment horizontal="right" vertical="top" wrapText="1"/>
    </xf>
    <xf numFmtId="2" fontId="26" fillId="0" borderId="0" xfId="2" applyNumberFormat="1" applyFont="1" applyFill="1" applyBorder="1" applyAlignment="1">
      <alignment horizontal="center"/>
    </xf>
    <xf numFmtId="2" fontId="26" fillId="0" borderId="5" xfId="2" applyNumberFormat="1" applyFont="1" applyFill="1" applyBorder="1" applyAlignment="1">
      <alignment horizontal="center"/>
    </xf>
    <xf numFmtId="9" fontId="26" fillId="0" borderId="11" xfId="0" applyNumberFormat="1" applyFont="1" applyBorder="1"/>
    <xf numFmtId="0" fontId="26" fillId="2" borderId="1" xfId="0" applyFont="1" applyFill="1" applyBorder="1"/>
    <xf numFmtId="0" fontId="26" fillId="5" borderId="1" xfId="0" applyFont="1" applyFill="1" applyBorder="1"/>
    <xf numFmtId="10" fontId="26" fillId="0" borderId="11" xfId="0" applyNumberFormat="1" applyFont="1" applyBorder="1"/>
    <xf numFmtId="0" fontId="26" fillId="6" borderId="0" xfId="0" applyFont="1" applyFill="1"/>
    <xf numFmtId="0" fontId="23" fillId="6" borderId="0" xfId="0" applyFont="1" applyFill="1"/>
    <xf numFmtId="0" fontId="27" fillId="2" borderId="10" xfId="0" applyFont="1" applyFill="1" applyBorder="1" applyAlignment="1">
      <alignment horizontal="center"/>
    </xf>
    <xf numFmtId="0" fontId="27" fillId="2" borderId="11" xfId="0" applyFont="1" applyFill="1" applyBorder="1" applyAlignment="1">
      <alignment horizontal="center"/>
    </xf>
    <xf numFmtId="0" fontId="27" fillId="2" borderId="2" xfId="0" applyFont="1" applyFill="1" applyBorder="1"/>
    <xf numFmtId="0" fontId="23" fillId="2" borderId="14" xfId="0" applyFont="1" applyFill="1" applyBorder="1"/>
    <xf numFmtId="0" fontId="23" fillId="2" borderId="3" xfId="0" applyFont="1" applyFill="1" applyBorder="1"/>
    <xf numFmtId="0" fontId="27" fillId="2" borderId="4" xfId="0" applyFont="1" applyFill="1" applyBorder="1"/>
    <xf numFmtId="0" fontId="26" fillId="2" borderId="4" xfId="0" applyFont="1" applyFill="1" applyBorder="1"/>
    <xf numFmtId="0" fontId="26" fillId="2" borderId="6" xfId="0" applyFont="1" applyFill="1" applyBorder="1"/>
    <xf numFmtId="0" fontId="26" fillId="2" borderId="14" xfId="0" applyFont="1" applyFill="1" applyBorder="1"/>
    <xf numFmtId="0" fontId="26" fillId="2" borderId="3" xfId="0" applyFont="1" applyFill="1" applyBorder="1"/>
    <xf numFmtId="0" fontId="26" fillId="2" borderId="0" xfId="0" applyFont="1" applyFill="1" applyBorder="1"/>
    <xf numFmtId="0" fontId="26" fillId="2" borderId="5" xfId="0" applyFont="1" applyFill="1" applyBorder="1"/>
    <xf numFmtId="0" fontId="26" fillId="6" borderId="4" xfId="0" applyFont="1" applyFill="1" applyBorder="1"/>
    <xf numFmtId="0" fontId="23" fillId="6" borderId="0" xfId="0" applyFont="1" applyFill="1" applyBorder="1" applyAlignment="1">
      <alignment horizontal="center"/>
    </xf>
    <xf numFmtId="10" fontId="23" fillId="6" borderId="0" xfId="0" applyNumberFormat="1" applyFont="1" applyFill="1" applyBorder="1" applyAlignment="1">
      <alignment horizontal="center"/>
    </xf>
    <xf numFmtId="10" fontId="23" fillId="6" borderId="5" xfId="0" applyNumberFormat="1" applyFont="1" applyFill="1" applyBorder="1" applyAlignment="1">
      <alignment horizontal="center"/>
    </xf>
    <xf numFmtId="0" fontId="23" fillId="6" borderId="4" xfId="0" applyFont="1" applyFill="1" applyBorder="1"/>
    <xf numFmtId="10" fontId="23" fillId="6" borderId="0" xfId="0" applyNumberFormat="1" applyFont="1" applyFill="1" applyBorder="1"/>
    <xf numFmtId="0" fontId="23" fillId="6" borderId="0" xfId="0" applyFont="1" applyFill="1" applyBorder="1"/>
    <xf numFmtId="0" fontId="23" fillId="6" borderId="5" xfId="0" applyFont="1" applyFill="1" applyBorder="1"/>
    <xf numFmtId="0" fontId="26" fillId="6" borderId="0" xfId="0" applyFont="1" applyFill="1" applyBorder="1"/>
    <xf numFmtId="0" fontId="26" fillId="6" borderId="5" xfId="0" applyFont="1" applyFill="1" applyBorder="1"/>
    <xf numFmtId="9" fontId="0" fillId="0" borderId="0" xfId="0" applyNumberFormat="1" applyBorder="1"/>
    <xf numFmtId="43" fontId="7" fillId="0" borderId="0" xfId="0" applyNumberFormat="1" applyFont="1" applyBorder="1" applyAlignment="1">
      <alignment horizontal="right" vertical="top" wrapText="1"/>
    </xf>
    <xf numFmtId="9" fontId="6" fillId="0" borderId="4" xfId="1" applyFont="1" applyBorder="1" applyAlignment="1">
      <alignment vertical="top"/>
    </xf>
    <xf numFmtId="9" fontId="6" fillId="0" borderId="0" xfId="1" applyFont="1" applyBorder="1" applyAlignment="1">
      <alignment vertical="top"/>
    </xf>
    <xf numFmtId="43" fontId="6" fillId="0" borderId="4" xfId="0" applyNumberFormat="1" applyFont="1" applyBorder="1" applyAlignment="1">
      <alignment vertical="top"/>
    </xf>
    <xf numFmtId="43" fontId="6" fillId="0" borderId="0" xfId="0" applyNumberFormat="1" applyFont="1" applyBorder="1" applyAlignment="1">
      <alignment vertical="top"/>
    </xf>
    <xf numFmtId="0" fontId="49" fillId="0" borderId="0" xfId="0" applyFont="1"/>
    <xf numFmtId="0" fontId="0" fillId="2" borderId="14" xfId="0" applyFill="1" applyBorder="1"/>
    <xf numFmtId="0" fontId="8" fillId="2" borderId="4" xfId="0" applyFont="1" applyFill="1" applyBorder="1" applyAlignment="1">
      <alignment horizontal="right" wrapText="1"/>
    </xf>
    <xf numFmtId="0" fontId="8" fillId="2" borderId="0" xfId="0" applyFont="1" applyFill="1" applyBorder="1" applyAlignment="1">
      <alignment horizontal="right" wrapText="1"/>
    </xf>
    <xf numFmtId="0" fontId="8" fillId="2" borderId="5" xfId="0" applyFont="1" applyFill="1" applyBorder="1" applyAlignment="1">
      <alignment horizontal="right" wrapText="1"/>
    </xf>
    <xf numFmtId="43" fontId="7" fillId="0" borderId="5" xfId="0" applyNumberFormat="1" applyFont="1" applyBorder="1" applyAlignment="1">
      <alignment horizontal="right" vertical="top" wrapText="1"/>
    </xf>
    <xf numFmtId="0" fontId="59" fillId="7" borderId="0" xfId="0" applyFont="1" applyFill="1" applyAlignment="1">
      <alignment horizontal="right" wrapText="1"/>
    </xf>
    <xf numFmtId="9" fontId="6" fillId="0" borderId="0" xfId="0" applyNumberFormat="1" applyFont="1" applyBorder="1" applyAlignment="1">
      <alignment vertical="top"/>
    </xf>
    <xf numFmtId="43" fontId="6" fillId="0" borderId="0" xfId="0" applyNumberFormat="1" applyFont="1" applyBorder="1" applyAlignment="1">
      <alignment horizontal="left" vertical="top"/>
    </xf>
    <xf numFmtId="164" fontId="6" fillId="0" borderId="0" xfId="0" applyNumberFormat="1" applyFont="1" applyBorder="1" applyAlignment="1">
      <alignment horizontal="center" vertical="top"/>
    </xf>
    <xf numFmtId="9" fontId="6" fillId="0" borderId="0" xfId="1" applyFont="1" applyBorder="1" applyAlignment="1">
      <alignment horizontal="right" vertical="top"/>
    </xf>
    <xf numFmtId="0" fontId="59" fillId="7" borderId="0" xfId="0" applyFont="1" applyFill="1" applyBorder="1" applyAlignment="1">
      <alignment horizontal="right" wrapText="1"/>
    </xf>
    <xf numFmtId="0" fontId="59" fillId="7" borderId="5" xfId="0" applyFont="1" applyFill="1" applyBorder="1" applyAlignment="1">
      <alignment horizontal="right" wrapText="1"/>
    </xf>
    <xf numFmtId="164" fontId="42" fillId="0" borderId="0" xfId="0" applyNumberFormat="1" applyFont="1" applyBorder="1" applyAlignment="1">
      <alignment horizontal="right" vertical="top" wrapText="1"/>
    </xf>
    <xf numFmtId="164" fontId="44" fillId="0" borderId="0" xfId="0" applyNumberFormat="1" applyFont="1" applyBorder="1" applyAlignment="1">
      <alignment horizontal="right" vertical="top" wrapText="1"/>
    </xf>
    <xf numFmtId="43" fontId="7" fillId="0" borderId="0" xfId="2" applyNumberFormat="1" applyFont="1" applyBorder="1" applyAlignment="1">
      <alignment horizontal="right" vertical="top" wrapText="1"/>
    </xf>
    <xf numFmtId="43" fontId="7" fillId="0" borderId="5" xfId="2" applyNumberFormat="1" applyFont="1" applyBorder="1" applyAlignment="1">
      <alignment horizontal="right" vertical="top" wrapText="1"/>
    </xf>
    <xf numFmtId="0" fontId="59" fillId="7" borderId="4" xfId="0" applyFont="1" applyFill="1" applyBorder="1" applyAlignment="1">
      <alignment horizontal="right" wrapText="1"/>
    </xf>
    <xf numFmtId="0" fontId="6" fillId="0" borderId="5" xfId="0" applyFont="1" applyBorder="1" applyAlignment="1">
      <alignment vertical="top"/>
    </xf>
    <xf numFmtId="43" fontId="6" fillId="0" borderId="5" xfId="0" applyNumberFormat="1" applyFont="1" applyBorder="1" applyAlignment="1">
      <alignment vertical="top"/>
    </xf>
    <xf numFmtId="9" fontId="6" fillId="0" borderId="5" xfId="0" applyNumberFormat="1" applyFont="1" applyBorder="1" applyAlignment="1">
      <alignment vertical="top"/>
    </xf>
    <xf numFmtId="43" fontId="6" fillId="0" borderId="5" xfId="0" applyNumberFormat="1" applyFont="1" applyBorder="1" applyAlignment="1">
      <alignment horizontal="left" vertical="top"/>
    </xf>
    <xf numFmtId="164" fontId="6" fillId="0" borderId="5" xfId="0" applyNumberFormat="1" applyFont="1" applyBorder="1" applyAlignment="1">
      <alignment horizontal="center" vertical="top"/>
    </xf>
    <xf numFmtId="9" fontId="6" fillId="0" borderId="5" xfId="1" applyFont="1" applyBorder="1" applyAlignment="1">
      <alignment horizontal="right" vertical="top"/>
    </xf>
    <xf numFmtId="9" fontId="0" fillId="0" borderId="5" xfId="0" applyNumberFormat="1" applyBorder="1"/>
    <xf numFmtId="43" fontId="0" fillId="0" borderId="4" xfId="0" applyNumberFormat="1" applyBorder="1" applyAlignment="1">
      <alignment horizontal="right" vertical="top"/>
    </xf>
    <xf numFmtId="43" fontId="0" fillId="0" borderId="6" xfId="0" applyNumberFormat="1" applyBorder="1" applyAlignment="1">
      <alignment horizontal="right" vertical="top"/>
    </xf>
    <xf numFmtId="43" fontId="0" fillId="0" borderId="7" xfId="0" applyNumberFormat="1" applyBorder="1" applyAlignment="1">
      <alignment horizontal="right" vertical="top"/>
    </xf>
    <xf numFmtId="9" fontId="49" fillId="0" borderId="0" xfId="1" applyFont="1" applyBorder="1"/>
    <xf numFmtId="9" fontId="49" fillId="0" borderId="4" xfId="1" applyFont="1" applyBorder="1"/>
    <xf numFmtId="43" fontId="6" fillId="0" borderId="5" xfId="0" applyNumberFormat="1" applyFont="1" applyBorder="1" applyAlignment="1">
      <alignment horizontal="right"/>
    </xf>
    <xf numFmtId="9" fontId="6" fillId="0" borderId="5" xfId="1" applyFont="1" applyBorder="1" applyAlignment="1">
      <alignment horizontal="right"/>
    </xf>
    <xf numFmtId="9" fontId="7" fillId="0" borderId="4" xfId="1" applyFont="1" applyFill="1" applyBorder="1" applyAlignment="1">
      <alignment horizontal="right" vertical="top" wrapText="1"/>
    </xf>
    <xf numFmtId="9" fontId="7" fillId="0" borderId="5" xfId="1" applyFont="1" applyFill="1" applyBorder="1" applyAlignment="1">
      <alignment horizontal="right" vertical="top" wrapText="1"/>
    </xf>
    <xf numFmtId="9" fontId="31" fillId="0" borderId="5" xfId="1" applyFont="1" applyBorder="1" applyAlignment="1">
      <alignment horizontal="right" wrapText="1"/>
    </xf>
    <xf numFmtId="43" fontId="6" fillId="0" borderId="5" xfId="0" applyNumberFormat="1" applyFont="1" applyBorder="1"/>
    <xf numFmtId="9" fontId="6" fillId="0" borderId="5" xfId="1" applyFont="1" applyBorder="1"/>
    <xf numFmtId="165" fontId="7" fillId="0" borderId="5" xfId="0" applyNumberFormat="1" applyFont="1" applyBorder="1" applyAlignment="1">
      <alignment horizontal="right" vertical="top" wrapText="1"/>
    </xf>
    <xf numFmtId="9" fontId="6" fillId="0" borderId="5" xfId="1" applyFont="1" applyBorder="1" applyAlignment="1">
      <alignment vertical="top"/>
    </xf>
    <xf numFmtId="0" fontId="0" fillId="0" borderId="5" xfId="0" applyBorder="1" applyAlignment="1"/>
    <xf numFmtId="9" fontId="49" fillId="0" borderId="5" xfId="1" applyFont="1" applyBorder="1"/>
    <xf numFmtId="0" fontId="0" fillId="0" borderId="0" xfId="0" applyBorder="1"/>
    <xf numFmtId="0" fontId="0" fillId="2" borderId="9" xfId="0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Border="1" applyAlignment="1"/>
    <xf numFmtId="0" fontId="65" fillId="6" borderId="4" xfId="4" applyFont="1" applyFill="1" applyBorder="1"/>
    <xf numFmtId="0" fontId="65" fillId="6" borderId="2" xfId="4" applyFont="1" applyFill="1" applyBorder="1"/>
    <xf numFmtId="0" fontId="65" fillId="6" borderId="6" xfId="4" applyFont="1" applyFill="1" applyBorder="1"/>
    <xf numFmtId="0" fontId="26" fillId="6" borderId="2" xfId="4" applyFont="1" applyFill="1" applyBorder="1"/>
    <xf numFmtId="0" fontId="67" fillId="6" borderId="2" xfId="4" applyFont="1" applyFill="1" applyBorder="1"/>
    <xf numFmtId="0" fontId="67" fillId="6" borderId="4" xfId="4" applyFont="1" applyFill="1" applyBorder="1" applyAlignment="1">
      <alignment horizontal="left" indent="1"/>
    </xf>
    <xf numFmtId="0" fontId="0" fillId="0" borderId="0" xfId="0" applyAlignment="1"/>
    <xf numFmtId="10" fontId="0" fillId="6" borderId="24" xfId="1" applyNumberFormat="1" applyFont="1" applyFill="1" applyBorder="1" applyAlignment="1">
      <alignment horizontal="center"/>
    </xf>
    <xf numFmtId="10" fontId="0" fillId="6" borderId="25" xfId="1" applyNumberFormat="1" applyFont="1" applyFill="1" applyBorder="1" applyAlignment="1">
      <alignment horizontal="center"/>
    </xf>
    <xf numFmtId="0" fontId="68" fillId="0" borderId="0" xfId="0" applyFont="1" applyFill="1" applyBorder="1" applyAlignment="1">
      <alignment horizontal="center"/>
    </xf>
    <xf numFmtId="169" fontId="69" fillId="0" borderId="0" xfId="0" applyNumberFormat="1" applyFont="1" applyFill="1" applyBorder="1"/>
    <xf numFmtId="176" fontId="70" fillId="0" borderId="0" xfId="3" applyNumberFormat="1" applyFont="1" applyFill="1" applyBorder="1"/>
    <xf numFmtId="177" fontId="69" fillId="0" borderId="0" xfId="0" applyNumberFormat="1" applyFont="1" applyFill="1" applyBorder="1"/>
    <xf numFmtId="9" fontId="69" fillId="0" borderId="0" xfId="0" applyNumberFormat="1" applyFont="1" applyFill="1" applyBorder="1"/>
    <xf numFmtId="178" fontId="70" fillId="0" borderId="0" xfId="0" applyNumberFormat="1" applyFont="1" applyFill="1" applyBorder="1"/>
    <xf numFmtId="177" fontId="70" fillId="0" borderId="0" xfId="3" applyNumberFormat="1" applyFont="1" applyFill="1" applyBorder="1"/>
    <xf numFmtId="10" fontId="70" fillId="0" borderId="0" xfId="0" applyNumberFormat="1" applyFont="1" applyFill="1" applyBorder="1"/>
    <xf numFmtId="179" fontId="69" fillId="0" borderId="0" xfId="3" applyNumberFormat="1" applyFont="1" applyFill="1" applyBorder="1"/>
    <xf numFmtId="176" fontId="69" fillId="0" borderId="0" xfId="0" applyNumberFormat="1" applyFont="1" applyFill="1" applyBorder="1"/>
    <xf numFmtId="2" fontId="1" fillId="0" borderId="0" xfId="0" applyNumberFormat="1" applyFont="1" applyFill="1" applyBorder="1"/>
    <xf numFmtId="14" fontId="0" fillId="2" borderId="4" xfId="0" applyNumberForma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9" fontId="0" fillId="0" borderId="12" xfId="1" applyFont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49" fontId="24" fillId="2" borderId="2" xfId="0" applyNumberFormat="1" applyFont="1" applyFill="1" applyBorder="1"/>
    <xf numFmtId="0" fontId="0" fillId="0" borderId="0" xfId="0" applyBorder="1"/>
    <xf numFmtId="164" fontId="74" fillId="0" borderId="9" xfId="0" applyNumberFormat="1" applyFont="1" applyBorder="1" applyAlignment="1">
      <alignment horizontal="right" wrapText="1"/>
    </xf>
    <xf numFmtId="164" fontId="74" fillId="0" borderId="10" xfId="0" applyNumberFormat="1" applyFont="1" applyBorder="1" applyAlignment="1">
      <alignment horizontal="right" wrapText="1"/>
    </xf>
    <xf numFmtId="164" fontId="74" fillId="0" borderId="11" xfId="0" applyNumberFormat="1" applyFont="1" applyBorder="1" applyAlignment="1">
      <alignment horizontal="right" wrapText="1"/>
    </xf>
    <xf numFmtId="175" fontId="0" fillId="0" borderId="0" xfId="1" applyNumberFormat="1" applyFont="1" applyBorder="1" applyAlignment="1"/>
    <xf numFmtId="175" fontId="0" fillId="0" borderId="0" xfId="0" applyNumberFormat="1" applyBorder="1" applyAlignment="1"/>
    <xf numFmtId="9" fontId="0" fillId="0" borderId="0" xfId="0" applyNumberFormat="1" applyBorder="1" applyAlignment="1"/>
    <xf numFmtId="9" fontId="7" fillId="0" borderId="0" xfId="1" applyFont="1" applyBorder="1" applyAlignment="1">
      <alignment horizontal="right"/>
    </xf>
    <xf numFmtId="9" fontId="7" fillId="0" borderId="5" xfId="1" applyFont="1" applyBorder="1" applyAlignment="1">
      <alignment horizontal="right"/>
    </xf>
    <xf numFmtId="0" fontId="0" fillId="0" borderId="0" xfId="0"/>
    <xf numFmtId="0" fontId="2" fillId="0" borderId="0" xfId="0" applyFont="1"/>
    <xf numFmtId="0" fontId="35" fillId="2" borderId="9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top" wrapText="1"/>
    </xf>
    <xf numFmtId="0" fontId="7" fillId="0" borderId="21" xfId="0" applyFont="1" applyBorder="1" applyAlignment="1">
      <alignment vertical="top" wrapText="1"/>
    </xf>
    <xf numFmtId="0" fontId="7" fillId="0" borderId="21" xfId="0" applyFont="1" applyBorder="1" applyAlignment="1">
      <alignment horizontal="center" vertical="top" wrapText="1"/>
    </xf>
    <xf numFmtId="0" fontId="7" fillId="0" borderId="4" xfId="0" applyFont="1" applyBorder="1" applyAlignment="1">
      <alignment vertical="top" wrapText="1"/>
    </xf>
    <xf numFmtId="0" fontId="7" fillId="0" borderId="12" xfId="0" applyFont="1" applyBorder="1" applyAlignment="1">
      <alignment vertical="top" wrapText="1"/>
    </xf>
    <xf numFmtId="180" fontId="7" fillId="0" borderId="12" xfId="0" applyNumberFormat="1" applyFont="1" applyBorder="1" applyAlignment="1">
      <alignment horizontal="center" vertical="top" wrapText="1"/>
    </xf>
    <xf numFmtId="0" fontId="7" fillId="0" borderId="6" xfId="0" applyFont="1" applyBorder="1" applyAlignment="1">
      <alignment vertical="top" wrapText="1"/>
    </xf>
    <xf numFmtId="0" fontId="7" fillId="0" borderId="13" xfId="0" applyFont="1" applyBorder="1" applyAlignment="1">
      <alignment vertical="top" wrapText="1"/>
    </xf>
    <xf numFmtId="180" fontId="7" fillId="0" borderId="13" xfId="0" applyNumberFormat="1" applyFont="1" applyBorder="1" applyAlignment="1">
      <alignment horizontal="center" vertical="top" wrapText="1"/>
    </xf>
    <xf numFmtId="0" fontId="2" fillId="0" borderId="0" xfId="0" applyFont="1" applyAlignment="1">
      <alignment wrapText="1"/>
    </xf>
    <xf numFmtId="10" fontId="2" fillId="0" borderId="0" xfId="1" applyNumberFormat="1" applyFont="1"/>
    <xf numFmtId="0" fontId="7" fillId="0" borderId="0" xfId="0" applyFont="1" applyAlignment="1">
      <alignment horizontal="center" vertical="top" wrapText="1"/>
    </xf>
    <xf numFmtId="9" fontId="0" fillId="0" borderId="10" xfId="1" applyFont="1" applyBorder="1"/>
    <xf numFmtId="9" fontId="0" fillId="0" borderId="11" xfId="1" applyFont="1" applyBorder="1"/>
    <xf numFmtId="0" fontId="1" fillId="2" borderId="14" xfId="0" applyFont="1" applyFill="1" applyBorder="1" applyAlignment="1"/>
    <xf numFmtId="0" fontId="0" fillId="0" borderId="0" xfId="0"/>
    <xf numFmtId="0" fontId="0" fillId="0" borderId="0" xfId="0"/>
    <xf numFmtId="0" fontId="0" fillId="0" borderId="13" xfId="0" applyBorder="1"/>
    <xf numFmtId="2" fontId="0" fillId="0" borderId="14" xfId="0" applyNumberFormat="1" applyBorder="1"/>
    <xf numFmtId="2" fontId="0" fillId="0" borderId="3" xfId="0" applyNumberFormat="1" applyBorder="1"/>
    <xf numFmtId="43" fontId="0" fillId="0" borderId="13" xfId="0" applyNumberFormat="1" applyBorder="1"/>
    <xf numFmtId="0" fontId="0" fillId="0" borderId="6" xfId="0" applyBorder="1"/>
    <xf numFmtId="0" fontId="0" fillId="0" borderId="2" xfId="0" applyBorder="1"/>
    <xf numFmtId="0" fontId="0" fillId="0" borderId="14" xfId="0" applyBorder="1"/>
    <xf numFmtId="0" fontId="0" fillId="2" borderId="6" xfId="0" applyFill="1" applyBorder="1"/>
    <xf numFmtId="0" fontId="0" fillId="2" borderId="2" xfId="0" applyFill="1" applyBorder="1"/>
    <xf numFmtId="0" fontId="0" fillId="0" borderId="7" xfId="0" applyBorder="1"/>
    <xf numFmtId="10" fontId="0" fillId="0" borderId="14" xfId="0" applyNumberFormat="1" applyBorder="1"/>
    <xf numFmtId="10" fontId="0" fillId="0" borderId="11" xfId="1" applyNumberFormat="1" applyFont="1" applyBorder="1"/>
    <xf numFmtId="0" fontId="27" fillId="2" borderId="9" xfId="4" applyFont="1" applyFill="1" applyBorder="1"/>
    <xf numFmtId="0" fontId="63" fillId="2" borderId="1" xfId="0" applyFont="1" applyFill="1" applyBorder="1"/>
    <xf numFmtId="0" fontId="63" fillId="2" borderId="10" xfId="0" applyFont="1" applyFill="1" applyBorder="1"/>
    <xf numFmtId="0" fontId="63" fillId="2" borderId="11" xfId="0" applyFont="1" applyFill="1" applyBorder="1"/>
    <xf numFmtId="0" fontId="24" fillId="2" borderId="9" xfId="4" applyFont="1" applyFill="1" applyBorder="1" applyAlignment="1">
      <alignment horizontal="center"/>
    </xf>
    <xf numFmtId="0" fontId="24" fillId="2" borderId="10" xfId="4" applyFont="1" applyFill="1" applyBorder="1" applyAlignment="1">
      <alignment horizontal="center"/>
    </xf>
    <xf numFmtId="0" fontId="63" fillId="2" borderId="10" xfId="4" applyFont="1" applyFill="1" applyBorder="1" applyAlignment="1">
      <alignment horizontal="center"/>
    </xf>
    <xf numFmtId="0" fontId="63" fillId="2" borderId="11" xfId="4" applyFont="1" applyFill="1" applyBorder="1" applyAlignment="1">
      <alignment horizontal="center"/>
    </xf>
    <xf numFmtId="179" fontId="0" fillId="0" borderId="0" xfId="0" applyNumberFormat="1" applyBorder="1"/>
    <xf numFmtId="179" fontId="0" fillId="0" borderId="5" xfId="0" applyNumberFormat="1" applyBorder="1"/>
    <xf numFmtId="0" fontId="76" fillId="2" borderId="9" xfId="4" applyFont="1" applyFill="1" applyBorder="1" applyAlignment="1">
      <alignment horizontal="center" vertical="center" wrapText="1"/>
    </xf>
    <xf numFmtId="0" fontId="76" fillId="2" borderId="10" xfId="4" applyFont="1" applyFill="1" applyBorder="1" applyAlignment="1">
      <alignment horizontal="center" vertical="center" wrapText="1"/>
    </xf>
    <xf numFmtId="0" fontId="76" fillId="2" borderId="11" xfId="4" applyFont="1" applyFill="1" applyBorder="1" applyAlignment="1">
      <alignment horizontal="center" vertical="center" wrapText="1"/>
    </xf>
    <xf numFmtId="0" fontId="76" fillId="2" borderId="10" xfId="4" applyFont="1" applyFill="1" applyBorder="1" applyAlignment="1">
      <alignment horizontal="center" vertical="center"/>
    </xf>
    <xf numFmtId="0" fontId="27" fillId="2" borderId="1" xfId="4" applyFont="1" applyFill="1" applyBorder="1"/>
    <xf numFmtId="0" fontId="65" fillId="6" borderId="9" xfId="4" applyFont="1" applyFill="1" applyBorder="1"/>
    <xf numFmtId="0" fontId="0" fillId="0" borderId="9" xfId="0" applyBorder="1"/>
    <xf numFmtId="0" fontId="66" fillId="6" borderId="2" xfId="4" applyFont="1" applyFill="1" applyBorder="1"/>
    <xf numFmtId="0" fontId="1" fillId="2" borderId="9" xfId="0" applyFont="1" applyFill="1" applyBorder="1"/>
    <xf numFmtId="0" fontId="1" fillId="2" borderId="2" xfId="0" applyFont="1" applyFill="1" applyBorder="1"/>
    <xf numFmtId="43" fontId="0" fillId="0" borderId="6" xfId="0" applyNumberFormat="1" applyBorder="1"/>
    <xf numFmtId="14" fontId="1" fillId="2" borderId="9" xfId="0" applyNumberFormat="1" applyFont="1" applyFill="1" applyBorder="1" applyAlignment="1">
      <alignment horizontal="center"/>
    </xf>
    <xf numFmtId="14" fontId="1" fillId="2" borderId="10" xfId="0" applyNumberFormat="1" applyFont="1" applyFill="1" applyBorder="1" applyAlignment="1">
      <alignment horizontal="center"/>
    </xf>
    <xf numFmtId="14" fontId="1" fillId="2" borderId="11" xfId="0" applyNumberFormat="1" applyFont="1" applyFill="1" applyBorder="1" applyAlignment="1">
      <alignment horizontal="center"/>
    </xf>
    <xf numFmtId="14" fontId="1" fillId="2" borderId="10" xfId="0" applyNumberFormat="1" applyFont="1" applyFill="1" applyBorder="1"/>
    <xf numFmtId="0" fontId="0" fillId="0" borderId="12" xfId="0" applyBorder="1"/>
    <xf numFmtId="0" fontId="72" fillId="2" borderId="10" xfId="0" applyFont="1" applyFill="1" applyBorder="1" applyAlignment="1">
      <alignment horizontal="center"/>
    </xf>
    <xf numFmtId="0" fontId="72" fillId="2" borderId="10" xfId="0" applyFont="1" applyFill="1" applyBorder="1"/>
    <xf numFmtId="0" fontId="72" fillId="2" borderId="11" xfId="0" applyFont="1" applyFill="1" applyBorder="1" applyAlignment="1">
      <alignment horizontal="center"/>
    </xf>
    <xf numFmtId="0" fontId="72" fillId="2" borderId="1" xfId="0" applyFont="1" applyFill="1" applyBorder="1"/>
    <xf numFmtId="10" fontId="77" fillId="2" borderId="12" xfId="0" applyNumberFormat="1" applyFont="1" applyFill="1" applyBorder="1"/>
    <xf numFmtId="0" fontId="72" fillId="2" borderId="11" xfId="0" applyFont="1" applyFill="1" applyBorder="1"/>
    <xf numFmtId="2" fontId="77" fillId="0" borderId="0" xfId="0" applyNumberFormat="1" applyFont="1" applyBorder="1"/>
    <xf numFmtId="2" fontId="77" fillId="0" borderId="5" xfId="0" applyNumberFormat="1" applyFont="1" applyBorder="1"/>
    <xf numFmtId="2" fontId="77" fillId="0" borderId="7" xfId="0" applyNumberFormat="1" applyFont="1" applyBorder="1"/>
    <xf numFmtId="2" fontId="77" fillId="0" borderId="8" xfId="0" applyNumberFormat="1" applyFont="1" applyBorder="1"/>
    <xf numFmtId="9" fontId="77" fillId="0" borderId="12" xfId="0" applyNumberFormat="1" applyFont="1" applyBorder="1"/>
    <xf numFmtId="175" fontId="77" fillId="0" borderId="12" xfId="0" applyNumberFormat="1" applyFont="1" applyBorder="1"/>
    <xf numFmtId="175" fontId="77" fillId="0" borderId="13" xfId="0" applyNumberFormat="1" applyFont="1" applyBorder="1"/>
    <xf numFmtId="16" fontId="63" fillId="2" borderId="1" xfId="0" applyNumberFormat="1" applyFont="1" applyFill="1" applyBorder="1" applyAlignment="1">
      <alignment horizontal="center"/>
    </xf>
    <xf numFmtId="2" fontId="77" fillId="0" borderId="12" xfId="0" applyNumberFormat="1" applyFont="1" applyBorder="1"/>
    <xf numFmtId="2" fontId="77" fillId="0" borderId="13" xfId="0" applyNumberFormat="1" applyFont="1" applyBorder="1"/>
    <xf numFmtId="0" fontId="77" fillId="2" borderId="1" xfId="0" applyFont="1" applyFill="1" applyBorder="1"/>
    <xf numFmtId="0" fontId="79" fillId="2" borderId="1" xfId="0" applyFont="1" applyFill="1" applyBorder="1"/>
    <xf numFmtId="0" fontId="78" fillId="9" borderId="0" xfId="0" applyFont="1" applyFill="1"/>
    <xf numFmtId="178" fontId="78" fillId="9" borderId="0" xfId="0" applyNumberFormat="1" applyFont="1" applyFill="1" applyAlignment="1">
      <alignment horizontal="center"/>
    </xf>
    <xf numFmtId="0" fontId="0" fillId="0" borderId="0" xfId="0" applyBorder="1"/>
    <xf numFmtId="9" fontId="82" fillId="7" borderId="2" xfId="0" applyNumberFormat="1" applyFont="1" applyFill="1" applyBorder="1"/>
    <xf numFmtId="166" fontId="19" fillId="0" borderId="21" xfId="0" applyNumberFormat="1" applyFont="1" applyBorder="1" applyAlignment="1">
      <alignment vertical="center"/>
    </xf>
    <xf numFmtId="166" fontId="19" fillId="0" borderId="12" xfId="0" applyNumberFormat="1" applyFont="1" applyBorder="1" applyAlignment="1">
      <alignment vertical="center"/>
    </xf>
    <xf numFmtId="165" fontId="0" fillId="0" borderId="5" xfId="0" applyNumberFormat="1" applyFont="1" applyBorder="1"/>
    <xf numFmtId="10" fontId="0" fillId="0" borderId="12" xfId="1" applyNumberFormat="1" applyFont="1" applyBorder="1"/>
    <xf numFmtId="10" fontId="0" fillId="0" borderId="12" xfId="0" applyNumberFormat="1" applyBorder="1"/>
    <xf numFmtId="164" fontId="33" fillId="0" borderId="0" xfId="0" applyNumberFormat="1" applyFont="1" applyBorder="1" applyAlignment="1">
      <alignment horizontal="right" wrapText="1"/>
    </xf>
    <xf numFmtId="43" fontId="0" fillId="0" borderId="3" xfId="0" applyNumberFormat="1" applyFill="1" applyBorder="1"/>
    <xf numFmtId="43" fontId="0" fillId="0" borderId="14" xfId="0" applyNumberFormat="1" applyFill="1" applyBorder="1"/>
    <xf numFmtId="164" fontId="33" fillId="0" borderId="5" xfId="0" applyNumberFormat="1" applyFont="1" applyBorder="1" applyAlignment="1">
      <alignment horizontal="right" wrapText="1"/>
    </xf>
    <xf numFmtId="0" fontId="0" fillId="6" borderId="6" xfId="0" applyFill="1" applyBorder="1"/>
    <xf numFmtId="0" fontId="0" fillId="6" borderId="7" xfId="0" applyFill="1" applyBorder="1"/>
    <xf numFmtId="9" fontId="0" fillId="0" borderId="14" xfId="0" applyNumberFormat="1" applyBorder="1"/>
    <xf numFmtId="9" fontId="0" fillId="0" borderId="3" xfId="0" applyNumberFormat="1" applyBorder="1"/>
    <xf numFmtId="172" fontId="0" fillId="0" borderId="0" xfId="0" applyNumberFormat="1" applyFont="1" applyBorder="1"/>
    <xf numFmtId="172" fontId="0" fillId="0" borderId="5" xfId="0" applyNumberFormat="1" applyFont="1" applyBorder="1"/>
    <xf numFmtId="43" fontId="0" fillId="6" borderId="8" xfId="0" applyNumberFormat="1" applyFill="1" applyBorder="1"/>
    <xf numFmtId="43" fontId="1" fillId="0" borderId="10" xfId="0" applyNumberFormat="1" applyFont="1" applyBorder="1"/>
    <xf numFmtId="43" fontId="1" fillId="0" borderId="11" xfId="0" applyNumberFormat="1" applyFont="1" applyBorder="1"/>
    <xf numFmtId="0" fontId="0" fillId="0" borderId="6" xfId="0" applyBorder="1"/>
    <xf numFmtId="0" fontId="26" fillId="6" borderId="4" xfId="4" applyFont="1" applyFill="1" applyBorder="1"/>
    <xf numFmtId="0" fontId="26" fillId="6" borderId="6" xfId="4" applyFont="1" applyFill="1" applyBorder="1"/>
    <xf numFmtId="9" fontId="0" fillId="0" borderId="21" xfId="0" applyNumberFormat="1" applyBorder="1"/>
    <xf numFmtId="2" fontId="0" fillId="0" borderId="12" xfId="0" applyNumberFormat="1" applyBorder="1"/>
    <xf numFmtId="9" fontId="0" fillId="0" borderId="13" xfId="0" applyNumberFormat="1" applyBorder="1"/>
    <xf numFmtId="0" fontId="63" fillId="2" borderId="9" xfId="0" applyFont="1" applyFill="1" applyBorder="1"/>
    <xf numFmtId="10" fontId="69" fillId="6" borderId="21" xfId="0" applyNumberFormat="1" applyFont="1" applyFill="1" applyBorder="1"/>
    <xf numFmtId="10" fontId="0" fillId="0" borderId="2" xfId="0" applyNumberFormat="1" applyBorder="1"/>
    <xf numFmtId="10" fontId="0" fillId="0" borderId="3" xfId="0" applyNumberFormat="1" applyBorder="1"/>
    <xf numFmtId="0" fontId="78" fillId="2" borderId="14" xfId="0" applyFont="1" applyFill="1" applyBorder="1"/>
    <xf numFmtId="0" fontId="80" fillId="2" borderId="14" xfId="0" applyFont="1" applyFill="1" applyBorder="1" applyAlignment="1">
      <alignment horizontal="center"/>
    </xf>
    <xf numFmtId="0" fontId="78" fillId="2" borderId="3" xfId="0" applyFont="1" applyFill="1" applyBorder="1"/>
    <xf numFmtId="0" fontId="78" fillId="2" borderId="2" xfId="0" applyFont="1" applyFill="1" applyBorder="1"/>
    <xf numFmtId="169" fontId="81" fillId="2" borderId="6" xfId="0" applyNumberFormat="1" applyFont="1" applyFill="1" applyBorder="1" applyAlignment="1">
      <alignment horizontal="center"/>
    </xf>
    <xf numFmtId="169" fontId="81" fillId="2" borderId="7" xfId="0" applyNumberFormat="1" applyFont="1" applyFill="1" applyBorder="1" applyAlignment="1">
      <alignment horizontal="center"/>
    </xf>
    <xf numFmtId="169" fontId="81" fillId="2" borderId="8" xfId="0" applyNumberFormat="1" applyFont="1" applyFill="1" applyBorder="1" applyAlignment="1">
      <alignment horizontal="center"/>
    </xf>
    <xf numFmtId="9" fontId="1" fillId="2" borderId="1" xfId="1" applyFont="1" applyFill="1" applyBorder="1" applyAlignment="1"/>
    <xf numFmtId="0" fontId="0" fillId="0" borderId="0" xfId="0"/>
    <xf numFmtId="0" fontId="0" fillId="0" borderId="5" xfId="0" applyBorder="1"/>
    <xf numFmtId="0" fontId="0" fillId="0" borderId="0" xfId="0" applyBorder="1"/>
    <xf numFmtId="10" fontId="81" fillId="0" borderId="21" xfId="0" applyNumberFormat="1" applyFont="1" applyFill="1" applyBorder="1" applyAlignment="1">
      <alignment horizontal="center"/>
    </xf>
    <xf numFmtId="10" fontId="81" fillId="0" borderId="12" xfId="0" applyNumberFormat="1" applyFont="1" applyFill="1" applyBorder="1" applyAlignment="1">
      <alignment horizontal="center"/>
    </xf>
    <xf numFmtId="10" fontId="88" fillId="0" borderId="12" xfId="0" applyNumberFormat="1" applyFont="1" applyBorder="1" applyAlignment="1">
      <alignment horizontal="center"/>
    </xf>
    <xf numFmtId="10" fontId="81" fillId="0" borderId="13" xfId="0" applyNumberFormat="1" applyFont="1" applyFill="1" applyBorder="1" applyAlignment="1">
      <alignment horizontal="center"/>
    </xf>
    <xf numFmtId="0" fontId="0" fillId="6" borderId="21" xfId="0" applyFill="1" applyBorder="1"/>
    <xf numFmtId="1" fontId="0" fillId="6" borderId="12" xfId="0" applyNumberFormat="1" applyFill="1" applyBorder="1"/>
    <xf numFmtId="10" fontId="0" fillId="6" borderId="12" xfId="1" applyNumberFormat="1" applyFont="1" applyFill="1" applyBorder="1"/>
    <xf numFmtId="2" fontId="0" fillId="6" borderId="12" xfId="0" applyNumberFormat="1" applyFill="1" applyBorder="1"/>
    <xf numFmtId="10" fontId="0" fillId="6" borderId="12" xfId="0" applyNumberFormat="1" applyFill="1" applyBorder="1"/>
    <xf numFmtId="43" fontId="0" fillId="6" borderId="12" xfId="0" applyNumberFormat="1" applyFill="1" applyBorder="1"/>
    <xf numFmtId="43" fontId="1" fillId="6" borderId="1" xfId="0" applyNumberFormat="1" applyFont="1" applyFill="1" applyBorder="1"/>
    <xf numFmtId="174" fontId="0" fillId="0" borderId="0" xfId="0" applyNumberFormat="1"/>
    <xf numFmtId="0" fontId="0" fillId="0" borderId="0" xfId="0"/>
    <xf numFmtId="0" fontId="0" fillId="0" borderId="7" xfId="0" applyBorder="1"/>
    <xf numFmtId="0" fontId="0" fillId="0" borderId="8" xfId="0" applyBorder="1"/>
    <xf numFmtId="0" fontId="1" fillId="0" borderId="14" xfId="0" applyFont="1" applyBorder="1"/>
    <xf numFmtId="0" fontId="1" fillId="0" borderId="3" xfId="0" applyFont="1" applyBorder="1"/>
    <xf numFmtId="0" fontId="0" fillId="0" borderId="10" xfId="0" applyBorder="1"/>
    <xf numFmtId="9" fontId="49" fillId="0" borderId="4" xfId="0" applyNumberFormat="1" applyFont="1" applyBorder="1"/>
    <xf numFmtId="9" fontId="49" fillId="0" borderId="0" xfId="0" applyNumberFormat="1" applyFont="1" applyBorder="1"/>
    <xf numFmtId="9" fontId="49" fillId="0" borderId="5" xfId="0" applyNumberFormat="1" applyFont="1" applyBorder="1"/>
    <xf numFmtId="168" fontId="26" fillId="6" borderId="0" xfId="0" applyNumberFormat="1" applyFont="1" applyFill="1" applyBorder="1" applyAlignment="1">
      <alignment horizontal="center"/>
    </xf>
    <xf numFmtId="0" fontId="27" fillId="6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10" fontId="26" fillId="6" borderId="0" xfId="0" applyNumberFormat="1" applyFont="1" applyFill="1" applyBorder="1" applyAlignment="1">
      <alignment horizontal="center"/>
    </xf>
    <xf numFmtId="43" fontId="78" fillId="0" borderId="0" xfId="3" applyNumberFormat="1" applyFont="1" applyFill="1" applyBorder="1"/>
    <xf numFmtId="43" fontId="78" fillId="0" borderId="5" xfId="3" applyNumberFormat="1" applyFont="1" applyFill="1" applyBorder="1"/>
    <xf numFmtId="43" fontId="78" fillId="10" borderId="0" xfId="3" applyNumberFormat="1" applyFont="1" applyFill="1" applyBorder="1"/>
    <xf numFmtId="43" fontId="78" fillId="0" borderId="7" xfId="3" applyNumberFormat="1" applyFont="1" applyFill="1" applyBorder="1"/>
    <xf numFmtId="43" fontId="78" fillId="0" borderId="8" xfId="3" applyNumberFormat="1" applyFont="1" applyFill="1" applyBorder="1"/>
    <xf numFmtId="9" fontId="69" fillId="6" borderId="12" xfId="0" applyNumberFormat="1" applyFont="1" applyFill="1" applyBorder="1"/>
    <xf numFmtId="10" fontId="70" fillId="6" borderId="12" xfId="0" applyNumberFormat="1" applyFont="1" applyFill="1" applyBorder="1"/>
    <xf numFmtId="179" fontId="69" fillId="6" borderId="12" xfId="3" applyNumberFormat="1" applyFont="1" applyFill="1" applyBorder="1"/>
    <xf numFmtId="9" fontId="69" fillId="6" borderId="12" xfId="1" applyFont="1" applyFill="1" applyBorder="1" applyAlignment="1"/>
    <xf numFmtId="174" fontId="0" fillId="0" borderId="0" xfId="1" applyNumberFormat="1" applyFont="1"/>
    <xf numFmtId="43" fontId="70" fillId="8" borderId="12" xfId="0" applyNumberFormat="1" applyFont="1" applyFill="1" applyBorder="1"/>
    <xf numFmtId="43" fontId="70" fillId="6" borderId="12" xfId="3" applyNumberFormat="1" applyFont="1" applyFill="1" applyBorder="1"/>
    <xf numFmtId="175" fontId="0" fillId="0" borderId="0" xfId="0" applyNumberFormat="1"/>
    <xf numFmtId="0" fontId="7" fillId="0" borderId="12" xfId="0" applyFont="1" applyBorder="1" applyAlignment="1">
      <alignment horizontal="center" vertical="top" wrapText="1"/>
    </xf>
    <xf numFmtId="0" fontId="7" fillId="0" borderId="13" xfId="0" applyFont="1" applyBorder="1" applyAlignment="1">
      <alignment horizontal="center" vertical="top" wrapText="1"/>
    </xf>
    <xf numFmtId="181" fontId="27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28" fillId="4" borderId="3" xfId="0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31" fillId="0" borderId="5" xfId="0" applyNumberFormat="1" applyFont="1" applyBorder="1" applyAlignment="1">
      <alignment horizontal="right" vertical="top" wrapText="1"/>
    </xf>
    <xf numFmtId="0" fontId="28" fillId="4" borderId="0" xfId="0" applyFont="1" applyFill="1"/>
    <xf numFmtId="0" fontId="0" fillId="0" borderId="0" xfId="0" applyFill="1" applyBorder="1"/>
    <xf numFmtId="0" fontId="3" fillId="0" borderId="0" xfId="0" applyFont="1" applyFill="1" applyBorder="1" applyAlignment="1">
      <alignment horizontal="right" wrapText="1"/>
    </xf>
    <xf numFmtId="0" fontId="49" fillId="0" borderId="0" xfId="0" applyFont="1" applyFill="1" applyBorder="1"/>
    <xf numFmtId="164" fontId="0" fillId="0" borderId="0" xfId="0" applyNumberFormat="1" applyFill="1" applyBorder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29" fillId="2" borderId="0" xfId="0" applyFont="1" applyFill="1" applyBorder="1" applyAlignment="1">
      <alignment horizontal="right" wrapText="1"/>
    </xf>
    <xf numFmtId="182" fontId="91" fillId="0" borderId="0" xfId="0" applyNumberFormat="1" applyFont="1" applyFill="1" applyBorder="1" applyAlignment="1">
      <alignment horizontal="right" wrapText="1"/>
    </xf>
    <xf numFmtId="164" fontId="7" fillId="0" borderId="0" xfId="0" applyNumberFormat="1" applyFont="1" applyBorder="1" applyAlignment="1">
      <alignment horizontal="right" wrapText="1"/>
    </xf>
    <xf numFmtId="9" fontId="7" fillId="0" borderId="0" xfId="1" applyFont="1" applyBorder="1" applyAlignment="1">
      <alignment horizontal="right" wrapText="1"/>
    </xf>
    <xf numFmtId="169" fontId="49" fillId="0" borderId="0" xfId="1" applyNumberFormat="1" applyFont="1" applyBorder="1"/>
    <xf numFmtId="9" fontId="49" fillId="0" borderId="0" xfId="1" applyFont="1" applyBorder="1" applyAlignment="1">
      <alignment horizontal="right"/>
    </xf>
    <xf numFmtId="0" fontId="62" fillId="2" borderId="0" xfId="0" applyFont="1" applyFill="1" applyBorder="1" applyAlignment="1">
      <alignment wrapText="1"/>
    </xf>
    <xf numFmtId="0" fontId="29" fillId="2" borderId="5" xfId="0" applyFont="1" applyFill="1" applyBorder="1" applyAlignment="1">
      <alignment horizontal="right" wrapText="1"/>
    </xf>
    <xf numFmtId="9" fontId="7" fillId="0" borderId="5" xfId="1" applyFont="1" applyBorder="1" applyAlignment="1">
      <alignment horizontal="right" wrapText="1"/>
    </xf>
    <xf numFmtId="9" fontId="0" fillId="0" borderId="7" xfId="1" applyNumberFormat="1" applyFont="1" applyBorder="1"/>
    <xf numFmtId="164" fontId="39" fillId="0" borderId="10" xfId="0" applyNumberFormat="1" applyFont="1" applyBorder="1" applyAlignment="1">
      <alignment horizontal="left" vertical="top"/>
    </xf>
    <xf numFmtId="164" fontId="39" fillId="0" borderId="11" xfId="0" applyNumberFormat="1" applyFont="1" applyBorder="1" applyAlignment="1">
      <alignment horizontal="left" vertical="top"/>
    </xf>
    <xf numFmtId="164" fontId="39" fillId="0" borderId="10" xfId="0" applyNumberFormat="1" applyFont="1" applyBorder="1" applyAlignment="1">
      <alignment horizontal="right" vertical="top" wrapText="1"/>
    </xf>
    <xf numFmtId="164" fontId="39" fillId="0" borderId="11" xfId="0" applyNumberFormat="1" applyFont="1" applyBorder="1" applyAlignment="1">
      <alignment horizontal="right" vertical="top" wrapText="1"/>
    </xf>
    <xf numFmtId="172" fontId="3" fillId="0" borderId="10" xfId="0" applyNumberFormat="1" applyFont="1" applyBorder="1" applyAlignment="1">
      <alignment horizontal="right" vertical="top" wrapText="1"/>
    </xf>
    <xf numFmtId="172" fontId="3" fillId="0" borderId="11" xfId="0" applyNumberFormat="1" applyFont="1" applyBorder="1" applyAlignment="1">
      <alignment horizontal="right" vertical="top" wrapText="1"/>
    </xf>
    <xf numFmtId="172" fontId="24" fillId="0" borderId="10" xfId="0" applyNumberFormat="1" applyFont="1" applyBorder="1"/>
    <xf numFmtId="172" fontId="24" fillId="0" borderId="11" xfId="0" applyNumberFormat="1" applyFont="1" applyBorder="1"/>
    <xf numFmtId="43" fontId="24" fillId="0" borderId="10" xfId="0" applyNumberFormat="1" applyFont="1" applyBorder="1"/>
    <xf numFmtId="43" fontId="24" fillId="0" borderId="11" xfId="0" applyNumberFormat="1" applyFont="1" applyBorder="1"/>
    <xf numFmtId="164" fontId="39" fillId="0" borderId="10" xfId="0" applyNumberFormat="1" applyFont="1" applyBorder="1" applyAlignment="1">
      <alignment horizontal="right" wrapText="1"/>
    </xf>
    <xf numFmtId="164" fontId="39" fillId="0" borderId="11" xfId="0" applyNumberFormat="1" applyFont="1" applyBorder="1" applyAlignment="1">
      <alignment horizontal="right" wrapText="1"/>
    </xf>
    <xf numFmtId="43" fontId="3" fillId="0" borderId="10" xfId="0" applyNumberFormat="1" applyFont="1" applyBorder="1" applyAlignment="1">
      <alignment horizontal="right" vertical="top" wrapText="1"/>
    </xf>
    <xf numFmtId="164" fontId="35" fillId="0" borderId="10" xfId="0" applyNumberFormat="1" applyFont="1" applyBorder="1" applyAlignment="1">
      <alignment horizontal="right" vertical="top" wrapText="1"/>
    </xf>
    <xf numFmtId="164" fontId="35" fillId="0" borderId="11" xfId="0" applyNumberFormat="1" applyFont="1" applyBorder="1" applyAlignment="1">
      <alignment horizontal="right" vertical="top" wrapText="1"/>
    </xf>
    <xf numFmtId="0" fontId="29" fillId="2" borderId="4" xfId="0" applyFont="1" applyFill="1" applyBorder="1" applyAlignment="1">
      <alignment horizontal="right" wrapText="1"/>
    </xf>
    <xf numFmtId="164" fontId="39" fillId="0" borderId="9" xfId="0" applyNumberFormat="1" applyFont="1" applyBorder="1" applyAlignment="1">
      <alignment horizontal="left" vertical="top"/>
    </xf>
    <xf numFmtId="164" fontId="39" fillId="0" borderId="9" xfId="0" applyNumberFormat="1" applyFont="1" applyBorder="1" applyAlignment="1">
      <alignment horizontal="right" vertical="top" wrapText="1"/>
    </xf>
    <xf numFmtId="172" fontId="3" fillId="0" borderId="9" xfId="0" applyNumberFormat="1" applyFont="1" applyBorder="1" applyAlignment="1">
      <alignment horizontal="right" vertical="top" wrapText="1"/>
    </xf>
    <xf numFmtId="9" fontId="7" fillId="0" borderId="4" xfId="1" applyFont="1" applyBorder="1" applyAlignment="1">
      <alignment horizontal="right"/>
    </xf>
    <xf numFmtId="172" fontId="24" fillId="0" borderId="9" xfId="0" applyNumberFormat="1" applyFont="1" applyBorder="1"/>
    <xf numFmtId="9" fontId="7" fillId="0" borderId="4" xfId="1" applyFont="1" applyBorder="1" applyAlignment="1">
      <alignment horizontal="right" wrapText="1"/>
    </xf>
    <xf numFmtId="43" fontId="24" fillId="0" borderId="9" xfId="0" applyNumberFormat="1" applyFont="1" applyBorder="1"/>
    <xf numFmtId="164" fontId="39" fillId="0" borderId="9" xfId="0" applyNumberFormat="1" applyFont="1" applyBorder="1" applyAlignment="1">
      <alignment horizontal="right" wrapText="1"/>
    </xf>
    <xf numFmtId="164" fontId="35" fillId="0" borderId="9" xfId="0" applyNumberFormat="1" applyFont="1" applyBorder="1" applyAlignment="1">
      <alignment horizontal="right" vertical="top" wrapText="1"/>
    </xf>
    <xf numFmtId="9" fontId="0" fillId="0" borderId="9" xfId="1" applyFont="1" applyBorder="1"/>
    <xf numFmtId="43" fontId="0" fillId="0" borderId="0" xfId="0" applyNumberFormat="1" applyFill="1" applyBorder="1"/>
    <xf numFmtId="49" fontId="24" fillId="2" borderId="0" xfId="0" applyNumberFormat="1" applyFont="1" applyFill="1" applyBorder="1" applyAlignment="1">
      <alignment horizontal="right"/>
    </xf>
    <xf numFmtId="182" fontId="91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horizontal="right"/>
    </xf>
    <xf numFmtId="43" fontId="6" fillId="0" borderId="4" xfId="3" applyFont="1" applyBorder="1" applyAlignment="1">
      <alignment vertical="top"/>
    </xf>
    <xf numFmtId="49" fontId="24" fillId="2" borderId="14" xfId="0" applyNumberFormat="1" applyFont="1" applyFill="1" applyBorder="1"/>
    <xf numFmtId="49" fontId="24" fillId="2" borderId="4" xfId="0" applyNumberFormat="1" applyFont="1" applyFill="1" applyBorder="1"/>
    <xf numFmtId="0" fontId="0" fillId="0" borderId="5" xfId="0" applyFill="1" applyBorder="1"/>
    <xf numFmtId="9" fontId="7" fillId="0" borderId="5" xfId="1" applyNumberFormat="1" applyFont="1" applyBorder="1" applyAlignment="1">
      <alignment horizontal="right" vertical="top" wrapText="1"/>
    </xf>
    <xf numFmtId="182" fontId="91" fillId="0" borderId="5" xfId="0" applyNumberFormat="1" applyFont="1" applyBorder="1" applyAlignment="1">
      <alignment horizontal="right" wrapText="1"/>
    </xf>
    <xf numFmtId="182" fontId="91" fillId="0" borderId="5" xfId="0" applyNumberFormat="1" applyFont="1" applyFill="1" applyBorder="1" applyAlignment="1">
      <alignment horizontal="right" wrapText="1"/>
    </xf>
    <xf numFmtId="173" fontId="24" fillId="0" borderId="10" xfId="0" applyNumberFormat="1" applyFont="1" applyBorder="1"/>
    <xf numFmtId="173" fontId="24" fillId="0" borderId="11" xfId="0" applyNumberFormat="1" applyFont="1" applyBorder="1"/>
    <xf numFmtId="173" fontId="24" fillId="0" borderId="9" xfId="0" applyNumberFormat="1" applyFont="1" applyBorder="1"/>
    <xf numFmtId="164" fontId="44" fillId="0" borderId="10" xfId="0" applyNumberFormat="1" applyFont="1" applyBorder="1" applyAlignment="1">
      <alignment horizontal="right" vertical="top" wrapText="1"/>
    </xf>
    <xf numFmtId="164" fontId="44" fillId="0" borderId="11" xfId="0" applyNumberFormat="1" applyFont="1" applyBorder="1" applyAlignment="1">
      <alignment horizontal="right" vertical="top" wrapText="1"/>
    </xf>
    <xf numFmtId="180" fontId="7" fillId="0" borderId="0" xfId="0" applyNumberFormat="1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28" fillId="0" borderId="0" xfId="0" applyFont="1" applyFill="1" applyBorder="1" applyAlignment="1"/>
    <xf numFmtId="181" fontId="27" fillId="0" borderId="0" xfId="0" applyNumberFormat="1" applyFont="1" applyBorder="1" applyAlignment="1">
      <alignment horizontal="center"/>
    </xf>
    <xf numFmtId="10" fontId="24" fillId="0" borderId="0" xfId="1" applyNumberFormat="1" applyFont="1" applyBorder="1" applyAlignment="1">
      <alignment horizontal="center"/>
    </xf>
    <xf numFmtId="0" fontId="35" fillId="0" borderId="0" xfId="0" applyFont="1" applyBorder="1" applyAlignment="1">
      <alignment vertical="center" wrapText="1"/>
    </xf>
    <xf numFmtId="0" fontId="35" fillId="2" borderId="3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10" fontId="24" fillId="0" borderId="11" xfId="1" applyNumberFormat="1" applyFont="1" applyBorder="1" applyAlignment="1">
      <alignment horizontal="center"/>
    </xf>
    <xf numFmtId="9" fontId="82" fillId="7" borderId="1" xfId="0" applyNumberFormat="1" applyFont="1" applyFill="1" applyBorder="1"/>
    <xf numFmtId="14" fontId="0" fillId="0" borderId="0" xfId="0" applyNumberFormat="1" applyFill="1" applyBorder="1"/>
    <xf numFmtId="9" fontId="0" fillId="0" borderId="0" xfId="1" applyFont="1" applyFill="1" applyBorder="1"/>
    <xf numFmtId="0" fontId="0" fillId="0" borderId="0" xfId="0" applyFill="1" applyBorder="1" applyAlignment="1"/>
    <xf numFmtId="9" fontId="0" fillId="0" borderId="0" xfId="1" applyFont="1" applyFill="1" applyBorder="1" applyAlignment="1"/>
    <xf numFmtId="184" fontId="92" fillId="0" borderId="27" xfId="0" applyNumberFormat="1" applyFont="1" applyBorder="1"/>
    <xf numFmtId="185" fontId="92" fillId="0" borderId="27" xfId="0" applyNumberFormat="1" applyFont="1" applyBorder="1"/>
    <xf numFmtId="10" fontId="1" fillId="6" borderId="12" xfId="1" applyNumberFormat="1" applyFont="1" applyFill="1" applyBorder="1"/>
    <xf numFmtId="0" fontId="0" fillId="0" borderId="0" xfId="0"/>
    <xf numFmtId="186" fontId="94" fillId="0" borderId="28" xfId="0" applyNumberFormat="1" applyFont="1" applyBorder="1" applyAlignment="1">
      <alignment horizontal="center" vertical="top"/>
    </xf>
    <xf numFmtId="14" fontId="55" fillId="0" borderId="0" xfId="0" applyNumberFormat="1" applyFont="1" applyFill="1" applyBorder="1"/>
    <xf numFmtId="43" fontId="51" fillId="0" borderId="0" xfId="3" applyFont="1" applyFill="1" applyBorder="1"/>
    <xf numFmtId="0" fontId="52" fillId="0" borderId="0" xfId="0" applyFont="1" applyFill="1" applyBorder="1" applyAlignment="1">
      <alignment textRotation="45"/>
    </xf>
    <xf numFmtId="183" fontId="92" fillId="0" borderId="30" xfId="0" applyNumberFormat="1" applyFont="1" applyBorder="1"/>
    <xf numFmtId="183" fontId="92" fillId="0" borderId="31" xfId="0" applyNumberFormat="1" applyFont="1" applyBorder="1"/>
    <xf numFmtId="9" fontId="0" fillId="0" borderId="5" xfId="1" applyFont="1" applyFill="1" applyBorder="1" applyAlignment="1"/>
    <xf numFmtId="0" fontId="0" fillId="0" borderId="5" xfId="0" applyFill="1" applyBorder="1" applyAlignment="1"/>
    <xf numFmtId="0" fontId="0" fillId="2" borderId="1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183" fontId="92" fillId="0" borderId="32" xfId="0" applyNumberFormat="1" applyFont="1" applyBorder="1"/>
    <xf numFmtId="184" fontId="92" fillId="0" borderId="33" xfId="0" applyNumberFormat="1" applyFont="1" applyBorder="1"/>
    <xf numFmtId="9" fontId="0" fillId="0" borderId="21" xfId="1" applyFont="1" applyBorder="1"/>
    <xf numFmtId="14" fontId="0" fillId="0" borderId="7" xfId="0" applyNumberFormat="1" applyFill="1" applyBorder="1"/>
    <xf numFmtId="9" fontId="0" fillId="0" borderId="13" xfId="1" applyFont="1" applyBorder="1"/>
    <xf numFmtId="0" fontId="0" fillId="0" borderId="0" xfId="0" applyFont="1" applyBorder="1"/>
    <xf numFmtId="0" fontId="93" fillId="0" borderId="12" xfId="0" applyFont="1" applyBorder="1"/>
    <xf numFmtId="0" fontId="51" fillId="0" borderId="12" xfId="0" applyFont="1" applyBorder="1"/>
    <xf numFmtId="0" fontId="1" fillId="2" borderId="21" xfId="0" applyFont="1" applyFill="1" applyBorder="1" applyAlignment="1"/>
    <xf numFmtId="9" fontId="0" fillId="0" borderId="12" xfId="1" applyFont="1" applyFill="1" applyBorder="1" applyAlignment="1"/>
    <xf numFmtId="0" fontId="0" fillId="0" borderId="12" xfId="0" applyFill="1" applyBorder="1" applyAlignment="1"/>
    <xf numFmtId="186" fontId="94" fillId="0" borderId="34" xfId="0" applyNumberFormat="1" applyFont="1" applyBorder="1" applyAlignment="1">
      <alignment horizontal="center" vertical="top"/>
    </xf>
    <xf numFmtId="10" fontId="0" fillId="0" borderId="13" xfId="0" applyNumberFormat="1" applyBorder="1"/>
    <xf numFmtId="164" fontId="12" fillId="0" borderId="0" xfId="0" applyNumberFormat="1" applyFont="1" applyFill="1" applyBorder="1" applyAlignment="1">
      <alignment vertical="center" wrapText="1"/>
    </xf>
    <xf numFmtId="164" fontId="54" fillId="0" borderId="0" xfId="0" applyNumberFormat="1" applyFont="1" applyFill="1" applyBorder="1" applyAlignment="1">
      <alignment vertical="top" wrapText="1"/>
    </xf>
    <xf numFmtId="43" fontId="78" fillId="0" borderId="2" xfId="3" applyNumberFormat="1" applyFont="1" applyFill="1" applyBorder="1"/>
    <xf numFmtId="43" fontId="78" fillId="0" borderId="14" xfId="3" applyNumberFormat="1" applyFont="1" applyFill="1" applyBorder="1"/>
    <xf numFmtId="43" fontId="78" fillId="0" borderId="3" xfId="3" applyNumberFormat="1" applyFont="1" applyFill="1" applyBorder="1"/>
    <xf numFmtId="43" fontId="78" fillId="0" borderId="4" xfId="3" applyNumberFormat="1" applyFont="1" applyFill="1" applyBorder="1"/>
    <xf numFmtId="43" fontId="78" fillId="0" borderId="6" xfId="3" applyNumberFormat="1" applyFont="1" applyFill="1" applyBorder="1"/>
    <xf numFmtId="0" fontId="28" fillId="2" borderId="2" xfId="0" applyFont="1" applyFill="1" applyBorder="1"/>
    <xf numFmtId="0" fontId="28" fillId="2" borderId="14" xfId="0" applyFont="1" applyFill="1" applyBorder="1"/>
    <xf numFmtId="0" fontId="28" fillId="2" borderId="0" xfId="0" applyFont="1" applyFill="1" applyBorder="1"/>
    <xf numFmtId="187" fontId="0" fillId="0" borderId="14" xfId="0" applyNumberFormat="1" applyBorder="1"/>
    <xf numFmtId="187" fontId="0" fillId="0" borderId="3" xfId="0" applyNumberFormat="1" applyBorder="1"/>
    <xf numFmtId="187" fontId="0" fillId="0" borderId="0" xfId="0" applyNumberFormat="1" applyBorder="1"/>
    <xf numFmtId="187" fontId="0" fillId="0" borderId="5" xfId="0" applyNumberFormat="1" applyBorder="1"/>
    <xf numFmtId="187" fontId="1" fillId="0" borderId="0" xfId="0" applyNumberFormat="1" applyFont="1" applyBorder="1"/>
    <xf numFmtId="187" fontId="1" fillId="0" borderId="5" xfId="0" applyNumberFormat="1" applyFont="1" applyBorder="1"/>
    <xf numFmtId="0" fontId="12" fillId="0" borderId="0" xfId="0" applyFont="1" applyFill="1" applyBorder="1" applyAlignment="1">
      <alignment vertical="top"/>
    </xf>
    <xf numFmtId="165" fontId="0" fillId="0" borderId="0" xfId="0" applyNumberFormat="1" applyFont="1" applyBorder="1"/>
    <xf numFmtId="165" fontId="0" fillId="0" borderId="14" xfId="0" applyNumberFormat="1" applyFont="1" applyBorder="1"/>
    <xf numFmtId="165" fontId="0" fillId="0" borderId="14" xfId="0" applyNumberFormat="1" applyFont="1" applyBorder="1" applyAlignment="1">
      <alignment horizontal="right" vertical="top" wrapText="1"/>
    </xf>
    <xf numFmtId="165" fontId="0" fillId="0" borderId="3" xfId="0" applyNumberFormat="1" applyFont="1" applyBorder="1"/>
    <xf numFmtId="165" fontId="0" fillId="0" borderId="0" xfId="0" applyNumberFormat="1" applyFont="1" applyBorder="1" applyAlignment="1">
      <alignment horizontal="right" vertical="top" wrapText="1"/>
    </xf>
    <xf numFmtId="44" fontId="19" fillId="0" borderId="21" xfId="0" applyNumberFormat="1" applyFont="1" applyBorder="1" applyAlignment="1">
      <alignment vertical="center"/>
    </xf>
    <xf numFmtId="0" fontId="0" fillId="0" borderId="0" xfId="0" applyFill="1" applyAlignment="1"/>
    <xf numFmtId="0" fontId="0" fillId="0" borderId="0" xfId="0"/>
    <xf numFmtId="164" fontId="31" fillId="0" borderId="4" xfId="0" applyNumberFormat="1" applyFont="1" applyBorder="1" applyAlignment="1">
      <alignment horizontal="right" vertical="top" wrapText="1"/>
    </xf>
    <xf numFmtId="164" fontId="31" fillId="0" borderId="0" xfId="0" applyNumberFormat="1" applyFont="1" applyBorder="1" applyAlignment="1">
      <alignment horizontal="right" vertical="top" wrapText="1"/>
    </xf>
    <xf numFmtId="0" fontId="0" fillId="0" borderId="4" xfId="0" applyBorder="1"/>
    <xf numFmtId="0" fontId="0" fillId="0" borderId="0" xfId="0" applyBorder="1"/>
    <xf numFmtId="0" fontId="28" fillId="4" borderId="2" xfId="0" applyFont="1" applyFill="1" applyBorder="1"/>
    <xf numFmtId="0" fontId="28" fillId="4" borderId="14" xfId="0" applyFont="1" applyFill="1" applyBorder="1"/>
    <xf numFmtId="164" fontId="29" fillId="0" borderId="0" xfId="0" applyNumberFormat="1" applyFont="1" applyBorder="1" applyAlignment="1">
      <alignment horizontal="right" vertical="top" wrapText="1"/>
    </xf>
    <xf numFmtId="0" fontId="0" fillId="0" borderId="0" xfId="0" applyFill="1" applyBorder="1"/>
    <xf numFmtId="188" fontId="19" fillId="0" borderId="12" xfId="0" applyNumberFormat="1" applyFont="1" applyBorder="1" applyAlignment="1">
      <alignment vertical="center"/>
    </xf>
    <xf numFmtId="189" fontId="19" fillId="0" borderId="12" xfId="0" applyNumberFormat="1" applyFont="1" applyBorder="1" applyAlignment="1">
      <alignment vertical="center"/>
    </xf>
    <xf numFmtId="190" fontId="19" fillId="0" borderId="12" xfId="0" applyNumberFormat="1" applyFont="1" applyBorder="1" applyAlignment="1">
      <alignment vertical="center"/>
    </xf>
    <xf numFmtId="164" fontId="90" fillId="0" borderId="4" xfId="0" applyNumberFormat="1" applyFont="1" applyFill="1" applyBorder="1" applyAlignment="1">
      <alignment vertical="center" wrapText="1"/>
    </xf>
    <xf numFmtId="164" fontId="90" fillId="0" borderId="0" xfId="0" applyNumberFormat="1" applyFont="1" applyFill="1" applyBorder="1" applyAlignment="1">
      <alignment vertical="center" wrapText="1"/>
    </xf>
    <xf numFmtId="2" fontId="0" fillId="0" borderId="5" xfId="0" applyNumberFormat="1" applyBorder="1"/>
    <xf numFmtId="191" fontId="0" fillId="0" borderId="7" xfId="0" applyNumberFormat="1" applyBorder="1"/>
    <xf numFmtId="192" fontId="0" fillId="0" borderId="0" xfId="0" applyNumberFormat="1" applyAlignment="1">
      <alignment horizontal="left" indent="2"/>
    </xf>
    <xf numFmtId="0" fontId="7" fillId="0" borderId="14" xfId="0" applyFont="1" applyBorder="1" applyAlignment="1">
      <alignment horizontal="right" vertical="top"/>
    </xf>
    <xf numFmtId="9" fontId="31" fillId="0" borderId="14" xfId="1" applyFont="1" applyBorder="1" applyAlignment="1">
      <alignment horizontal="right" vertical="top"/>
    </xf>
    <xf numFmtId="164" fontId="7" fillId="0" borderId="7" xfId="0" applyNumberFormat="1" applyFont="1" applyBorder="1" applyAlignment="1">
      <alignment horizontal="right" vertical="top" wrapText="1"/>
    </xf>
    <xf numFmtId="9" fontId="31" fillId="0" borderId="7" xfId="1" applyFont="1" applyBorder="1" applyAlignment="1">
      <alignment horizontal="right" vertical="top" wrapText="1"/>
    </xf>
    <xf numFmtId="2" fontId="0" fillId="0" borderId="0" xfId="0" applyNumberFormat="1" applyBorder="1"/>
    <xf numFmtId="164" fontId="35" fillId="0" borderId="10" xfId="0" applyNumberFormat="1" applyFont="1" applyFill="1" applyBorder="1" applyAlignment="1">
      <alignment vertical="center" wrapText="1"/>
    </xf>
    <xf numFmtId="164" fontId="35" fillId="0" borderId="9" xfId="0" applyNumberFormat="1" applyFont="1" applyFill="1" applyBorder="1" applyAlignment="1">
      <alignment vertical="center" wrapText="1"/>
    </xf>
    <xf numFmtId="164" fontId="35" fillId="0" borderId="11" xfId="0" applyNumberFormat="1" applyFont="1" applyFill="1" applyBorder="1" applyAlignment="1">
      <alignment vertical="center" wrapText="1"/>
    </xf>
    <xf numFmtId="43" fontId="0" fillId="0" borderId="0" xfId="0" applyNumberFormat="1"/>
    <xf numFmtId="2" fontId="77" fillId="0" borderId="4" xfId="0" applyNumberFormat="1" applyFont="1" applyBorder="1"/>
    <xf numFmtId="2" fontId="77" fillId="0" borderId="6" xfId="0" applyNumberFormat="1" applyFont="1" applyBorder="1"/>
    <xf numFmtId="0" fontId="77" fillId="2" borderId="9" xfId="0" applyFont="1" applyFill="1" applyBorder="1"/>
    <xf numFmtId="164" fontId="58" fillId="0" borderId="0" xfId="0" applyNumberFormat="1" applyFont="1" applyAlignment="1">
      <alignment horizontal="right" vertical="top" wrapText="1"/>
    </xf>
    <xf numFmtId="169" fontId="96" fillId="0" borderId="9" xfId="1" applyNumberFormat="1" applyFont="1" applyBorder="1" applyAlignment="1">
      <alignment horizontal="right" vertical="top" wrapText="1"/>
    </xf>
    <xf numFmtId="2" fontId="6" fillId="0" borderId="0" xfId="0" applyNumberFormat="1" applyFont="1" applyBorder="1" applyAlignment="1">
      <alignment vertical="top"/>
    </xf>
    <xf numFmtId="2" fontId="6" fillId="0" borderId="5" xfId="0" applyNumberFormat="1" applyFont="1" applyBorder="1" applyAlignment="1">
      <alignment vertical="top"/>
    </xf>
    <xf numFmtId="2" fontId="77" fillId="0" borderId="2" xfId="0" applyNumberFormat="1" applyFont="1" applyBorder="1"/>
    <xf numFmtId="2" fontId="77" fillId="0" borderId="14" xfId="0" applyNumberFormat="1" applyFont="1" applyBorder="1"/>
    <xf numFmtId="2" fontId="77" fillId="0" borderId="3" xfId="0" applyNumberFormat="1" applyFont="1" applyBorder="1"/>
    <xf numFmtId="8" fontId="0" fillId="0" borderId="0" xfId="0" applyNumberFormat="1"/>
    <xf numFmtId="0" fontId="0" fillId="0" borderId="2" xfId="0" applyBorder="1"/>
    <xf numFmtId="0" fontId="0" fillId="0" borderId="14" xfId="0" applyBorder="1"/>
    <xf numFmtId="0" fontId="0" fillId="0" borderId="3" xfId="0" applyBorder="1"/>
    <xf numFmtId="0" fontId="0" fillId="0" borderId="0" xfId="0"/>
    <xf numFmtId="0" fontId="0" fillId="0" borderId="0" xfId="0" applyBorder="1"/>
    <xf numFmtId="164" fontId="31" fillId="0" borderId="4" xfId="0" applyNumberFormat="1" applyFont="1" applyBorder="1" applyAlignment="1">
      <alignment horizontal="right" vertical="top" wrapText="1"/>
    </xf>
    <xf numFmtId="164" fontId="31" fillId="0" borderId="0" xfId="0" applyNumberFormat="1" applyFont="1" applyBorder="1" applyAlignment="1">
      <alignment horizontal="right" vertical="top" wrapText="1"/>
    </xf>
    <xf numFmtId="0" fontId="1" fillId="0" borderId="0" xfId="0" applyFont="1" applyBorder="1"/>
    <xf numFmtId="2" fontId="69" fillId="6" borderId="12" xfId="0" applyNumberFormat="1" applyFont="1" applyFill="1" applyBorder="1" applyAlignment="1">
      <alignment horizontal="center"/>
    </xf>
    <xf numFmtId="2" fontId="70" fillId="6" borderId="12" xfId="0" applyNumberFormat="1" applyFont="1" applyFill="1" applyBorder="1" applyAlignment="1">
      <alignment horizontal="center"/>
    </xf>
    <xf numFmtId="14" fontId="1" fillId="2" borderId="1" xfId="0" applyNumberFormat="1" applyFont="1" applyFill="1" applyBorder="1"/>
    <xf numFmtId="10" fontId="0" fillId="6" borderId="21" xfId="1" applyNumberFormat="1" applyFont="1" applyFill="1" applyBorder="1" applyAlignment="1">
      <alignment horizontal="center"/>
    </xf>
    <xf numFmtId="10" fontId="0" fillId="6" borderId="13" xfId="1" applyNumberFormat="1" applyFont="1" applyFill="1" applyBorder="1" applyAlignment="1">
      <alignment horizontal="center"/>
    </xf>
    <xf numFmtId="169" fontId="0" fillId="0" borderId="4" xfId="0" applyNumberFormat="1" applyBorder="1"/>
    <xf numFmtId="169" fontId="0" fillId="0" borderId="0" xfId="0" applyNumberFormat="1" applyBorder="1"/>
    <xf numFmtId="169" fontId="0" fillId="0" borderId="5" xfId="0" applyNumberFormat="1" applyBorder="1"/>
    <xf numFmtId="169" fontId="96" fillId="0" borderId="1" xfId="1" applyNumberFormat="1" applyFont="1" applyBorder="1" applyAlignment="1">
      <alignment horizontal="right" vertical="top" wrapText="1"/>
    </xf>
    <xf numFmtId="0" fontId="0" fillId="0" borderId="0" xfId="0"/>
    <xf numFmtId="0" fontId="0" fillId="0" borderId="2" xfId="0" applyBorder="1"/>
    <xf numFmtId="0" fontId="0" fillId="0" borderId="14" xfId="0" applyBorder="1"/>
    <xf numFmtId="0" fontId="0" fillId="0" borderId="3" xfId="0" applyBorder="1"/>
    <xf numFmtId="0" fontId="42" fillId="0" borderId="0" xfId="0" applyFont="1" applyBorder="1" applyAlignment="1">
      <alignment horizontal="left" vertical="top"/>
    </xf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0" fillId="2" borderId="2" xfId="0" applyFill="1" applyBorder="1"/>
    <xf numFmtId="0" fontId="0" fillId="2" borderId="3" xfId="0" applyFill="1" applyBorder="1"/>
    <xf numFmtId="0" fontId="23" fillId="0" borderId="0" xfId="0" applyFont="1" applyBorder="1"/>
    <xf numFmtId="2" fontId="0" fillId="0" borderId="5" xfId="0" applyNumberFormat="1" applyFont="1" applyBorder="1"/>
    <xf numFmtId="2" fontId="6" fillId="0" borderId="0" xfId="1" applyNumberFormat="1" applyFont="1" applyBorder="1"/>
    <xf numFmtId="0" fontId="91" fillId="0" borderId="0" xfId="0" applyFont="1" applyBorder="1"/>
    <xf numFmtId="9" fontId="7" fillId="0" borderId="7" xfId="1" applyFont="1" applyBorder="1" applyAlignment="1">
      <alignment horizontal="right" vertical="top" wrapText="1"/>
    </xf>
    <xf numFmtId="172" fontId="24" fillId="0" borderId="10" xfId="1" applyNumberFormat="1" applyFont="1" applyBorder="1"/>
    <xf numFmtId="172" fontId="24" fillId="0" borderId="11" xfId="1" applyNumberFormat="1" applyFont="1" applyBorder="1"/>
    <xf numFmtId="2" fontId="6" fillId="0" borderId="4" xfId="1" applyNumberFormat="1" applyFont="1" applyBorder="1"/>
    <xf numFmtId="9" fontId="6" fillId="0" borderId="14" xfId="1" applyFont="1" applyBorder="1"/>
    <xf numFmtId="9" fontId="6" fillId="0" borderId="3" xfId="1" applyFont="1" applyBorder="1"/>
    <xf numFmtId="2" fontId="6" fillId="0" borderId="5" xfId="1" applyNumberFormat="1" applyFont="1" applyBorder="1"/>
    <xf numFmtId="2" fontId="6" fillId="0" borderId="7" xfId="1" applyNumberFormat="1" applyFont="1" applyBorder="1"/>
    <xf numFmtId="10" fontId="6" fillId="0" borderId="7" xfId="1" applyNumberFormat="1" applyFont="1" applyBorder="1"/>
    <xf numFmtId="10" fontId="6" fillId="0" borderId="8" xfId="1" applyNumberFormat="1" applyFont="1" applyBorder="1"/>
    <xf numFmtId="9" fontId="6" fillId="0" borderId="2" xfId="1" applyFont="1" applyBorder="1"/>
    <xf numFmtId="9" fontId="6" fillId="0" borderId="6" xfId="1" applyFont="1" applyBorder="1"/>
    <xf numFmtId="9" fontId="6" fillId="0" borderId="7" xfId="1" applyFont="1" applyBorder="1"/>
    <xf numFmtId="9" fontId="6" fillId="0" borderId="8" xfId="1" applyFont="1" applyBorder="1"/>
    <xf numFmtId="172" fontId="24" fillId="0" borderId="9" xfId="1" applyNumberFormat="1" applyFont="1" applyBorder="1"/>
    <xf numFmtId="9" fontId="7" fillId="0" borderId="0" xfId="1" applyFont="1" applyBorder="1" applyAlignment="1">
      <alignment horizontal="right" vertical="top"/>
    </xf>
    <xf numFmtId="0" fontId="0" fillId="0" borderId="0" xfId="0" applyFill="1" applyBorder="1"/>
    <xf numFmtId="164" fontId="33" fillId="0" borderId="0" xfId="0" applyNumberFormat="1" applyFont="1" applyBorder="1" applyAlignment="1">
      <alignment horizontal="right" vertical="top" wrapText="1"/>
    </xf>
    <xf numFmtId="164" fontId="33" fillId="0" borderId="5" xfId="0" applyNumberFormat="1" applyFont="1" applyBorder="1" applyAlignment="1">
      <alignment horizontal="right" vertical="top" wrapText="1"/>
    </xf>
    <xf numFmtId="172" fontId="1" fillId="0" borderId="10" xfId="0" applyNumberFormat="1" applyFont="1" applyBorder="1"/>
    <xf numFmtId="172" fontId="1" fillId="0" borderId="11" xfId="0" applyNumberFormat="1" applyFont="1" applyBorder="1"/>
    <xf numFmtId="0" fontId="66" fillId="6" borderId="1" xfId="4" applyFont="1" applyFill="1" applyBorder="1"/>
    <xf numFmtId="164" fontId="31" fillId="0" borderId="0" xfId="0" applyNumberFormat="1" applyFont="1" applyFill="1" applyBorder="1" applyAlignment="1">
      <alignment horizontal="right" vertical="top" wrapText="1"/>
    </xf>
    <xf numFmtId="10" fontId="44" fillId="0" borderId="0" xfId="0" applyNumberFormat="1" applyFont="1" applyBorder="1" applyAlignment="1">
      <alignment horizontal="right" vertical="top" wrapText="1"/>
    </xf>
    <xf numFmtId="182" fontId="7" fillId="0" borderId="0" xfId="0" applyNumberFormat="1" applyFont="1" applyBorder="1" applyAlignment="1">
      <alignment horizontal="right" vertical="top" wrapText="1"/>
    </xf>
    <xf numFmtId="182" fontId="7" fillId="0" borderId="0" xfId="2" applyNumberFormat="1" applyFont="1" applyBorder="1" applyAlignment="1">
      <alignment horizontal="right" vertical="top" wrapText="1"/>
    </xf>
    <xf numFmtId="182" fontId="6" fillId="0" borderId="5" xfId="0" applyNumberFormat="1" applyFont="1" applyBorder="1" applyAlignment="1">
      <alignment vertical="top"/>
    </xf>
    <xf numFmtId="10" fontId="44" fillId="0" borderId="5" xfId="0" applyNumberFormat="1" applyFont="1" applyBorder="1" applyAlignment="1">
      <alignment horizontal="right" vertical="top" wrapText="1"/>
    </xf>
    <xf numFmtId="43" fontId="6" fillId="0" borderId="0" xfId="3" applyFont="1" applyBorder="1" applyAlignment="1">
      <alignment vertical="top"/>
    </xf>
    <xf numFmtId="43" fontId="6" fillId="0" borderId="5" xfId="3" applyFont="1" applyBorder="1" applyAlignment="1">
      <alignment vertical="top"/>
    </xf>
    <xf numFmtId="43" fontId="7" fillId="0" borderId="6" xfId="0" applyNumberFormat="1" applyFont="1" applyBorder="1" applyAlignment="1">
      <alignment horizontal="right" vertical="top" wrapText="1"/>
    </xf>
    <xf numFmtId="43" fontId="7" fillId="0" borderId="7" xfId="0" applyNumberFormat="1" applyFont="1" applyBorder="1" applyAlignment="1">
      <alignment horizontal="right" vertical="top" wrapText="1"/>
    </xf>
    <xf numFmtId="43" fontId="7" fillId="0" borderId="8" xfId="0" applyNumberFormat="1" applyFont="1" applyBorder="1" applyAlignment="1">
      <alignment horizontal="right" vertical="top" wrapText="1"/>
    </xf>
    <xf numFmtId="2" fontId="0" fillId="0" borderId="4" xfId="0" applyNumberFormat="1" applyBorder="1"/>
    <xf numFmtId="0" fontId="99" fillId="0" borderId="0" xfId="0" applyFont="1" applyFill="1"/>
    <xf numFmtId="0" fontId="100" fillId="0" borderId="0" xfId="0" applyFont="1" applyFill="1"/>
    <xf numFmtId="0" fontId="99" fillId="0" borderId="21" xfId="0" applyFont="1" applyFill="1" applyBorder="1"/>
    <xf numFmtId="0" fontId="100" fillId="0" borderId="21" xfId="0" applyFont="1" applyFill="1" applyBorder="1"/>
    <xf numFmtId="0" fontId="99" fillId="0" borderId="2" xfId="0" applyFont="1" applyFill="1" applyBorder="1"/>
    <xf numFmtId="0" fontId="99" fillId="0" borderId="12" xfId="0" applyFont="1" applyFill="1" applyBorder="1"/>
    <xf numFmtId="0" fontId="100" fillId="0" borderId="12" xfId="0" applyFont="1" applyFill="1" applyBorder="1"/>
    <xf numFmtId="0" fontId="99" fillId="0" borderId="4" xfId="0" applyFont="1" applyFill="1" applyBorder="1"/>
    <xf numFmtId="21" fontId="100" fillId="0" borderId="0" xfId="0" applyNumberFormat="1" applyFont="1" applyFill="1"/>
    <xf numFmtId="21" fontId="100" fillId="0" borderId="12" xfId="0" applyNumberFormat="1" applyFont="1" applyFill="1" applyBorder="1"/>
    <xf numFmtId="0" fontId="0" fillId="0" borderId="12" xfId="0" applyFill="1" applyBorder="1"/>
    <xf numFmtId="0" fontId="100" fillId="0" borderId="1" xfId="0" applyFont="1" applyFill="1" applyBorder="1"/>
    <xf numFmtId="0" fontId="99" fillId="0" borderId="1" xfId="0" applyFont="1" applyFill="1" applyBorder="1"/>
    <xf numFmtId="0" fontId="99" fillId="0" borderId="13" xfId="0" applyFont="1" applyFill="1" applyBorder="1"/>
    <xf numFmtId="0" fontId="99" fillId="0" borderId="7" xfId="0" applyFont="1" applyFill="1" applyBorder="1"/>
    <xf numFmtId="0" fontId="99" fillId="0" borderId="8" xfId="0" applyFont="1" applyFill="1" applyBorder="1"/>
    <xf numFmtId="0" fontId="100" fillId="0" borderId="10" xfId="0" applyFont="1" applyFill="1" applyBorder="1"/>
    <xf numFmtId="0" fontId="100" fillId="0" borderId="11" xfId="0" applyFont="1" applyFill="1" applyBorder="1"/>
    <xf numFmtId="0" fontId="0" fillId="0" borderId="21" xfId="0" applyFill="1" applyBorder="1"/>
    <xf numFmtId="0" fontId="100" fillId="0" borderId="13" xfId="0" applyFont="1" applyFill="1" applyBorder="1"/>
    <xf numFmtId="164" fontId="90" fillId="0" borderId="5" xfId="0" applyNumberFormat="1" applyFont="1" applyFill="1" applyBorder="1" applyAlignment="1">
      <alignment vertical="center" wrapText="1"/>
    </xf>
    <xf numFmtId="0" fontId="0" fillId="0" borderId="2" xfId="0" applyBorder="1"/>
    <xf numFmtId="0" fontId="0" fillId="0" borderId="14" xfId="0" applyBorder="1"/>
    <xf numFmtId="0" fontId="0" fillId="0" borderId="0" xfId="0" applyFill="1" applyBorder="1"/>
    <xf numFmtId="0" fontId="0" fillId="0" borderId="4" xfId="0" applyBorder="1"/>
    <xf numFmtId="0" fontId="0" fillId="0" borderId="0" xfId="0" applyBorder="1"/>
    <xf numFmtId="0" fontId="0" fillId="2" borderId="4" xfId="0" applyFill="1" applyBorder="1"/>
    <xf numFmtId="0" fontId="0" fillId="2" borderId="0" xfId="0" applyFill="1" applyBorder="1"/>
    <xf numFmtId="0" fontId="0" fillId="2" borderId="9" xfId="0" applyFill="1" applyBorder="1"/>
    <xf numFmtId="43" fontId="0" fillId="0" borderId="5" xfId="0" applyNumberFormat="1" applyBorder="1"/>
    <xf numFmtId="182" fontId="23" fillId="0" borderId="0" xfId="0" applyNumberFormat="1" applyFont="1" applyFill="1" applyBorder="1" applyAlignment="1">
      <alignment horizontal="right" wrapText="1" indent="1"/>
    </xf>
    <xf numFmtId="182" fontId="23" fillId="0" borderId="0" xfId="0" applyNumberFormat="1" applyFont="1" applyFill="1" applyBorder="1" applyAlignment="1">
      <alignment horizontal="right" wrapText="1"/>
    </xf>
    <xf numFmtId="164" fontId="33" fillId="0" borderId="4" xfId="0" applyNumberFormat="1" applyFont="1" applyBorder="1" applyAlignment="1">
      <alignment horizontal="right" vertical="top" wrapText="1"/>
    </xf>
    <xf numFmtId="2" fontId="0" fillId="0" borderId="13" xfId="0" applyNumberFormat="1" applyBorder="1"/>
    <xf numFmtId="10" fontId="77" fillId="2" borderId="21" xfId="0" applyNumberFormat="1" applyFont="1" applyFill="1" applyBorder="1"/>
    <xf numFmtId="10" fontId="77" fillId="2" borderId="13" xfId="0" applyNumberFormat="1" applyFont="1" applyFill="1" applyBorder="1"/>
    <xf numFmtId="186" fontId="94" fillId="0" borderId="38" xfId="0" applyNumberFormat="1" applyFont="1" applyBorder="1" applyAlignment="1">
      <alignment horizontal="center" vertical="top"/>
    </xf>
    <xf numFmtId="186" fontId="94" fillId="0" borderId="39" xfId="0" applyNumberFormat="1" applyFont="1" applyBorder="1" applyAlignment="1">
      <alignment horizontal="center" vertical="top"/>
    </xf>
    <xf numFmtId="10" fontId="0" fillId="0" borderId="0" xfId="1" applyNumberFormat="1" applyFont="1" applyFill="1" applyBorder="1"/>
    <xf numFmtId="0" fontId="94" fillId="2" borderId="40" xfId="0" applyFont="1" applyFill="1" applyBorder="1" applyAlignment="1">
      <alignment horizontal="center" vertical="top"/>
    </xf>
    <xf numFmtId="186" fontId="94" fillId="0" borderId="0" xfId="0" applyNumberFormat="1" applyFont="1" applyFill="1" applyBorder="1" applyAlignment="1">
      <alignment horizontal="center" vertical="top"/>
    </xf>
    <xf numFmtId="2" fontId="0" fillId="0" borderId="0" xfId="1" applyNumberFormat="1" applyFont="1" applyFill="1" applyBorder="1"/>
    <xf numFmtId="186" fontId="94" fillId="2" borderId="41" xfId="0" applyNumberFormat="1" applyFont="1" applyFill="1" applyBorder="1" applyAlignment="1">
      <alignment horizontal="center" vertical="top"/>
    </xf>
    <xf numFmtId="2" fontId="0" fillId="0" borderId="3" xfId="1" applyNumberFormat="1" applyFont="1" applyBorder="1"/>
    <xf numFmtId="186" fontId="94" fillId="2" borderId="42" xfId="0" applyNumberFormat="1" applyFont="1" applyFill="1" applyBorder="1" applyAlignment="1">
      <alignment horizontal="center" vertical="top"/>
    </xf>
    <xf numFmtId="2" fontId="0" fillId="0" borderId="5" xfId="1" applyNumberFormat="1" applyFont="1" applyBorder="1"/>
    <xf numFmtId="186" fontId="94" fillId="2" borderId="43" xfId="0" applyNumberFormat="1" applyFont="1" applyFill="1" applyBorder="1" applyAlignment="1">
      <alignment horizontal="center" vertical="top"/>
    </xf>
    <xf numFmtId="2" fontId="0" fillId="0" borderId="8" xfId="1" applyNumberFormat="1" applyFont="1" applyBorder="1"/>
    <xf numFmtId="186" fontId="94" fillId="0" borderId="44" xfId="0" applyNumberFormat="1" applyFont="1" applyBorder="1" applyAlignment="1">
      <alignment horizontal="center" vertical="top"/>
    </xf>
    <xf numFmtId="2" fontId="0" fillId="0" borderId="21" xfId="0" applyNumberFormat="1" applyBorder="1"/>
    <xf numFmtId="0" fontId="101" fillId="2" borderId="28" xfId="0" applyFont="1" applyFill="1" applyBorder="1" applyAlignment="1">
      <alignment horizontal="center" vertical="top"/>
    </xf>
    <xf numFmtId="186" fontId="101" fillId="0" borderId="34" xfId="0" applyNumberFormat="1" applyFont="1" applyBorder="1" applyAlignment="1">
      <alignment horizontal="center" vertical="top"/>
    </xf>
    <xf numFmtId="0" fontId="101" fillId="2" borderId="29" xfId="0" applyFont="1" applyFill="1" applyBorder="1" applyAlignment="1">
      <alignment horizontal="center" vertical="top"/>
    </xf>
    <xf numFmtId="0" fontId="89" fillId="6" borderId="14" xfId="0" applyFont="1" applyFill="1" applyBorder="1" applyAlignment="1">
      <alignment vertical="center"/>
    </xf>
    <xf numFmtId="0" fontId="89" fillId="6" borderId="3" xfId="0" applyFont="1" applyFill="1" applyBorder="1" applyAlignment="1">
      <alignment vertical="center"/>
    </xf>
    <xf numFmtId="0" fontId="89" fillId="6" borderId="7" xfId="0" applyFont="1" applyFill="1" applyBorder="1" applyAlignment="1">
      <alignment vertical="center"/>
    </xf>
    <xf numFmtId="0" fontId="89" fillId="6" borderId="8" xfId="0" applyFont="1" applyFill="1" applyBorder="1" applyAlignment="1">
      <alignment vertical="center"/>
    </xf>
    <xf numFmtId="0" fontId="89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26" fillId="6" borderId="1" xfId="4" applyFont="1" applyFill="1" applyBorder="1"/>
    <xf numFmtId="2" fontId="0" fillId="0" borderId="1" xfId="0" applyNumberFormat="1" applyBorder="1"/>
    <xf numFmtId="10" fontId="0" fillId="0" borderId="1" xfId="1" applyNumberFormat="1" applyFont="1" applyBorder="1"/>
    <xf numFmtId="10" fontId="0" fillId="0" borderId="1" xfId="0" applyNumberFormat="1" applyBorder="1"/>
    <xf numFmtId="0" fontId="102" fillId="6" borderId="1" xfId="4" applyFont="1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1" fillId="6" borderId="6" xfId="0" applyFont="1" applyFill="1" applyBorder="1"/>
    <xf numFmtId="10" fontId="0" fillId="6" borderId="13" xfId="1" applyNumberFormat="1" applyFont="1" applyFill="1" applyBorder="1"/>
    <xf numFmtId="0" fontId="0" fillId="6" borderId="8" xfId="0" applyFill="1" applyBorder="1"/>
    <xf numFmtId="43" fontId="0" fillId="0" borderId="1" xfId="0" applyNumberFormat="1" applyBorder="1"/>
    <xf numFmtId="0" fontId="1" fillId="6" borderId="9" xfId="0" applyFont="1" applyFill="1" applyBorder="1"/>
    <xf numFmtId="10" fontId="0" fillId="6" borderId="1" xfId="1" applyNumberFormat="1" applyFont="1" applyFill="1" applyBorder="1"/>
    <xf numFmtId="10" fontId="7" fillId="0" borderId="21" xfId="0" applyNumberFormat="1" applyFont="1" applyBorder="1" applyAlignment="1">
      <alignment horizontal="center" vertical="top" wrapText="1"/>
    </xf>
    <xf numFmtId="10" fontId="7" fillId="0" borderId="12" xfId="1" applyNumberFormat="1" applyFont="1" applyBorder="1" applyAlignment="1">
      <alignment horizontal="center" vertical="top" wrapText="1"/>
    </xf>
    <xf numFmtId="10" fontId="7" fillId="0" borderId="13" xfId="1" applyNumberFormat="1" applyFont="1" applyBorder="1" applyAlignment="1">
      <alignment horizontal="center" vertical="top" wrapText="1"/>
    </xf>
    <xf numFmtId="0" fontId="104" fillId="0" borderId="0" xfId="0" applyFont="1" applyBorder="1"/>
    <xf numFmtId="2" fontId="0" fillId="6" borderId="0" xfId="0" applyNumberFormat="1" applyFill="1" applyBorder="1"/>
    <xf numFmtId="0" fontId="0" fillId="0" borderId="0" xfId="0"/>
    <xf numFmtId="43" fontId="1" fillId="0" borderId="0" xfId="0" applyNumberFormat="1" applyFont="1" applyBorder="1"/>
    <xf numFmtId="43" fontId="1" fillId="0" borderId="5" xfId="0" applyNumberFormat="1" applyFont="1" applyBorder="1"/>
    <xf numFmtId="43" fontId="7" fillId="0" borderId="14" xfId="2" applyNumberFormat="1" applyFont="1" applyBorder="1" applyAlignment="1">
      <alignment horizontal="right" vertical="top" wrapText="1"/>
    </xf>
    <xf numFmtId="9" fontId="45" fillId="0" borderId="14" xfId="1" applyFont="1" applyBorder="1"/>
    <xf numFmtId="9" fontId="45" fillId="0" borderId="3" xfId="1" applyFont="1" applyBorder="1"/>
    <xf numFmtId="9" fontId="45" fillId="0" borderId="2" xfId="1" applyFont="1" applyBorder="1"/>
    <xf numFmtId="43" fontId="6" fillId="0" borderId="0" xfId="0" applyNumberFormat="1" applyFont="1" applyBorder="1" applyAlignment="1">
      <alignment horizontal="right" vertical="top"/>
    </xf>
    <xf numFmtId="190" fontId="19" fillId="0" borderId="21" xfId="0" applyNumberFormat="1" applyFont="1" applyBorder="1" applyAlignment="1">
      <alignment vertical="center"/>
    </xf>
    <xf numFmtId="166" fontId="19" fillId="0" borderId="2" xfId="0" applyNumberFormat="1" applyFont="1" applyBorder="1" applyAlignment="1">
      <alignment vertical="center"/>
    </xf>
    <xf numFmtId="166" fontId="19" fillId="0" borderId="4" xfId="0" applyNumberFormat="1" applyFont="1" applyBorder="1" applyAlignment="1">
      <alignment vertical="center"/>
    </xf>
    <xf numFmtId="193" fontId="69" fillId="6" borderId="12" xfId="0" applyNumberFormat="1" applyFont="1" applyFill="1" applyBorder="1"/>
    <xf numFmtId="14" fontId="1" fillId="2" borderId="10" xfId="0" applyNumberFormat="1" applyFont="1" applyFill="1" applyBorder="1" applyAlignment="1">
      <alignment horizontal="right"/>
    </xf>
    <xf numFmtId="9" fontId="0" fillId="0" borderId="0" xfId="0" applyNumberFormat="1"/>
    <xf numFmtId="2" fontId="19" fillId="0" borderId="21" xfId="0" applyNumberFormat="1" applyFont="1" applyBorder="1" applyAlignment="1">
      <alignment vertical="center"/>
    </xf>
    <xf numFmtId="2" fontId="19" fillId="0" borderId="12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0" fontId="69" fillId="0" borderId="0" xfId="1" applyNumberFormat="1" applyFont="1" applyFill="1" applyBorder="1"/>
    <xf numFmtId="165" fontId="0" fillId="0" borderId="7" xfId="0" applyNumberFormat="1" applyFont="1" applyFill="1" applyBorder="1"/>
    <xf numFmtId="165" fontId="0" fillId="0" borderId="2" xfId="0" applyNumberFormat="1" applyFont="1" applyBorder="1"/>
    <xf numFmtId="165" fontId="0" fillId="0" borderId="4" xfId="0" applyNumberFormat="1" applyFont="1" applyBorder="1"/>
    <xf numFmtId="165" fontId="0" fillId="0" borderId="6" xfId="0" applyNumberFormat="1" applyFont="1" applyFill="1" applyBorder="1"/>
    <xf numFmtId="165" fontId="0" fillId="0" borderId="8" xfId="0" applyNumberFormat="1" applyFont="1" applyFill="1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43" fontId="0" fillId="0" borderId="4" xfId="0" applyNumberFormat="1" applyBorder="1"/>
    <xf numFmtId="43" fontId="0" fillId="0" borderId="0" xfId="0" applyNumberFormat="1" applyBorder="1"/>
    <xf numFmtId="43" fontId="0" fillId="0" borderId="5" xfId="0" applyNumberFormat="1" applyBorder="1"/>
    <xf numFmtId="44" fontId="70" fillId="6" borderId="12" xfId="0" applyNumberFormat="1" applyFont="1" applyFill="1" applyBorder="1" applyAlignment="1">
      <alignment horizontal="center"/>
    </xf>
    <xf numFmtId="0" fontId="1" fillId="0" borderId="6" xfId="0" applyFont="1" applyFill="1" applyBorder="1"/>
    <xf numFmtId="10" fontId="0" fillId="0" borderId="7" xfId="0" applyNumberFormat="1" applyFill="1" applyBorder="1" applyAlignment="1">
      <alignment horizontal="center"/>
    </xf>
    <xf numFmtId="43" fontId="1" fillId="0" borderId="7" xfId="0" applyNumberFormat="1" applyFont="1" applyFill="1" applyBorder="1"/>
    <xf numFmtId="14" fontId="1" fillId="2" borderId="11" xfId="0" applyNumberFormat="1" applyFont="1" applyFill="1" applyBorder="1"/>
    <xf numFmtId="10" fontId="69" fillId="6" borderId="3" xfId="0" applyNumberFormat="1" applyFont="1" applyFill="1" applyBorder="1"/>
    <xf numFmtId="2" fontId="0" fillId="0" borderId="8" xfId="0" applyNumberFormat="1" applyBorder="1"/>
    <xf numFmtId="177" fontId="69" fillId="6" borderId="5" xfId="0" applyNumberFormat="1" applyFont="1" applyFill="1" applyBorder="1"/>
    <xf numFmtId="43" fontId="70" fillId="8" borderId="5" xfId="0" applyNumberFormat="1" applyFont="1" applyFill="1" applyBorder="1"/>
    <xf numFmtId="43" fontId="70" fillId="6" borderId="5" xfId="0" applyNumberFormat="1" applyFont="1" applyFill="1" applyBorder="1"/>
    <xf numFmtId="43" fontId="70" fillId="6" borderId="5" xfId="3" applyNumberFormat="1" applyFont="1" applyFill="1" applyBorder="1"/>
    <xf numFmtId="10" fontId="70" fillId="6" borderId="5" xfId="0" applyNumberFormat="1" applyFont="1" applyFill="1" applyBorder="1"/>
    <xf numFmtId="178" fontId="70" fillId="6" borderId="5" xfId="0" applyNumberFormat="1" applyFont="1" applyFill="1" applyBorder="1"/>
    <xf numFmtId="1" fontId="69" fillId="6" borderId="5" xfId="0" applyNumberFormat="1" applyFont="1" applyFill="1" applyBorder="1"/>
    <xf numFmtId="193" fontId="69" fillId="6" borderId="5" xfId="0" applyNumberFormat="1" applyFont="1" applyFill="1" applyBorder="1"/>
    <xf numFmtId="2" fontId="69" fillId="6" borderId="5" xfId="0" applyNumberFormat="1" applyFont="1" applyFill="1" applyBorder="1" applyAlignment="1">
      <alignment horizontal="center"/>
    </xf>
    <xf numFmtId="2" fontId="70" fillId="6" borderId="5" xfId="0" applyNumberFormat="1" applyFont="1" applyFill="1" applyBorder="1" applyAlignment="1">
      <alignment horizontal="center"/>
    </xf>
    <xf numFmtId="178" fontId="0" fillId="6" borderId="5" xfId="0" applyNumberFormat="1" applyFill="1" applyBorder="1" applyAlignment="1">
      <alignment horizontal="center" vertical="center"/>
    </xf>
    <xf numFmtId="0" fontId="0" fillId="2" borderId="21" xfId="0" applyFill="1" applyBorder="1"/>
    <xf numFmtId="0" fontId="0" fillId="2" borderId="12" xfId="0" applyFill="1" applyBorder="1"/>
    <xf numFmtId="0" fontId="70" fillId="2" borderId="12" xfId="0" applyFont="1" applyFill="1" applyBorder="1"/>
    <xf numFmtId="0" fontId="1" fillId="2" borderId="12" xfId="0" applyFont="1" applyFill="1" applyBorder="1"/>
    <xf numFmtId="177" fontId="0" fillId="2" borderId="12" xfId="0" applyNumberFormat="1" applyFill="1" applyBorder="1"/>
    <xf numFmtId="0" fontId="0" fillId="2" borderId="13" xfId="0" applyFill="1" applyBorder="1"/>
    <xf numFmtId="0" fontId="1" fillId="2" borderId="1" xfId="0" applyFont="1" applyFill="1" applyBorder="1"/>
    <xf numFmtId="178" fontId="0" fillId="6" borderId="10" xfId="0" applyNumberFormat="1" applyFill="1" applyBorder="1" applyAlignment="1">
      <alignment horizontal="center" vertical="center"/>
    </xf>
    <xf numFmtId="44" fontId="70" fillId="6" borderId="1" xfId="0" applyNumberFormat="1" applyFont="1" applyFill="1" applyBorder="1" applyAlignment="1">
      <alignment horizontal="center"/>
    </xf>
    <xf numFmtId="3" fontId="0" fillId="6" borderId="12" xfId="0" applyNumberFormat="1" applyFill="1" applyBorder="1"/>
    <xf numFmtId="0" fontId="0" fillId="6" borderId="2" xfId="0" applyFill="1" applyBorder="1"/>
    <xf numFmtId="0" fontId="0" fillId="6" borderId="14" xfId="0" applyFill="1" applyBorder="1"/>
    <xf numFmtId="0" fontId="0" fillId="6" borderId="3" xfId="0" applyFill="1" applyBorder="1"/>
    <xf numFmtId="9" fontId="1" fillId="2" borderId="21" xfId="1" applyFont="1" applyFill="1" applyBorder="1" applyAlignment="1">
      <alignment horizontal="right"/>
    </xf>
    <xf numFmtId="9" fontId="91" fillId="11" borderId="1" xfId="1" applyFont="1" applyFill="1" applyBorder="1" applyAlignment="1">
      <alignment horizontal="right"/>
    </xf>
    <xf numFmtId="10" fontId="78" fillId="2" borderId="12" xfId="0" applyNumberFormat="1" applyFont="1" applyFill="1" applyBorder="1"/>
    <xf numFmtId="10" fontId="78" fillId="2" borderId="13" xfId="0" applyNumberFormat="1" applyFont="1" applyFill="1" applyBorder="1"/>
    <xf numFmtId="2" fontId="77" fillId="0" borderId="5" xfId="0" applyNumberFormat="1" applyFont="1" applyBorder="1" applyAlignment="1"/>
    <xf numFmtId="190" fontId="1" fillId="0" borderId="10" xfId="0" applyNumberFormat="1" applyFont="1" applyBorder="1"/>
    <xf numFmtId="190" fontId="1" fillId="0" borderId="11" xfId="0" applyNumberFormat="1" applyFont="1" applyBorder="1"/>
    <xf numFmtId="190" fontId="0" fillId="2" borderId="11" xfId="0" applyNumberFormat="1" applyFill="1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0" fontId="1" fillId="0" borderId="2" xfId="1" applyNumberFormat="1" applyFont="1" applyBorder="1" applyAlignment="1">
      <alignment horizontal="center" vertical="center"/>
    </xf>
    <xf numFmtId="10" fontId="1" fillId="0" borderId="3" xfId="1" applyNumberFormat="1" applyFont="1" applyBorder="1" applyAlignment="1">
      <alignment horizontal="center" vertical="center"/>
    </xf>
    <xf numFmtId="10" fontId="1" fillId="0" borderId="6" xfId="1" applyNumberFormat="1" applyFont="1" applyBorder="1" applyAlignment="1">
      <alignment horizontal="center" vertical="center"/>
    </xf>
    <xf numFmtId="10" fontId="1" fillId="0" borderId="8" xfId="1" applyNumberFormat="1" applyFont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4" fontId="0" fillId="0" borderId="4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86" fillId="2" borderId="2" xfId="0" applyFont="1" applyFill="1" applyBorder="1" applyAlignment="1">
      <alignment horizontal="center" vertical="center"/>
    </xf>
    <xf numFmtId="0" fontId="86" fillId="2" borderId="14" xfId="0" applyFont="1" applyFill="1" applyBorder="1" applyAlignment="1">
      <alignment horizontal="center" vertical="center"/>
    </xf>
    <xf numFmtId="0" fontId="86" fillId="2" borderId="3" xfId="0" applyFont="1" applyFill="1" applyBorder="1" applyAlignment="1">
      <alignment horizontal="center" vertical="center"/>
    </xf>
    <xf numFmtId="0" fontId="86" fillId="2" borderId="6" xfId="0" applyFont="1" applyFill="1" applyBorder="1" applyAlignment="1">
      <alignment horizontal="center" vertical="center"/>
    </xf>
    <xf numFmtId="0" fontId="86" fillId="2" borderId="7" xfId="0" applyFont="1" applyFill="1" applyBorder="1" applyAlignment="1">
      <alignment horizontal="center" vertical="center"/>
    </xf>
    <xf numFmtId="0" fontId="86" fillId="2" borderId="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/>
    </xf>
    <xf numFmtId="4" fontId="23" fillId="0" borderId="0" xfId="0" applyNumberFormat="1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164" fontId="11" fillId="0" borderId="4" xfId="0" applyNumberFormat="1" applyFont="1" applyBorder="1" applyAlignment="1">
      <alignment horizontal="right" vertical="top" wrapText="1"/>
    </xf>
    <xf numFmtId="164" fontId="11" fillId="0" borderId="0" xfId="0" applyNumberFormat="1" applyFont="1" applyBorder="1" applyAlignment="1">
      <alignment horizontal="right" vertical="top" wrapText="1"/>
    </xf>
    <xf numFmtId="164" fontId="11" fillId="0" borderId="5" xfId="0" applyNumberFormat="1" applyFont="1" applyBorder="1" applyAlignment="1">
      <alignment horizontal="right" vertical="top" wrapText="1"/>
    </xf>
    <xf numFmtId="164" fontId="12" fillId="0" borderId="18" xfId="0" applyNumberFormat="1" applyFont="1" applyBorder="1" applyAlignment="1">
      <alignment horizontal="right" vertical="top" wrapText="1"/>
    </xf>
    <xf numFmtId="164" fontId="12" fillId="0" borderId="19" xfId="0" applyNumberFormat="1" applyFont="1" applyBorder="1" applyAlignment="1">
      <alignment horizontal="right" vertical="top" wrapText="1"/>
    </xf>
    <xf numFmtId="164" fontId="12" fillId="0" borderId="20" xfId="0" applyNumberFormat="1" applyFont="1" applyBorder="1" applyAlignment="1">
      <alignment horizontal="right" vertical="top" wrapText="1"/>
    </xf>
    <xf numFmtId="0" fontId="11" fillId="0" borderId="4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164" fontId="11" fillId="0" borderId="36" xfId="0" applyNumberFormat="1" applyFont="1" applyBorder="1" applyAlignment="1">
      <alignment horizontal="right" vertical="top" wrapText="1"/>
    </xf>
    <xf numFmtId="164" fontId="11" fillId="0" borderId="35" xfId="0" applyNumberFormat="1" applyFont="1" applyBorder="1" applyAlignment="1">
      <alignment horizontal="right" vertical="top" wrapText="1"/>
    </xf>
    <xf numFmtId="164" fontId="11" fillId="0" borderId="37" xfId="0" applyNumberFormat="1" applyFont="1" applyBorder="1" applyAlignment="1">
      <alignment horizontal="right" vertical="top" wrapText="1"/>
    </xf>
    <xf numFmtId="164" fontId="12" fillId="0" borderId="16" xfId="0" applyNumberFormat="1" applyFont="1" applyBorder="1" applyAlignment="1">
      <alignment horizontal="right" vertical="top" wrapText="1"/>
    </xf>
    <xf numFmtId="164" fontId="12" fillId="0" borderId="15" xfId="0" applyNumberFormat="1" applyFont="1" applyBorder="1" applyAlignment="1">
      <alignment horizontal="right" vertical="top" wrapText="1"/>
    </xf>
    <xf numFmtId="164" fontId="12" fillId="0" borderId="17" xfId="0" applyNumberFormat="1" applyFont="1" applyBorder="1" applyAlignment="1">
      <alignment horizontal="right" vertical="top" wrapText="1"/>
    </xf>
    <xf numFmtId="0" fontId="11" fillId="0" borderId="36" xfId="0" applyFont="1" applyBorder="1" applyAlignment="1">
      <alignment horizontal="left" vertical="top"/>
    </xf>
    <xf numFmtId="0" fontId="11" fillId="0" borderId="35" xfId="0" applyFont="1" applyBorder="1" applyAlignment="1">
      <alignment horizontal="left" vertical="top"/>
    </xf>
    <xf numFmtId="0" fontId="11" fillId="0" borderId="37" xfId="0" applyFont="1" applyBorder="1" applyAlignment="1">
      <alignment horizontal="left" vertical="top"/>
    </xf>
    <xf numFmtId="0" fontId="95" fillId="0" borderId="6" xfId="0" applyFont="1" applyFill="1" applyBorder="1" applyAlignment="1">
      <alignment horizontal="center" vertical="center"/>
    </xf>
    <xf numFmtId="0" fontId="95" fillId="0" borderId="8" xfId="0" applyFont="1" applyFill="1" applyBorder="1" applyAlignment="1">
      <alignment horizontal="center" vertical="center"/>
    </xf>
    <xf numFmtId="164" fontId="12" fillId="0" borderId="4" xfId="0" applyNumberFormat="1" applyFont="1" applyBorder="1" applyAlignment="1">
      <alignment horizontal="right" vertical="top" wrapText="1"/>
    </xf>
    <xf numFmtId="164" fontId="12" fillId="0" borderId="0" xfId="0" applyNumberFormat="1" applyFont="1" applyBorder="1" applyAlignment="1">
      <alignment horizontal="right" vertical="top" wrapText="1"/>
    </xf>
    <xf numFmtId="164" fontId="12" fillId="0" borderId="5" xfId="0" applyNumberFormat="1" applyFont="1" applyBorder="1" applyAlignment="1">
      <alignment horizontal="right" vertical="top" wrapText="1"/>
    </xf>
    <xf numFmtId="164" fontId="13" fillId="0" borderId="9" xfId="0" applyNumberFormat="1" applyFont="1" applyBorder="1" applyAlignment="1">
      <alignment horizontal="right" vertical="top" wrapText="1"/>
    </xf>
    <xf numFmtId="164" fontId="13" fillId="0" borderId="10" xfId="0" applyNumberFormat="1" applyFont="1" applyBorder="1" applyAlignment="1">
      <alignment horizontal="right" vertical="top" wrapText="1"/>
    </xf>
    <xf numFmtId="164" fontId="13" fillId="0" borderId="11" xfId="0" applyNumberFormat="1" applyFont="1" applyBorder="1" applyAlignment="1">
      <alignment horizontal="right" vertical="top" wrapText="1"/>
    </xf>
    <xf numFmtId="164" fontId="12" fillId="0" borderId="4" xfId="0" applyNumberFormat="1" applyFont="1" applyBorder="1" applyAlignment="1">
      <alignment horizontal="center" vertical="top" wrapText="1"/>
    </xf>
    <xf numFmtId="164" fontId="12" fillId="0" borderId="0" xfId="0" applyNumberFormat="1" applyFont="1" applyBorder="1" applyAlignment="1">
      <alignment horizontal="center" vertical="top" wrapText="1"/>
    </xf>
    <xf numFmtId="164" fontId="12" fillId="0" borderId="5" xfId="0" applyNumberFormat="1" applyFont="1" applyBorder="1" applyAlignment="1">
      <alignment horizontal="center" vertical="top" wrapText="1"/>
    </xf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4" fillId="0" borderId="2" xfId="0" applyFont="1" applyBorder="1"/>
    <xf numFmtId="0" fontId="14" fillId="0" borderId="14" xfId="0" applyFont="1" applyBorder="1"/>
    <xf numFmtId="0" fontId="14" fillId="0" borderId="3" xfId="0" applyFont="1" applyBorder="1"/>
    <xf numFmtId="164" fontId="11" fillId="0" borderId="2" xfId="0" applyNumberFormat="1" applyFont="1" applyBorder="1" applyAlignment="1">
      <alignment horizontal="right" vertical="top" wrapText="1"/>
    </xf>
    <xf numFmtId="164" fontId="11" fillId="0" borderId="14" xfId="0" applyNumberFormat="1" applyFont="1" applyBorder="1" applyAlignment="1">
      <alignment horizontal="right" vertical="top" wrapText="1"/>
    </xf>
    <xf numFmtId="164" fontId="11" fillId="0" borderId="3" xfId="0" applyNumberFormat="1" applyFont="1" applyBorder="1" applyAlignment="1">
      <alignment horizontal="right" vertical="top" wrapText="1"/>
    </xf>
    <xf numFmtId="172" fontId="12" fillId="0" borderId="18" xfId="0" applyNumberFormat="1" applyFont="1" applyBorder="1" applyAlignment="1">
      <alignment horizontal="right" vertical="top" wrapText="1"/>
    </xf>
    <xf numFmtId="172" fontId="12" fillId="0" borderId="19" xfId="0" applyNumberFormat="1" applyFont="1" applyBorder="1" applyAlignment="1">
      <alignment horizontal="right" vertical="top" wrapText="1"/>
    </xf>
    <xf numFmtId="172" fontId="12" fillId="0" borderId="20" xfId="0" applyNumberFormat="1" applyFont="1" applyBorder="1" applyAlignment="1">
      <alignment horizontal="right" vertical="top" wrapText="1"/>
    </xf>
    <xf numFmtId="0" fontId="12" fillId="0" borderId="4" xfId="0" applyFont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2" fillId="0" borderId="4" xfId="0" applyFont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0" fontId="12" fillId="0" borderId="5" xfId="0" applyFont="1" applyBorder="1" applyAlignment="1">
      <alignment horizontal="left" vertical="top"/>
    </xf>
    <xf numFmtId="0" fontId="12" fillId="0" borderId="9" xfId="0" applyFont="1" applyBorder="1" applyAlignment="1">
      <alignment horizontal="left" vertical="top"/>
    </xf>
    <xf numFmtId="0" fontId="12" fillId="0" borderId="10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0" fillId="2" borderId="1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2" xfId="0" applyBorder="1"/>
    <xf numFmtId="0" fontId="0" fillId="0" borderId="14" xfId="0" applyBorder="1"/>
    <xf numFmtId="0" fontId="0" fillId="0" borderId="3" xfId="0" applyBorder="1"/>
    <xf numFmtId="0" fontId="12" fillId="0" borderId="18" xfId="0" applyNumberFormat="1" applyFont="1" applyBorder="1" applyAlignment="1">
      <alignment horizontal="right" vertical="top" wrapText="1"/>
    </xf>
    <xf numFmtId="0" fontId="9" fillId="2" borderId="0" xfId="0" applyFont="1" applyFill="1" applyAlignment="1">
      <alignment horizontal="center" vertical="center"/>
    </xf>
    <xf numFmtId="0" fontId="15" fillId="3" borderId="0" xfId="0" applyFont="1" applyFill="1"/>
    <xf numFmtId="0" fontId="4" fillId="2" borderId="0" xfId="0" applyFont="1" applyFill="1" applyAlignment="1">
      <alignment wrapText="1"/>
    </xf>
    <xf numFmtId="0" fontId="84" fillId="2" borderId="0" xfId="0" applyFont="1" applyFill="1" applyAlignment="1">
      <alignment wrapText="1"/>
    </xf>
    <xf numFmtId="0" fontId="3" fillId="0" borderId="2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164" fontId="11" fillId="0" borderId="4" xfId="0" applyNumberFormat="1" applyFont="1" applyBorder="1" applyAlignment="1">
      <alignment horizontal="center" vertical="top" wrapText="1"/>
    </xf>
    <xf numFmtId="164" fontId="11" fillId="0" borderId="0" xfId="0" applyNumberFormat="1" applyFont="1" applyBorder="1" applyAlignment="1">
      <alignment horizontal="center" vertical="top" wrapText="1"/>
    </xf>
    <xf numFmtId="164" fontId="11" fillId="0" borderId="5" xfId="0" applyNumberFormat="1" applyFont="1" applyBorder="1" applyAlignment="1">
      <alignment horizontal="center" vertical="top" wrapText="1"/>
    </xf>
    <xf numFmtId="0" fontId="47" fillId="0" borderId="6" xfId="0" applyFont="1" applyBorder="1" applyAlignment="1">
      <alignment horizontal="left" vertical="top"/>
    </xf>
    <xf numFmtId="0" fontId="47" fillId="0" borderId="7" xfId="0" applyFont="1" applyBorder="1" applyAlignment="1">
      <alignment horizontal="left" vertical="top"/>
    </xf>
    <xf numFmtId="0" fontId="47" fillId="0" borderId="8" xfId="0" applyFont="1" applyBorder="1" applyAlignment="1">
      <alignment horizontal="left" vertical="top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35" fillId="0" borderId="4" xfId="0" applyFont="1" applyBorder="1" applyAlignment="1">
      <alignment horizontal="left" vertical="top"/>
    </xf>
    <xf numFmtId="0" fontId="35" fillId="0" borderId="0" xfId="0" applyFont="1" applyBorder="1" applyAlignment="1">
      <alignment horizontal="left" vertical="top"/>
    </xf>
    <xf numFmtId="0" fontId="35" fillId="0" borderId="5" xfId="0" applyFont="1" applyBorder="1" applyAlignment="1">
      <alignment horizontal="left" vertical="top"/>
    </xf>
    <xf numFmtId="0" fontId="34" fillId="0" borderId="4" xfId="0" applyFont="1" applyBorder="1" applyAlignment="1">
      <alignment horizontal="left" vertical="top"/>
    </xf>
    <xf numFmtId="0" fontId="34" fillId="0" borderId="0" xfId="0" applyFont="1" applyBorder="1" applyAlignment="1">
      <alignment horizontal="left" vertical="top"/>
    </xf>
    <xf numFmtId="0" fontId="34" fillId="0" borderId="5" xfId="0" applyFont="1" applyBorder="1" applyAlignment="1">
      <alignment horizontal="left" vertical="top"/>
    </xf>
    <xf numFmtId="0" fontId="35" fillId="0" borderId="9" xfId="0" applyFont="1" applyBorder="1" applyAlignment="1">
      <alignment horizontal="left" vertical="top"/>
    </xf>
    <xf numFmtId="0" fontId="35" fillId="0" borderId="10" xfId="0" applyFont="1" applyBorder="1" applyAlignment="1">
      <alignment horizontal="left" vertical="top"/>
    </xf>
    <xf numFmtId="0" fontId="35" fillId="0" borderId="11" xfId="0" applyFont="1" applyBorder="1" applyAlignment="1">
      <alignment horizontal="left" vertical="top"/>
    </xf>
    <xf numFmtId="0" fontId="33" fillId="0" borderId="4" xfId="0" applyFont="1" applyBorder="1" applyAlignment="1">
      <alignment horizontal="left" vertical="top"/>
    </xf>
    <xf numFmtId="0" fontId="33" fillId="0" borderId="0" xfId="0" applyFont="1" applyBorder="1" applyAlignment="1">
      <alignment horizontal="left" vertical="top"/>
    </xf>
    <xf numFmtId="0" fontId="33" fillId="0" borderId="5" xfId="0" applyFont="1" applyBorder="1" applyAlignment="1">
      <alignment horizontal="left" vertical="top"/>
    </xf>
    <xf numFmtId="0" fontId="61" fillId="0" borderId="4" xfId="0" applyFont="1" applyBorder="1" applyAlignment="1">
      <alignment horizontal="left" vertical="top"/>
    </xf>
    <xf numFmtId="0" fontId="61" fillId="0" borderId="0" xfId="0" applyFont="1" applyBorder="1" applyAlignment="1">
      <alignment horizontal="left" vertical="top"/>
    </xf>
    <xf numFmtId="0" fontId="61" fillId="0" borderId="5" xfId="0" applyFont="1" applyBorder="1" applyAlignment="1">
      <alignment horizontal="left" vertical="top"/>
    </xf>
    <xf numFmtId="0" fontId="36" fillId="0" borderId="4" xfId="0" applyFont="1" applyBorder="1"/>
    <xf numFmtId="0" fontId="36" fillId="0" borderId="0" xfId="0" applyFont="1" applyBorder="1"/>
    <xf numFmtId="0" fontId="36" fillId="0" borderId="5" xfId="0" applyFont="1" applyBorder="1"/>
    <xf numFmtId="0" fontId="38" fillId="0" borderId="4" xfId="0" applyFont="1" applyBorder="1"/>
    <xf numFmtId="0" fontId="38" fillId="0" borderId="0" xfId="0" applyFont="1" applyBorder="1"/>
    <xf numFmtId="0" fontId="38" fillId="0" borderId="5" xfId="0" applyFont="1" applyBorder="1"/>
    <xf numFmtId="0" fontId="24" fillId="0" borderId="9" xfId="0" applyFont="1" applyBorder="1"/>
    <xf numFmtId="0" fontId="37" fillId="0" borderId="10" xfId="0" applyFont="1" applyBorder="1"/>
    <xf numFmtId="0" fontId="37" fillId="0" borderId="11" xfId="0" applyFont="1" applyBorder="1"/>
    <xf numFmtId="171" fontId="38" fillId="0" borderId="4" xfId="0" applyNumberFormat="1" applyFont="1" applyBorder="1"/>
    <xf numFmtId="171" fontId="38" fillId="0" borderId="0" xfId="0" applyNumberFormat="1" applyFont="1" applyBorder="1"/>
    <xf numFmtId="171" fontId="38" fillId="0" borderId="5" xfId="0" applyNumberFormat="1" applyFont="1" applyBorder="1"/>
    <xf numFmtId="0" fontId="62" fillId="2" borderId="0" xfId="0" applyFont="1" applyFill="1" applyBorder="1" applyAlignment="1">
      <alignment horizontal="center" wrapText="1"/>
    </xf>
    <xf numFmtId="10" fontId="34" fillId="0" borderId="4" xfId="0" applyNumberFormat="1" applyFont="1" applyBorder="1" applyAlignment="1">
      <alignment horizontal="left" vertical="top"/>
    </xf>
    <xf numFmtId="10" fontId="34" fillId="0" borderId="0" xfId="0" applyNumberFormat="1" applyFont="1" applyBorder="1" applyAlignment="1">
      <alignment horizontal="left" vertical="top"/>
    </xf>
    <xf numFmtId="10" fontId="34" fillId="0" borderId="5" xfId="0" applyNumberFormat="1" applyFont="1" applyBorder="1" applyAlignment="1">
      <alignment horizontal="left" vertical="top"/>
    </xf>
    <xf numFmtId="0" fontId="40" fillId="0" borderId="4" xfId="0" applyFont="1" applyBorder="1" applyAlignment="1">
      <alignment horizontal="left" vertical="top"/>
    </xf>
    <xf numFmtId="0" fontId="42" fillId="0" borderId="4" xfId="0" applyFont="1" applyBorder="1" applyAlignment="1">
      <alignment horizontal="left" vertical="top"/>
    </xf>
    <xf numFmtId="0" fontId="42" fillId="0" borderId="0" xfId="0" applyFont="1" applyBorder="1" applyAlignment="1">
      <alignment horizontal="left" vertical="top"/>
    </xf>
    <xf numFmtId="0" fontId="42" fillId="0" borderId="5" xfId="0" applyFont="1" applyBorder="1" applyAlignment="1">
      <alignment horizontal="left" vertical="top"/>
    </xf>
    <xf numFmtId="164" fontId="31" fillId="0" borderId="4" xfId="0" applyNumberFormat="1" applyFont="1" applyBorder="1" applyAlignment="1">
      <alignment horizontal="right" vertical="top" wrapText="1"/>
    </xf>
    <xf numFmtId="164" fontId="31" fillId="0" borderId="0" xfId="0" applyNumberFormat="1" applyFont="1" applyBorder="1" applyAlignment="1">
      <alignment horizontal="right" vertical="top" wrapText="1"/>
    </xf>
    <xf numFmtId="164" fontId="31" fillId="0" borderId="5" xfId="0" applyNumberFormat="1" applyFont="1" applyBorder="1" applyAlignment="1">
      <alignment horizontal="right" vertical="top" wrapText="1"/>
    </xf>
    <xf numFmtId="0" fontId="34" fillId="0" borderId="2" xfId="0" applyFont="1" applyBorder="1" applyAlignment="1">
      <alignment horizontal="left" vertical="top"/>
    </xf>
    <xf numFmtId="0" fontId="34" fillId="0" borderId="14" xfId="0" applyFont="1" applyBorder="1" applyAlignment="1">
      <alignment horizontal="left" vertical="top"/>
    </xf>
    <xf numFmtId="0" fontId="34" fillId="0" borderId="3" xfId="0" applyFont="1" applyBorder="1" applyAlignment="1">
      <alignment horizontal="left" vertical="top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171" fontId="24" fillId="0" borderId="9" xfId="0" applyNumberFormat="1" applyFont="1" applyBorder="1"/>
    <xf numFmtId="171" fontId="37" fillId="0" borderId="10" xfId="0" applyNumberFormat="1" applyFont="1" applyBorder="1"/>
    <xf numFmtId="171" fontId="37" fillId="0" borderId="11" xfId="0" applyNumberFormat="1" applyFont="1" applyBorder="1"/>
    <xf numFmtId="0" fontId="28" fillId="4" borderId="2" xfId="0" applyFont="1" applyFill="1" applyBorder="1"/>
    <xf numFmtId="0" fontId="28" fillId="4" borderId="14" xfId="0" applyFont="1" applyFill="1" applyBorder="1"/>
    <xf numFmtId="0" fontId="28" fillId="4" borderId="3" xfId="0" applyFont="1" applyFill="1" applyBorder="1"/>
    <xf numFmtId="0" fontId="3" fillId="2" borderId="4" xfId="0" applyFont="1" applyFill="1" applyBorder="1" applyAlignment="1">
      <alignment horizontal="center" vertical="top" wrapText="1"/>
    </xf>
    <xf numFmtId="0" fontId="29" fillId="2" borderId="0" xfId="0" applyFont="1" applyFill="1" applyBorder="1" applyAlignment="1">
      <alignment horizontal="center" vertical="top" wrapText="1"/>
    </xf>
    <xf numFmtId="0" fontId="29" fillId="2" borderId="5" xfId="0" applyFont="1" applyFill="1" applyBorder="1" applyAlignment="1">
      <alignment horizontal="center" vertical="top" wrapText="1"/>
    </xf>
    <xf numFmtId="0" fontId="8" fillId="2" borderId="4" xfId="0" applyFont="1" applyFill="1" applyBorder="1" applyAlignment="1">
      <alignment wrapText="1"/>
    </xf>
    <xf numFmtId="0" fontId="30" fillId="2" borderId="0" xfId="0" applyFont="1" applyFill="1" applyBorder="1" applyAlignment="1">
      <alignment wrapText="1"/>
    </xf>
    <xf numFmtId="0" fontId="30" fillId="2" borderId="5" xfId="0" applyFont="1" applyFill="1" applyBorder="1" applyAlignment="1">
      <alignment wrapText="1"/>
    </xf>
    <xf numFmtId="0" fontId="32" fillId="0" borderId="4" xfId="0" applyFont="1" applyBorder="1"/>
    <xf numFmtId="0" fontId="32" fillId="0" borderId="0" xfId="0" applyFont="1" applyBorder="1"/>
    <xf numFmtId="0" fontId="32" fillId="0" borderId="5" xfId="0" applyFont="1" applyBorder="1"/>
    <xf numFmtId="164" fontId="29" fillId="0" borderId="4" xfId="0" applyNumberFormat="1" applyFont="1" applyBorder="1" applyAlignment="1">
      <alignment horizontal="right" vertical="top" wrapText="1"/>
    </xf>
    <xf numFmtId="164" fontId="29" fillId="0" borderId="0" xfId="0" applyNumberFormat="1" applyFont="1" applyBorder="1" applyAlignment="1">
      <alignment horizontal="right" vertical="top" wrapText="1"/>
    </xf>
    <xf numFmtId="164" fontId="29" fillId="0" borderId="5" xfId="0" applyNumberFormat="1" applyFont="1" applyBorder="1" applyAlignment="1">
      <alignment horizontal="right" vertical="top" wrapText="1"/>
    </xf>
    <xf numFmtId="0" fontId="41" fillId="0" borderId="4" xfId="0" applyFont="1" applyBorder="1" applyAlignment="1">
      <alignment horizontal="left" vertical="top"/>
    </xf>
    <xf numFmtId="0" fontId="41" fillId="0" borderId="0" xfId="0" applyFont="1" applyBorder="1" applyAlignment="1">
      <alignment horizontal="left" vertical="top"/>
    </xf>
    <xf numFmtId="0" fontId="41" fillId="0" borderId="5" xfId="0" applyFont="1" applyBorder="1" applyAlignment="1">
      <alignment horizontal="left" vertical="top"/>
    </xf>
    <xf numFmtId="175" fontId="0" fillId="0" borderId="6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175" fontId="0" fillId="0" borderId="8" xfId="0" applyNumberFormat="1" applyBorder="1" applyAlignment="1">
      <alignment horizontal="center"/>
    </xf>
    <xf numFmtId="0" fontId="25" fillId="2" borderId="14" xfId="0" applyFont="1" applyFill="1" applyBorder="1" applyAlignment="1">
      <alignment horizontal="center"/>
    </xf>
    <xf numFmtId="0" fontId="25" fillId="2" borderId="3" xfId="0" applyFont="1" applyFill="1" applyBorder="1" applyAlignment="1">
      <alignment horizontal="center"/>
    </xf>
    <xf numFmtId="0" fontId="0" fillId="0" borderId="0" xfId="0" applyFill="1" applyBorder="1"/>
    <xf numFmtId="0" fontId="25" fillId="2" borderId="10" xfId="0" applyFont="1" applyFill="1" applyBorder="1" applyAlignment="1">
      <alignment horizontal="center"/>
    </xf>
    <xf numFmtId="0" fontId="25" fillId="2" borderId="11" xfId="0" applyFont="1" applyFill="1" applyBorder="1" applyAlignment="1">
      <alignment horizontal="center"/>
    </xf>
    <xf numFmtId="0" fontId="25" fillId="2" borderId="10" xfId="0" applyFont="1" applyFill="1" applyBorder="1" applyAlignment="1">
      <alignment horizontal="center" vertical="center"/>
    </xf>
    <xf numFmtId="0" fontId="25" fillId="2" borderId="11" xfId="0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9" fillId="0" borderId="4" xfId="0" applyFont="1" applyBorder="1" applyAlignment="1">
      <alignment horizontal="left" vertical="top"/>
    </xf>
    <xf numFmtId="0" fontId="29" fillId="0" borderId="0" xfId="0" applyFont="1" applyBorder="1" applyAlignment="1">
      <alignment horizontal="left" vertical="top"/>
    </xf>
    <xf numFmtId="0" fontId="29" fillId="0" borderId="5" xfId="0" applyFont="1" applyBorder="1" applyAlignment="1">
      <alignment horizontal="left" vertical="top"/>
    </xf>
    <xf numFmtId="9" fontId="0" fillId="0" borderId="9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174" fontId="0" fillId="0" borderId="6" xfId="1" applyNumberFormat="1" applyFont="1" applyBorder="1" applyAlignment="1">
      <alignment horizontal="center"/>
    </xf>
    <xf numFmtId="174" fontId="0" fillId="0" borderId="7" xfId="1" applyNumberFormat="1" applyFont="1" applyBorder="1" applyAlignment="1">
      <alignment horizontal="center"/>
    </xf>
    <xf numFmtId="174" fontId="0" fillId="0" borderId="8" xfId="1" applyNumberFormat="1" applyFont="1" applyBorder="1" applyAlignment="1">
      <alignment horizontal="center"/>
    </xf>
    <xf numFmtId="174" fontId="0" fillId="0" borderId="9" xfId="1" applyNumberFormat="1" applyFont="1" applyBorder="1" applyAlignment="1">
      <alignment horizontal="center" vertical="center"/>
    </xf>
    <xf numFmtId="174" fontId="0" fillId="0" borderId="10" xfId="1" applyNumberFormat="1" applyFont="1" applyBorder="1" applyAlignment="1">
      <alignment horizontal="center" vertical="center"/>
    </xf>
    <xf numFmtId="174" fontId="0" fillId="0" borderId="11" xfId="1" applyNumberFormat="1" applyFont="1" applyBorder="1" applyAlignment="1">
      <alignment horizontal="center" vertical="center"/>
    </xf>
    <xf numFmtId="9" fontId="0" fillId="0" borderId="9" xfId="1" applyNumberFormat="1" applyFont="1" applyFill="1" applyBorder="1" applyAlignment="1">
      <alignment horizontal="center"/>
    </xf>
    <xf numFmtId="9" fontId="0" fillId="0" borderId="10" xfId="1" applyNumberFormat="1" applyFont="1" applyFill="1" applyBorder="1" applyAlignment="1">
      <alignment horizontal="center"/>
    </xf>
    <xf numFmtId="9" fontId="0" fillId="0" borderId="11" xfId="1" applyNumberFormat="1" applyFont="1" applyFill="1" applyBorder="1" applyAlignment="1">
      <alignment horizontal="center"/>
    </xf>
    <xf numFmtId="0" fontId="34" fillId="0" borderId="6" xfId="0" applyFont="1" applyBorder="1" applyAlignment="1">
      <alignment horizontal="left" vertical="top"/>
    </xf>
    <xf numFmtId="0" fontId="34" fillId="0" borderId="7" xfId="0" applyFont="1" applyBorder="1" applyAlignment="1">
      <alignment horizontal="left" vertical="top"/>
    </xf>
    <xf numFmtId="0" fontId="34" fillId="0" borderId="8" xfId="0" applyFont="1" applyBorder="1" applyAlignment="1">
      <alignment horizontal="left" vertical="top"/>
    </xf>
    <xf numFmtId="0" fontId="62" fillId="2" borderId="4" xfId="0" applyFont="1" applyFill="1" applyBorder="1" applyAlignment="1">
      <alignment horizontal="center" wrapText="1"/>
    </xf>
    <xf numFmtId="0" fontId="62" fillId="2" borderId="5" xfId="0" applyFont="1" applyFill="1" applyBorder="1" applyAlignment="1">
      <alignment horizontal="center" wrapText="1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9" fontId="0" fillId="0" borderId="9" xfId="1" applyNumberFormat="1" applyFont="1" applyBorder="1" applyAlignment="1">
      <alignment horizontal="center"/>
    </xf>
    <xf numFmtId="9" fontId="0" fillId="0" borderId="10" xfId="1" applyNumberFormat="1" applyFont="1" applyBorder="1" applyAlignment="1">
      <alignment horizontal="center"/>
    </xf>
    <xf numFmtId="9" fontId="0" fillId="0" borderId="11" xfId="1" applyNumberFormat="1" applyFon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97" fillId="0" borderId="9" xfId="0" applyFont="1" applyBorder="1" applyAlignment="1">
      <alignment horizontal="left" vertical="top"/>
    </xf>
    <xf numFmtId="0" fontId="34" fillId="0" borderId="4" xfId="0" applyFont="1" applyBorder="1" applyAlignment="1">
      <alignment horizontal="center" vertical="top"/>
    </xf>
    <xf numFmtId="0" fontId="34" fillId="0" borderId="0" xfId="0" applyFont="1" applyBorder="1" applyAlignment="1">
      <alignment horizontal="center" vertical="top"/>
    </xf>
    <xf numFmtId="0" fontId="34" fillId="0" borderId="5" xfId="0" applyFont="1" applyBorder="1" applyAlignment="1">
      <alignment horizontal="center" vertical="top"/>
    </xf>
    <xf numFmtId="0" fontId="44" fillId="0" borderId="9" xfId="0" applyNumberFormat="1" applyFont="1" applyFill="1" applyBorder="1" applyAlignment="1">
      <alignment horizontal="left" wrapText="1"/>
    </xf>
    <xf numFmtId="0" fontId="35" fillId="0" borderId="10" xfId="0" applyNumberFormat="1" applyFont="1" applyFill="1" applyBorder="1" applyAlignment="1">
      <alignment horizontal="left" wrapText="1"/>
    </xf>
    <xf numFmtId="0" fontId="35" fillId="0" borderId="11" xfId="0" applyNumberFormat="1" applyFont="1" applyFill="1" applyBorder="1" applyAlignment="1">
      <alignment horizontal="left" wrapText="1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175" fontId="0" fillId="0" borderId="10" xfId="0" applyNumberFormat="1" applyBorder="1" applyAlignment="1">
      <alignment horizontal="center"/>
    </xf>
    <xf numFmtId="175" fontId="0" fillId="0" borderId="11" xfId="0" applyNumberFormat="1" applyBorder="1" applyAlignment="1">
      <alignment horizontal="center"/>
    </xf>
    <xf numFmtId="0" fontId="47" fillId="0" borderId="4" xfId="0" applyFont="1" applyFill="1" applyBorder="1"/>
    <xf numFmtId="0" fontId="47" fillId="0" borderId="6" xfId="0" applyFont="1" applyFill="1" applyBorder="1"/>
    <xf numFmtId="0" fontId="0" fillId="0" borderId="7" xfId="0" applyFill="1" applyBorder="1"/>
    <xf numFmtId="0" fontId="46" fillId="4" borderId="0" xfId="0" applyFont="1" applyFill="1"/>
    <xf numFmtId="0" fontId="28" fillId="4" borderId="0" xfId="0" applyFont="1" applyFill="1"/>
    <xf numFmtId="0" fontId="3" fillId="2" borderId="0" xfId="0" applyFont="1" applyFill="1" applyAlignment="1">
      <alignment wrapText="1"/>
    </xf>
    <xf numFmtId="0" fontId="29" fillId="2" borderId="0" xfId="0" applyFont="1" applyFill="1" applyAlignment="1">
      <alignment wrapText="1"/>
    </xf>
    <xf numFmtId="0" fontId="8" fillId="2" borderId="0" xfId="0" applyFont="1" applyFill="1" applyAlignment="1">
      <alignment wrapText="1"/>
    </xf>
    <xf numFmtId="0" fontId="30" fillId="2" borderId="0" xfId="0" applyFont="1" applyFill="1" applyAlignment="1">
      <alignment wrapText="1"/>
    </xf>
    <xf numFmtId="0" fontId="1" fillId="0" borderId="4" xfId="0" applyFont="1" applyBorder="1"/>
    <xf numFmtId="0" fontId="1" fillId="0" borderId="0" xfId="0" applyFont="1" applyBorder="1"/>
    <xf numFmtId="0" fontId="47" fillId="0" borderId="4" xfId="0" applyFont="1" applyBorder="1"/>
    <xf numFmtId="0" fontId="47" fillId="0" borderId="0" xfId="0" applyFont="1" applyBorder="1"/>
    <xf numFmtId="0" fontId="27" fillId="2" borderId="9" xfId="0" applyFont="1" applyFill="1" applyBorder="1" applyAlignment="1">
      <alignment horizontal="center"/>
    </xf>
    <xf numFmtId="0" fontId="27" fillId="2" borderId="10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60" fillId="6" borderId="4" xfId="0" applyFont="1" applyFill="1" applyBorder="1" applyAlignment="1">
      <alignment horizontal="left" vertical="top"/>
    </xf>
    <xf numFmtId="0" fontId="58" fillId="6" borderId="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44" fillId="0" borderId="9" xfId="0" applyFont="1" applyBorder="1" applyAlignment="1">
      <alignment horizontal="left" vertical="top"/>
    </xf>
    <xf numFmtId="0" fontId="44" fillId="0" borderId="10" xfId="0" applyFont="1" applyBorder="1" applyAlignment="1">
      <alignment horizontal="left" vertical="top"/>
    </xf>
    <xf numFmtId="0" fontId="44" fillId="0" borderId="4" xfId="0" applyFont="1" applyBorder="1" applyAlignment="1">
      <alignment horizontal="left" vertical="top"/>
    </xf>
    <xf numFmtId="0" fontId="44" fillId="0" borderId="0" xfId="0" applyFont="1" applyBorder="1" applyAlignment="1">
      <alignment horizontal="left" vertical="top"/>
    </xf>
    <xf numFmtId="175" fontId="0" fillId="0" borderId="9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8" fillId="0" borderId="2" xfId="0" applyFont="1" applyBorder="1" applyAlignment="1">
      <alignment horizontal="left" vertical="top"/>
    </xf>
    <xf numFmtId="0" fontId="98" fillId="0" borderId="14" xfId="0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0" fontId="24" fillId="0" borderId="10" xfId="0" applyFont="1" applyBorder="1"/>
    <xf numFmtId="0" fontId="38" fillId="0" borderId="6" xfId="0" applyFont="1" applyBorder="1" applyAlignment="1">
      <alignment horizontal="left"/>
    </xf>
    <xf numFmtId="0" fontId="38" fillId="0" borderId="7" xfId="0" applyFont="1" applyBorder="1" applyAlignment="1">
      <alignment horizontal="left"/>
    </xf>
    <xf numFmtId="0" fontId="23" fillId="0" borderId="4" xfId="0" applyFont="1" applyBorder="1"/>
    <xf numFmtId="0" fontId="23" fillId="0" borderId="0" xfId="0" applyFont="1" applyBorder="1"/>
    <xf numFmtId="0" fontId="38" fillId="0" borderId="2" xfId="0" applyFont="1" applyBorder="1"/>
    <xf numFmtId="0" fontId="45" fillId="0" borderId="14" xfId="0" applyFont="1" applyBorder="1"/>
    <xf numFmtId="0" fontId="42" fillId="6" borderId="4" xfId="0" applyFont="1" applyFill="1" applyBorder="1" applyAlignment="1">
      <alignment horizontal="left" vertical="top"/>
    </xf>
    <xf numFmtId="0" fontId="42" fillId="6" borderId="0" xfId="0" applyFont="1" applyFill="1" applyBorder="1" applyAlignment="1">
      <alignment horizontal="left" vertical="top"/>
    </xf>
    <xf numFmtId="14" fontId="24" fillId="2" borderId="4" xfId="0" applyNumberFormat="1" applyFont="1" applyFill="1" applyBorder="1" applyAlignment="1">
      <alignment horizontal="center"/>
    </xf>
    <xf numFmtId="14" fontId="24" fillId="2" borderId="0" xfId="0" applyNumberFormat="1" applyFont="1" applyFill="1" applyBorder="1" applyAlignment="1">
      <alignment horizontal="center"/>
    </xf>
    <xf numFmtId="0" fontId="43" fillId="0" borderId="4" xfId="0" applyFont="1" applyBorder="1"/>
    <xf numFmtId="0" fontId="43" fillId="0" borderId="0" xfId="0" applyFont="1" applyBorder="1"/>
    <xf numFmtId="9" fontId="0" fillId="0" borderId="4" xfId="1" applyFont="1" applyBorder="1" applyAlignment="1"/>
    <xf numFmtId="9" fontId="0" fillId="0" borderId="5" xfId="1" applyFont="1" applyBorder="1" applyAlignment="1"/>
    <xf numFmtId="0" fontId="52" fillId="2" borderId="4" xfId="0" applyFont="1" applyFill="1" applyBorder="1" applyAlignment="1">
      <alignment horizontal="center" textRotation="45"/>
    </xf>
    <xf numFmtId="0" fontId="52" fillId="2" borderId="0" xfId="0" applyFont="1" applyFill="1" applyBorder="1" applyAlignment="1">
      <alignment horizontal="center" textRotation="45"/>
    </xf>
    <xf numFmtId="0" fontId="52" fillId="2" borderId="5" xfId="0" applyFont="1" applyFill="1" applyBorder="1" applyAlignment="1">
      <alignment horizontal="center" textRotation="45"/>
    </xf>
    <xf numFmtId="0" fontId="52" fillId="2" borderId="6" xfId="0" applyFont="1" applyFill="1" applyBorder="1" applyAlignment="1">
      <alignment horizontal="center" textRotation="45"/>
    </xf>
    <xf numFmtId="0" fontId="52" fillId="2" borderId="7" xfId="0" applyFont="1" applyFill="1" applyBorder="1" applyAlignment="1">
      <alignment horizontal="center" textRotation="45"/>
    </xf>
    <xf numFmtId="0" fontId="52" fillId="2" borderId="8" xfId="0" applyFont="1" applyFill="1" applyBorder="1" applyAlignment="1">
      <alignment horizontal="center" textRotation="45"/>
    </xf>
    <xf numFmtId="0" fontId="52" fillId="2" borderId="14" xfId="0" applyFont="1" applyFill="1" applyBorder="1" applyAlignment="1">
      <alignment horizontal="center" textRotation="45"/>
    </xf>
    <xf numFmtId="0" fontId="52" fillId="2" borderId="3" xfId="0" applyFont="1" applyFill="1" applyBorder="1" applyAlignment="1">
      <alignment horizontal="center" textRotation="45"/>
    </xf>
    <xf numFmtId="9" fontId="0" fillId="0" borderId="2" xfId="1" applyFont="1" applyBorder="1" applyAlignment="1"/>
    <xf numFmtId="9" fontId="0" fillId="0" borderId="3" xfId="1" applyFont="1" applyBorder="1" applyAlignment="1"/>
    <xf numFmtId="0" fontId="0" fillId="2" borderId="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75" fontId="0" fillId="0" borderId="2" xfId="1" applyNumberFormat="1" applyFont="1" applyBorder="1" applyAlignment="1">
      <alignment horizontal="center"/>
    </xf>
    <xf numFmtId="175" fontId="0" fillId="0" borderId="3" xfId="1" applyNumberFormat="1" applyFont="1" applyBorder="1" applyAlignment="1">
      <alignment horizontal="center"/>
    </xf>
    <xf numFmtId="175" fontId="0" fillId="0" borderId="6" xfId="1" applyNumberFormat="1" applyFont="1" applyBorder="1" applyAlignment="1">
      <alignment horizontal="center"/>
    </xf>
    <xf numFmtId="175" fontId="0" fillId="0" borderId="8" xfId="1" applyNumberFormat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2" fontId="73" fillId="0" borderId="14" xfId="1" applyNumberFormat="1" applyFont="1" applyBorder="1" applyAlignment="1">
      <alignment horizontal="center" vertical="center"/>
    </xf>
    <xf numFmtId="2" fontId="73" fillId="0" borderId="3" xfId="1" applyNumberFormat="1" applyFont="1" applyBorder="1" applyAlignment="1">
      <alignment horizontal="center" vertical="center"/>
    </xf>
    <xf numFmtId="2" fontId="73" fillId="0" borderId="7" xfId="1" applyNumberFormat="1" applyFont="1" applyBorder="1" applyAlignment="1">
      <alignment horizontal="center" vertical="center"/>
    </xf>
    <xf numFmtId="2" fontId="73" fillId="0" borderId="8" xfId="1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43" fontId="0" fillId="0" borderId="2" xfId="1" applyNumberFormat="1" applyFont="1" applyBorder="1" applyAlignment="1"/>
    <xf numFmtId="43" fontId="0" fillId="0" borderId="3" xfId="1" applyNumberFormat="1" applyFont="1" applyBorder="1" applyAlignment="1"/>
    <xf numFmtId="9" fontId="0" fillId="0" borderId="0" xfId="1" applyFont="1" applyBorder="1" applyAlignment="1"/>
    <xf numFmtId="9" fontId="0" fillId="0" borderId="6" xfId="1" applyFont="1" applyBorder="1" applyAlignment="1"/>
    <xf numFmtId="9" fontId="0" fillId="0" borderId="8" xfId="1" applyFont="1" applyBorder="1" applyAlignment="1"/>
    <xf numFmtId="10" fontId="0" fillId="0" borderId="9" xfId="1" applyNumberFormat="1" applyFont="1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0" fontId="100" fillId="0" borderId="14" xfId="0" applyFont="1" applyFill="1" applyBorder="1" applyAlignment="1">
      <alignment horizontal="center"/>
    </xf>
    <xf numFmtId="0" fontId="100" fillId="0" borderId="3" xfId="0" applyFont="1" applyFill="1" applyBorder="1" applyAlignment="1">
      <alignment horizontal="center"/>
    </xf>
    <xf numFmtId="0" fontId="100" fillId="0" borderId="0" xfId="0" applyFont="1" applyFill="1" applyBorder="1" applyAlignment="1">
      <alignment horizontal="center"/>
    </xf>
    <xf numFmtId="0" fontId="100" fillId="0" borderId="5" xfId="0" applyFont="1" applyFill="1" applyBorder="1" applyAlignment="1">
      <alignment horizontal="center"/>
    </xf>
    <xf numFmtId="11" fontId="100" fillId="0" borderId="0" xfId="0" applyNumberFormat="1" applyFont="1" applyFill="1" applyBorder="1" applyAlignment="1">
      <alignment horizontal="center"/>
    </xf>
    <xf numFmtId="11" fontId="100" fillId="0" borderId="5" xfId="0" applyNumberFormat="1" applyFont="1" applyFill="1" applyBorder="1" applyAlignment="1">
      <alignment horizontal="center"/>
    </xf>
    <xf numFmtId="0" fontId="99" fillId="0" borderId="4" xfId="0" applyFont="1" applyFill="1" applyBorder="1" applyAlignment="1">
      <alignment horizontal="center"/>
    </xf>
    <xf numFmtId="0" fontId="99" fillId="0" borderId="0" xfId="0" applyFont="1" applyFill="1" applyBorder="1" applyAlignment="1">
      <alignment horizontal="center"/>
    </xf>
    <xf numFmtId="0" fontId="99" fillId="0" borderId="5" xfId="0" applyFont="1" applyFill="1" applyBorder="1" applyAlignment="1">
      <alignment horizontal="center"/>
    </xf>
    <xf numFmtId="0" fontId="99" fillId="0" borderId="6" xfId="0" applyFont="1" applyFill="1" applyBorder="1" applyAlignment="1">
      <alignment horizontal="center"/>
    </xf>
    <xf numFmtId="0" fontId="99" fillId="0" borderId="7" xfId="0" applyFont="1" applyFill="1" applyBorder="1" applyAlignment="1">
      <alignment horizontal="center"/>
    </xf>
    <xf numFmtId="0" fontId="99" fillId="0" borderId="8" xfId="0" applyFont="1" applyFill="1" applyBorder="1" applyAlignment="1">
      <alignment horizontal="center"/>
    </xf>
    <xf numFmtId="190" fontId="0" fillId="0" borderId="9" xfId="0" applyNumberFormat="1" applyBorder="1"/>
    <xf numFmtId="190" fontId="0" fillId="0" borderId="10" xfId="0" applyNumberFormat="1" applyBorder="1"/>
    <xf numFmtId="190" fontId="0" fillId="0" borderId="11" xfId="0" applyNumberFormat="1" applyBorder="1"/>
    <xf numFmtId="0" fontId="76" fillId="2" borderId="9" xfId="4" applyFont="1" applyFill="1" applyBorder="1" applyAlignment="1">
      <alignment horizontal="center"/>
    </xf>
    <xf numFmtId="0" fontId="76" fillId="2" borderId="10" xfId="4" applyFont="1" applyFill="1" applyBorder="1" applyAlignment="1">
      <alignment horizontal="center"/>
    </xf>
    <xf numFmtId="0" fontId="76" fillId="2" borderId="11" xfId="4" applyFont="1" applyFill="1" applyBorder="1" applyAlignment="1">
      <alignment horizontal="center"/>
    </xf>
    <xf numFmtId="0" fontId="63" fillId="2" borderId="9" xfId="0" applyFont="1" applyFill="1" applyBorder="1" applyAlignment="1">
      <alignment horizontal="center"/>
    </xf>
    <xf numFmtId="0" fontId="63" fillId="2" borderId="10" xfId="0" applyFont="1" applyFill="1" applyBorder="1" applyAlignment="1">
      <alignment horizontal="center"/>
    </xf>
    <xf numFmtId="0" fontId="63" fillId="2" borderId="11" xfId="0" applyFont="1" applyFill="1" applyBorder="1" applyAlignment="1">
      <alignment horizontal="center"/>
    </xf>
    <xf numFmtId="0" fontId="63" fillId="2" borderId="9" xfId="4" applyFont="1" applyFill="1" applyBorder="1" applyAlignment="1">
      <alignment horizontal="center" vertical="center"/>
    </xf>
    <xf numFmtId="0" fontId="63" fillId="2" borderId="11" xfId="4" applyFont="1" applyFill="1" applyBorder="1" applyAlignment="1">
      <alignment horizontal="center" vertical="center"/>
    </xf>
    <xf numFmtId="0" fontId="76" fillId="2" borderId="9" xfId="4" applyFont="1" applyFill="1" applyBorder="1" applyAlignment="1">
      <alignment horizontal="center" vertical="center"/>
    </xf>
    <xf numFmtId="0" fontId="76" fillId="2" borderId="10" xfId="4" applyFont="1" applyFill="1" applyBorder="1" applyAlignment="1">
      <alignment horizontal="center" vertical="center"/>
    </xf>
    <xf numFmtId="0" fontId="76" fillId="2" borderId="11" xfId="4" applyFont="1" applyFill="1" applyBorder="1" applyAlignment="1">
      <alignment horizontal="center" vertical="center"/>
    </xf>
    <xf numFmtId="43" fontId="0" fillId="0" borderId="2" xfId="0" applyNumberFormat="1" applyBorder="1"/>
    <xf numFmtId="43" fontId="0" fillId="0" borderId="14" xfId="0" applyNumberFormat="1" applyBorder="1"/>
    <xf numFmtId="43" fontId="0" fillId="0" borderId="3" xfId="0" applyNumberFormat="1" applyBorder="1"/>
    <xf numFmtId="194" fontId="0" fillId="0" borderId="4" xfId="0" applyNumberFormat="1" applyBorder="1"/>
    <xf numFmtId="194" fontId="0" fillId="0" borderId="0" xfId="0" applyNumberFormat="1" applyBorder="1"/>
    <xf numFmtId="194" fontId="0" fillId="0" borderId="5" xfId="0" applyNumberFormat="1" applyBorder="1"/>
    <xf numFmtId="43" fontId="0" fillId="0" borderId="4" xfId="0" applyNumberFormat="1" applyBorder="1"/>
    <xf numFmtId="43" fontId="0" fillId="0" borderId="0" xfId="0" applyNumberFormat="1" applyBorder="1"/>
    <xf numFmtId="43" fontId="0" fillId="0" borderId="5" xfId="0" applyNumberFormat="1" applyBorder="1"/>
    <xf numFmtId="10" fontId="0" fillId="0" borderId="2" xfId="0" applyNumberFormat="1" applyBorder="1" applyAlignment="1">
      <alignment horizontal="right"/>
    </xf>
    <xf numFmtId="10" fontId="0" fillId="0" borderId="14" xfId="0" applyNumberFormat="1" applyBorder="1" applyAlignment="1">
      <alignment horizontal="right"/>
    </xf>
    <xf numFmtId="43" fontId="0" fillId="0" borderId="4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6" xfId="0" applyNumberFormat="1" applyBorder="1" applyAlignment="1">
      <alignment horizontal="center"/>
    </xf>
    <xf numFmtId="43" fontId="0" fillId="0" borderId="7" xfId="0" applyNumberFormat="1" applyBorder="1" applyAlignment="1">
      <alignment horizontal="center"/>
    </xf>
    <xf numFmtId="43" fontId="1" fillId="0" borderId="2" xfId="0" applyNumberFormat="1" applyFont="1" applyBorder="1" applyAlignment="1">
      <alignment horizontal="center"/>
    </xf>
    <xf numFmtId="43" fontId="1" fillId="0" borderId="14" xfId="0" applyNumberFormat="1" applyFont="1" applyBorder="1" applyAlignment="1">
      <alignment horizontal="center"/>
    </xf>
    <xf numFmtId="43" fontId="0" fillId="0" borderId="4" xfId="0" applyNumberFormat="1" applyBorder="1" applyAlignment="1"/>
    <xf numFmtId="43" fontId="0" fillId="0" borderId="0" xfId="0" applyNumberFormat="1" applyBorder="1" applyAlignment="1"/>
    <xf numFmtId="43" fontId="33" fillId="0" borderId="4" xfId="0" applyNumberFormat="1" applyFont="1" applyBorder="1" applyAlignment="1">
      <alignment horizontal="center" wrapText="1"/>
    </xf>
    <xf numFmtId="43" fontId="33" fillId="0" borderId="0" xfId="0" applyNumberFormat="1" applyFont="1" applyBorder="1" applyAlignment="1">
      <alignment horizontal="center" wrapText="1"/>
    </xf>
    <xf numFmtId="43" fontId="0" fillId="0" borderId="2" xfId="0" applyNumberFormat="1" applyFill="1" applyBorder="1" applyAlignment="1">
      <alignment horizontal="center"/>
    </xf>
    <xf numFmtId="43" fontId="0" fillId="0" borderId="14" xfId="0" applyNumberFormat="1" applyFill="1" applyBorder="1" applyAlignment="1">
      <alignment horizontal="center"/>
    </xf>
    <xf numFmtId="43" fontId="1" fillId="0" borderId="9" xfId="0" applyNumberFormat="1" applyFont="1" applyBorder="1" applyAlignment="1">
      <alignment horizontal="center"/>
    </xf>
    <xf numFmtId="43" fontId="1" fillId="0" borderId="10" xfId="0" applyNumberFormat="1" applyFont="1" applyBorder="1" applyAlignment="1">
      <alignment horizontal="center"/>
    </xf>
    <xf numFmtId="43" fontId="33" fillId="0" borderId="4" xfId="0" applyNumberFormat="1" applyFont="1" applyBorder="1" applyAlignment="1">
      <alignment horizontal="center" vertical="top" wrapText="1"/>
    </xf>
    <xf numFmtId="43" fontId="33" fillId="0" borderId="0" xfId="0" applyNumberFormat="1" applyFont="1" applyBorder="1" applyAlignment="1">
      <alignment horizontal="center" vertical="top" wrapText="1"/>
    </xf>
    <xf numFmtId="43" fontId="1" fillId="0" borderId="4" xfId="0" applyNumberFormat="1" applyFont="1" applyBorder="1" applyAlignment="1">
      <alignment horizontal="center"/>
    </xf>
    <xf numFmtId="43" fontId="1" fillId="0" borderId="0" xfId="0" applyNumberFormat="1" applyFont="1" applyBorder="1" applyAlignment="1">
      <alignment horizontal="center"/>
    </xf>
    <xf numFmtId="0" fontId="80" fillId="2" borderId="26" xfId="0" applyFont="1" applyFill="1" applyBorder="1" applyAlignment="1">
      <alignment horizontal="center" vertical="center"/>
    </xf>
    <xf numFmtId="0" fontId="80" fillId="2" borderId="4" xfId="0" applyFont="1" applyFill="1" applyBorder="1" applyAlignment="1">
      <alignment horizontal="center" vertical="center"/>
    </xf>
    <xf numFmtId="0" fontId="80" fillId="2" borderId="6" xfId="0" applyFont="1" applyFill="1" applyBorder="1" applyAlignment="1">
      <alignment horizontal="center" vertical="center"/>
    </xf>
    <xf numFmtId="0" fontId="76" fillId="2" borderId="2" xfId="0" applyFont="1" applyFill="1" applyBorder="1" applyAlignment="1">
      <alignment horizontal="center" vertical="center"/>
    </xf>
    <xf numFmtId="0" fontId="87" fillId="2" borderId="14" xfId="0" applyFont="1" applyFill="1" applyBorder="1" applyAlignment="1">
      <alignment horizontal="center" vertical="center"/>
    </xf>
    <xf numFmtId="0" fontId="87" fillId="2" borderId="23" xfId="0" applyFont="1" applyFill="1" applyBorder="1" applyAlignment="1">
      <alignment horizontal="center" vertical="center"/>
    </xf>
    <xf numFmtId="0" fontId="87" fillId="2" borderId="0" xfId="0" applyFont="1" applyFill="1" applyBorder="1" applyAlignment="1">
      <alignment horizontal="center" vertical="center"/>
    </xf>
    <xf numFmtId="0" fontId="42" fillId="6" borderId="4" xfId="0" applyFont="1" applyFill="1" applyBorder="1" applyAlignment="1">
      <alignment horizontal="left"/>
    </xf>
    <xf numFmtId="0" fontId="42" fillId="6" borderId="0" xfId="0" applyFont="1" applyFill="1" applyBorder="1" applyAlignment="1">
      <alignment horizontal="left"/>
    </xf>
    <xf numFmtId="0" fontId="44" fillId="2" borderId="9" xfId="0" applyFont="1" applyFill="1" applyBorder="1" applyAlignment="1">
      <alignment horizontal="center"/>
    </xf>
    <xf numFmtId="0" fontId="44" fillId="2" borderId="1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5" fillId="0" borderId="9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9" fontId="0" fillId="6" borderId="9" xfId="0" applyNumberForma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9" fontId="0" fillId="6" borderId="10" xfId="0" applyNumberFormat="1" applyFill="1" applyBorder="1" applyAlignment="1">
      <alignment horizontal="center"/>
    </xf>
    <xf numFmtId="9" fontId="0" fillId="6" borderId="11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2" fontId="0" fillId="6" borderId="11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6" borderId="14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175" fontId="0" fillId="6" borderId="9" xfId="1" applyNumberFormat="1" applyFont="1" applyFill="1" applyBorder="1" applyAlignment="1">
      <alignment horizontal="center"/>
    </xf>
    <xf numFmtId="175" fontId="0" fillId="6" borderId="11" xfId="1" applyNumberFormat="1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03" fillId="6" borderId="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10" fontId="0" fillId="6" borderId="9" xfId="1" applyNumberFormat="1" applyFont="1" applyFill="1" applyBorder="1" applyAlignment="1">
      <alignment horizontal="center"/>
    </xf>
    <xf numFmtId="10" fontId="0" fillId="6" borderId="10" xfId="1" applyNumberFormat="1" applyFont="1" applyFill="1" applyBorder="1" applyAlignment="1">
      <alignment horizontal="center"/>
    </xf>
    <xf numFmtId="175" fontId="0" fillId="6" borderId="10" xfId="1" applyNumberFormat="1" applyFont="1" applyFill="1" applyBorder="1" applyAlignment="1">
      <alignment horizontal="center"/>
    </xf>
    <xf numFmtId="0" fontId="91" fillId="11" borderId="6" xfId="0" applyFont="1" applyFill="1" applyBorder="1" applyAlignment="1">
      <alignment horizontal="left"/>
    </xf>
    <xf numFmtId="0" fontId="91" fillId="11" borderId="8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91" fillId="11" borderId="9" xfId="0" applyFont="1" applyFill="1" applyBorder="1" applyAlignment="1">
      <alignment horizontal="left"/>
    </xf>
    <xf numFmtId="0" fontId="91" fillId="11" borderId="11" xfId="0" applyFont="1" applyFill="1" applyBorder="1" applyAlignment="1">
      <alignment horizontal="left"/>
    </xf>
    <xf numFmtId="0" fontId="85" fillId="2" borderId="9" xfId="0" applyFont="1" applyFill="1" applyBorder="1" applyAlignment="1">
      <alignment horizontal="center" vertical="top"/>
    </xf>
    <xf numFmtId="0" fontId="85" fillId="2" borderId="10" xfId="0" applyFont="1" applyFill="1" applyBorder="1" applyAlignment="1">
      <alignment horizontal="center" vertical="top"/>
    </xf>
    <xf numFmtId="0" fontId="85" fillId="2" borderId="11" xfId="0" applyFont="1" applyFill="1" applyBorder="1" applyAlignment="1">
      <alignment horizontal="center" vertical="top"/>
    </xf>
    <xf numFmtId="0" fontId="1" fillId="2" borderId="10" xfId="0" applyFont="1" applyFill="1" applyBorder="1"/>
    <xf numFmtId="0" fontId="1" fillId="2" borderId="11" xfId="0" applyFont="1" applyFill="1" applyBorder="1"/>
    <xf numFmtId="0" fontId="85" fillId="2" borderId="2" xfId="0" applyFont="1" applyFill="1" applyBorder="1" applyAlignment="1">
      <alignment horizontal="left" vertical="top"/>
    </xf>
    <xf numFmtId="0" fontId="85" fillId="2" borderId="14" xfId="0" applyFont="1" applyFill="1" applyBorder="1" applyAlignment="1">
      <alignment horizontal="left" vertical="top"/>
    </xf>
    <xf numFmtId="0" fontId="85" fillId="2" borderId="3" xfId="0" applyFont="1" applyFill="1" applyBorder="1" applyAlignment="1">
      <alignment horizontal="left" vertical="top"/>
    </xf>
    <xf numFmtId="0" fontId="85" fillId="2" borderId="4" xfId="0" applyFont="1" applyFill="1" applyBorder="1" applyAlignment="1">
      <alignment horizontal="left" vertical="top"/>
    </xf>
    <xf numFmtId="0" fontId="85" fillId="2" borderId="0" xfId="0" applyFont="1" applyFill="1" applyBorder="1" applyAlignment="1">
      <alignment horizontal="left" vertical="top"/>
    </xf>
    <xf numFmtId="0" fontId="85" fillId="2" borderId="5" xfId="0" applyFont="1" applyFill="1" applyBorder="1" applyAlignment="1">
      <alignment horizontal="left" vertical="top"/>
    </xf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165" fontId="0" fillId="2" borderId="3" xfId="0" applyNumberFormat="1" applyFont="1" applyFill="1" applyBorder="1"/>
    <xf numFmtId="165" fontId="0" fillId="2" borderId="5" xfId="0" applyNumberFormat="1" applyFont="1" applyFill="1" applyBorder="1"/>
    <xf numFmtId="165" fontId="0" fillId="2" borderId="8" xfId="0" applyNumberFormat="1" applyFont="1" applyFill="1" applyBorder="1"/>
    <xf numFmtId="0" fontId="19" fillId="2" borderId="2" xfId="0" applyFont="1" applyFill="1" applyBorder="1" applyAlignment="1">
      <alignment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vertical="center"/>
    </xf>
    <xf numFmtId="0" fontId="19" fillId="2" borderId="4" xfId="0" applyFont="1" applyFill="1" applyBorder="1" applyAlignment="1">
      <alignment vertical="center"/>
    </xf>
    <xf numFmtId="0" fontId="19" fillId="2" borderId="21" xfId="0" applyFont="1" applyFill="1" applyBorder="1" applyAlignment="1">
      <alignment horizontal="right" vertical="center"/>
    </xf>
    <xf numFmtId="0" fontId="19" fillId="2" borderId="2" xfId="0" applyFont="1" applyFill="1" applyBorder="1" applyAlignment="1">
      <alignment horizontal="right" vertical="center"/>
    </xf>
    <xf numFmtId="0" fontId="19" fillId="2" borderId="0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horizontal="right" vertical="center"/>
    </xf>
    <xf numFmtId="0" fontId="20" fillId="2" borderId="6" xfId="0" applyFont="1" applyFill="1" applyBorder="1" applyAlignment="1">
      <alignment horizontal="right" vertical="center"/>
    </xf>
    <xf numFmtId="0" fontId="18" fillId="2" borderId="13" xfId="0" applyFont="1" applyFill="1" applyBorder="1" applyAlignment="1">
      <alignment horizontal="right" vertical="center"/>
    </xf>
    <xf numFmtId="0" fontId="18" fillId="2" borderId="12" xfId="0" applyFont="1" applyFill="1" applyBorder="1" applyAlignment="1">
      <alignment horizontal="right" vertical="center"/>
    </xf>
    <xf numFmtId="0" fontId="19" fillId="2" borderId="14" xfId="0" applyFont="1" applyFill="1" applyBorder="1" applyAlignment="1">
      <alignment vertical="center"/>
    </xf>
    <xf numFmtId="166" fontId="19" fillId="2" borderId="14" xfId="0" applyNumberFormat="1" applyFont="1" applyFill="1" applyBorder="1" applyAlignment="1">
      <alignment vertical="center"/>
    </xf>
    <xf numFmtId="166" fontId="19" fillId="2" borderId="3" xfId="0" applyNumberFormat="1" applyFont="1" applyFill="1" applyBorder="1" applyAlignment="1">
      <alignment vertical="center"/>
    </xf>
    <xf numFmtId="0" fontId="19" fillId="2" borderId="6" xfId="0" applyFont="1" applyFill="1" applyBorder="1" applyAlignment="1">
      <alignment vertical="center"/>
    </xf>
    <xf numFmtId="0" fontId="19" fillId="2" borderId="7" xfId="0" applyFont="1" applyFill="1" applyBorder="1" applyAlignment="1">
      <alignment vertical="center"/>
    </xf>
    <xf numFmtId="166" fontId="19" fillId="2" borderId="7" xfId="0" applyNumberFormat="1" applyFont="1" applyFill="1" applyBorder="1" applyAlignment="1">
      <alignment vertical="center"/>
    </xf>
    <xf numFmtId="166" fontId="19" fillId="2" borderId="8" xfId="0" applyNumberFormat="1" applyFont="1" applyFill="1" applyBorder="1" applyAlignment="1">
      <alignment vertical="center"/>
    </xf>
    <xf numFmtId="3" fontId="0" fillId="0" borderId="1" xfId="0" applyNumberFormat="1" applyBorder="1"/>
    <xf numFmtId="3" fontId="0" fillId="0" borderId="11" xfId="0" applyNumberFormat="1" applyBorder="1"/>
  </cellXfs>
  <cellStyles count="6">
    <cellStyle name="Comma" xfId="3" builtinId="3"/>
    <cellStyle name="Currency" xfId="2" builtinId="4"/>
    <cellStyle name="Invisible" xfId="5" xr:uid="{9FED30ED-07E7-1440-9490-8A78B2A790C6}"/>
    <cellStyle name="Normal" xfId="0" builtinId="0"/>
    <cellStyle name="Normal 2" xfId="4" xr:uid="{A23832FF-A795-7142-B647-A1D9A6E26CB8}"/>
    <cellStyle name="Per cent" xfId="1" builtinId="5"/>
  </cellStyles>
  <dxfs count="1">
    <dxf>
      <font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Cash Flows Evolution</a:t>
            </a:r>
            <a:r>
              <a:rPr lang="en-GB" baseline="0"/>
              <a:t> Forecast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Cash Flows Amount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'Restructuration cap'!$X$2:$AB$2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'Restructuration cap'!$X$86:$AB$86</c:f>
              <c:numCache>
                <c:formatCode>_(* #,##0.0_);_(* \(#,##0.0\)_)\ ;_(* 0_)</c:formatCode>
                <c:ptCount val="5"/>
                <c:pt idx="0">
                  <c:v>169.62236627463614</c:v>
                </c:pt>
                <c:pt idx="1">
                  <c:v>208.35789265155262</c:v>
                </c:pt>
                <c:pt idx="2">
                  <c:v>165.55861083040836</c:v>
                </c:pt>
                <c:pt idx="3">
                  <c:v>223.75599871013637</c:v>
                </c:pt>
                <c:pt idx="4">
                  <c:v>221.90169409374363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1-F94D-BBD5-AF99E245E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46992"/>
        <c:axId val="112548640"/>
      </c:barChart>
      <c:lineChart>
        <c:grouping val="standard"/>
        <c:varyColors val="0"/>
        <c:ser>
          <c:idx val="1"/>
          <c:order val="1"/>
          <c:tx>
            <c:v>Growth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'Restructuration cap'!$X$2:$AB$2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'Restructuration cap'!$X$88:$AB$88</c:f>
              <c:numCache>
                <c:formatCode>0%</c:formatCode>
                <c:ptCount val="5"/>
                <c:pt idx="0">
                  <c:v>0</c:v>
                </c:pt>
                <c:pt idx="1">
                  <c:v>0.22836331804379892</c:v>
                </c:pt>
                <c:pt idx="2">
                  <c:v>-0.20541233776403975</c:v>
                </c:pt>
                <c:pt idx="3">
                  <c:v>0.35152135903908432</c:v>
                </c:pt>
                <c:pt idx="4">
                  <c:v>-8.2871727555107414E-3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1E1-F94D-BBD5-AF99E245E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10160"/>
        <c:axId val="152012048"/>
      </c:lineChart>
      <c:catAx>
        <c:axId val="11254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2548640"/>
        <c:crosses val="autoZero"/>
        <c:auto val="1"/>
        <c:lblAlgn val="ctr"/>
        <c:lblOffset val="100"/>
        <c:noMultiLvlLbl val="0"/>
      </c:catAx>
      <c:valAx>
        <c:axId val="1125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_)\ ;_(* 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2546992"/>
        <c:crosses val="autoZero"/>
        <c:crossBetween val="between"/>
      </c:valAx>
      <c:valAx>
        <c:axId val="15201204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910160"/>
        <c:crosses val="max"/>
        <c:crossBetween val="between"/>
      </c:valAx>
      <c:catAx>
        <c:axId val="15191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012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66625827691349"/>
          <c:y val="9.3677955308000993E-2"/>
          <c:w val="0.80285294307576294"/>
          <c:h val="0.63634370619893343"/>
        </c:manualLayout>
      </c:layout>
      <c:lineChart>
        <c:grouping val="standard"/>
        <c:varyColors val="0"/>
        <c:ser>
          <c:idx val="0"/>
          <c:order val="0"/>
          <c:tx>
            <c:strRef>
              <c:f>'Leverage and Restructuration'!$A$31</c:f>
              <c:strCache>
                <c:ptCount val="1"/>
                <c:pt idx="0">
                  <c:v>Amount of debt(in M$)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'Leverage and Restructuration'!$B$27:$F$27</c:f>
              <c:numCache>
                <c:formatCode>m/d/yy</c:formatCode>
                <c:ptCount val="5"/>
                <c:pt idx="0">
                  <c:v>44196</c:v>
                </c:pt>
                <c:pt idx="1">
                  <c:v>44561</c:v>
                </c:pt>
                <c:pt idx="2">
                  <c:v>44926</c:v>
                </c:pt>
                <c:pt idx="3">
                  <c:v>45291</c:v>
                </c:pt>
                <c:pt idx="4">
                  <c:v>45657</c:v>
                </c:pt>
              </c:numCache>
            </c:numRef>
          </c:cat>
          <c:val>
            <c:numRef>
              <c:f>'Leverage and Restructuration'!$B$31:$F$31</c:f>
              <c:numCache>
                <c:formatCode>_(* #,##0.00_);_(* \(#,##0.00\);_(* "-"??_);_(@_)</c:formatCode>
                <c:ptCount val="5"/>
                <c:pt idx="0">
                  <c:v>1784.912</c:v>
                </c:pt>
                <c:pt idx="1">
                  <c:v>1863.0901071859848</c:v>
                </c:pt>
                <c:pt idx="2">
                  <c:v>1941.2682143719696</c:v>
                </c:pt>
                <c:pt idx="3">
                  <c:v>2019.4463215579544</c:v>
                </c:pt>
                <c:pt idx="4">
                  <c:v>2097.624428743939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D-A448-B547-010F2B810746}"/>
            </c:ext>
          </c:extLst>
        </c:ser>
        <c:ser>
          <c:idx val="1"/>
          <c:order val="1"/>
          <c:tx>
            <c:strRef>
              <c:f>'Leverage and Restructuration'!$A$32</c:f>
              <c:strCache>
                <c:ptCount val="1"/>
                <c:pt idx="0">
                  <c:v>Equity(in M$,using APV)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'Leverage and Restructuration'!$B$27:$F$27</c:f>
              <c:numCache>
                <c:formatCode>m/d/yy</c:formatCode>
                <c:ptCount val="5"/>
                <c:pt idx="0">
                  <c:v>44196</c:v>
                </c:pt>
                <c:pt idx="1">
                  <c:v>44561</c:v>
                </c:pt>
                <c:pt idx="2">
                  <c:v>44926</c:v>
                </c:pt>
                <c:pt idx="3">
                  <c:v>45291</c:v>
                </c:pt>
                <c:pt idx="4">
                  <c:v>45657</c:v>
                </c:pt>
              </c:numCache>
            </c:numRef>
          </c:cat>
          <c:val>
            <c:numRef>
              <c:f>'Leverage and Restructuration'!$B$32:$F$32</c:f>
              <c:numCache>
                <c:formatCode>_(* #,##0.00_);_(* \(#,##0.00\);_(* "-"??_);_(@_)</c:formatCode>
                <c:ptCount val="5"/>
                <c:pt idx="0">
                  <c:v>1926.4668072924644</c:v>
                </c:pt>
                <c:pt idx="1">
                  <c:v>1749.0743827651468</c:v>
                </c:pt>
                <c:pt idx="2">
                  <c:v>1752.1655248891955</c:v>
                </c:pt>
                <c:pt idx="3">
                  <c:v>1794.1682654896445</c:v>
                </c:pt>
                <c:pt idx="4">
                  <c:v>1776.118939368972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D-A448-B547-010F2B810746}"/>
            </c:ext>
          </c:extLst>
        </c:ser>
        <c:ser>
          <c:idx val="2"/>
          <c:order val="2"/>
          <c:tx>
            <c:strRef>
              <c:f>'Leverage and Restructuration'!$A$33</c:f>
              <c:strCache>
                <c:ptCount val="1"/>
                <c:pt idx="0">
                  <c:v>Entreprise Value(in M$,using APV)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'Leverage and Restructuration'!$B$27:$F$27</c:f>
              <c:numCache>
                <c:formatCode>m/d/yy</c:formatCode>
                <c:ptCount val="5"/>
                <c:pt idx="0">
                  <c:v>44196</c:v>
                </c:pt>
                <c:pt idx="1">
                  <c:v>44561</c:v>
                </c:pt>
                <c:pt idx="2">
                  <c:v>44926</c:v>
                </c:pt>
                <c:pt idx="3">
                  <c:v>45291</c:v>
                </c:pt>
                <c:pt idx="4">
                  <c:v>45657</c:v>
                </c:pt>
              </c:numCache>
            </c:numRef>
          </c:cat>
          <c:val>
            <c:numRef>
              <c:f>'Leverage and Restructuration'!$B$33:$F$33</c:f>
              <c:numCache>
                <c:formatCode>_(* #,##0.00_);_(* \(#,##0.00\);_(* "-"??_);_(@_)</c:formatCode>
                <c:ptCount val="5"/>
                <c:pt idx="0">
                  <c:v>3711.3788072924644</c:v>
                </c:pt>
                <c:pt idx="1">
                  <c:v>3612.1644899511316</c:v>
                </c:pt>
                <c:pt idx="2">
                  <c:v>3693.4337392611651</c:v>
                </c:pt>
                <c:pt idx="3">
                  <c:v>3813.6145870475989</c:v>
                </c:pt>
                <c:pt idx="4">
                  <c:v>3873.743368112911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6D-A448-B547-010F2B810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97935"/>
        <c:axId val="1995937808"/>
      </c:lineChart>
      <c:dateAx>
        <c:axId val="198197935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95937808"/>
        <c:crosses val="autoZero"/>
        <c:auto val="1"/>
        <c:lblOffset val="100"/>
        <c:baseTimeUnit val="years"/>
      </c:dateAx>
      <c:valAx>
        <c:axId val="19959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19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Rates!$AL$3</c:f>
              <c:strCache>
                <c:ptCount val="1"/>
                <c:pt idx="0">
                  <c:v>CIR Forecasts(in 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Rates!$AK$4:$AK$41</c:f>
              <c:numCache>
                <c:formatCode>yyyy\-mm\-dd\ hh:mm:ss</c:formatCode>
                <c:ptCount val="38"/>
                <c:pt idx="0">
                  <c:v>44165</c:v>
                </c:pt>
                <c:pt idx="1">
                  <c:v>44196</c:v>
                </c:pt>
                <c:pt idx="2">
                  <c:v>44227</c:v>
                </c:pt>
                <c:pt idx="3">
                  <c:v>44255</c:v>
                </c:pt>
                <c:pt idx="4">
                  <c:v>44286</c:v>
                </c:pt>
                <c:pt idx="5">
                  <c:v>44316</c:v>
                </c:pt>
                <c:pt idx="6">
                  <c:v>44347</c:v>
                </c:pt>
                <c:pt idx="7">
                  <c:v>44377</c:v>
                </c:pt>
                <c:pt idx="8">
                  <c:v>44408</c:v>
                </c:pt>
                <c:pt idx="9">
                  <c:v>44439</c:v>
                </c:pt>
                <c:pt idx="10">
                  <c:v>44469</c:v>
                </c:pt>
                <c:pt idx="11">
                  <c:v>44500</c:v>
                </c:pt>
                <c:pt idx="12">
                  <c:v>44530</c:v>
                </c:pt>
                <c:pt idx="13">
                  <c:v>44561</c:v>
                </c:pt>
                <c:pt idx="14">
                  <c:v>44592</c:v>
                </c:pt>
                <c:pt idx="15">
                  <c:v>44620</c:v>
                </c:pt>
                <c:pt idx="16">
                  <c:v>44651</c:v>
                </c:pt>
                <c:pt idx="17">
                  <c:v>44681</c:v>
                </c:pt>
                <c:pt idx="18">
                  <c:v>44712</c:v>
                </c:pt>
                <c:pt idx="19">
                  <c:v>44742</c:v>
                </c:pt>
                <c:pt idx="20">
                  <c:v>44773</c:v>
                </c:pt>
                <c:pt idx="21">
                  <c:v>44804</c:v>
                </c:pt>
                <c:pt idx="22">
                  <c:v>44834</c:v>
                </c:pt>
                <c:pt idx="23">
                  <c:v>44865</c:v>
                </c:pt>
                <c:pt idx="24">
                  <c:v>44895</c:v>
                </c:pt>
                <c:pt idx="25">
                  <c:v>44926</c:v>
                </c:pt>
                <c:pt idx="26">
                  <c:v>44957</c:v>
                </c:pt>
                <c:pt idx="27">
                  <c:v>44985</c:v>
                </c:pt>
                <c:pt idx="28">
                  <c:v>45016</c:v>
                </c:pt>
                <c:pt idx="29">
                  <c:v>45046</c:v>
                </c:pt>
                <c:pt idx="30">
                  <c:v>45077</c:v>
                </c:pt>
                <c:pt idx="31">
                  <c:v>45107</c:v>
                </c:pt>
                <c:pt idx="32">
                  <c:v>45138</c:v>
                </c:pt>
                <c:pt idx="33">
                  <c:v>45169</c:v>
                </c:pt>
                <c:pt idx="34">
                  <c:v>45199</c:v>
                </c:pt>
                <c:pt idx="35">
                  <c:v>45230</c:v>
                </c:pt>
                <c:pt idx="36">
                  <c:v>45260</c:v>
                </c:pt>
                <c:pt idx="37">
                  <c:v>45291</c:v>
                </c:pt>
              </c:numCache>
            </c:numRef>
          </c:cat>
          <c:val>
            <c:numRef>
              <c:f>Rates!$AL$4:$AL$41</c:f>
              <c:numCache>
                <c:formatCode>0.00</c:formatCode>
                <c:ptCount val="38"/>
                <c:pt idx="0">
                  <c:v>0.861298196160448</c:v>
                </c:pt>
                <c:pt idx="1">
                  <c:v>0.85721904632037038</c:v>
                </c:pt>
                <c:pt idx="2">
                  <c:v>0.85267934433622394</c:v>
                </c:pt>
                <c:pt idx="3">
                  <c:v>0.84818846348846622</c:v>
                </c:pt>
                <c:pt idx="4">
                  <c:v>0.8442395081683004</c:v>
                </c:pt>
                <c:pt idx="5">
                  <c:v>0.84032977045500157</c:v>
                </c:pt>
                <c:pt idx="6">
                  <c:v>0.83597860789652623</c:v>
                </c:pt>
                <c:pt idx="7">
                  <c:v>0.83167423887239689</c:v>
                </c:pt>
                <c:pt idx="8">
                  <c:v>0.82788928853992949</c:v>
                </c:pt>
                <c:pt idx="9">
                  <c:v>0.82367700235093433</c:v>
                </c:pt>
                <c:pt idx="10">
                  <c:v>0.81951001618367192</c:v>
                </c:pt>
                <c:pt idx="11">
                  <c:v>0.81539127001440193</c:v>
                </c:pt>
                <c:pt idx="12">
                  <c:v>0.81131681791315302</c:v>
                </c:pt>
                <c:pt idx="13">
                  <c:v>0.80773403986861381</c:v>
                </c:pt>
                <c:pt idx="14">
                  <c:v>0.80374675201815238</c:v>
                </c:pt>
                <c:pt idx="15">
                  <c:v>0.79980234449874543</c:v>
                </c:pt>
                <c:pt idx="16">
                  <c:v>0.79633391823968724</c:v>
                </c:pt>
                <c:pt idx="17">
                  <c:v>0.79289993738870435</c:v>
                </c:pt>
                <c:pt idx="18">
                  <c:v>0.78907824652322911</c:v>
                </c:pt>
                <c:pt idx="19">
                  <c:v>0.78529765511574257</c:v>
                </c:pt>
                <c:pt idx="20">
                  <c:v>0.78156083052546832</c:v>
                </c:pt>
                <c:pt idx="21">
                  <c:v>0.77786419271917651</c:v>
                </c:pt>
                <c:pt idx="22">
                  <c:v>0.77461363719861076</c:v>
                </c:pt>
                <c:pt idx="23">
                  <c:v>0.77099608110853801</c:v>
                </c:pt>
                <c:pt idx="24">
                  <c:v>0.76741742915796252</c:v>
                </c:pt>
                <c:pt idx="25">
                  <c:v>0.76427062185259764</c:v>
                </c:pt>
                <c:pt idx="26">
                  <c:v>0.76076852756139568</c:v>
                </c:pt>
                <c:pt idx="27">
                  <c:v>0.75730409570346235</c:v>
                </c:pt>
                <c:pt idx="28">
                  <c:v>0.75425772527402446</c:v>
                </c:pt>
                <c:pt idx="29">
                  <c:v>0.75086740757912396</c:v>
                </c:pt>
                <c:pt idx="30">
                  <c:v>0.74751355024289057</c:v>
                </c:pt>
                <c:pt idx="31">
                  <c:v>0.74456441103836046</c:v>
                </c:pt>
                <c:pt idx="32">
                  <c:v>0.74128230235806836</c:v>
                </c:pt>
                <c:pt idx="33">
                  <c:v>0.73803549032854376</c:v>
                </c:pt>
                <c:pt idx="34">
                  <c:v>0.73518047901289707</c:v>
                </c:pt>
                <c:pt idx="35">
                  <c:v>0.73200312563228254</c:v>
                </c:pt>
                <c:pt idx="36">
                  <c:v>0.72885994233668505</c:v>
                </c:pt>
                <c:pt idx="37">
                  <c:v>0.72575314676827996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B-874E-B517-2E82AFA6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723680"/>
        <c:axId val="1455448768"/>
      </c:lineChart>
      <c:dateAx>
        <c:axId val="1409723680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55448768"/>
        <c:crosses val="autoZero"/>
        <c:auto val="1"/>
        <c:lblOffset val="100"/>
        <c:baseTimeUnit val="months"/>
      </c:dateAx>
      <c:valAx>
        <c:axId val="14554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097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Value of firm in function of the perpetual growth rate</a:t>
            </a:r>
          </a:p>
          <a:p>
            <a:pPr>
              <a:defRPr b="1"/>
            </a:pP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'Sensitivity Analysis'!$S$1</c:f>
              <c:strCache>
                <c:ptCount val="1"/>
                <c:pt idx="0">
                  <c:v>Value of firm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'Sensitivity Analysis'!$N$2:$N$47</c:f>
              <c:numCache>
                <c:formatCode>0.00%</c:formatCode>
                <c:ptCount val="46"/>
                <c:pt idx="0">
                  <c:v>1.6676405000000002E-2</c:v>
                </c:pt>
                <c:pt idx="1">
                  <c:v>1.6926405000000002E-2</c:v>
                </c:pt>
                <c:pt idx="2">
                  <c:v>1.7176405000000002E-2</c:v>
                </c:pt>
                <c:pt idx="3">
                  <c:v>1.7426405000000002E-2</c:v>
                </c:pt>
                <c:pt idx="4">
                  <c:v>1.7676405000000003E-2</c:v>
                </c:pt>
                <c:pt idx="5">
                  <c:v>1.7926405000000003E-2</c:v>
                </c:pt>
                <c:pt idx="6">
                  <c:v>1.8176405000000003E-2</c:v>
                </c:pt>
                <c:pt idx="7">
                  <c:v>1.8426405000000003E-2</c:v>
                </c:pt>
                <c:pt idx="8">
                  <c:v>1.8676405000000004E-2</c:v>
                </c:pt>
                <c:pt idx="9">
                  <c:v>1.8926405000000004E-2</c:v>
                </c:pt>
                <c:pt idx="10">
                  <c:v>1.9176405000000004E-2</c:v>
                </c:pt>
                <c:pt idx="11">
                  <c:v>1.9426405000000004E-2</c:v>
                </c:pt>
                <c:pt idx="12">
                  <c:v>1.9676405000000004E-2</c:v>
                </c:pt>
                <c:pt idx="13">
                  <c:v>1.9926405000000005E-2</c:v>
                </c:pt>
                <c:pt idx="14">
                  <c:v>2.0176405000000005E-2</c:v>
                </c:pt>
                <c:pt idx="15">
                  <c:v>2.0426405000000005E-2</c:v>
                </c:pt>
                <c:pt idx="16">
                  <c:v>2.0676405000000005E-2</c:v>
                </c:pt>
                <c:pt idx="17">
                  <c:v>2.0926405000000006E-2</c:v>
                </c:pt>
                <c:pt idx="18">
                  <c:v>2.1176405000000006E-2</c:v>
                </c:pt>
                <c:pt idx="19">
                  <c:v>2.1426405000000006E-2</c:v>
                </c:pt>
                <c:pt idx="20">
                  <c:v>2.1676405000000006E-2</c:v>
                </c:pt>
                <c:pt idx="21">
                  <c:v>2.1926405000000006E-2</c:v>
                </c:pt>
                <c:pt idx="22">
                  <c:v>2.2176405000000007E-2</c:v>
                </c:pt>
                <c:pt idx="23">
                  <c:v>2.2426405000000007E-2</c:v>
                </c:pt>
                <c:pt idx="24">
                  <c:v>2.2676405000000007E-2</c:v>
                </c:pt>
                <c:pt idx="25">
                  <c:v>2.2926405000000007E-2</c:v>
                </c:pt>
                <c:pt idx="26">
                  <c:v>2.3176405000000008E-2</c:v>
                </c:pt>
                <c:pt idx="27">
                  <c:v>2.3426405000000008E-2</c:v>
                </c:pt>
                <c:pt idx="28">
                  <c:v>2.3676405000000008E-2</c:v>
                </c:pt>
                <c:pt idx="29">
                  <c:v>2.3926405000000008E-2</c:v>
                </c:pt>
                <c:pt idx="30">
                  <c:v>2.4176405000000008E-2</c:v>
                </c:pt>
                <c:pt idx="31">
                  <c:v>2.4426405000000009E-2</c:v>
                </c:pt>
                <c:pt idx="32">
                  <c:v>2.4676405000000009E-2</c:v>
                </c:pt>
                <c:pt idx="33">
                  <c:v>2.4926405000000009E-2</c:v>
                </c:pt>
                <c:pt idx="34">
                  <c:v>2.5176405000000009E-2</c:v>
                </c:pt>
                <c:pt idx="35">
                  <c:v>2.542640500000001E-2</c:v>
                </c:pt>
                <c:pt idx="36">
                  <c:v>2.567640500000001E-2</c:v>
                </c:pt>
                <c:pt idx="37">
                  <c:v>2.592640500000001E-2</c:v>
                </c:pt>
                <c:pt idx="38">
                  <c:v>2.617640500000001E-2</c:v>
                </c:pt>
                <c:pt idx="39">
                  <c:v>2.642640500000001E-2</c:v>
                </c:pt>
                <c:pt idx="40">
                  <c:v>2.6676405000000011E-2</c:v>
                </c:pt>
                <c:pt idx="41">
                  <c:v>2.6926405000000011E-2</c:v>
                </c:pt>
                <c:pt idx="42">
                  <c:v>2.7176405000000011E-2</c:v>
                </c:pt>
                <c:pt idx="43">
                  <c:v>2.7426405000000011E-2</c:v>
                </c:pt>
                <c:pt idx="44">
                  <c:v>2.7676405000000012E-2</c:v>
                </c:pt>
                <c:pt idx="45">
                  <c:v>2.7926405000000012E-2</c:v>
                </c:pt>
              </c:numCache>
            </c:numRef>
          </c:cat>
          <c:val>
            <c:numRef>
              <c:f>'Sensitivity Analysis'!$S$2:$S$47</c:f>
              <c:numCache>
                <c:formatCode>0.00</c:formatCode>
                <c:ptCount val="46"/>
                <c:pt idx="0">
                  <c:v>3711.0022822750943</c:v>
                </c:pt>
                <c:pt idx="1">
                  <c:v>3737.0538864578075</c:v>
                </c:pt>
                <c:pt idx="2">
                  <c:v>3748.2636287125624</c:v>
                </c:pt>
                <c:pt idx="3">
                  <c:v>3759.5648043430365</c:v>
                </c:pt>
                <c:pt idx="4">
                  <c:v>3770.9585366083284</c:v>
                </c:pt>
                <c:pt idx="5">
                  <c:v>3782.4459672421744</c:v>
                </c:pt>
                <c:pt idx="6">
                  <c:v>3794.0282568343446</c:v>
                </c:pt>
                <c:pt idx="7">
                  <c:v>3805.7065852215164</c:v>
                </c:pt>
                <c:pt idx="8">
                  <c:v>3817.4821518879198</c:v>
                </c:pt>
                <c:pt idx="9">
                  <c:v>3829.3561763760345</c:v>
                </c:pt>
                <c:pt idx="10">
                  <c:v>3841.3298987076187</c:v>
                </c:pt>
                <c:pt idx="11">
                  <c:v>3853.4045798154029</c:v>
                </c:pt>
                <c:pt idx="12">
                  <c:v>3865.5815019857437</c:v>
                </c:pt>
                <c:pt idx="13">
                  <c:v>3877.8619693125665</c:v>
                </c:pt>
                <c:pt idx="14">
                  <c:v>3890.2473081629414</c:v>
                </c:pt>
                <c:pt idx="15">
                  <c:v>3902.7388676546389</c:v>
                </c:pt>
                <c:pt idx="16">
                  <c:v>3915.3380201460222</c:v>
                </c:pt>
                <c:pt idx="17">
                  <c:v>3928.0461617386554</c:v>
                </c:pt>
                <c:pt idx="18">
                  <c:v>3940.8647127930144</c:v>
                </c:pt>
                <c:pt idx="19">
                  <c:v>3953.7951184576841</c:v>
                </c:pt>
                <c:pt idx="20">
                  <c:v>3966.838849212495</c:v>
                </c:pt>
                <c:pt idx="21">
                  <c:v>3979.9974014259788</c:v>
                </c:pt>
                <c:pt idx="22">
                  <c:v>3993.2722979276195</c:v>
                </c:pt>
                <c:pt idx="23">
                  <c:v>4006.6650885953604</c:v>
                </c:pt>
                <c:pt idx="24">
                  <c:v>4020.1773509588156</c:v>
                </c:pt>
                <c:pt idx="25">
                  <c:v>4033.810690818711</c:v>
                </c:pt>
                <c:pt idx="26">
                  <c:v>4047.5667428830475</c:v>
                </c:pt>
                <c:pt idx="27">
                  <c:v>4061.4471714205192</c:v>
                </c:pt>
                <c:pt idx="28">
                  <c:v>4075.4536709317354</c:v>
                </c:pt>
                <c:pt idx="29">
                  <c:v>4089.587966838817</c:v>
                </c:pt>
                <c:pt idx="30">
                  <c:v>4103.8518161939555</c:v>
                </c:pt>
                <c:pt idx="31">
                  <c:v>4118.2470084075467</c:v>
                </c:pt>
                <c:pt idx="32">
                  <c:v>4132.775365996521</c:v>
                </c:pt>
                <c:pt idx="33">
                  <c:v>4147.4387453535592</c:v>
                </c:pt>
                <c:pt idx="34">
                  <c:v>4162.23903753783</c:v>
                </c:pt>
                <c:pt idx="35">
                  <c:v>4177.1781690879989</c:v>
                </c:pt>
                <c:pt idx="36">
                  <c:v>4192.2581028582235</c:v>
                </c:pt>
                <c:pt idx="37">
                  <c:v>4207.4808388778838</c:v>
                </c:pt>
                <c:pt idx="38">
                  <c:v>4222.8484152358724</c:v>
                </c:pt>
                <c:pt idx="39">
                  <c:v>4238.3629089902333</c:v>
                </c:pt>
                <c:pt idx="40">
                  <c:v>4254.0264371040194</c:v>
                </c:pt>
                <c:pt idx="41">
                  <c:v>4269.8411574082565</c:v>
                </c:pt>
                <c:pt idx="42">
                  <c:v>4285.809269592909</c:v>
                </c:pt>
                <c:pt idx="43">
                  <c:v>4301.9330162268452</c:v>
                </c:pt>
                <c:pt idx="44">
                  <c:v>4318.2146838077551</c:v>
                </c:pt>
                <c:pt idx="45">
                  <c:v>4334.6566038430728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9-294A-9367-D4ED0598C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177775"/>
        <c:axId val="1779915967"/>
      </c:lineChart>
      <c:catAx>
        <c:axId val="1780177775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79915967"/>
        <c:crosses val="autoZero"/>
        <c:auto val="1"/>
        <c:lblAlgn val="ctr"/>
        <c:lblOffset val="100"/>
        <c:noMultiLvlLbl val="0"/>
      </c:catAx>
      <c:valAx>
        <c:axId val="177991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8017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Terminal Value in function</a:t>
            </a:r>
            <a:r>
              <a:rPr lang="en-US" b="1" baseline="0"/>
              <a:t> of the unlevered cost of capital</a:t>
            </a:r>
          </a:p>
          <a:p>
            <a:pPr>
              <a:defRPr b="1"/>
            </a:pP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'Sensitivity Analysis'!$S$52</c:f>
              <c:strCache>
                <c:ptCount val="1"/>
                <c:pt idx="0">
                  <c:v>Value of the firm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'Sensitivity Analysis'!$N$53:$N$103</c:f>
              <c:numCache>
                <c:formatCode>0.00%</c:formatCode>
                <c:ptCount val="51"/>
                <c:pt idx="0">
                  <c:v>7.3726461825954645E-2</c:v>
                </c:pt>
                <c:pt idx="1">
                  <c:v>7.4226461825954645E-2</c:v>
                </c:pt>
                <c:pt idx="2">
                  <c:v>7.4726461825954646E-2</c:v>
                </c:pt>
                <c:pt idx="3">
                  <c:v>7.5226461825954646E-2</c:v>
                </c:pt>
                <c:pt idx="4">
                  <c:v>7.5726461825954647E-2</c:v>
                </c:pt>
                <c:pt idx="5">
                  <c:v>7.6226461825954647E-2</c:v>
                </c:pt>
                <c:pt idx="6">
                  <c:v>7.6726461825954648E-2</c:v>
                </c:pt>
                <c:pt idx="7">
                  <c:v>7.7226461825954648E-2</c:v>
                </c:pt>
                <c:pt idx="8">
                  <c:v>7.7726461825954649E-2</c:v>
                </c:pt>
                <c:pt idx="9">
                  <c:v>7.8226461825954649E-2</c:v>
                </c:pt>
                <c:pt idx="10">
                  <c:v>7.8726461825954649E-2</c:v>
                </c:pt>
                <c:pt idx="11">
                  <c:v>7.922646182595465E-2</c:v>
                </c:pt>
                <c:pt idx="12">
                  <c:v>7.972646182595465E-2</c:v>
                </c:pt>
                <c:pt idx="13">
                  <c:v>8.0226461825954651E-2</c:v>
                </c:pt>
                <c:pt idx="14">
                  <c:v>8.0726461825954651E-2</c:v>
                </c:pt>
                <c:pt idx="15">
                  <c:v>8.1226461825954652E-2</c:v>
                </c:pt>
                <c:pt idx="16">
                  <c:v>8.1726461825954652E-2</c:v>
                </c:pt>
                <c:pt idx="17">
                  <c:v>8.2226461825954653E-2</c:v>
                </c:pt>
                <c:pt idx="18">
                  <c:v>8.2726461825954653E-2</c:v>
                </c:pt>
                <c:pt idx="19">
                  <c:v>8.3226461825954653E-2</c:v>
                </c:pt>
                <c:pt idx="20">
                  <c:v>8.3726461825954654E-2</c:v>
                </c:pt>
                <c:pt idx="21">
                  <c:v>8.4226461825954654E-2</c:v>
                </c:pt>
                <c:pt idx="22">
                  <c:v>8.4726461825954655E-2</c:v>
                </c:pt>
                <c:pt idx="23">
                  <c:v>8.5226461825954655E-2</c:v>
                </c:pt>
                <c:pt idx="24">
                  <c:v>8.5726461825954656E-2</c:v>
                </c:pt>
                <c:pt idx="25">
                  <c:v>8.6226461825954656E-2</c:v>
                </c:pt>
                <c:pt idx="26">
                  <c:v>8.6726461825954657E-2</c:v>
                </c:pt>
                <c:pt idx="27">
                  <c:v>8.7226461825954657E-2</c:v>
                </c:pt>
                <c:pt idx="28">
                  <c:v>8.7726461825954657E-2</c:v>
                </c:pt>
                <c:pt idx="29">
                  <c:v>8.8226461825954658E-2</c:v>
                </c:pt>
                <c:pt idx="30">
                  <c:v>8.8726461825954658E-2</c:v>
                </c:pt>
                <c:pt idx="31">
                  <c:v>8.9226461825954659E-2</c:v>
                </c:pt>
                <c:pt idx="32">
                  <c:v>8.9726461825954659E-2</c:v>
                </c:pt>
                <c:pt idx="33">
                  <c:v>9.022646182595466E-2</c:v>
                </c:pt>
                <c:pt idx="34">
                  <c:v>9.072646182595466E-2</c:v>
                </c:pt>
                <c:pt idx="35">
                  <c:v>9.1226461825954661E-2</c:v>
                </c:pt>
                <c:pt idx="36">
                  <c:v>9.1726461825954661E-2</c:v>
                </c:pt>
                <c:pt idx="37">
                  <c:v>9.2226461825954661E-2</c:v>
                </c:pt>
                <c:pt idx="38">
                  <c:v>9.2726461825954662E-2</c:v>
                </c:pt>
                <c:pt idx="39">
                  <c:v>9.3226461825954662E-2</c:v>
                </c:pt>
                <c:pt idx="40">
                  <c:v>9.3726461825954663E-2</c:v>
                </c:pt>
                <c:pt idx="41">
                  <c:v>9.4226461825954663E-2</c:v>
                </c:pt>
                <c:pt idx="42">
                  <c:v>9.4726461825954664E-2</c:v>
                </c:pt>
                <c:pt idx="43">
                  <c:v>9.5226461825954664E-2</c:v>
                </c:pt>
                <c:pt idx="44">
                  <c:v>9.5726461825954665E-2</c:v>
                </c:pt>
                <c:pt idx="45">
                  <c:v>9.6226461825954665E-2</c:v>
                </c:pt>
                <c:pt idx="46">
                  <c:v>9.6726461825954665E-2</c:v>
                </c:pt>
                <c:pt idx="47">
                  <c:v>9.7226461825954666E-2</c:v>
                </c:pt>
                <c:pt idx="48">
                  <c:v>9.7726461825954666E-2</c:v>
                </c:pt>
                <c:pt idx="49">
                  <c:v>9.8226461825954667E-2</c:v>
                </c:pt>
                <c:pt idx="50">
                  <c:v>9.8726461825954667E-2</c:v>
                </c:pt>
              </c:numCache>
            </c:numRef>
          </c:cat>
          <c:val>
            <c:numRef>
              <c:f>'Sensitivity Analysis'!$S$53:$S$103</c:f>
              <c:numCache>
                <c:formatCode>0.00</c:formatCode>
                <c:ptCount val="51"/>
                <c:pt idx="0">
                  <c:v>4063.9535306767775</c:v>
                </c:pt>
                <c:pt idx="1">
                  <c:v>4032.5092810766319</c:v>
                </c:pt>
                <c:pt idx="2">
                  <c:v>4001.6157701657585</c:v>
                </c:pt>
                <c:pt idx="3">
                  <c:v>3971.2588665845651</c:v>
                </c:pt>
                <c:pt idx="4">
                  <c:v>3941.4249176596559</c:v>
                </c:pt>
                <c:pt idx="5">
                  <c:v>3912.1007293076545</c:v>
                </c:pt>
                <c:pt idx="6">
                  <c:v>3883.273546943019</c:v>
                </c:pt>
                <c:pt idx="7">
                  <c:v>3854.9310373317676</c:v>
                </c:pt>
                <c:pt idx="8">
                  <c:v>3827.0612713369337</c:v>
                </c:pt>
                <c:pt idx="9">
                  <c:v>3799.652707505018</c:v>
                </c:pt>
                <c:pt idx="10">
                  <c:v>3772.6941764460062</c:v>
                </c:pt>
                <c:pt idx="11">
                  <c:v>3746.1748659625355</c:v>
                </c:pt>
                <c:pt idx="12">
                  <c:v>3720.0843068866461</c:v>
                </c:pt>
                <c:pt idx="13">
                  <c:v>3694.4123595851333</c:v>
                </c:pt>
                <c:pt idx="14">
                  <c:v>3669.1492010969723</c:v>
                </c:pt>
                <c:pt idx="15">
                  <c:v>3644.2853128685229</c:v>
                </c:pt>
                <c:pt idx="16">
                  <c:v>3619.8114690543835</c:v>
                </c:pt>
                <c:pt idx="17">
                  <c:v>3595.7187253536686</c:v>
                </c:pt>
                <c:pt idx="18">
                  <c:v>3571.9984083533527</c:v>
                </c:pt>
                <c:pt idx="19">
                  <c:v>3548.6421053519816</c:v>
                </c:pt>
                <c:pt idx="20">
                  <c:v>3525.64165463873</c:v>
                </c:pt>
                <c:pt idx="21">
                  <c:v>3502.9891362041526</c:v>
                </c:pt>
                <c:pt idx="22">
                  <c:v>3480.6768628604841</c:v>
                </c:pt>
                <c:pt idx="23">
                  <c:v>3458.6973717505161</c:v>
                </c:pt>
                <c:pt idx="24">
                  <c:v>3437.043416225406</c:v>
                </c:pt>
                <c:pt idx="25">
                  <c:v>3415.7079580728314</c:v>
                </c:pt>
                <c:pt idx="26">
                  <c:v>3394.6841600779844</c:v>
                </c:pt>
                <c:pt idx="27">
                  <c:v>3373.9653789008862</c:v>
                </c:pt>
                <c:pt idx="28">
                  <c:v>3353.5451582544611</c:v>
                </c:pt>
                <c:pt idx="29">
                  <c:v>3333.4172223686382</c:v>
                </c:pt>
                <c:pt idx="30">
                  <c:v>3313.5754697266057</c:v>
                </c:pt>
                <c:pt idx="31">
                  <c:v>3294.0139670600502</c:v>
                </c:pt>
                <c:pt idx="32">
                  <c:v>3274.7269435910293</c:v>
                </c:pt>
                <c:pt idx="33">
                  <c:v>3255.7087855086893</c:v>
                </c:pt>
                <c:pt idx="34">
                  <c:v>3236.9540306697618</c:v>
                </c:pt>
                <c:pt idx="35">
                  <c:v>3218.4573635123079</c:v>
                </c:pt>
                <c:pt idx="36">
                  <c:v>3200.2136101727856</c:v>
                </c:pt>
                <c:pt idx="37">
                  <c:v>3182.2177337970161</c:v>
                </c:pt>
                <c:pt idx="38">
                  <c:v>3164.4648300361159</c:v>
                </c:pt>
                <c:pt idx="39">
                  <c:v>3146.950122718943</c:v>
                </c:pt>
                <c:pt idx="40">
                  <c:v>3129.6689596930455</c:v>
                </c:pt>
                <c:pt idx="41">
                  <c:v>3112.6168088264967</c:v>
                </c:pt>
                <c:pt idx="42">
                  <c:v>3095.7892541634201</c:v>
                </c:pt>
                <c:pt idx="43">
                  <c:v>3079.1819922263221</c:v>
                </c:pt>
                <c:pt idx="44">
                  <c:v>3062.7908284587766</c:v>
                </c:pt>
                <c:pt idx="45">
                  <c:v>3046.6116738022447</c:v>
                </c:pt>
                <c:pt idx="46">
                  <c:v>3030.6405414012061</c:v>
                </c:pt>
                <c:pt idx="47">
                  <c:v>3014.8735434309783</c:v>
                </c:pt>
                <c:pt idx="48">
                  <c:v>2999.3068880429746</c:v>
                </c:pt>
                <c:pt idx="49">
                  <c:v>2983.9368764223218</c:v>
                </c:pt>
                <c:pt idx="50">
                  <c:v>2968.7598999530801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7-BD43-8DFA-0221AFE37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753631"/>
        <c:axId val="1773993887"/>
      </c:lineChart>
      <c:catAx>
        <c:axId val="2118753631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73993887"/>
        <c:crosses val="autoZero"/>
        <c:auto val="1"/>
        <c:lblAlgn val="ctr"/>
        <c:lblOffset val="100"/>
        <c:noMultiLvlLbl val="0"/>
      </c:catAx>
      <c:valAx>
        <c:axId val="17739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1875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Value of firm in function</a:t>
            </a:r>
            <a:r>
              <a:rPr lang="en-US" sz="2000" b="1" baseline="0"/>
              <a:t> of corporate taxes</a:t>
            </a:r>
          </a:p>
          <a:p>
            <a:pPr>
              <a:defRPr sz="2000" b="1"/>
            </a:pP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'Sensitivity Analysis'!$J$73</c:f>
              <c:strCache>
                <c:ptCount val="1"/>
                <c:pt idx="0">
                  <c:v>Value of firm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'Sensitivity Analysis'!$B$74:$B$274</c:f>
              <c:numCache>
                <c:formatCode>0.000%</c:formatCode>
                <c:ptCount val="201"/>
                <c:pt idx="0" formatCode="0%">
                  <c:v>0.1</c:v>
                </c:pt>
                <c:pt idx="1">
                  <c:v>0.10100000000000001</c:v>
                </c:pt>
                <c:pt idx="2">
                  <c:v>0.10200000000000001</c:v>
                </c:pt>
                <c:pt idx="3">
                  <c:v>0.10300000000000001</c:v>
                </c:pt>
                <c:pt idx="4">
                  <c:v>0.10400000000000001</c:v>
                </c:pt>
                <c:pt idx="5">
                  <c:v>0.10500000000000001</c:v>
                </c:pt>
                <c:pt idx="6">
                  <c:v>0.10600000000000001</c:v>
                </c:pt>
                <c:pt idx="7">
                  <c:v>0.10700000000000001</c:v>
                </c:pt>
                <c:pt idx="8">
                  <c:v>0.10800000000000001</c:v>
                </c:pt>
                <c:pt idx="9">
                  <c:v>0.10900000000000001</c:v>
                </c:pt>
                <c:pt idx="10">
                  <c:v>0.11000000000000001</c:v>
                </c:pt>
                <c:pt idx="11">
                  <c:v>0.11100000000000002</c:v>
                </c:pt>
                <c:pt idx="12">
                  <c:v>0.11200000000000002</c:v>
                </c:pt>
                <c:pt idx="13">
                  <c:v>0.11300000000000002</c:v>
                </c:pt>
                <c:pt idx="14">
                  <c:v>0.11400000000000002</c:v>
                </c:pt>
                <c:pt idx="15">
                  <c:v>0.11500000000000002</c:v>
                </c:pt>
                <c:pt idx="16">
                  <c:v>0.11600000000000002</c:v>
                </c:pt>
                <c:pt idx="17">
                  <c:v>0.11700000000000002</c:v>
                </c:pt>
                <c:pt idx="18">
                  <c:v>0.11800000000000002</c:v>
                </c:pt>
                <c:pt idx="19">
                  <c:v>0.11900000000000002</c:v>
                </c:pt>
                <c:pt idx="20">
                  <c:v>0.12000000000000002</c:v>
                </c:pt>
                <c:pt idx="21">
                  <c:v>0.12100000000000002</c:v>
                </c:pt>
                <c:pt idx="22">
                  <c:v>0.12200000000000003</c:v>
                </c:pt>
                <c:pt idx="23">
                  <c:v>0.12300000000000003</c:v>
                </c:pt>
                <c:pt idx="24">
                  <c:v>0.12400000000000003</c:v>
                </c:pt>
                <c:pt idx="25">
                  <c:v>0.12500000000000003</c:v>
                </c:pt>
                <c:pt idx="26">
                  <c:v>0.12600000000000003</c:v>
                </c:pt>
                <c:pt idx="27">
                  <c:v>0.12700000000000003</c:v>
                </c:pt>
                <c:pt idx="28">
                  <c:v>0.12800000000000003</c:v>
                </c:pt>
                <c:pt idx="29">
                  <c:v>0.12900000000000003</c:v>
                </c:pt>
                <c:pt idx="30">
                  <c:v>0.13000000000000003</c:v>
                </c:pt>
                <c:pt idx="31">
                  <c:v>0.13100000000000003</c:v>
                </c:pt>
                <c:pt idx="32">
                  <c:v>0.13200000000000003</c:v>
                </c:pt>
                <c:pt idx="33">
                  <c:v>0.13300000000000003</c:v>
                </c:pt>
                <c:pt idx="34">
                  <c:v>0.13400000000000004</c:v>
                </c:pt>
                <c:pt idx="35">
                  <c:v>0.13500000000000004</c:v>
                </c:pt>
                <c:pt idx="36">
                  <c:v>0.13600000000000004</c:v>
                </c:pt>
                <c:pt idx="37">
                  <c:v>0.13700000000000004</c:v>
                </c:pt>
                <c:pt idx="38">
                  <c:v>0.13800000000000004</c:v>
                </c:pt>
                <c:pt idx="39">
                  <c:v>0.13900000000000004</c:v>
                </c:pt>
                <c:pt idx="40">
                  <c:v>0.14000000000000004</c:v>
                </c:pt>
                <c:pt idx="41">
                  <c:v>0.14100000000000004</c:v>
                </c:pt>
                <c:pt idx="42">
                  <c:v>0.14200000000000004</c:v>
                </c:pt>
                <c:pt idx="43">
                  <c:v>0.14300000000000004</c:v>
                </c:pt>
                <c:pt idx="44">
                  <c:v>0.14400000000000004</c:v>
                </c:pt>
                <c:pt idx="45">
                  <c:v>0.14500000000000005</c:v>
                </c:pt>
                <c:pt idx="46">
                  <c:v>0.14600000000000005</c:v>
                </c:pt>
                <c:pt idx="47">
                  <c:v>0.14700000000000005</c:v>
                </c:pt>
                <c:pt idx="48">
                  <c:v>0.14800000000000005</c:v>
                </c:pt>
                <c:pt idx="49">
                  <c:v>0.14900000000000005</c:v>
                </c:pt>
                <c:pt idx="50">
                  <c:v>0.15000000000000005</c:v>
                </c:pt>
                <c:pt idx="51">
                  <c:v>0.15100000000000005</c:v>
                </c:pt>
                <c:pt idx="52">
                  <c:v>0.15200000000000005</c:v>
                </c:pt>
                <c:pt idx="53">
                  <c:v>0.15300000000000005</c:v>
                </c:pt>
                <c:pt idx="54">
                  <c:v>0.15400000000000005</c:v>
                </c:pt>
                <c:pt idx="55">
                  <c:v>0.15500000000000005</c:v>
                </c:pt>
                <c:pt idx="56">
                  <c:v>0.15600000000000006</c:v>
                </c:pt>
                <c:pt idx="57">
                  <c:v>0.15700000000000006</c:v>
                </c:pt>
                <c:pt idx="58">
                  <c:v>0.15800000000000006</c:v>
                </c:pt>
                <c:pt idx="59">
                  <c:v>0.15900000000000006</c:v>
                </c:pt>
                <c:pt idx="60">
                  <c:v>0.16000000000000006</c:v>
                </c:pt>
                <c:pt idx="61">
                  <c:v>0.16100000000000006</c:v>
                </c:pt>
                <c:pt idx="62">
                  <c:v>0.16200000000000006</c:v>
                </c:pt>
                <c:pt idx="63">
                  <c:v>0.16300000000000006</c:v>
                </c:pt>
                <c:pt idx="64">
                  <c:v>0.16400000000000006</c:v>
                </c:pt>
                <c:pt idx="65">
                  <c:v>0.16500000000000006</c:v>
                </c:pt>
                <c:pt idx="66">
                  <c:v>0.16600000000000006</c:v>
                </c:pt>
                <c:pt idx="67">
                  <c:v>0.16700000000000007</c:v>
                </c:pt>
                <c:pt idx="68">
                  <c:v>0.16800000000000007</c:v>
                </c:pt>
                <c:pt idx="69">
                  <c:v>0.16900000000000007</c:v>
                </c:pt>
                <c:pt idx="70">
                  <c:v>0.17000000000000007</c:v>
                </c:pt>
                <c:pt idx="71">
                  <c:v>0.17100000000000007</c:v>
                </c:pt>
                <c:pt idx="72">
                  <c:v>0.17200000000000007</c:v>
                </c:pt>
                <c:pt idx="73">
                  <c:v>0.17300000000000007</c:v>
                </c:pt>
                <c:pt idx="74">
                  <c:v>0.17400000000000007</c:v>
                </c:pt>
                <c:pt idx="75">
                  <c:v>0.17500000000000007</c:v>
                </c:pt>
                <c:pt idx="76">
                  <c:v>0.17600000000000007</c:v>
                </c:pt>
                <c:pt idx="77">
                  <c:v>0.17700000000000007</c:v>
                </c:pt>
                <c:pt idx="78">
                  <c:v>0.17800000000000007</c:v>
                </c:pt>
                <c:pt idx="79">
                  <c:v>0.17900000000000008</c:v>
                </c:pt>
                <c:pt idx="80">
                  <c:v>0.18000000000000008</c:v>
                </c:pt>
                <c:pt idx="81">
                  <c:v>0.18100000000000008</c:v>
                </c:pt>
                <c:pt idx="82">
                  <c:v>0.18200000000000008</c:v>
                </c:pt>
                <c:pt idx="83">
                  <c:v>0.18300000000000008</c:v>
                </c:pt>
                <c:pt idx="84">
                  <c:v>0.18400000000000008</c:v>
                </c:pt>
                <c:pt idx="85">
                  <c:v>0.18500000000000008</c:v>
                </c:pt>
                <c:pt idx="86">
                  <c:v>0.18600000000000008</c:v>
                </c:pt>
                <c:pt idx="87">
                  <c:v>0.18700000000000008</c:v>
                </c:pt>
                <c:pt idx="88">
                  <c:v>0.18800000000000008</c:v>
                </c:pt>
                <c:pt idx="89">
                  <c:v>0.18900000000000008</c:v>
                </c:pt>
                <c:pt idx="90">
                  <c:v>0.19000000000000009</c:v>
                </c:pt>
                <c:pt idx="91">
                  <c:v>0.19100000000000009</c:v>
                </c:pt>
                <c:pt idx="92">
                  <c:v>0.19200000000000009</c:v>
                </c:pt>
                <c:pt idx="93">
                  <c:v>0.19300000000000009</c:v>
                </c:pt>
                <c:pt idx="94">
                  <c:v>0.19400000000000009</c:v>
                </c:pt>
                <c:pt idx="95">
                  <c:v>0.19500000000000009</c:v>
                </c:pt>
                <c:pt idx="96">
                  <c:v>0.19600000000000009</c:v>
                </c:pt>
                <c:pt idx="97">
                  <c:v>0.19700000000000009</c:v>
                </c:pt>
                <c:pt idx="98">
                  <c:v>0.19800000000000009</c:v>
                </c:pt>
                <c:pt idx="99">
                  <c:v>0.19900000000000009</c:v>
                </c:pt>
                <c:pt idx="100">
                  <c:v>0.20000000000000009</c:v>
                </c:pt>
                <c:pt idx="101">
                  <c:v>0.2010000000000001</c:v>
                </c:pt>
                <c:pt idx="102">
                  <c:v>0.2020000000000001</c:v>
                </c:pt>
                <c:pt idx="103">
                  <c:v>0.2030000000000001</c:v>
                </c:pt>
                <c:pt idx="104">
                  <c:v>0.2040000000000001</c:v>
                </c:pt>
                <c:pt idx="105">
                  <c:v>0.2050000000000001</c:v>
                </c:pt>
                <c:pt idx="106">
                  <c:v>0.2060000000000001</c:v>
                </c:pt>
                <c:pt idx="107">
                  <c:v>0.2070000000000001</c:v>
                </c:pt>
                <c:pt idx="108">
                  <c:v>0.2080000000000001</c:v>
                </c:pt>
                <c:pt idx="109">
                  <c:v>0.2090000000000001</c:v>
                </c:pt>
                <c:pt idx="110">
                  <c:v>0.2100000000000001</c:v>
                </c:pt>
                <c:pt idx="111">
                  <c:v>0.2110000000000001</c:v>
                </c:pt>
                <c:pt idx="112">
                  <c:v>0.21200000000000011</c:v>
                </c:pt>
                <c:pt idx="113">
                  <c:v>0.21300000000000011</c:v>
                </c:pt>
                <c:pt idx="114">
                  <c:v>0.21400000000000011</c:v>
                </c:pt>
                <c:pt idx="115">
                  <c:v>0.21500000000000011</c:v>
                </c:pt>
                <c:pt idx="116">
                  <c:v>0.21600000000000011</c:v>
                </c:pt>
                <c:pt idx="117">
                  <c:v>0.21700000000000011</c:v>
                </c:pt>
                <c:pt idx="118">
                  <c:v>0.21800000000000011</c:v>
                </c:pt>
                <c:pt idx="119">
                  <c:v>0.21900000000000011</c:v>
                </c:pt>
                <c:pt idx="120">
                  <c:v>0.22000000000000011</c:v>
                </c:pt>
                <c:pt idx="121">
                  <c:v>0.22100000000000011</c:v>
                </c:pt>
                <c:pt idx="122">
                  <c:v>0.22200000000000011</c:v>
                </c:pt>
                <c:pt idx="123">
                  <c:v>0.22300000000000011</c:v>
                </c:pt>
                <c:pt idx="124">
                  <c:v>0.22400000000000012</c:v>
                </c:pt>
                <c:pt idx="125">
                  <c:v>0.22500000000000012</c:v>
                </c:pt>
                <c:pt idx="126">
                  <c:v>0.22600000000000012</c:v>
                </c:pt>
                <c:pt idx="127">
                  <c:v>0.22700000000000012</c:v>
                </c:pt>
                <c:pt idx="128">
                  <c:v>0.22800000000000012</c:v>
                </c:pt>
                <c:pt idx="129">
                  <c:v>0.22900000000000012</c:v>
                </c:pt>
                <c:pt idx="130">
                  <c:v>0.23000000000000012</c:v>
                </c:pt>
                <c:pt idx="131">
                  <c:v>0.23100000000000012</c:v>
                </c:pt>
                <c:pt idx="132">
                  <c:v>0.23200000000000012</c:v>
                </c:pt>
                <c:pt idx="133">
                  <c:v>0.23300000000000012</c:v>
                </c:pt>
                <c:pt idx="134">
                  <c:v>0.23400000000000012</c:v>
                </c:pt>
                <c:pt idx="135">
                  <c:v>0.23500000000000013</c:v>
                </c:pt>
                <c:pt idx="136">
                  <c:v>0.23600000000000013</c:v>
                </c:pt>
                <c:pt idx="137">
                  <c:v>0.23700000000000013</c:v>
                </c:pt>
                <c:pt idx="138">
                  <c:v>0.23800000000000013</c:v>
                </c:pt>
                <c:pt idx="139">
                  <c:v>0.23900000000000013</c:v>
                </c:pt>
                <c:pt idx="140">
                  <c:v>0.24000000000000013</c:v>
                </c:pt>
                <c:pt idx="141">
                  <c:v>0.24100000000000013</c:v>
                </c:pt>
                <c:pt idx="142">
                  <c:v>0.24200000000000013</c:v>
                </c:pt>
                <c:pt idx="143">
                  <c:v>0.24300000000000013</c:v>
                </c:pt>
                <c:pt idx="144">
                  <c:v>0.24400000000000013</c:v>
                </c:pt>
                <c:pt idx="145">
                  <c:v>0.24500000000000013</c:v>
                </c:pt>
                <c:pt idx="146">
                  <c:v>0.24600000000000014</c:v>
                </c:pt>
                <c:pt idx="147">
                  <c:v>0.24700000000000014</c:v>
                </c:pt>
                <c:pt idx="148">
                  <c:v>0.24800000000000014</c:v>
                </c:pt>
                <c:pt idx="149">
                  <c:v>0.24900000000000014</c:v>
                </c:pt>
                <c:pt idx="150">
                  <c:v>0.25000000000000011</c:v>
                </c:pt>
                <c:pt idx="151">
                  <c:v>0.25100000000000011</c:v>
                </c:pt>
                <c:pt idx="152">
                  <c:v>0.25200000000000011</c:v>
                </c:pt>
                <c:pt idx="153">
                  <c:v>0.25300000000000011</c:v>
                </c:pt>
                <c:pt idx="154">
                  <c:v>0.25400000000000011</c:v>
                </c:pt>
                <c:pt idx="155">
                  <c:v>0.25500000000000012</c:v>
                </c:pt>
                <c:pt idx="156">
                  <c:v>0.25600000000000012</c:v>
                </c:pt>
                <c:pt idx="157">
                  <c:v>0.25700000000000012</c:v>
                </c:pt>
                <c:pt idx="158">
                  <c:v>0.25800000000000012</c:v>
                </c:pt>
                <c:pt idx="159">
                  <c:v>0.25900000000000012</c:v>
                </c:pt>
                <c:pt idx="160">
                  <c:v>0.26000000000000012</c:v>
                </c:pt>
                <c:pt idx="161">
                  <c:v>0.26100000000000012</c:v>
                </c:pt>
                <c:pt idx="162">
                  <c:v>0.26200000000000012</c:v>
                </c:pt>
                <c:pt idx="163">
                  <c:v>0.26300000000000012</c:v>
                </c:pt>
                <c:pt idx="164">
                  <c:v>0.26400000000000012</c:v>
                </c:pt>
                <c:pt idx="165">
                  <c:v>0.26500000000000012</c:v>
                </c:pt>
                <c:pt idx="166">
                  <c:v>0.26600000000000013</c:v>
                </c:pt>
                <c:pt idx="167">
                  <c:v>0.26700000000000013</c:v>
                </c:pt>
                <c:pt idx="168">
                  <c:v>0.26800000000000013</c:v>
                </c:pt>
                <c:pt idx="169">
                  <c:v>0.26900000000000013</c:v>
                </c:pt>
                <c:pt idx="170">
                  <c:v>0.27000000000000013</c:v>
                </c:pt>
                <c:pt idx="171">
                  <c:v>0.27100000000000013</c:v>
                </c:pt>
                <c:pt idx="172">
                  <c:v>0.27200000000000013</c:v>
                </c:pt>
                <c:pt idx="173">
                  <c:v>0.27300000000000013</c:v>
                </c:pt>
                <c:pt idx="174">
                  <c:v>0.27400000000000013</c:v>
                </c:pt>
                <c:pt idx="175">
                  <c:v>0.27500000000000013</c:v>
                </c:pt>
                <c:pt idx="176">
                  <c:v>0.27600000000000013</c:v>
                </c:pt>
                <c:pt idx="177">
                  <c:v>0.27700000000000014</c:v>
                </c:pt>
                <c:pt idx="178">
                  <c:v>0.27800000000000014</c:v>
                </c:pt>
                <c:pt idx="179">
                  <c:v>0.27900000000000014</c:v>
                </c:pt>
                <c:pt idx="180">
                  <c:v>0.28000000000000014</c:v>
                </c:pt>
                <c:pt idx="181">
                  <c:v>0.28100000000000014</c:v>
                </c:pt>
                <c:pt idx="182">
                  <c:v>0.28200000000000014</c:v>
                </c:pt>
                <c:pt idx="183">
                  <c:v>0.28300000000000014</c:v>
                </c:pt>
                <c:pt idx="184">
                  <c:v>0.28400000000000014</c:v>
                </c:pt>
                <c:pt idx="185">
                  <c:v>0.28500000000000014</c:v>
                </c:pt>
                <c:pt idx="186">
                  <c:v>0.28600000000000014</c:v>
                </c:pt>
                <c:pt idx="187">
                  <c:v>0.28700000000000014</c:v>
                </c:pt>
                <c:pt idx="188">
                  <c:v>0.28800000000000014</c:v>
                </c:pt>
                <c:pt idx="189">
                  <c:v>0.28900000000000015</c:v>
                </c:pt>
                <c:pt idx="190">
                  <c:v>0.29000000000000015</c:v>
                </c:pt>
                <c:pt idx="191">
                  <c:v>0.29100000000000015</c:v>
                </c:pt>
                <c:pt idx="192">
                  <c:v>0.29200000000000015</c:v>
                </c:pt>
                <c:pt idx="193">
                  <c:v>0.29300000000000015</c:v>
                </c:pt>
                <c:pt idx="194">
                  <c:v>0.29400000000000015</c:v>
                </c:pt>
                <c:pt idx="195">
                  <c:v>0.29500000000000015</c:v>
                </c:pt>
                <c:pt idx="196">
                  <c:v>0.29600000000000015</c:v>
                </c:pt>
                <c:pt idx="197">
                  <c:v>0.29700000000000015</c:v>
                </c:pt>
                <c:pt idx="198">
                  <c:v>0.29800000000000015</c:v>
                </c:pt>
                <c:pt idx="199">
                  <c:v>0.29900000000000015</c:v>
                </c:pt>
                <c:pt idx="200">
                  <c:v>0.30000000000000016</c:v>
                </c:pt>
              </c:numCache>
            </c:numRef>
          </c:cat>
          <c:val>
            <c:numRef>
              <c:f>'Sensitivity Analysis'!$J$74:$J$274</c:f>
              <c:numCache>
                <c:formatCode>0.00</c:formatCode>
                <c:ptCount val="201"/>
                <c:pt idx="0">
                  <c:v>3802.8581566695998</c:v>
                </c:pt>
                <c:pt idx="1">
                  <c:v>3801.6202011168007</c:v>
                </c:pt>
                <c:pt idx="2">
                  <c:v>3800.3822455640011</c:v>
                </c:pt>
                <c:pt idx="3">
                  <c:v>3799.144290011202</c:v>
                </c:pt>
                <c:pt idx="4">
                  <c:v>3797.9063344584019</c:v>
                </c:pt>
                <c:pt idx="5">
                  <c:v>3796.6683789056033</c:v>
                </c:pt>
                <c:pt idx="6">
                  <c:v>3795.4304233528032</c:v>
                </c:pt>
                <c:pt idx="7">
                  <c:v>3794.1924678000046</c:v>
                </c:pt>
                <c:pt idx="8">
                  <c:v>3792.9545122472045</c:v>
                </c:pt>
                <c:pt idx="9">
                  <c:v>3791.716556694405</c:v>
                </c:pt>
                <c:pt idx="10">
                  <c:v>3790.4786011416054</c:v>
                </c:pt>
                <c:pt idx="11">
                  <c:v>3789.2406455888063</c:v>
                </c:pt>
                <c:pt idx="12">
                  <c:v>3788.0026900360062</c:v>
                </c:pt>
                <c:pt idx="13">
                  <c:v>3786.7647344832076</c:v>
                </c:pt>
                <c:pt idx="14">
                  <c:v>3785.5267789304075</c:v>
                </c:pt>
                <c:pt idx="15">
                  <c:v>3784.2888233776084</c:v>
                </c:pt>
                <c:pt idx="16">
                  <c:v>3783.0508678248088</c:v>
                </c:pt>
                <c:pt idx="17">
                  <c:v>3781.8129122720097</c:v>
                </c:pt>
                <c:pt idx="18">
                  <c:v>3780.5749567192101</c:v>
                </c:pt>
                <c:pt idx="19">
                  <c:v>3779.337001166411</c:v>
                </c:pt>
                <c:pt idx="20">
                  <c:v>3778.0990456136115</c:v>
                </c:pt>
                <c:pt idx="21">
                  <c:v>3776.8610900608119</c:v>
                </c:pt>
                <c:pt idx="22">
                  <c:v>3775.6231345080123</c:v>
                </c:pt>
                <c:pt idx="23">
                  <c:v>3774.3851789552132</c:v>
                </c:pt>
                <c:pt idx="24">
                  <c:v>3773.1472234024131</c:v>
                </c:pt>
                <c:pt idx="25">
                  <c:v>3771.909267849614</c:v>
                </c:pt>
                <c:pt idx="26">
                  <c:v>3770.671312296814</c:v>
                </c:pt>
                <c:pt idx="27">
                  <c:v>3769.4333567440153</c:v>
                </c:pt>
                <c:pt idx="28">
                  <c:v>3768.1954011912153</c:v>
                </c:pt>
                <c:pt idx="29">
                  <c:v>3766.9574456384166</c:v>
                </c:pt>
                <c:pt idx="30">
                  <c:v>3765.7194900856166</c:v>
                </c:pt>
                <c:pt idx="31">
                  <c:v>3764.4815345328175</c:v>
                </c:pt>
                <c:pt idx="32">
                  <c:v>3763.2435789800179</c:v>
                </c:pt>
                <c:pt idx="33">
                  <c:v>3762.0056234272188</c:v>
                </c:pt>
                <c:pt idx="34">
                  <c:v>3760.7676678744192</c:v>
                </c:pt>
                <c:pt idx="35">
                  <c:v>3759.5297123216196</c:v>
                </c:pt>
                <c:pt idx="36">
                  <c:v>3758.2917567688196</c:v>
                </c:pt>
                <c:pt idx="37">
                  <c:v>3757.0538012160209</c:v>
                </c:pt>
                <c:pt idx="38">
                  <c:v>3755.8158456632209</c:v>
                </c:pt>
                <c:pt idx="39">
                  <c:v>3754.5778901104222</c:v>
                </c:pt>
                <c:pt idx="40">
                  <c:v>3753.3399345576222</c:v>
                </c:pt>
                <c:pt idx="41">
                  <c:v>3752.1019790048231</c:v>
                </c:pt>
                <c:pt idx="42">
                  <c:v>3750.8640234520235</c:v>
                </c:pt>
                <c:pt idx="43">
                  <c:v>3749.6260678992244</c:v>
                </c:pt>
                <c:pt idx="44">
                  <c:v>3748.3881123464244</c:v>
                </c:pt>
                <c:pt idx="45">
                  <c:v>3747.1501567936257</c:v>
                </c:pt>
                <c:pt idx="46">
                  <c:v>3745.9122012408257</c:v>
                </c:pt>
                <c:pt idx="47">
                  <c:v>3744.6742456880261</c:v>
                </c:pt>
                <c:pt idx="48">
                  <c:v>3743.4362901352265</c:v>
                </c:pt>
                <c:pt idx="49">
                  <c:v>3742.1983345824274</c:v>
                </c:pt>
                <c:pt idx="50">
                  <c:v>3740.9603790296283</c:v>
                </c:pt>
                <c:pt idx="51">
                  <c:v>3739.7224234768287</c:v>
                </c:pt>
                <c:pt idx="52">
                  <c:v>3738.4844679240291</c:v>
                </c:pt>
                <c:pt idx="53">
                  <c:v>3737.24651237123</c:v>
                </c:pt>
                <c:pt idx="54">
                  <c:v>3736.0085568184304</c:v>
                </c:pt>
                <c:pt idx="55">
                  <c:v>3734.7706012656308</c:v>
                </c:pt>
                <c:pt idx="56">
                  <c:v>3733.5326457128317</c:v>
                </c:pt>
                <c:pt idx="57">
                  <c:v>3732.2946901600321</c:v>
                </c:pt>
                <c:pt idx="58">
                  <c:v>3731.056734607233</c:v>
                </c:pt>
                <c:pt idx="59">
                  <c:v>3729.818779054433</c:v>
                </c:pt>
                <c:pt idx="60">
                  <c:v>3728.5808235016334</c:v>
                </c:pt>
                <c:pt idx="61">
                  <c:v>3727.3428679488343</c:v>
                </c:pt>
                <c:pt idx="62">
                  <c:v>3726.1049123960347</c:v>
                </c:pt>
                <c:pt idx="63">
                  <c:v>3724.8669568432351</c:v>
                </c:pt>
                <c:pt idx="64">
                  <c:v>3723.629001290436</c:v>
                </c:pt>
                <c:pt idx="65">
                  <c:v>3722.3910457376364</c:v>
                </c:pt>
                <c:pt idx="66">
                  <c:v>3721.1530901848373</c:v>
                </c:pt>
                <c:pt idx="67">
                  <c:v>3719.9151346320377</c:v>
                </c:pt>
                <c:pt idx="68">
                  <c:v>3718.6771790792382</c:v>
                </c:pt>
                <c:pt idx="69">
                  <c:v>3717.439223526439</c:v>
                </c:pt>
                <c:pt idx="70">
                  <c:v>3716.2012679736395</c:v>
                </c:pt>
                <c:pt idx="71">
                  <c:v>3714.9633124208399</c:v>
                </c:pt>
                <c:pt idx="72">
                  <c:v>3713.7253568680403</c:v>
                </c:pt>
                <c:pt idx="73">
                  <c:v>3712.4874013152407</c:v>
                </c:pt>
                <c:pt idx="74">
                  <c:v>3711.2494457624416</c:v>
                </c:pt>
                <c:pt idx="75">
                  <c:v>3710.011490209642</c:v>
                </c:pt>
                <c:pt idx="76">
                  <c:v>3708.7735346568425</c:v>
                </c:pt>
                <c:pt idx="77">
                  <c:v>3707.5355791040433</c:v>
                </c:pt>
                <c:pt idx="78">
                  <c:v>3706.2976235512438</c:v>
                </c:pt>
                <c:pt idx="79">
                  <c:v>3705.0596679984446</c:v>
                </c:pt>
                <c:pt idx="80">
                  <c:v>3703.8217124456451</c:v>
                </c:pt>
                <c:pt idx="81">
                  <c:v>3702.5837568928455</c:v>
                </c:pt>
                <c:pt idx="82">
                  <c:v>3701.3458013400459</c:v>
                </c:pt>
                <c:pt idx="83">
                  <c:v>3700.1078457872468</c:v>
                </c:pt>
                <c:pt idx="84">
                  <c:v>3698.8698902344468</c:v>
                </c:pt>
                <c:pt idx="85">
                  <c:v>3697.6319346816472</c:v>
                </c:pt>
                <c:pt idx="86">
                  <c:v>3696.3939791288481</c:v>
                </c:pt>
                <c:pt idx="87">
                  <c:v>3695.1560235760485</c:v>
                </c:pt>
                <c:pt idx="88">
                  <c:v>3693.9180680232494</c:v>
                </c:pt>
                <c:pt idx="89">
                  <c:v>3692.6801124704498</c:v>
                </c:pt>
                <c:pt idx="90">
                  <c:v>3691.4421569176507</c:v>
                </c:pt>
                <c:pt idx="91">
                  <c:v>3690.2042013648511</c:v>
                </c:pt>
                <c:pt idx="92">
                  <c:v>3688.9662458120515</c:v>
                </c:pt>
                <c:pt idx="93">
                  <c:v>3687.7282902592524</c:v>
                </c:pt>
                <c:pt idx="94">
                  <c:v>3686.4903347064528</c:v>
                </c:pt>
                <c:pt idx="95">
                  <c:v>3685.2523791536532</c:v>
                </c:pt>
                <c:pt idx="96">
                  <c:v>3684.0144236008541</c:v>
                </c:pt>
                <c:pt idx="97">
                  <c:v>3682.7764680480541</c:v>
                </c:pt>
                <c:pt idx="98">
                  <c:v>3681.538512495255</c:v>
                </c:pt>
                <c:pt idx="99">
                  <c:v>3680.3005569424554</c:v>
                </c:pt>
                <c:pt idx="100">
                  <c:v>3679.0626013896558</c:v>
                </c:pt>
                <c:pt idx="101">
                  <c:v>3677.8246458368567</c:v>
                </c:pt>
                <c:pt idx="102">
                  <c:v>3676.5866902840571</c:v>
                </c:pt>
                <c:pt idx="103">
                  <c:v>3675.3487347312575</c:v>
                </c:pt>
                <c:pt idx="104">
                  <c:v>3674.1107791784584</c:v>
                </c:pt>
                <c:pt idx="105">
                  <c:v>3672.8728236256588</c:v>
                </c:pt>
                <c:pt idx="106">
                  <c:v>3671.6348680728593</c:v>
                </c:pt>
                <c:pt idx="107">
                  <c:v>3670.3969125200601</c:v>
                </c:pt>
                <c:pt idx="108">
                  <c:v>3669.1589569672606</c:v>
                </c:pt>
                <c:pt idx="109">
                  <c:v>3667.9210014144614</c:v>
                </c:pt>
                <c:pt idx="110">
                  <c:v>3666.6830458616614</c:v>
                </c:pt>
                <c:pt idx="111">
                  <c:v>3665.4450903088618</c:v>
                </c:pt>
                <c:pt idx="112">
                  <c:v>3664.2071347560627</c:v>
                </c:pt>
                <c:pt idx="113">
                  <c:v>3662.9691792032631</c:v>
                </c:pt>
                <c:pt idx="114">
                  <c:v>3661.731223650464</c:v>
                </c:pt>
                <c:pt idx="115">
                  <c:v>3660.4932680976644</c:v>
                </c:pt>
                <c:pt idx="116">
                  <c:v>3659.2553125448649</c:v>
                </c:pt>
                <c:pt idx="117">
                  <c:v>3658.0173569920653</c:v>
                </c:pt>
                <c:pt idx="118">
                  <c:v>3656.7794014392662</c:v>
                </c:pt>
                <c:pt idx="119">
                  <c:v>3655.5414458864666</c:v>
                </c:pt>
                <c:pt idx="120">
                  <c:v>3654.3034903336675</c:v>
                </c:pt>
                <c:pt idx="121">
                  <c:v>3653.0655347808679</c:v>
                </c:pt>
                <c:pt idx="122">
                  <c:v>3651.8275792280683</c:v>
                </c:pt>
                <c:pt idx="123">
                  <c:v>3650.5896236752687</c:v>
                </c:pt>
                <c:pt idx="124">
                  <c:v>3649.3516681224692</c:v>
                </c:pt>
                <c:pt idx="125">
                  <c:v>3648.1137125696696</c:v>
                </c:pt>
                <c:pt idx="126">
                  <c:v>3646.8757570168705</c:v>
                </c:pt>
                <c:pt idx="127">
                  <c:v>3645.6378014640709</c:v>
                </c:pt>
                <c:pt idx="128">
                  <c:v>3644.3998459112718</c:v>
                </c:pt>
                <c:pt idx="129">
                  <c:v>3643.1618903584722</c:v>
                </c:pt>
                <c:pt idx="130">
                  <c:v>3641.9239348056726</c:v>
                </c:pt>
                <c:pt idx="131">
                  <c:v>3640.6859792528735</c:v>
                </c:pt>
                <c:pt idx="132">
                  <c:v>3639.4480237000739</c:v>
                </c:pt>
                <c:pt idx="133">
                  <c:v>3638.2100681472748</c:v>
                </c:pt>
                <c:pt idx="134">
                  <c:v>3636.9721125944752</c:v>
                </c:pt>
                <c:pt idx="135">
                  <c:v>3635.7341570416752</c:v>
                </c:pt>
                <c:pt idx="136">
                  <c:v>3634.4962014888761</c:v>
                </c:pt>
                <c:pt idx="137">
                  <c:v>3633.2582459360765</c:v>
                </c:pt>
                <c:pt idx="138">
                  <c:v>3632.0202903832769</c:v>
                </c:pt>
                <c:pt idx="139">
                  <c:v>3630.7823348304778</c:v>
                </c:pt>
                <c:pt idx="140">
                  <c:v>3629.5443792776782</c:v>
                </c:pt>
                <c:pt idx="141">
                  <c:v>3628.3064237248791</c:v>
                </c:pt>
                <c:pt idx="142">
                  <c:v>3627.0684681720795</c:v>
                </c:pt>
                <c:pt idx="143">
                  <c:v>3625.8305126192799</c:v>
                </c:pt>
                <c:pt idx="144">
                  <c:v>3624.5925570664808</c:v>
                </c:pt>
                <c:pt idx="145">
                  <c:v>3623.3546015136812</c:v>
                </c:pt>
                <c:pt idx="146">
                  <c:v>3622.1166459608821</c:v>
                </c:pt>
                <c:pt idx="147">
                  <c:v>3620.8786904080825</c:v>
                </c:pt>
                <c:pt idx="148">
                  <c:v>3619.6407348552825</c:v>
                </c:pt>
                <c:pt idx="149">
                  <c:v>3618.4027793024834</c:v>
                </c:pt>
                <c:pt idx="150">
                  <c:v>3617.1648237496838</c:v>
                </c:pt>
                <c:pt idx="151">
                  <c:v>3615.9268681968842</c:v>
                </c:pt>
                <c:pt idx="152">
                  <c:v>3614.6889126440847</c:v>
                </c:pt>
                <c:pt idx="153">
                  <c:v>3613.4509570912855</c:v>
                </c:pt>
                <c:pt idx="154">
                  <c:v>3612.213001538486</c:v>
                </c:pt>
                <c:pt idx="155">
                  <c:v>3610.9750459856868</c:v>
                </c:pt>
                <c:pt idx="156">
                  <c:v>3609.7370904328873</c:v>
                </c:pt>
                <c:pt idx="157">
                  <c:v>3608.4991348800877</c:v>
                </c:pt>
                <c:pt idx="158">
                  <c:v>3607.2611793272886</c:v>
                </c:pt>
                <c:pt idx="159">
                  <c:v>3606.023223774489</c:v>
                </c:pt>
                <c:pt idx="160">
                  <c:v>3604.7852682216899</c:v>
                </c:pt>
                <c:pt idx="161">
                  <c:v>3603.5473126688898</c:v>
                </c:pt>
                <c:pt idx="162">
                  <c:v>3602.3093571160903</c:v>
                </c:pt>
                <c:pt idx="163">
                  <c:v>3601.0714015632911</c:v>
                </c:pt>
                <c:pt idx="164">
                  <c:v>3599.8334460104916</c:v>
                </c:pt>
                <c:pt idx="165">
                  <c:v>3598.595490457692</c:v>
                </c:pt>
                <c:pt idx="166">
                  <c:v>3597.3575349048929</c:v>
                </c:pt>
                <c:pt idx="167">
                  <c:v>3596.1195793520933</c:v>
                </c:pt>
                <c:pt idx="168">
                  <c:v>3594.8816237992942</c:v>
                </c:pt>
                <c:pt idx="169">
                  <c:v>3593.6436682464946</c:v>
                </c:pt>
                <c:pt idx="170">
                  <c:v>3592.405712693695</c:v>
                </c:pt>
                <c:pt idx="171">
                  <c:v>3591.1677571408959</c:v>
                </c:pt>
                <c:pt idx="172">
                  <c:v>3589.9298015880963</c:v>
                </c:pt>
                <c:pt idx="173">
                  <c:v>3588.6918460352963</c:v>
                </c:pt>
                <c:pt idx="174">
                  <c:v>3587.4538904824972</c:v>
                </c:pt>
                <c:pt idx="175">
                  <c:v>3586.2159349296976</c:v>
                </c:pt>
                <c:pt idx="176">
                  <c:v>3584.9779793768985</c:v>
                </c:pt>
                <c:pt idx="177">
                  <c:v>3583.7400238240989</c:v>
                </c:pt>
                <c:pt idx="178">
                  <c:v>3582.5020682712993</c:v>
                </c:pt>
                <c:pt idx="179">
                  <c:v>3581.2641127184997</c:v>
                </c:pt>
                <c:pt idx="180">
                  <c:v>3580.0261571657006</c:v>
                </c:pt>
                <c:pt idx="181">
                  <c:v>3578.7882016129015</c:v>
                </c:pt>
                <c:pt idx="182">
                  <c:v>3577.5502460601019</c:v>
                </c:pt>
                <c:pt idx="183">
                  <c:v>3576.3122905073024</c:v>
                </c:pt>
                <c:pt idx="184">
                  <c:v>3575.0743349545028</c:v>
                </c:pt>
                <c:pt idx="185">
                  <c:v>3573.8363794017037</c:v>
                </c:pt>
                <c:pt idx="186">
                  <c:v>3572.5984238489036</c:v>
                </c:pt>
                <c:pt idx="187">
                  <c:v>3571.360468296104</c:v>
                </c:pt>
                <c:pt idx="188">
                  <c:v>3570.1225127433049</c:v>
                </c:pt>
                <c:pt idx="189">
                  <c:v>3568.8845571905053</c:v>
                </c:pt>
                <c:pt idx="190">
                  <c:v>3567.6466016377062</c:v>
                </c:pt>
                <c:pt idx="191">
                  <c:v>3566.4086460849066</c:v>
                </c:pt>
                <c:pt idx="192">
                  <c:v>3565.1706905321071</c:v>
                </c:pt>
                <c:pt idx="193">
                  <c:v>3563.932734979308</c:v>
                </c:pt>
                <c:pt idx="194">
                  <c:v>3562.6947794265084</c:v>
                </c:pt>
                <c:pt idx="195">
                  <c:v>3561.4568238737088</c:v>
                </c:pt>
                <c:pt idx="196">
                  <c:v>3560.2188683209097</c:v>
                </c:pt>
                <c:pt idx="197">
                  <c:v>3558.9809127681101</c:v>
                </c:pt>
                <c:pt idx="198">
                  <c:v>3557.742957215311</c:v>
                </c:pt>
                <c:pt idx="199">
                  <c:v>3556.5050016625109</c:v>
                </c:pt>
                <c:pt idx="200">
                  <c:v>3555.2670461097114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4-794C-A62C-DEAB5AACC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404927"/>
        <c:axId val="1750832591"/>
      </c:lineChart>
      <c:catAx>
        <c:axId val="175040492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50832591"/>
        <c:crosses val="autoZero"/>
        <c:auto val="1"/>
        <c:lblAlgn val="ctr"/>
        <c:lblOffset val="100"/>
        <c:noMultiLvlLbl val="0"/>
      </c:catAx>
      <c:valAx>
        <c:axId val="17508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504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84666</xdr:colOff>
      <xdr:row>91</xdr:row>
      <xdr:rowOff>101600</xdr:rowOff>
    </xdr:from>
    <xdr:to>
      <xdr:col>22</xdr:col>
      <xdr:colOff>127000</xdr:colOff>
      <xdr:row>122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50B2B-6CD5-234B-8BFC-697F95ECF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113553</xdr:colOff>
      <xdr:row>49</xdr:row>
      <xdr:rowOff>97738</xdr:rowOff>
    </xdr:from>
    <xdr:to>
      <xdr:col>7</xdr:col>
      <xdr:colOff>254000</xdr:colOff>
      <xdr:row>86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ADFF9-6714-084D-A843-4FD9805F9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584200</xdr:colOff>
      <xdr:row>56</xdr:row>
      <xdr:rowOff>177800</xdr:rowOff>
    </xdr:from>
    <xdr:to>
      <xdr:col>26</xdr:col>
      <xdr:colOff>2133600</xdr:colOff>
      <xdr:row>104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FDD1B-71F5-F340-BCD5-0AD52C84E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14598</xdr:rowOff>
    </xdr:from>
    <xdr:to>
      <xdr:col>5</xdr:col>
      <xdr:colOff>1605746</xdr:colOff>
      <xdr:row>31</xdr:row>
      <xdr:rowOff>72989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4D56B-3C0B-1D4F-993E-B18806AAC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202907</xdr:colOff>
      <xdr:row>0</xdr:row>
      <xdr:rowOff>0</xdr:rowOff>
    </xdr:from>
    <xdr:to>
      <xdr:col>12</xdr:col>
      <xdr:colOff>131379</xdr:colOff>
      <xdr:row>31</xdr:row>
      <xdr:rowOff>72989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7061E1-0233-1A45-B6A0-1B11A6C5D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48</xdr:row>
      <xdr:rowOff>152400</xdr:rowOff>
    </xdr:from>
    <xdr:to>
      <xdr:col>9</xdr:col>
      <xdr:colOff>1143000</xdr:colOff>
      <xdr:row>71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218D2-E2CC-654C-9B6E-C6AEF853E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165100</xdr:rowOff>
    </xdr:from>
    <xdr:to>
      <xdr:col>9</xdr:col>
      <xdr:colOff>379035</xdr:colOff>
      <xdr:row>38</xdr:row>
      <xdr:rowOff>112113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BADABD-3A2B-1E4E-BCC5-AFF20F065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84300"/>
          <a:ext cx="10031035" cy="673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01DD8-A4D7-4140-85EC-8690B50181E9}">
  <dimension ref="A1:BO129"/>
  <sheetViews>
    <sheetView topLeftCell="B1" zoomScale="75" zoomScaleNormal="50" workbookViewId="0">
      <selection activeCell="AH60" sqref="AH60"/>
    </sheetView>
  </sheetViews>
  <sheetFormatPr baseColWidth="10" defaultRowHeight="16" x14ac:dyDescent="0.2"/>
  <cols>
    <col min="31" max="31" width="22.1640625" customWidth="1"/>
    <col min="32" max="32" width="18.1640625" customWidth="1"/>
    <col min="33" max="34" width="13.5" bestFit="1" customWidth="1"/>
    <col min="36" max="36" width="12.6640625" bestFit="1" customWidth="1"/>
    <col min="40" max="40" width="26.83203125" customWidth="1"/>
    <col min="42" max="42" width="25.33203125" customWidth="1"/>
    <col min="45" max="45" width="11.6640625" bestFit="1" customWidth="1"/>
  </cols>
  <sheetData>
    <row r="1" spans="1:67" x14ac:dyDescent="0.2">
      <c r="A1" s="946" t="s">
        <v>31</v>
      </c>
      <c r="B1" s="946"/>
      <c r="C1" s="946"/>
      <c r="D1" s="946"/>
      <c r="E1" s="946"/>
      <c r="F1" s="946"/>
      <c r="G1" s="946"/>
      <c r="H1" s="946"/>
    </row>
    <row r="2" spans="1:67" x14ac:dyDescent="0.2">
      <c r="A2" s="946"/>
      <c r="B2" s="946"/>
      <c r="C2" s="946"/>
      <c r="D2" s="946"/>
      <c r="E2" s="946"/>
      <c r="F2" s="946"/>
      <c r="G2" s="946"/>
      <c r="H2" s="94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</row>
    <row r="3" spans="1:67" x14ac:dyDescent="0.2">
      <c r="A3" s="946"/>
      <c r="B3" s="946"/>
      <c r="C3" s="946"/>
      <c r="D3" s="946"/>
      <c r="E3" s="946"/>
      <c r="F3" s="946"/>
      <c r="G3" s="946"/>
      <c r="H3" s="94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7" ht="17" thickBot="1" x14ac:dyDescent="0.25">
      <c r="A4" s="947" t="s">
        <v>301</v>
      </c>
      <c r="B4" s="947"/>
      <c r="C4" s="947"/>
      <c r="D4" s="947"/>
      <c r="E4" s="947"/>
      <c r="F4" s="947"/>
      <c r="G4" s="947"/>
      <c r="H4" s="947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</row>
    <row r="5" spans="1:67" ht="37" customHeight="1" thickBot="1" x14ac:dyDescent="0.25">
      <c r="A5" s="948" t="s">
        <v>234</v>
      </c>
      <c r="B5" s="948"/>
      <c r="C5" s="948"/>
      <c r="D5" s="948"/>
      <c r="E5" s="948"/>
      <c r="F5" s="948"/>
      <c r="G5" s="948"/>
      <c r="H5" s="948"/>
      <c r="I5" s="867" t="s">
        <v>307</v>
      </c>
      <c r="J5" s="934"/>
      <c r="K5" s="934"/>
      <c r="L5" s="935"/>
      <c r="M5" s="867" t="s">
        <v>308</v>
      </c>
      <c r="N5" s="876"/>
      <c r="O5" s="876"/>
      <c r="P5" s="868"/>
      <c r="Q5" s="867" t="s">
        <v>407</v>
      </c>
      <c r="R5" s="876"/>
      <c r="S5" s="876"/>
      <c r="T5" s="868"/>
      <c r="U5" s="867" t="s">
        <v>408</v>
      </c>
      <c r="V5" s="876"/>
      <c r="W5" s="876"/>
      <c r="X5" s="868"/>
      <c r="Y5" s="914"/>
      <c r="Z5" s="876"/>
      <c r="AA5" s="876"/>
      <c r="AB5" s="868"/>
      <c r="AE5" s="1297" t="s">
        <v>415</v>
      </c>
      <c r="AF5" s="1298"/>
      <c r="AG5" s="1299"/>
      <c r="AH5" s="320" t="s">
        <v>302</v>
      </c>
      <c r="AI5" s="1300" t="s">
        <v>303</v>
      </c>
      <c r="AJ5" s="1300" t="s">
        <v>304</v>
      </c>
      <c r="AK5" s="1300" t="s">
        <v>306</v>
      </c>
      <c r="AL5" s="1300" t="s">
        <v>310</v>
      </c>
      <c r="AM5" s="1301" t="s">
        <v>436</v>
      </c>
      <c r="AN5" s="1110" t="s">
        <v>319</v>
      </c>
      <c r="AO5" s="1110"/>
      <c r="AP5" s="1110"/>
      <c r="AQ5" s="1111"/>
      <c r="AT5" s="5"/>
      <c r="AU5" s="15"/>
      <c r="AV5" s="16"/>
      <c r="AW5" s="16"/>
      <c r="AX5" s="5"/>
      <c r="AY5" s="15"/>
      <c r="AZ5" s="16"/>
      <c r="BA5" s="16"/>
      <c r="BB5" s="15"/>
      <c r="BC5" s="5"/>
      <c r="BD5" s="15"/>
      <c r="BE5" s="16"/>
      <c r="BF5" s="16"/>
      <c r="BG5" s="15"/>
      <c r="BH5" s="6"/>
      <c r="BI5" s="6"/>
      <c r="BJ5" s="6"/>
    </row>
    <row r="6" spans="1:67" ht="18" thickBot="1" x14ac:dyDescent="0.25">
      <c r="A6" s="949"/>
      <c r="B6" s="949"/>
      <c r="C6" s="949"/>
      <c r="D6" s="949"/>
      <c r="E6" s="949"/>
      <c r="F6" s="949"/>
      <c r="G6" s="949"/>
      <c r="H6" s="949"/>
      <c r="I6" s="936"/>
      <c r="J6" s="937"/>
      <c r="K6" s="937"/>
      <c r="L6" s="938"/>
      <c r="M6" s="939"/>
      <c r="N6" s="940"/>
      <c r="O6" s="940"/>
      <c r="P6" s="941"/>
      <c r="Q6" s="869"/>
      <c r="R6" s="877"/>
      <c r="S6" s="877"/>
      <c r="T6" s="870"/>
      <c r="U6" s="869"/>
      <c r="V6" s="877"/>
      <c r="W6" s="877"/>
      <c r="X6" s="870"/>
      <c r="Y6" s="869"/>
      <c r="Z6" s="877"/>
      <c r="AA6" s="877"/>
      <c r="AB6" s="870"/>
      <c r="AE6" s="1302" t="s">
        <v>410</v>
      </c>
      <c r="AF6" s="1303"/>
      <c r="AG6" s="1304"/>
      <c r="AH6" s="763">
        <f>13.19%</f>
        <v>0.13189999999999999</v>
      </c>
      <c r="AI6" s="559" t="s">
        <v>309</v>
      </c>
      <c r="AJ6" s="558">
        <f>8.56%</f>
        <v>8.5600000000000009E-2</v>
      </c>
      <c r="AK6" s="558">
        <f>2.45%</f>
        <v>2.4500000000000001E-2</v>
      </c>
      <c r="AL6" s="558">
        <f>-0.8%</f>
        <v>-8.0000000000000002E-3</v>
      </c>
      <c r="AM6" s="560">
        <f>37.36%</f>
        <v>0.37359999999999999</v>
      </c>
      <c r="AN6" s="881" t="s">
        <v>36</v>
      </c>
      <c r="AO6" s="882"/>
      <c r="AP6" s="883"/>
      <c r="AQ6" s="1314">
        <f>AVERAGE(AH6:AM6)</f>
        <v>0.12151999999999999</v>
      </c>
      <c r="AR6" s="814" t="s">
        <v>53</v>
      </c>
      <c r="AS6" s="815"/>
      <c r="AT6" s="815"/>
      <c r="AU6" s="815"/>
      <c r="AV6" s="815"/>
      <c r="AW6" s="815"/>
      <c r="AX6" s="816"/>
      <c r="AY6" s="8"/>
      <c r="AZ6" s="8"/>
      <c r="BA6" s="8"/>
      <c r="BB6" s="8"/>
      <c r="BC6" s="9"/>
      <c r="BD6" s="8"/>
      <c r="BE6" s="8"/>
      <c r="BF6" s="8"/>
      <c r="BG6" s="8"/>
      <c r="BH6" s="6"/>
      <c r="BI6" s="6"/>
      <c r="BJ6" s="6"/>
    </row>
    <row r="7" spans="1:67" ht="20" thickBot="1" x14ac:dyDescent="0.3">
      <c r="A7" s="950" t="s">
        <v>3</v>
      </c>
      <c r="B7" s="951"/>
      <c r="C7" s="951"/>
      <c r="D7" s="951"/>
      <c r="E7" s="951"/>
      <c r="F7" s="951"/>
      <c r="G7" s="951"/>
      <c r="H7" s="951"/>
      <c r="I7" s="942"/>
      <c r="J7" s="943"/>
      <c r="K7" s="943"/>
      <c r="L7" s="944"/>
      <c r="M7" s="918"/>
      <c r="N7" s="919"/>
      <c r="O7" s="919"/>
      <c r="P7" s="920"/>
      <c r="Q7" s="915"/>
      <c r="R7" s="916"/>
      <c r="S7" s="916"/>
      <c r="T7" s="917"/>
      <c r="U7" s="918"/>
      <c r="V7" s="919"/>
      <c r="W7" s="919"/>
      <c r="X7" s="920"/>
      <c r="Y7" s="915"/>
      <c r="Z7" s="916"/>
      <c r="AA7" s="916"/>
      <c r="AB7" s="917"/>
      <c r="AE7" s="1305" t="s">
        <v>411</v>
      </c>
      <c r="AF7" s="1306"/>
      <c r="AG7" s="1307"/>
      <c r="AH7" s="764">
        <f>82.05%</f>
        <v>0.82050000000000001</v>
      </c>
      <c r="AI7" s="561">
        <f>46.79%</f>
        <v>0.46789999999999998</v>
      </c>
      <c r="AJ7" s="557">
        <f>62.23%</f>
        <v>0.62229999999999996</v>
      </c>
      <c r="AK7" s="557">
        <f>73.66%</f>
        <v>0.73659999999999992</v>
      </c>
      <c r="AL7" s="557">
        <f>69.53%</f>
        <v>0.69530000000000003</v>
      </c>
      <c r="AM7" s="352">
        <f>34.61%</f>
        <v>0.34610000000000002</v>
      </c>
      <c r="AN7" s="859" t="s">
        <v>46</v>
      </c>
      <c r="AO7" s="860"/>
      <c r="AP7" s="861"/>
      <c r="AQ7" s="1315">
        <f>AVERAGE(AJ7:AM7,AH7)</f>
        <v>0.64415999999999995</v>
      </c>
      <c r="AR7" s="814" t="s">
        <v>414</v>
      </c>
      <c r="AS7" s="815"/>
      <c r="AT7" s="815"/>
      <c r="AU7" s="815"/>
      <c r="AV7" s="815"/>
      <c r="AW7" s="815"/>
      <c r="AX7" s="816"/>
      <c r="AY7" s="10"/>
      <c r="AZ7" s="10"/>
      <c r="BA7" s="10"/>
      <c r="BB7" s="10"/>
      <c r="BC7" s="9"/>
      <c r="BD7" s="10"/>
      <c r="BE7" s="9"/>
      <c r="BF7" s="9"/>
      <c r="BG7" s="9"/>
      <c r="BH7" s="6"/>
      <c r="BI7" s="6"/>
      <c r="BJ7" s="6"/>
    </row>
    <row r="8" spans="1:67" ht="18" x14ac:dyDescent="0.2">
      <c r="A8" s="890" t="s">
        <v>4</v>
      </c>
      <c r="B8" s="891"/>
      <c r="C8" s="891"/>
      <c r="D8" s="891"/>
      <c r="E8" s="891"/>
      <c r="F8" s="891"/>
      <c r="G8" s="891"/>
      <c r="H8" s="891"/>
      <c r="I8" s="884">
        <f>7679</f>
        <v>7679</v>
      </c>
      <c r="J8" s="885"/>
      <c r="K8" s="885"/>
      <c r="L8" s="886"/>
      <c r="M8" s="884">
        <f>10187</f>
        <v>10187</v>
      </c>
      <c r="N8" s="885"/>
      <c r="O8" s="885"/>
      <c r="P8" s="886"/>
      <c r="Q8" s="884">
        <f>454.5</f>
        <v>454.5</v>
      </c>
      <c r="R8" s="885"/>
      <c r="S8" s="885"/>
      <c r="T8" s="886"/>
      <c r="U8" s="884">
        <f>4434</f>
        <v>4434</v>
      </c>
      <c r="V8" s="885"/>
      <c r="W8" s="885"/>
      <c r="X8" s="886"/>
      <c r="Y8" s="884">
        <f>27553</f>
        <v>27553</v>
      </c>
      <c r="Z8" s="885"/>
      <c r="AA8" s="885"/>
      <c r="AB8" s="886"/>
      <c r="AE8" s="1308" t="s">
        <v>49</v>
      </c>
      <c r="AF8" s="1309"/>
      <c r="AG8" s="1310"/>
      <c r="AH8" s="764">
        <f>21.22%</f>
        <v>0.2122</v>
      </c>
      <c r="AI8" s="557">
        <f>1.18%</f>
        <v>1.18E-2</v>
      </c>
      <c r="AJ8" s="557">
        <f>21.86%</f>
        <v>0.21859999999999999</v>
      </c>
      <c r="AK8" s="557">
        <f>3.46%</f>
        <v>3.4599999999999999E-2</v>
      </c>
      <c r="AL8" s="557">
        <f>6.79%</f>
        <v>6.7900000000000002E-2</v>
      </c>
      <c r="AM8" s="352">
        <f>-0.11%</f>
        <v>-1.1000000000000001E-3</v>
      </c>
      <c r="AN8" s="859" t="s">
        <v>50</v>
      </c>
      <c r="AO8" s="860"/>
      <c r="AP8" s="861"/>
      <c r="AQ8" s="1315">
        <f>AVERAGE(AH8,AJ8:AM8)</f>
        <v>0.10644000000000001</v>
      </c>
      <c r="AT8" s="5"/>
      <c r="AU8" s="7"/>
      <c r="AV8" s="11"/>
      <c r="AW8" s="11"/>
      <c r="AX8" s="11"/>
      <c r="AY8" s="12"/>
      <c r="AZ8" s="12"/>
      <c r="BA8" s="11"/>
      <c r="BB8" s="12"/>
      <c r="BC8" s="5"/>
      <c r="BD8" s="13"/>
      <c r="BE8" s="13"/>
      <c r="BF8" s="13"/>
      <c r="BG8" s="13"/>
      <c r="BH8" s="6"/>
      <c r="BI8" s="6"/>
      <c r="BJ8" s="6"/>
    </row>
    <row r="9" spans="1:67" ht="19" thickBot="1" x14ac:dyDescent="0.25">
      <c r="A9" s="890" t="s">
        <v>5</v>
      </c>
      <c r="B9" s="891"/>
      <c r="C9" s="891"/>
      <c r="D9" s="891"/>
      <c r="E9" s="891"/>
      <c r="F9" s="891"/>
      <c r="G9" s="891"/>
      <c r="H9" s="891"/>
      <c r="I9" s="884" t="s">
        <v>32</v>
      </c>
      <c r="J9" s="885"/>
      <c r="K9" s="885"/>
      <c r="L9" s="886"/>
      <c r="M9" s="893" t="s">
        <v>32</v>
      </c>
      <c r="N9" s="894"/>
      <c r="O9" s="894"/>
      <c r="P9" s="895"/>
      <c r="Q9" s="884" t="s">
        <v>32</v>
      </c>
      <c r="R9" s="885"/>
      <c r="S9" s="885"/>
      <c r="T9" s="886"/>
      <c r="U9" s="884" t="s">
        <v>32</v>
      </c>
      <c r="V9" s="885"/>
      <c r="W9" s="885"/>
      <c r="X9" s="886"/>
      <c r="Y9" s="893" t="s">
        <v>32</v>
      </c>
      <c r="Z9" s="894"/>
      <c r="AA9" s="894"/>
      <c r="AB9" s="895"/>
      <c r="AE9" s="1311" t="s">
        <v>416</v>
      </c>
      <c r="AF9" s="1312"/>
      <c r="AG9" s="1313"/>
      <c r="AH9" s="765">
        <v>0.14829999999999999</v>
      </c>
      <c r="AI9" s="762">
        <v>8.43E-2</v>
      </c>
      <c r="AJ9" s="762">
        <f>15.16%</f>
        <v>0.15160000000000001</v>
      </c>
      <c r="AK9" s="762">
        <v>0.15720000000000001</v>
      </c>
      <c r="AL9" s="762">
        <f>(1+('Restructuration cap'!W72-'Restructuration cap'!M72)/'Restructuration cap'!M72)^(1/10) - 1</f>
        <v>9.9562811910469451E-2</v>
      </c>
      <c r="AM9" s="766">
        <v>4.3200000000000002E-2</v>
      </c>
      <c r="AN9" s="878" t="s">
        <v>412</v>
      </c>
      <c r="AO9" s="879"/>
      <c r="AP9" s="880"/>
      <c r="AQ9" s="1316">
        <f>AVERAGE(AH9:AM9)</f>
        <v>0.11402713531841158</v>
      </c>
      <c r="AT9" s="5"/>
      <c r="AU9" s="7"/>
      <c r="AV9" s="11"/>
      <c r="AW9" s="11"/>
      <c r="AX9" s="11"/>
      <c r="AY9" s="12"/>
      <c r="AZ9" s="11"/>
      <c r="BA9" s="11"/>
      <c r="BB9" s="11"/>
      <c r="BC9" s="5"/>
      <c r="BD9" s="13"/>
      <c r="BE9" s="13"/>
      <c r="BF9" s="13"/>
      <c r="BG9" s="13"/>
      <c r="BH9" s="6"/>
      <c r="BI9" s="6"/>
      <c r="BJ9" s="6"/>
    </row>
    <row r="10" spans="1:67" ht="18" x14ac:dyDescent="0.2">
      <c r="A10" s="928" t="s">
        <v>6</v>
      </c>
      <c r="B10" s="929"/>
      <c r="C10" s="929"/>
      <c r="D10" s="929"/>
      <c r="E10" s="929"/>
      <c r="F10" s="929"/>
      <c r="G10" s="929"/>
      <c r="H10" s="929"/>
      <c r="I10" s="887">
        <f>I8</f>
        <v>7679</v>
      </c>
      <c r="J10" s="888"/>
      <c r="K10" s="888"/>
      <c r="L10" s="889"/>
      <c r="M10" s="896">
        <f>M8</f>
        <v>10187</v>
      </c>
      <c r="N10" s="897"/>
      <c r="O10" s="897"/>
      <c r="P10" s="898"/>
      <c r="Q10" s="887">
        <f>Q8</f>
        <v>454.5</v>
      </c>
      <c r="R10" s="888"/>
      <c r="S10" s="888"/>
      <c r="T10" s="889"/>
      <c r="U10" s="887">
        <f>U8</f>
        <v>4434</v>
      </c>
      <c r="V10" s="888"/>
      <c r="W10" s="888"/>
      <c r="X10" s="889"/>
      <c r="Y10" s="896">
        <f>Y8</f>
        <v>27553</v>
      </c>
      <c r="Z10" s="897"/>
      <c r="AA10" s="897"/>
      <c r="AB10" s="898"/>
      <c r="AU10" s="5"/>
      <c r="AV10" s="7"/>
      <c r="AW10" s="11"/>
      <c r="AX10" s="11"/>
      <c r="AY10" s="11"/>
      <c r="AZ10" s="11"/>
      <c r="BA10" s="11"/>
      <c r="BB10" s="11"/>
      <c r="BC10" s="11"/>
      <c r="BD10" s="5"/>
      <c r="BE10" s="13"/>
      <c r="BF10" s="13"/>
      <c r="BG10" s="13"/>
      <c r="BH10" s="13"/>
      <c r="BI10" s="6"/>
      <c r="BJ10" s="6"/>
      <c r="BK10" s="6"/>
    </row>
    <row r="11" spans="1:67" ht="18" x14ac:dyDescent="0.2">
      <c r="A11" s="890"/>
      <c r="B11" s="891"/>
      <c r="C11" s="891"/>
      <c r="D11" s="891"/>
      <c r="E11" s="891"/>
      <c r="F11" s="891"/>
      <c r="G11" s="891"/>
      <c r="H11" s="891"/>
      <c r="I11" s="890"/>
      <c r="J11" s="891"/>
      <c r="K11" s="891"/>
      <c r="L11" s="892"/>
      <c r="M11" s="890"/>
      <c r="N11" s="891"/>
      <c r="O11" s="891"/>
      <c r="P11" s="892"/>
      <c r="Q11" s="890"/>
      <c r="R11" s="891"/>
      <c r="S11" s="891"/>
      <c r="T11" s="892"/>
      <c r="U11" s="890"/>
      <c r="V11" s="891"/>
      <c r="W11" s="891"/>
      <c r="X11" s="892"/>
      <c r="Y11" s="890"/>
      <c r="Z11" s="891"/>
      <c r="AA11" s="891"/>
      <c r="AB11" s="892"/>
      <c r="AU11" s="5"/>
      <c r="AV11" s="7"/>
      <c r="AW11" s="11"/>
      <c r="AX11" s="11"/>
      <c r="AY11" s="11"/>
      <c r="AZ11" s="11"/>
      <c r="BA11" s="11"/>
      <c r="BB11" s="12"/>
      <c r="BC11" s="11"/>
      <c r="BD11" s="5"/>
      <c r="BE11" s="13"/>
      <c r="BF11" s="13"/>
      <c r="BG11" s="13"/>
      <c r="BH11" s="13"/>
      <c r="BI11" s="6"/>
      <c r="BJ11" s="6"/>
      <c r="BK11" s="6"/>
    </row>
    <row r="12" spans="1:67" ht="18" x14ac:dyDescent="0.2">
      <c r="A12" s="890" t="s">
        <v>7</v>
      </c>
      <c r="B12" s="891"/>
      <c r="C12" s="891"/>
      <c r="D12" s="891"/>
      <c r="E12" s="891"/>
      <c r="F12" s="891"/>
      <c r="G12" s="891"/>
      <c r="H12" s="891"/>
      <c r="I12" s="884">
        <f xml:space="preserve"> 1378</f>
        <v>1378</v>
      </c>
      <c r="J12" s="885"/>
      <c r="K12" s="885"/>
      <c r="L12" s="886"/>
      <c r="M12" s="893">
        <f>5261</f>
        <v>5261</v>
      </c>
      <c r="N12" s="894"/>
      <c r="O12" s="894"/>
      <c r="P12" s="895"/>
      <c r="Q12" s="884">
        <f>167.1</f>
        <v>167.1</v>
      </c>
      <c r="R12" s="885"/>
      <c r="S12" s="885"/>
      <c r="T12" s="886"/>
      <c r="U12" s="884">
        <f>963.2</f>
        <v>963.2</v>
      </c>
      <c r="V12" s="885"/>
      <c r="W12" s="885"/>
      <c r="X12" s="886"/>
      <c r="Y12" s="893">
        <f>8038</f>
        <v>8038</v>
      </c>
      <c r="Z12" s="894"/>
      <c r="AA12" s="894"/>
      <c r="AB12" s="895"/>
      <c r="AU12" s="5"/>
      <c r="AV12" s="7"/>
      <c r="AW12" s="12"/>
      <c r="AX12" s="11"/>
      <c r="AY12" s="11"/>
      <c r="AZ12" s="11"/>
      <c r="BA12" s="11"/>
      <c r="BB12" s="11"/>
      <c r="BC12" s="11"/>
      <c r="BD12" s="5"/>
      <c r="BE12" s="13"/>
      <c r="BF12" s="13"/>
      <c r="BG12" s="13"/>
      <c r="BH12" s="13"/>
      <c r="BI12" s="6"/>
      <c r="BJ12" s="6"/>
      <c r="BK12" s="6"/>
    </row>
    <row r="13" spans="1:67" ht="18" x14ac:dyDescent="0.2">
      <c r="A13" s="928" t="s">
        <v>8</v>
      </c>
      <c r="B13" s="929"/>
      <c r="C13" s="929"/>
      <c r="D13" s="929"/>
      <c r="E13" s="929"/>
      <c r="F13" s="929"/>
      <c r="G13" s="929"/>
      <c r="H13" s="929"/>
      <c r="I13" s="945">
        <f>I10-I12</f>
        <v>6301</v>
      </c>
      <c r="J13" s="888"/>
      <c r="K13" s="888"/>
      <c r="L13" s="889"/>
      <c r="M13" s="896">
        <f>M10-M12</f>
        <v>4926</v>
      </c>
      <c r="N13" s="897"/>
      <c r="O13" s="897"/>
      <c r="P13" s="898"/>
      <c r="Q13" s="887">
        <f>Q10-Q12</f>
        <v>287.39999999999998</v>
      </c>
      <c r="R13" s="888"/>
      <c r="S13" s="888"/>
      <c r="T13" s="889"/>
      <c r="U13" s="887">
        <f>U10-U12</f>
        <v>3470.8</v>
      </c>
      <c r="V13" s="888"/>
      <c r="W13" s="888"/>
      <c r="X13" s="889"/>
      <c r="Y13" s="896">
        <f>Y10-Y12</f>
        <v>19515</v>
      </c>
      <c r="Z13" s="897"/>
      <c r="AA13" s="897"/>
      <c r="AB13" s="898"/>
      <c r="AU13" s="5"/>
      <c r="AV13" s="7"/>
      <c r="AW13" s="12"/>
      <c r="AX13" s="11"/>
      <c r="AY13" s="7"/>
      <c r="AZ13" s="11"/>
      <c r="BA13" s="11"/>
      <c r="BB13" s="11"/>
      <c r="BC13" s="11"/>
      <c r="BD13" s="5"/>
      <c r="BE13" s="13"/>
      <c r="BF13" s="13"/>
      <c r="BG13" s="13"/>
      <c r="BH13" s="13"/>
      <c r="BI13" s="6"/>
      <c r="BJ13" s="6"/>
      <c r="BK13" s="6"/>
    </row>
    <row r="14" spans="1:67" ht="18" x14ac:dyDescent="0.2">
      <c r="A14" s="890"/>
      <c r="B14" s="891"/>
      <c r="C14" s="891"/>
      <c r="D14" s="891"/>
      <c r="E14" s="891"/>
      <c r="F14" s="891"/>
      <c r="G14" s="891"/>
      <c r="H14" s="891"/>
      <c r="I14" s="890"/>
      <c r="J14" s="891"/>
      <c r="K14" s="891"/>
      <c r="L14" s="892"/>
      <c r="M14" s="890"/>
      <c r="N14" s="891"/>
      <c r="O14" s="891"/>
      <c r="P14" s="892"/>
      <c r="Q14" s="890"/>
      <c r="R14" s="891"/>
      <c r="S14" s="891"/>
      <c r="T14" s="892"/>
      <c r="U14" s="890"/>
      <c r="V14" s="891"/>
      <c r="W14" s="891"/>
      <c r="X14" s="892"/>
      <c r="Y14" s="890"/>
      <c r="Z14" s="891"/>
      <c r="AA14" s="891"/>
      <c r="AB14" s="892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14"/>
      <c r="BF14" s="14"/>
      <c r="BG14" s="14"/>
      <c r="BH14" s="14"/>
      <c r="BI14" s="6"/>
      <c r="BJ14" s="6"/>
      <c r="BK14" s="6"/>
    </row>
    <row r="15" spans="1:67" ht="18" x14ac:dyDescent="0.2">
      <c r="A15" s="890" t="s">
        <v>9</v>
      </c>
      <c r="B15" s="891"/>
      <c r="C15" s="891"/>
      <c r="D15" s="891"/>
      <c r="E15" s="891"/>
      <c r="F15" s="891"/>
      <c r="G15" s="891"/>
      <c r="H15" s="891"/>
      <c r="I15" s="884">
        <f>2727</f>
        <v>2727</v>
      </c>
      <c r="J15" s="885"/>
      <c r="K15" s="885"/>
      <c r="L15" s="886"/>
      <c r="M15" s="884">
        <f>3284</f>
        <v>3284</v>
      </c>
      <c r="N15" s="885"/>
      <c r="O15" s="885"/>
      <c r="P15" s="886"/>
      <c r="Q15" s="884">
        <f>71.4</f>
        <v>71.400000000000006</v>
      </c>
      <c r="R15" s="885"/>
      <c r="S15" s="885"/>
      <c r="T15" s="886"/>
      <c r="U15" s="884">
        <f>2984</f>
        <v>2984</v>
      </c>
      <c r="V15" s="885"/>
      <c r="W15" s="885"/>
      <c r="X15" s="886"/>
      <c r="Y15" s="884">
        <f>8958</f>
        <v>8958</v>
      </c>
      <c r="Z15" s="885"/>
      <c r="AA15" s="885"/>
      <c r="AB15" s="886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14"/>
      <c r="BF15" s="14"/>
      <c r="BG15" s="14"/>
      <c r="BH15" s="14"/>
      <c r="BI15" s="6"/>
      <c r="BJ15" s="6"/>
      <c r="BK15" s="6"/>
    </row>
    <row r="16" spans="1:67" ht="19" thickBot="1" x14ac:dyDescent="0.25">
      <c r="A16" s="890" t="s">
        <v>10</v>
      </c>
      <c r="B16" s="891"/>
      <c r="C16" s="891"/>
      <c r="D16" s="891"/>
      <c r="E16" s="891"/>
      <c r="F16" s="891"/>
      <c r="G16" s="891"/>
      <c r="H16" s="891"/>
      <c r="I16" s="884">
        <f>1392</f>
        <v>1392</v>
      </c>
      <c r="J16" s="885"/>
      <c r="K16" s="885"/>
      <c r="L16" s="886"/>
      <c r="M16" s="884" t="s">
        <v>32</v>
      </c>
      <c r="N16" s="885"/>
      <c r="O16" s="885"/>
      <c r="P16" s="886"/>
      <c r="Q16" s="884">
        <f>80.1</f>
        <v>80.099999999999994</v>
      </c>
      <c r="R16" s="885"/>
      <c r="S16" s="885"/>
      <c r="T16" s="886"/>
      <c r="U16" s="884" t="s">
        <v>32</v>
      </c>
      <c r="V16" s="885"/>
      <c r="W16" s="885"/>
      <c r="X16" s="886"/>
      <c r="Y16" s="884">
        <f>4283</f>
        <v>4283</v>
      </c>
      <c r="Z16" s="885"/>
      <c r="AA16" s="885"/>
      <c r="AB16" s="88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19" thickBot="1" x14ac:dyDescent="0.25">
      <c r="A17" s="890" t="s">
        <v>12</v>
      </c>
      <c r="B17" s="891"/>
      <c r="C17" s="891"/>
      <c r="D17" s="891"/>
      <c r="E17" s="891"/>
      <c r="F17" s="891"/>
      <c r="G17" s="891"/>
      <c r="H17" s="891"/>
      <c r="I17" s="884" t="s">
        <v>32</v>
      </c>
      <c r="J17" s="885"/>
      <c r="K17" s="885"/>
      <c r="L17" s="886"/>
      <c r="M17" s="884">
        <f>80</f>
        <v>80</v>
      </c>
      <c r="N17" s="885"/>
      <c r="O17" s="885"/>
      <c r="P17" s="886"/>
      <c r="Q17" s="884">
        <f>-0.5</f>
        <v>-0.5</v>
      </c>
      <c r="R17" s="885"/>
      <c r="S17" s="885"/>
      <c r="T17" s="886"/>
      <c r="U17" s="884">
        <f>-7-10.5-10.5+34.9</f>
        <v>6.8999999999999986</v>
      </c>
      <c r="V17" s="885"/>
      <c r="W17" s="885"/>
      <c r="X17" s="886"/>
      <c r="Y17" s="884">
        <f>1767 + 34</f>
        <v>1801</v>
      </c>
      <c r="Z17" s="885"/>
      <c r="AA17" s="885"/>
      <c r="AB17" s="886"/>
      <c r="AE17" s="1317" t="s">
        <v>331</v>
      </c>
      <c r="AF17" s="1318" t="s">
        <v>33</v>
      </c>
      <c r="AG17" s="1319"/>
      <c r="AH17" s="1320"/>
      <c r="AI17" s="1321"/>
      <c r="AJ17" s="1318" t="s">
        <v>34</v>
      </c>
      <c r="AK17" s="1319"/>
      <c r="AL17" s="1319"/>
      <c r="AM17" s="1320"/>
      <c r="AN17" s="1317"/>
      <c r="AO17" s="1318" t="s">
        <v>35</v>
      </c>
      <c r="AP17" s="1319"/>
      <c r="AQ17" s="1319"/>
      <c r="AR17" s="1319"/>
      <c r="AS17" s="1320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18" x14ac:dyDescent="0.2">
      <c r="A18" s="890"/>
      <c r="B18" s="891"/>
      <c r="C18" s="891"/>
      <c r="D18" s="891"/>
      <c r="E18" s="891"/>
      <c r="F18" s="891"/>
      <c r="G18" s="891"/>
      <c r="H18" s="891"/>
      <c r="I18" s="890"/>
      <c r="J18" s="891"/>
      <c r="K18" s="891"/>
      <c r="L18" s="892"/>
      <c r="M18" s="899"/>
      <c r="N18" s="900"/>
      <c r="O18" s="900"/>
      <c r="P18" s="901"/>
      <c r="Q18" s="890"/>
      <c r="R18" s="891"/>
      <c r="S18" s="891"/>
      <c r="T18" s="892"/>
      <c r="U18" s="890"/>
      <c r="V18" s="891"/>
      <c r="W18" s="891"/>
      <c r="X18" s="892"/>
      <c r="Y18" s="899"/>
      <c r="Z18" s="900"/>
      <c r="AA18" s="900"/>
      <c r="AB18" s="901"/>
      <c r="AE18" s="1322"/>
      <c r="AF18" s="1323" t="s">
        <v>37</v>
      </c>
      <c r="AG18" s="1324" t="s">
        <v>38</v>
      </c>
      <c r="AH18" s="1323" t="s">
        <v>39</v>
      </c>
      <c r="AI18" s="1325"/>
      <c r="AJ18" s="1323" t="s">
        <v>4</v>
      </c>
      <c r="AK18" s="1323" t="s">
        <v>2</v>
      </c>
      <c r="AL18" s="1323" t="s">
        <v>1</v>
      </c>
      <c r="AM18" s="1323" t="s">
        <v>40</v>
      </c>
      <c r="AN18" s="1322"/>
      <c r="AO18" s="1323" t="s">
        <v>41</v>
      </c>
      <c r="AP18" s="1323" t="s">
        <v>42</v>
      </c>
      <c r="AQ18" s="1323" t="s">
        <v>43</v>
      </c>
      <c r="AR18" s="1323" t="s">
        <v>44</v>
      </c>
      <c r="AS18" s="1323" t="s">
        <v>409</v>
      </c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ht="19" thickBot="1" x14ac:dyDescent="0.25">
      <c r="A19" s="928" t="s">
        <v>13</v>
      </c>
      <c r="B19" s="929"/>
      <c r="C19" s="929"/>
      <c r="D19" s="929"/>
      <c r="E19" s="929"/>
      <c r="F19" s="929"/>
      <c r="G19" s="929"/>
      <c r="H19" s="929"/>
      <c r="I19" s="921">
        <f>I15+I16</f>
        <v>4119</v>
      </c>
      <c r="J19" s="922"/>
      <c r="K19" s="922"/>
      <c r="L19" s="923"/>
      <c r="M19" s="896">
        <f>M15+M17</f>
        <v>3364</v>
      </c>
      <c r="N19" s="897"/>
      <c r="O19" s="897"/>
      <c r="P19" s="898"/>
      <c r="Q19" s="896">
        <f t="shared" ref="Q19" si="0">Q15+Q17</f>
        <v>70.900000000000006</v>
      </c>
      <c r="R19" s="897"/>
      <c r="S19" s="897"/>
      <c r="T19" s="898"/>
      <c r="U19" s="896">
        <f t="shared" ref="U19" si="1">U15+U17</f>
        <v>2990.9</v>
      </c>
      <c r="V19" s="897"/>
      <c r="W19" s="897"/>
      <c r="X19" s="898"/>
      <c r="Y19" s="896">
        <f t="shared" ref="Y19" si="2">Y15+Y17</f>
        <v>10759</v>
      </c>
      <c r="Z19" s="897"/>
      <c r="AA19" s="897"/>
      <c r="AB19" s="898"/>
      <c r="AE19" s="1322" t="s">
        <v>47</v>
      </c>
      <c r="AF19" s="1326"/>
      <c r="AG19" s="1327"/>
      <c r="AH19" s="1326"/>
      <c r="AI19" s="1325"/>
      <c r="AJ19" s="1326" t="s">
        <v>406</v>
      </c>
      <c r="AK19" s="1326" t="s">
        <v>406</v>
      </c>
      <c r="AL19" s="1326" t="s">
        <v>406</v>
      </c>
      <c r="AM19" s="1326" t="s">
        <v>406</v>
      </c>
      <c r="AN19" s="1322" t="s">
        <v>47</v>
      </c>
      <c r="AO19" s="1326" t="s">
        <v>48</v>
      </c>
      <c r="AP19" s="1328" t="s">
        <v>48</v>
      </c>
      <c r="AQ19" s="1328" t="s">
        <v>48</v>
      </c>
      <c r="AR19" s="1328" t="s">
        <v>48</v>
      </c>
      <c r="AS19" s="1329" t="s">
        <v>48</v>
      </c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ht="19" thickBot="1" x14ac:dyDescent="0.25">
      <c r="A20" s="890"/>
      <c r="B20" s="891"/>
      <c r="C20" s="891"/>
      <c r="D20" s="891"/>
      <c r="E20" s="891"/>
      <c r="F20" s="891"/>
      <c r="G20" s="891"/>
      <c r="H20" s="891"/>
      <c r="I20" s="890"/>
      <c r="J20" s="891"/>
      <c r="K20" s="891"/>
      <c r="L20" s="892"/>
      <c r="M20" s="890"/>
      <c r="N20" s="891"/>
      <c r="O20" s="891"/>
      <c r="P20" s="892"/>
      <c r="Q20" s="890"/>
      <c r="R20" s="891"/>
      <c r="S20" s="891"/>
      <c r="T20" s="892"/>
      <c r="U20" s="890"/>
      <c r="V20" s="891"/>
      <c r="W20" s="891"/>
      <c r="X20" s="892"/>
      <c r="Y20" s="890"/>
      <c r="Z20" s="891"/>
      <c r="AA20" s="891"/>
      <c r="AB20" s="892"/>
      <c r="AE20" s="42" t="s">
        <v>310</v>
      </c>
      <c r="AF20" s="562">
        <v>107.7</v>
      </c>
      <c r="AG20" s="562">
        <v>8007</v>
      </c>
      <c r="AH20" s="575">
        <f>'Leverage and Restructuration'!H5</f>
        <v>3711.3788072924644</v>
      </c>
      <c r="AI20" s="41"/>
      <c r="AJ20" s="752">
        <f>'Restructuration cap'!W11</f>
        <v>972</v>
      </c>
      <c r="AK20" s="47">
        <f>'Restructuration cap'!W56</f>
        <v>239.7</v>
      </c>
      <c r="AL20" s="44">
        <f>'Restructuration cap'!W55</f>
        <v>203.99999999999997</v>
      </c>
      <c r="AM20" s="47">
        <f>'Restructuration cap'!W72</f>
        <v>181.09999999999997</v>
      </c>
      <c r="AN20" s="42" t="s">
        <v>310</v>
      </c>
      <c r="AO20" s="350">
        <f>AH20/AJ20</f>
        <v>3.8182909540045928</v>
      </c>
      <c r="AP20" s="350">
        <f>AH20/AK20</f>
        <v>15.483432654536774</v>
      </c>
      <c r="AQ20" s="350">
        <f>AH20/AL20</f>
        <v>18.193033369080709</v>
      </c>
      <c r="AR20" s="753">
        <f>AG20*1.1/AM20</f>
        <v>48.634456101601337</v>
      </c>
      <c r="AS20" s="758">
        <f>AR20/(AL9*100)</f>
        <v>4.8848013799906775</v>
      </c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ht="19" thickBot="1" x14ac:dyDescent="0.25">
      <c r="A21" s="928" t="s">
        <v>317</v>
      </c>
      <c r="B21" s="929"/>
      <c r="C21" s="929"/>
      <c r="D21" s="929"/>
      <c r="E21" s="929"/>
      <c r="F21" s="929"/>
      <c r="G21" s="929"/>
      <c r="H21" s="929"/>
      <c r="I21" s="904">
        <f>I13-I19</f>
        <v>2182</v>
      </c>
      <c r="J21" s="905"/>
      <c r="K21" s="905"/>
      <c r="L21" s="906"/>
      <c r="M21" s="904">
        <f>M13-M19</f>
        <v>1562</v>
      </c>
      <c r="N21" s="905"/>
      <c r="O21" s="905"/>
      <c r="P21" s="906"/>
      <c r="Q21" s="904">
        <f>Q13-Q19</f>
        <v>216.49999999999997</v>
      </c>
      <c r="R21" s="905"/>
      <c r="S21" s="905"/>
      <c r="T21" s="906"/>
      <c r="U21" s="904">
        <f>U13-U19</f>
        <v>479.90000000000009</v>
      </c>
      <c r="V21" s="905"/>
      <c r="W21" s="905"/>
      <c r="X21" s="906"/>
      <c r="Y21" s="904">
        <f>Y13-Y19</f>
        <v>8756</v>
      </c>
      <c r="Z21" s="905"/>
      <c r="AA21" s="905"/>
      <c r="AB21" s="906"/>
      <c r="AE21" s="43" t="s">
        <v>302</v>
      </c>
      <c r="AF21" s="575">
        <f>352.26</f>
        <v>352.26</v>
      </c>
      <c r="AG21" s="575">
        <f>92260</f>
        <v>92260</v>
      </c>
      <c r="AH21" s="575">
        <f>(AG35-AJ35)/AQ35</f>
        <v>95660</v>
      </c>
      <c r="AI21" s="41"/>
      <c r="AJ21" s="575">
        <f>I10</f>
        <v>7679</v>
      </c>
      <c r="AK21" s="45">
        <f>I21</f>
        <v>2182</v>
      </c>
      <c r="AL21" s="45">
        <f>I25</f>
        <v>1804</v>
      </c>
      <c r="AM21" s="45">
        <f>I48</f>
        <v>1851</v>
      </c>
      <c r="AN21" s="43" t="s">
        <v>302</v>
      </c>
      <c r="AO21" s="351">
        <f t="shared" ref="AO21:AO24" si="3">AH21/AJ21</f>
        <v>12.45735121760646</v>
      </c>
      <c r="AP21" s="351">
        <f t="shared" ref="AP21:AP24" si="4">AH21/AK21</f>
        <v>43.840513290559123</v>
      </c>
      <c r="AQ21" s="351">
        <f t="shared" ref="AQ21:AQ24" si="5">AH21/AL21</f>
        <v>53.026607538802658</v>
      </c>
      <c r="AR21" s="754">
        <f>AG21/AM21</f>
        <v>49.84332793084819</v>
      </c>
      <c r="AS21" s="759">
        <f>AR21/(AH9*100)</f>
        <v>3.3609796312102627</v>
      </c>
      <c r="AT21" s="817" t="s">
        <v>53</v>
      </c>
      <c r="AU21" s="818"/>
      <c r="AV21" s="818"/>
      <c r="AW21" s="818"/>
      <c r="AX21" s="818"/>
      <c r="AY21" s="818"/>
      <c r="AZ21" s="819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</row>
    <row r="22" spans="1:67" ht="19" thickBot="1" x14ac:dyDescent="0.25">
      <c r="A22" s="924"/>
      <c r="B22" s="925"/>
      <c r="C22" s="925"/>
      <c r="D22" s="925"/>
      <c r="E22" s="925"/>
      <c r="F22" s="925"/>
      <c r="G22" s="925"/>
      <c r="H22" s="926"/>
      <c r="I22" s="910"/>
      <c r="J22" s="911"/>
      <c r="K22" s="911"/>
      <c r="L22" s="912"/>
      <c r="M22" s="910"/>
      <c r="N22" s="911"/>
      <c r="O22" s="911"/>
      <c r="P22" s="912"/>
      <c r="Q22" s="910"/>
      <c r="R22" s="911"/>
      <c r="S22" s="911"/>
      <c r="T22" s="912"/>
      <c r="U22" s="910"/>
      <c r="V22" s="911"/>
      <c r="W22" s="911"/>
      <c r="X22" s="912"/>
      <c r="Y22" s="910"/>
      <c r="Z22" s="911"/>
      <c r="AA22" s="911"/>
      <c r="AB22" s="912"/>
      <c r="AE22" s="43" t="s">
        <v>303</v>
      </c>
      <c r="AF22" s="575">
        <f>103.07</f>
        <v>103.07</v>
      </c>
      <c r="AG22" s="575">
        <v>71980</v>
      </c>
      <c r="AH22" s="575">
        <f>(AG36-AJ36)/AQ36</f>
        <v>99546</v>
      </c>
      <c r="AI22" s="41"/>
      <c r="AJ22" s="575">
        <f>M10</f>
        <v>10187</v>
      </c>
      <c r="AK22" s="45">
        <f>M21</f>
        <v>1562</v>
      </c>
      <c r="AL22" s="45">
        <f>M25</f>
        <v>1364</v>
      </c>
      <c r="AM22" s="45">
        <f>M48</f>
        <v>864</v>
      </c>
      <c r="AN22" s="43" t="s">
        <v>303</v>
      </c>
      <c r="AO22" s="351">
        <f t="shared" si="3"/>
        <v>9.7718661038578585</v>
      </c>
      <c r="AP22" s="351">
        <f>AH22/AK22</f>
        <v>63.729833546734952</v>
      </c>
      <c r="AQ22" s="351">
        <f t="shared" si="5"/>
        <v>72.980938416422291</v>
      </c>
      <c r="AR22" s="754">
        <f t="shared" ref="AR22:AR24" si="6">AG22/AM22</f>
        <v>83.31018518518519</v>
      </c>
      <c r="AS22" s="759">
        <f>AR22/(AI9*100)</f>
        <v>9.8825842449804497</v>
      </c>
      <c r="AT22" s="814" t="s">
        <v>414</v>
      </c>
      <c r="AU22" s="815"/>
      <c r="AV22" s="815"/>
      <c r="AW22" s="815"/>
      <c r="AX22" s="815"/>
      <c r="AY22" s="815"/>
      <c r="AZ22" s="81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</row>
    <row r="23" spans="1:67" ht="18" x14ac:dyDescent="0.2">
      <c r="A23" s="890" t="s">
        <v>11</v>
      </c>
      <c r="B23" s="891"/>
      <c r="C23" s="891"/>
      <c r="D23" s="891"/>
      <c r="E23" s="891"/>
      <c r="F23" s="891"/>
      <c r="G23" s="891"/>
      <c r="H23" s="891"/>
      <c r="I23" s="884">
        <f>6</f>
        <v>6</v>
      </c>
      <c r="J23" s="885"/>
      <c r="K23" s="885"/>
      <c r="L23" s="886"/>
      <c r="M23" s="884" t="s">
        <v>32</v>
      </c>
      <c r="N23" s="885"/>
      <c r="O23" s="885"/>
      <c r="P23" s="886"/>
      <c r="Q23" s="884">
        <f>8.6</f>
        <v>8.6</v>
      </c>
      <c r="R23" s="885"/>
      <c r="S23" s="885"/>
      <c r="T23" s="886"/>
      <c r="U23" s="884">
        <f>186.8</f>
        <v>186.8</v>
      </c>
      <c r="V23" s="885"/>
      <c r="W23" s="885"/>
      <c r="X23" s="886"/>
      <c r="Y23" s="884" t="s">
        <v>32</v>
      </c>
      <c r="Z23" s="885"/>
      <c r="AA23" s="885"/>
      <c r="AB23" s="886"/>
      <c r="AE23" s="43" t="s">
        <v>304</v>
      </c>
      <c r="AF23" s="573">
        <f>816.5</f>
        <v>816.5</v>
      </c>
      <c r="AG23" s="573">
        <v>32240</v>
      </c>
      <c r="AH23" s="573">
        <f>(AG37-AJ37)/AQ37</f>
        <v>75184</v>
      </c>
      <c r="AI23" s="41"/>
      <c r="AJ23" s="573">
        <f>Q10</f>
        <v>454.5</v>
      </c>
      <c r="AK23" s="45">
        <f>Q21</f>
        <v>216.49999999999997</v>
      </c>
      <c r="AL23" s="46">
        <f>Q25</f>
        <v>176.99999999999997</v>
      </c>
      <c r="AM23" s="45">
        <f>Q48</f>
        <v>176.99999999999997</v>
      </c>
      <c r="AN23" s="43" t="s">
        <v>304</v>
      </c>
      <c r="AO23" s="351">
        <f t="shared" si="3"/>
        <v>165.42134213421343</v>
      </c>
      <c r="AP23" s="351">
        <f t="shared" si="4"/>
        <v>347.27020785219406</v>
      </c>
      <c r="AQ23" s="351">
        <f t="shared" si="5"/>
        <v>424.768361581921</v>
      </c>
      <c r="AR23" s="754">
        <f>AG23/AM23</f>
        <v>182.14689265536725</v>
      </c>
      <c r="AS23" s="759">
        <f>AR23/(AJ9*100)</f>
        <v>12.014966533995199</v>
      </c>
    </row>
    <row r="24" spans="1:67" ht="18" x14ac:dyDescent="0.2">
      <c r="A24" s="890" t="s">
        <v>311</v>
      </c>
      <c r="B24" s="891"/>
      <c r="C24" s="891"/>
      <c r="D24" s="891"/>
      <c r="E24" s="891"/>
      <c r="F24" s="891"/>
      <c r="G24" s="891"/>
      <c r="H24" s="892"/>
      <c r="I24" s="952">
        <f>I40</f>
        <v>372</v>
      </c>
      <c r="J24" s="953"/>
      <c r="K24" s="953"/>
      <c r="L24" s="954"/>
      <c r="M24" s="952">
        <f t="shared" ref="M24" si="7">M40</f>
        <v>198</v>
      </c>
      <c r="N24" s="953"/>
      <c r="O24" s="953"/>
      <c r="P24" s="954"/>
      <c r="Q24" s="952">
        <f t="shared" ref="Q24" si="8">Q40</f>
        <v>30.9</v>
      </c>
      <c r="R24" s="953"/>
      <c r="S24" s="953"/>
      <c r="T24" s="954"/>
      <c r="U24" s="952">
        <f t="shared" ref="U24" si="9">U40</f>
        <v>87.3</v>
      </c>
      <c r="V24" s="953"/>
      <c r="W24" s="953"/>
      <c r="X24" s="954"/>
      <c r="Y24" s="952">
        <f t="shared" ref="Y24" si="10">Y40</f>
        <v>1226</v>
      </c>
      <c r="Z24" s="953"/>
      <c r="AA24" s="953"/>
      <c r="AB24" s="954"/>
      <c r="AE24" s="43" t="s">
        <v>306</v>
      </c>
      <c r="AF24" s="574">
        <f>111.1</f>
        <v>111.1</v>
      </c>
      <c r="AG24" s="574">
        <v>2320</v>
      </c>
      <c r="AH24" s="574">
        <f>(AG38-AJ38)/AQ38</f>
        <v>3827.893</v>
      </c>
      <c r="AI24" s="41"/>
      <c r="AJ24" s="574">
        <f>U10</f>
        <v>4434</v>
      </c>
      <c r="AK24" s="45">
        <f>U21</f>
        <v>479.90000000000009</v>
      </c>
      <c r="AL24" s="45">
        <f>U25</f>
        <v>205.80000000000007</v>
      </c>
      <c r="AM24" s="45">
        <f>U48</f>
        <v>148.80000000000007</v>
      </c>
      <c r="AN24" s="43" t="s">
        <v>306</v>
      </c>
      <c r="AO24" s="351">
        <f t="shared" si="3"/>
        <v>0.86330469102390617</v>
      </c>
      <c r="AP24" s="351">
        <f t="shared" si="4"/>
        <v>7.9764388414252956</v>
      </c>
      <c r="AQ24" s="351">
        <f t="shared" si="5"/>
        <v>18.600063168124386</v>
      </c>
      <c r="AR24" s="754">
        <f t="shared" si="6"/>
        <v>15.591397849462359</v>
      </c>
      <c r="AS24" s="759">
        <f>AR24/(AK9*100)</f>
        <v>0.99181920161974291</v>
      </c>
    </row>
    <row r="25" spans="1:67" ht="19" thickBot="1" x14ac:dyDescent="0.25">
      <c r="A25" s="928" t="s">
        <v>312</v>
      </c>
      <c r="B25" s="929"/>
      <c r="C25" s="929"/>
      <c r="D25" s="929"/>
      <c r="E25" s="929"/>
      <c r="F25" s="929"/>
      <c r="G25" s="929"/>
      <c r="H25" s="929"/>
      <c r="I25" s="910">
        <f>I21-I24-I23</f>
        <v>1804</v>
      </c>
      <c r="J25" s="911"/>
      <c r="K25" s="911"/>
      <c r="L25" s="912"/>
      <c r="M25" s="910">
        <f>M21-M24</f>
        <v>1364</v>
      </c>
      <c r="N25" s="911"/>
      <c r="O25" s="911"/>
      <c r="P25" s="912"/>
      <c r="Q25" s="910">
        <f t="shared" ref="Q25" si="11">Q21-Q24-Q23</f>
        <v>176.99999999999997</v>
      </c>
      <c r="R25" s="911"/>
      <c r="S25" s="911"/>
      <c r="T25" s="912"/>
      <c r="U25" s="910">
        <f t="shared" ref="U25" si="12">U21-U24-U23</f>
        <v>205.80000000000007</v>
      </c>
      <c r="V25" s="911"/>
      <c r="W25" s="911"/>
      <c r="X25" s="912"/>
      <c r="Y25" s="910">
        <f>Y21-Y24</f>
        <v>7530</v>
      </c>
      <c r="Z25" s="911"/>
      <c r="AA25" s="911"/>
      <c r="AB25" s="912"/>
      <c r="AE25" s="43"/>
      <c r="AF25" s="575">
        <f>97.25</f>
        <v>97.25</v>
      </c>
      <c r="AG25" s="575">
        <f>121560</f>
        <v>121560</v>
      </c>
      <c r="AH25" s="575">
        <f t="shared" ref="AH25" si="13">(AG39-AJ39)/AQ39</f>
        <v>133140</v>
      </c>
      <c r="AI25" s="40"/>
      <c r="AJ25" s="574">
        <f>Y10</f>
        <v>27553</v>
      </c>
      <c r="AK25" s="45">
        <f>Y21</f>
        <v>8756</v>
      </c>
      <c r="AL25" s="45">
        <f>Y25</f>
        <v>7530</v>
      </c>
      <c r="AM25" s="45">
        <f>Y48</f>
        <v>7603</v>
      </c>
      <c r="AN25" s="43"/>
      <c r="AO25" s="351"/>
      <c r="AP25" s="351"/>
      <c r="AQ25" s="351"/>
      <c r="AR25" s="754"/>
      <c r="AS25" s="759"/>
    </row>
    <row r="26" spans="1:67" ht="18" x14ac:dyDescent="0.2">
      <c r="A26" s="927"/>
      <c r="B26" s="927"/>
      <c r="C26" s="927"/>
      <c r="D26" s="927"/>
      <c r="E26" s="927"/>
      <c r="F26" s="927"/>
      <c r="G26" s="927"/>
      <c r="H26" s="848"/>
      <c r="I26" s="890"/>
      <c r="J26" s="891"/>
      <c r="K26" s="891"/>
      <c r="L26" s="892"/>
      <c r="M26" s="890"/>
      <c r="N26" s="891"/>
      <c r="O26" s="891"/>
      <c r="P26" s="892"/>
      <c r="Q26" s="890"/>
      <c r="R26" s="891"/>
      <c r="S26" s="891"/>
      <c r="T26" s="892"/>
      <c r="U26" s="890"/>
      <c r="V26" s="891"/>
      <c r="W26" s="891"/>
      <c r="X26" s="892"/>
      <c r="Y26" s="890"/>
      <c r="Z26" s="891"/>
      <c r="AA26" s="891"/>
      <c r="AB26" s="892"/>
      <c r="AE26" s="1317" t="s">
        <v>314</v>
      </c>
      <c r="AF26" s="1330"/>
      <c r="AG26" s="1330"/>
      <c r="AH26" s="1330"/>
      <c r="AI26" s="1330"/>
      <c r="AJ26" s="1330"/>
      <c r="AK26" s="1330"/>
      <c r="AL26" s="1330"/>
      <c r="AM26" s="1330"/>
      <c r="AN26" s="1317" t="s">
        <v>314</v>
      </c>
      <c r="AO26" s="1331">
        <f>AVERAGE(AO21:AO25)</f>
        <v>47.128466036675412</v>
      </c>
      <c r="AP26" s="1331">
        <f>AVERAGE(AP21:AP25)</f>
        <v>115.70424838272837</v>
      </c>
      <c r="AQ26" s="1331">
        <f>AVERAGE(AQ21:AQ25)</f>
        <v>142.34399267631758</v>
      </c>
      <c r="AR26" s="1331">
        <f>AVERAGE(AR21:AR25)</f>
        <v>82.72295090521574</v>
      </c>
      <c r="AS26" s="1332">
        <f>AVERAGE(AS21:AS25)</f>
        <v>6.5625874029514142</v>
      </c>
    </row>
    <row r="27" spans="1:67" ht="19" thickBot="1" x14ac:dyDescent="0.25">
      <c r="A27" s="890" t="s">
        <v>14</v>
      </c>
      <c r="B27" s="891"/>
      <c r="C27" s="891"/>
      <c r="D27" s="891"/>
      <c r="E27" s="891"/>
      <c r="F27" s="891"/>
      <c r="G27" s="891"/>
      <c r="H27" s="891"/>
      <c r="I27" s="884">
        <f>-14</f>
        <v>-14</v>
      </c>
      <c r="J27" s="885"/>
      <c r="K27" s="885"/>
      <c r="L27" s="886"/>
      <c r="M27" s="884">
        <f>-473</f>
        <v>-473</v>
      </c>
      <c r="N27" s="885"/>
      <c r="O27" s="885"/>
      <c r="P27" s="886"/>
      <c r="Q27" s="884">
        <f>-1</f>
        <v>-1</v>
      </c>
      <c r="R27" s="885"/>
      <c r="S27" s="885"/>
      <c r="T27" s="886"/>
      <c r="U27" s="884">
        <f>-21.3</f>
        <v>-21.3</v>
      </c>
      <c r="V27" s="885"/>
      <c r="W27" s="885"/>
      <c r="X27" s="886"/>
      <c r="Y27" s="884">
        <f>-207</f>
        <v>-207</v>
      </c>
      <c r="Z27" s="885"/>
      <c r="AA27" s="885"/>
      <c r="AB27" s="886"/>
      <c r="AE27" s="1333" t="s">
        <v>315</v>
      </c>
      <c r="AF27" s="1334"/>
      <c r="AG27" s="1334"/>
      <c r="AH27" s="1334"/>
      <c r="AI27" s="1334"/>
      <c r="AJ27" s="1334"/>
      <c r="AK27" s="1334"/>
      <c r="AL27" s="1334"/>
      <c r="AM27" s="1334"/>
      <c r="AN27" s="1333" t="s">
        <v>315</v>
      </c>
      <c r="AO27" s="1335">
        <f>MEDIAN(AO21:AO25)</f>
        <v>11.114608660732159</v>
      </c>
      <c r="AP27" s="1335">
        <f>MEDIAN(AP21:AP25)</f>
        <v>53.785173418647034</v>
      </c>
      <c r="AQ27" s="1335">
        <f>MEDIAN(AQ21:AQ25)</f>
        <v>63.003772977612471</v>
      </c>
      <c r="AR27" s="1335">
        <f>MEDIAN(AR21:AR25)</f>
        <v>66.576756558016683</v>
      </c>
      <c r="AS27" s="1336">
        <f>MEDIAN(AS21:AS25)</f>
        <v>6.6217819380953564</v>
      </c>
    </row>
    <row r="28" spans="1:67" ht="18" x14ac:dyDescent="0.2">
      <c r="A28" s="890" t="s">
        <v>15</v>
      </c>
      <c r="B28" s="891"/>
      <c r="C28" s="891"/>
      <c r="D28" s="891"/>
      <c r="E28" s="891"/>
      <c r="F28" s="891"/>
      <c r="G28" s="891"/>
      <c r="H28" s="891"/>
      <c r="I28" s="884">
        <f>39+25</f>
        <v>64</v>
      </c>
      <c r="J28" s="885"/>
      <c r="K28" s="885"/>
      <c r="L28" s="886"/>
      <c r="M28" s="893"/>
      <c r="N28" s="894"/>
      <c r="O28" s="894"/>
      <c r="P28" s="895"/>
      <c r="Q28" s="884">
        <f>1.1</f>
        <v>1.1000000000000001</v>
      </c>
      <c r="R28" s="885"/>
      <c r="S28" s="885"/>
      <c r="T28" s="886"/>
      <c r="U28" s="884">
        <f>-19.7+1.6</f>
        <v>-18.099999999999998</v>
      </c>
      <c r="V28" s="885"/>
      <c r="W28" s="885"/>
      <c r="X28" s="886"/>
      <c r="Y28" s="893">
        <f>441</f>
        <v>441</v>
      </c>
      <c r="Z28" s="894"/>
      <c r="AA28" s="894"/>
      <c r="AB28" s="895"/>
    </row>
    <row r="29" spans="1:67" ht="18" x14ac:dyDescent="0.2">
      <c r="A29" s="928" t="s">
        <v>16</v>
      </c>
      <c r="B29" s="929"/>
      <c r="C29" s="929"/>
      <c r="D29" s="929"/>
      <c r="E29" s="929"/>
      <c r="F29" s="929"/>
      <c r="G29" s="929"/>
      <c r="H29" s="929"/>
      <c r="I29" s="887">
        <f>I27+I28</f>
        <v>50</v>
      </c>
      <c r="J29" s="888"/>
      <c r="K29" s="888"/>
      <c r="L29" s="889"/>
      <c r="M29" s="896">
        <f>M27+M28</f>
        <v>-473</v>
      </c>
      <c r="N29" s="897"/>
      <c r="O29" s="897"/>
      <c r="P29" s="898"/>
      <c r="Q29" s="887">
        <f>Q27+Q28</f>
        <v>0.10000000000000009</v>
      </c>
      <c r="R29" s="888"/>
      <c r="S29" s="888"/>
      <c r="T29" s="889"/>
      <c r="U29" s="887">
        <f>U28+U27</f>
        <v>-39.4</v>
      </c>
      <c r="V29" s="888"/>
      <c r="W29" s="888"/>
      <c r="X29" s="889"/>
      <c r="Y29" s="896">
        <f>Y27+Y28</f>
        <v>234</v>
      </c>
      <c r="Z29" s="897"/>
      <c r="AA29" s="897"/>
      <c r="AB29" s="898"/>
    </row>
    <row r="30" spans="1:67" ht="19" thickBot="1" x14ac:dyDescent="0.25">
      <c r="A30" s="890"/>
      <c r="B30" s="891"/>
      <c r="C30" s="891"/>
      <c r="D30" s="891"/>
      <c r="E30" s="891"/>
      <c r="F30" s="891"/>
      <c r="G30" s="891"/>
      <c r="H30" s="891"/>
      <c r="I30" s="890"/>
      <c r="J30" s="891"/>
      <c r="K30" s="891"/>
      <c r="L30" s="892"/>
      <c r="M30" s="890"/>
      <c r="N30" s="891"/>
      <c r="O30" s="891"/>
      <c r="P30" s="892"/>
      <c r="Q30" s="890"/>
      <c r="R30" s="891"/>
      <c r="S30" s="891"/>
      <c r="T30" s="892"/>
      <c r="U30" s="890"/>
      <c r="V30" s="891"/>
      <c r="W30" s="891"/>
      <c r="X30" s="892"/>
      <c r="Y30" s="890"/>
      <c r="Z30" s="891"/>
      <c r="AA30" s="891"/>
      <c r="AB30" s="892"/>
    </row>
    <row r="31" spans="1:67" ht="18" x14ac:dyDescent="0.2">
      <c r="A31" s="890" t="s">
        <v>17</v>
      </c>
      <c r="B31" s="891"/>
      <c r="C31" s="891"/>
      <c r="D31" s="891"/>
      <c r="E31" s="891"/>
      <c r="F31" s="891"/>
      <c r="G31" s="891"/>
      <c r="H31" s="891"/>
      <c r="I31" s="884">
        <f>0</f>
        <v>0</v>
      </c>
      <c r="J31" s="885"/>
      <c r="K31" s="885"/>
      <c r="L31" s="886"/>
      <c r="M31" s="884">
        <f>-6</f>
        <v>-6</v>
      </c>
      <c r="N31" s="885"/>
      <c r="O31" s="885"/>
      <c r="P31" s="886"/>
      <c r="Q31" s="884" t="s">
        <v>32</v>
      </c>
      <c r="R31" s="885"/>
      <c r="S31" s="885"/>
      <c r="T31" s="886"/>
      <c r="U31" s="884">
        <f>-7.6</f>
        <v>-7.6</v>
      </c>
      <c r="V31" s="885"/>
      <c r="W31" s="885"/>
      <c r="X31" s="886"/>
      <c r="Y31" s="893">
        <f>-111</f>
        <v>-111</v>
      </c>
      <c r="Z31" s="894"/>
      <c r="AA31" s="894"/>
      <c r="AB31" s="895"/>
      <c r="AE31" s="853" t="s">
        <v>318</v>
      </c>
      <c r="AF31" s="854"/>
      <c r="AG31" s="854"/>
      <c r="AH31" s="854"/>
      <c r="AI31" s="854"/>
      <c r="AJ31" s="854"/>
      <c r="AK31" s="854"/>
      <c r="AL31" s="854"/>
      <c r="AM31" s="854"/>
      <c r="AN31" s="854"/>
      <c r="AO31" s="854"/>
      <c r="AP31" s="854"/>
      <c r="AQ31" s="854"/>
      <c r="AR31" s="855"/>
    </row>
    <row r="32" spans="1:67" ht="19" thickBot="1" x14ac:dyDescent="0.25">
      <c r="A32" s="928" t="s">
        <v>18</v>
      </c>
      <c r="B32" s="929"/>
      <c r="C32" s="929"/>
      <c r="D32" s="929"/>
      <c r="E32" s="929"/>
      <c r="F32" s="929"/>
      <c r="G32" s="929"/>
      <c r="H32" s="930"/>
      <c r="I32" s="887">
        <f>I21+I29+I31-I23</f>
        <v>2226</v>
      </c>
      <c r="J32" s="888"/>
      <c r="K32" s="888"/>
      <c r="L32" s="889"/>
      <c r="M32" s="887">
        <f>M21+M29+M31</f>
        <v>1083</v>
      </c>
      <c r="N32" s="888"/>
      <c r="O32" s="888"/>
      <c r="P32" s="889"/>
      <c r="Q32" s="887">
        <f>Q21+Q29-Q23</f>
        <v>207.99999999999997</v>
      </c>
      <c r="R32" s="888"/>
      <c r="S32" s="888"/>
      <c r="T32" s="889"/>
      <c r="U32" s="887">
        <f t="shared" ref="U32" si="14">U21+U29+U31-U23</f>
        <v>246.10000000000008</v>
      </c>
      <c r="V32" s="888"/>
      <c r="W32" s="888"/>
      <c r="X32" s="889"/>
      <c r="Y32" s="887">
        <f>Y21+Y29+Y31</f>
        <v>8879</v>
      </c>
      <c r="Z32" s="888"/>
      <c r="AA32" s="888"/>
      <c r="AB32" s="889"/>
      <c r="AE32" s="856"/>
      <c r="AF32" s="857"/>
      <c r="AG32" s="857"/>
      <c r="AH32" s="857"/>
      <c r="AI32" s="857"/>
      <c r="AJ32" s="857"/>
      <c r="AK32" s="857"/>
      <c r="AL32" s="857"/>
      <c r="AM32" s="857"/>
      <c r="AN32" s="857"/>
      <c r="AO32" s="857"/>
      <c r="AP32" s="857"/>
      <c r="AQ32" s="857"/>
      <c r="AR32" s="858"/>
    </row>
    <row r="33" spans="1:44" ht="18" x14ac:dyDescent="0.2">
      <c r="A33" s="890"/>
      <c r="B33" s="891"/>
      <c r="C33" s="891"/>
      <c r="D33" s="891"/>
      <c r="E33" s="891"/>
      <c r="F33" s="891"/>
      <c r="G33" s="891"/>
      <c r="H33" s="891"/>
      <c r="I33" s="890"/>
      <c r="J33" s="891"/>
      <c r="K33" s="891"/>
      <c r="L33" s="892"/>
      <c r="M33" s="904"/>
      <c r="N33" s="905"/>
      <c r="O33" s="905"/>
      <c r="P33" s="906"/>
      <c r="Q33" s="890"/>
      <c r="R33" s="891"/>
      <c r="S33" s="891"/>
      <c r="T33" s="892"/>
      <c r="U33" s="890"/>
      <c r="V33" s="891"/>
      <c r="W33" s="891"/>
      <c r="X33" s="892"/>
      <c r="Y33" s="890"/>
      <c r="Z33" s="891"/>
      <c r="AA33" s="891"/>
      <c r="AB33" s="892"/>
      <c r="AE33" s="867" t="s">
        <v>51</v>
      </c>
      <c r="AF33" s="868"/>
      <c r="AG33" s="867" t="s">
        <v>322</v>
      </c>
      <c r="AH33" s="876"/>
      <c r="AI33" s="868"/>
      <c r="AJ33" s="867" t="s">
        <v>404</v>
      </c>
      <c r="AK33" s="876"/>
      <c r="AL33" s="876"/>
      <c r="AM33" s="876"/>
      <c r="AN33" s="868"/>
      <c r="AO33" s="867" t="s">
        <v>405</v>
      </c>
      <c r="AP33" s="868"/>
      <c r="AQ33" s="867" t="s">
        <v>52</v>
      </c>
      <c r="AR33" s="868"/>
    </row>
    <row r="34" spans="1:44" ht="19" thickBot="1" x14ac:dyDescent="0.25">
      <c r="A34" s="890" t="s">
        <v>19</v>
      </c>
      <c r="B34" s="891"/>
      <c r="C34" s="891"/>
      <c r="D34" s="891"/>
      <c r="E34" s="891"/>
      <c r="F34" s="891"/>
      <c r="G34" s="891"/>
      <c r="H34" s="891"/>
      <c r="I34" s="884" t="s">
        <v>32</v>
      </c>
      <c r="J34" s="885"/>
      <c r="K34" s="885"/>
      <c r="L34" s="886"/>
      <c r="M34" s="884" t="s">
        <v>32</v>
      </c>
      <c r="N34" s="885"/>
      <c r="O34" s="885"/>
      <c r="P34" s="886"/>
      <c r="Q34" s="884" t="s">
        <v>32</v>
      </c>
      <c r="R34" s="885"/>
      <c r="S34" s="885"/>
      <c r="T34" s="886"/>
      <c r="U34" s="884" t="s">
        <v>32</v>
      </c>
      <c r="V34" s="885"/>
      <c r="W34" s="885"/>
      <c r="X34" s="886"/>
      <c r="Y34" s="884" t="s">
        <v>32</v>
      </c>
      <c r="Z34" s="885"/>
      <c r="AA34" s="885"/>
      <c r="AB34" s="886"/>
      <c r="AE34" s="869"/>
      <c r="AF34" s="870"/>
      <c r="AG34" s="869"/>
      <c r="AH34" s="877"/>
      <c r="AI34" s="870"/>
      <c r="AJ34" s="869"/>
      <c r="AK34" s="877"/>
      <c r="AL34" s="877"/>
      <c r="AM34" s="877"/>
      <c r="AN34" s="870"/>
      <c r="AO34" s="869"/>
      <c r="AP34" s="870"/>
      <c r="AQ34" s="869"/>
      <c r="AR34" s="870"/>
    </row>
    <row r="35" spans="1:44" ht="18" x14ac:dyDescent="0.2">
      <c r="A35" s="890" t="s">
        <v>20</v>
      </c>
      <c r="B35" s="891"/>
      <c r="C35" s="891"/>
      <c r="D35" s="891"/>
      <c r="E35" s="891"/>
      <c r="F35" s="891"/>
      <c r="G35" s="891"/>
      <c r="H35" s="891"/>
      <c r="I35" s="884" t="s">
        <v>32</v>
      </c>
      <c r="J35" s="885"/>
      <c r="K35" s="885"/>
      <c r="L35" s="886"/>
      <c r="M35" s="884" t="s">
        <v>32</v>
      </c>
      <c r="N35" s="885"/>
      <c r="O35" s="885"/>
      <c r="P35" s="886"/>
      <c r="Q35" s="884" t="s">
        <v>32</v>
      </c>
      <c r="R35" s="885"/>
      <c r="S35" s="885"/>
      <c r="T35" s="886"/>
      <c r="U35" s="884" t="s">
        <v>32</v>
      </c>
      <c r="V35" s="885"/>
      <c r="W35" s="885"/>
      <c r="X35" s="886"/>
      <c r="Y35" s="884" t="s">
        <v>32</v>
      </c>
      <c r="Z35" s="885"/>
      <c r="AA35" s="885"/>
      <c r="AB35" s="886"/>
      <c r="AE35" s="871" t="s">
        <v>302</v>
      </c>
      <c r="AF35" s="872"/>
      <c r="AG35" s="824">
        <f>3400</f>
        <v>3400</v>
      </c>
      <c r="AH35" s="824"/>
      <c r="AI35" s="825"/>
      <c r="AJ35" s="875">
        <f>7050</f>
        <v>7050</v>
      </c>
      <c r="AK35" s="824"/>
      <c r="AL35" s="824"/>
      <c r="AM35" s="824"/>
      <c r="AN35" s="825"/>
      <c r="AO35" s="845">
        <f>AG21</f>
        <v>92260</v>
      </c>
      <c r="AP35" s="846"/>
      <c r="AQ35" s="832">
        <f t="shared" ref="AQ35:AQ37" si="15">(AG35-AJ35)/(AO35+AG35)</f>
        <v>-3.8155969057077146E-2</v>
      </c>
      <c r="AR35" s="833"/>
    </row>
    <row r="36" spans="1:44" ht="18" x14ac:dyDescent="0.2">
      <c r="A36" s="890" t="s">
        <v>21</v>
      </c>
      <c r="B36" s="891"/>
      <c r="C36" s="891"/>
      <c r="D36" s="891"/>
      <c r="E36" s="891"/>
      <c r="F36" s="891"/>
      <c r="G36" s="891"/>
      <c r="H36" s="891"/>
      <c r="I36" s="884">
        <f>-3</f>
        <v>-3</v>
      </c>
      <c r="J36" s="885"/>
      <c r="K36" s="885"/>
      <c r="L36" s="886"/>
      <c r="M36" s="884" t="s">
        <v>32</v>
      </c>
      <c r="N36" s="885"/>
      <c r="O36" s="885"/>
      <c r="P36" s="886"/>
      <c r="Q36" s="884">
        <f>-0.1</f>
        <v>-0.1</v>
      </c>
      <c r="R36" s="885"/>
      <c r="S36" s="885"/>
      <c r="T36" s="886"/>
      <c r="U36" s="884">
        <f>2.7</f>
        <v>2.7</v>
      </c>
      <c r="V36" s="885"/>
      <c r="W36" s="885"/>
      <c r="X36" s="886"/>
      <c r="Y36" s="884" t="s">
        <v>32</v>
      </c>
      <c r="Z36" s="885"/>
      <c r="AA36" s="885"/>
      <c r="AB36" s="886"/>
      <c r="AE36" s="873" t="s">
        <v>303</v>
      </c>
      <c r="AF36" s="874"/>
      <c r="AG36" s="862">
        <f>27566</f>
        <v>27566</v>
      </c>
      <c r="AH36" s="862">
        <v>3361</v>
      </c>
      <c r="AI36" s="863">
        <v>3361</v>
      </c>
      <c r="AJ36" s="841">
        <f>843</f>
        <v>843</v>
      </c>
      <c r="AK36" s="839"/>
      <c r="AL36" s="839"/>
      <c r="AM36" s="839"/>
      <c r="AN36" s="840"/>
      <c r="AO36" s="847">
        <f>AG22</f>
        <v>71980</v>
      </c>
      <c r="AP36" s="848"/>
      <c r="AQ36" s="834">
        <f t="shared" si="15"/>
        <v>0.26844875735840718</v>
      </c>
      <c r="AR36" s="835"/>
    </row>
    <row r="37" spans="1:44" ht="18" x14ac:dyDescent="0.2">
      <c r="A37" s="890" t="s">
        <v>22</v>
      </c>
      <c r="B37" s="891"/>
      <c r="C37" s="891"/>
      <c r="D37" s="891"/>
      <c r="E37" s="891"/>
      <c r="F37" s="891"/>
      <c r="G37" s="891"/>
      <c r="H37" s="891"/>
      <c r="I37" s="884" t="s">
        <v>32</v>
      </c>
      <c r="J37" s="885"/>
      <c r="K37" s="885"/>
      <c r="L37" s="886"/>
      <c r="M37" s="884" t="s">
        <v>32</v>
      </c>
      <c r="N37" s="885"/>
      <c r="O37" s="885"/>
      <c r="P37" s="886"/>
      <c r="Q37" s="884" t="s">
        <v>32</v>
      </c>
      <c r="R37" s="885"/>
      <c r="S37" s="885"/>
      <c r="T37" s="886"/>
      <c r="U37" s="884" t="s">
        <v>32</v>
      </c>
      <c r="V37" s="885"/>
      <c r="W37" s="885"/>
      <c r="X37" s="886"/>
      <c r="Y37" s="884" t="s">
        <v>32</v>
      </c>
      <c r="Z37" s="885"/>
      <c r="AA37" s="885"/>
      <c r="AB37" s="886"/>
      <c r="AE37" s="873" t="s">
        <v>304</v>
      </c>
      <c r="AF37" s="874"/>
      <c r="AG37" s="862">
        <f>42944</f>
        <v>42944</v>
      </c>
      <c r="AH37" s="862"/>
      <c r="AI37" s="863"/>
      <c r="AJ37" s="841">
        <f>31.9</f>
        <v>31.9</v>
      </c>
      <c r="AK37" s="839"/>
      <c r="AL37" s="839"/>
      <c r="AM37" s="839"/>
      <c r="AN37" s="840"/>
      <c r="AO37" s="847">
        <f>AG23</f>
        <v>32240</v>
      </c>
      <c r="AP37" s="848">
        <v>49884.001733999998</v>
      </c>
      <c r="AQ37" s="834">
        <f t="shared" si="15"/>
        <v>0.57076106618429456</v>
      </c>
      <c r="AR37" s="835"/>
    </row>
    <row r="38" spans="1:44" ht="18" x14ac:dyDescent="0.2">
      <c r="A38" s="928" t="s">
        <v>23</v>
      </c>
      <c r="B38" s="929"/>
      <c r="C38" s="929"/>
      <c r="D38" s="929"/>
      <c r="E38" s="929"/>
      <c r="F38" s="929"/>
      <c r="G38" s="929"/>
      <c r="H38" s="929"/>
      <c r="I38" s="887">
        <f>I32+I36</f>
        <v>2223</v>
      </c>
      <c r="J38" s="888"/>
      <c r="K38" s="888"/>
      <c r="L38" s="889"/>
      <c r="M38" s="896">
        <f>M32</f>
        <v>1083</v>
      </c>
      <c r="N38" s="897"/>
      <c r="O38" s="897"/>
      <c r="P38" s="898"/>
      <c r="Q38" s="896">
        <f>Q32+Q36</f>
        <v>207.89999999999998</v>
      </c>
      <c r="R38" s="897"/>
      <c r="S38" s="897"/>
      <c r="T38" s="898"/>
      <c r="U38" s="887">
        <f>U32+U36</f>
        <v>248.80000000000007</v>
      </c>
      <c r="V38" s="888"/>
      <c r="W38" s="888"/>
      <c r="X38" s="889"/>
      <c r="Y38" s="887">
        <f>Y32</f>
        <v>8879</v>
      </c>
      <c r="Z38" s="888"/>
      <c r="AA38" s="888"/>
      <c r="AB38" s="889"/>
      <c r="AE38" s="873" t="s">
        <v>306</v>
      </c>
      <c r="AF38" s="874"/>
      <c r="AG38" s="864">
        <f>1507.893</f>
        <v>1507.893</v>
      </c>
      <c r="AH38" s="862"/>
      <c r="AI38" s="863"/>
      <c r="AJ38" s="838">
        <f>197.5</f>
        <v>197.5</v>
      </c>
      <c r="AK38" s="839"/>
      <c r="AL38" s="839"/>
      <c r="AM38" s="839"/>
      <c r="AN38" s="840"/>
      <c r="AO38" s="849">
        <f>AG24</f>
        <v>2320</v>
      </c>
      <c r="AP38" s="850"/>
      <c r="AQ38" s="834">
        <f>(AG38-AJ38)/(AO38+AG38)</f>
        <v>0.34232748930024953</v>
      </c>
      <c r="AR38" s="835"/>
    </row>
    <row r="39" spans="1:44" ht="18" x14ac:dyDescent="0.2">
      <c r="A39" s="890"/>
      <c r="B39" s="891"/>
      <c r="C39" s="891"/>
      <c r="D39" s="891"/>
      <c r="E39" s="891"/>
      <c r="F39" s="891"/>
      <c r="G39" s="891"/>
      <c r="H39" s="891"/>
      <c r="I39" s="890"/>
      <c r="J39" s="891"/>
      <c r="K39" s="891"/>
      <c r="L39" s="892"/>
      <c r="M39" s="890"/>
      <c r="N39" s="891"/>
      <c r="O39" s="891"/>
      <c r="P39" s="892"/>
      <c r="Q39" s="890"/>
      <c r="R39" s="891"/>
      <c r="S39" s="891"/>
      <c r="T39" s="892"/>
      <c r="U39" s="890"/>
      <c r="V39" s="891"/>
      <c r="W39" s="891"/>
      <c r="X39" s="892"/>
      <c r="Y39" s="890"/>
      <c r="Z39" s="891"/>
      <c r="AA39" s="891"/>
      <c r="AB39" s="892"/>
      <c r="AE39" s="873" t="s">
        <v>305</v>
      </c>
      <c r="AF39" s="874"/>
      <c r="AG39" s="862">
        <f>11580</f>
        <v>11580</v>
      </c>
      <c r="AH39" s="862"/>
      <c r="AI39" s="863"/>
      <c r="AJ39" s="841">
        <f>5419</f>
        <v>5419</v>
      </c>
      <c r="AK39" s="839"/>
      <c r="AL39" s="839"/>
      <c r="AM39" s="839"/>
      <c r="AN39" s="840"/>
      <c r="AO39" s="849">
        <f>AG25</f>
        <v>121560</v>
      </c>
      <c r="AP39" s="850"/>
      <c r="AQ39" s="834">
        <f t="shared" ref="AQ39" si="16">(AG39-AJ39)/(AO39+AG39)</f>
        <v>4.6274598167342647E-2</v>
      </c>
      <c r="AR39" s="835"/>
    </row>
    <row r="40" spans="1:44" ht="19" thickBot="1" x14ac:dyDescent="0.25">
      <c r="A40" s="890" t="s">
        <v>24</v>
      </c>
      <c r="B40" s="891"/>
      <c r="C40" s="891"/>
      <c r="D40" s="891"/>
      <c r="E40" s="891"/>
      <c r="F40" s="891"/>
      <c r="G40" s="891"/>
      <c r="H40" s="891"/>
      <c r="I40" s="884">
        <f>472-100</f>
        <v>372</v>
      </c>
      <c r="J40" s="885"/>
      <c r="K40" s="885"/>
      <c r="L40" s="886"/>
      <c r="M40" s="893">
        <f>198</f>
        <v>198</v>
      </c>
      <c r="N40" s="894"/>
      <c r="O40" s="894"/>
      <c r="P40" s="895"/>
      <c r="Q40" s="893">
        <f>30.9</f>
        <v>30.9</v>
      </c>
      <c r="R40" s="894"/>
      <c r="S40" s="894"/>
      <c r="T40" s="895"/>
      <c r="U40" s="884">
        <f>87.3</f>
        <v>87.3</v>
      </c>
      <c r="V40" s="885"/>
      <c r="W40" s="885"/>
      <c r="X40" s="886"/>
      <c r="Y40" s="884">
        <f>1226</f>
        <v>1226</v>
      </c>
      <c r="Z40" s="885"/>
      <c r="AA40" s="885"/>
      <c r="AB40" s="886"/>
      <c r="AE40" s="902" t="s">
        <v>310</v>
      </c>
      <c r="AF40" s="903"/>
      <c r="AG40" s="865">
        <v>1784.912</v>
      </c>
      <c r="AH40" s="865"/>
      <c r="AI40" s="866"/>
      <c r="AJ40" s="842">
        <f>NWC!V7</f>
        <v>157.19999999999999</v>
      </c>
      <c r="AK40" s="843"/>
      <c r="AL40" s="843"/>
      <c r="AM40" s="843"/>
      <c r="AN40" s="844"/>
      <c r="AO40" s="851">
        <f>AG20*1.1</f>
        <v>8807.7000000000007</v>
      </c>
      <c r="AP40" s="852"/>
      <c r="AQ40" s="836">
        <f>(AG40-AJ40)/(AO40+AG40)</f>
        <v>0.15366483734134695</v>
      </c>
      <c r="AR40" s="837"/>
    </row>
    <row r="41" spans="1:44" ht="18" x14ac:dyDescent="0.2">
      <c r="A41" s="928" t="s">
        <v>25</v>
      </c>
      <c r="B41" s="929"/>
      <c r="C41" s="929"/>
      <c r="D41" s="929"/>
      <c r="E41" s="929"/>
      <c r="F41" s="929"/>
      <c r="G41" s="929"/>
      <c r="H41" s="929"/>
      <c r="I41" s="887">
        <f>I38-I40</f>
        <v>1851</v>
      </c>
      <c r="J41" s="888"/>
      <c r="K41" s="888"/>
      <c r="L41" s="889"/>
      <c r="M41" s="896">
        <f>M38-M40</f>
        <v>885</v>
      </c>
      <c r="N41" s="897"/>
      <c r="O41" s="897"/>
      <c r="P41" s="898"/>
      <c r="Q41" s="896">
        <f>Q38-Q40</f>
        <v>176.99999999999997</v>
      </c>
      <c r="R41" s="897"/>
      <c r="S41" s="897"/>
      <c r="T41" s="898"/>
      <c r="U41" s="887">
        <f>U38-U40</f>
        <v>161.50000000000006</v>
      </c>
      <c r="V41" s="888"/>
      <c r="W41" s="888"/>
      <c r="X41" s="889"/>
      <c r="Y41" s="887">
        <f>Y38-Y40</f>
        <v>7653</v>
      </c>
      <c r="Z41" s="888"/>
      <c r="AA41" s="888"/>
      <c r="AB41" s="889"/>
      <c r="AE41" s="36"/>
      <c r="AF41" s="37"/>
      <c r="AG41" s="37"/>
      <c r="AH41" s="38"/>
      <c r="AI41" s="37"/>
      <c r="AJ41" s="39"/>
      <c r="AK41" s="17"/>
      <c r="AL41" s="826" t="s">
        <v>313</v>
      </c>
      <c r="AM41" s="827"/>
      <c r="AN41" s="827"/>
      <c r="AO41" s="827"/>
      <c r="AP41" s="828"/>
      <c r="AQ41" s="820">
        <f>AVERAGE(AQ35:AR39)</f>
        <v>0.23793118839064337</v>
      </c>
      <c r="AR41" s="821"/>
    </row>
    <row r="42" spans="1:44" ht="19" thickBot="1" x14ac:dyDescent="0.25">
      <c r="A42" s="890"/>
      <c r="B42" s="891"/>
      <c r="C42" s="891"/>
      <c r="D42" s="891"/>
      <c r="E42" s="891"/>
      <c r="F42" s="891"/>
      <c r="G42" s="891"/>
      <c r="H42" s="891"/>
      <c r="I42" s="890"/>
      <c r="J42" s="891"/>
      <c r="K42" s="891"/>
      <c r="L42" s="892"/>
      <c r="M42" s="890"/>
      <c r="N42" s="891"/>
      <c r="O42" s="891"/>
      <c r="P42" s="892"/>
      <c r="Q42" s="890"/>
      <c r="R42" s="891"/>
      <c r="S42" s="891"/>
      <c r="T42" s="892"/>
      <c r="U42" s="890"/>
      <c r="V42" s="891"/>
      <c r="W42" s="891"/>
      <c r="X42" s="892"/>
      <c r="Y42" s="890"/>
      <c r="Z42" s="891"/>
      <c r="AA42" s="891"/>
      <c r="AB42" s="892"/>
      <c r="AE42" s="36"/>
      <c r="AF42" s="38"/>
      <c r="AG42" s="37"/>
      <c r="AH42" s="38"/>
      <c r="AI42" s="37"/>
      <c r="AJ42" s="39"/>
      <c r="AK42" s="17"/>
      <c r="AL42" s="829"/>
      <c r="AM42" s="830"/>
      <c r="AN42" s="830"/>
      <c r="AO42" s="830"/>
      <c r="AP42" s="831"/>
      <c r="AQ42" s="822"/>
      <c r="AR42" s="823"/>
    </row>
    <row r="43" spans="1:44" ht="18" x14ac:dyDescent="0.2">
      <c r="A43" s="890" t="s">
        <v>26</v>
      </c>
      <c r="B43" s="891"/>
      <c r="C43" s="891"/>
      <c r="D43" s="891"/>
      <c r="E43" s="891"/>
      <c r="F43" s="891"/>
      <c r="G43" s="891"/>
      <c r="H43" s="891"/>
      <c r="I43" s="884" t="s">
        <v>32</v>
      </c>
      <c r="J43" s="885"/>
      <c r="K43" s="885"/>
      <c r="L43" s="886"/>
      <c r="M43" s="884" t="s">
        <v>32</v>
      </c>
      <c r="N43" s="885"/>
      <c r="O43" s="885"/>
      <c r="P43" s="886"/>
      <c r="Q43" s="884" t="s">
        <v>32</v>
      </c>
      <c r="R43" s="885"/>
      <c r="S43" s="885"/>
      <c r="T43" s="886"/>
      <c r="U43" s="884" t="s">
        <v>32</v>
      </c>
      <c r="V43" s="885"/>
      <c r="W43" s="885"/>
      <c r="X43" s="886"/>
      <c r="Y43" s="884" t="s">
        <v>32</v>
      </c>
      <c r="Z43" s="885"/>
      <c r="AA43" s="885"/>
      <c r="AB43" s="886"/>
      <c r="AE43" s="36"/>
      <c r="AF43" s="38"/>
      <c r="AG43" s="37"/>
      <c r="AH43" s="38"/>
      <c r="AI43" s="37"/>
      <c r="AJ43" s="39"/>
      <c r="AK43" s="17"/>
      <c r="AL43" s="17"/>
    </row>
    <row r="44" spans="1:44" ht="18" x14ac:dyDescent="0.2">
      <c r="A44" s="890" t="s">
        <v>27</v>
      </c>
      <c r="B44" s="891"/>
      <c r="C44" s="891"/>
      <c r="D44" s="891"/>
      <c r="E44" s="891"/>
      <c r="F44" s="891"/>
      <c r="G44" s="891"/>
      <c r="H44" s="891"/>
      <c r="I44" s="884" t="s">
        <v>32</v>
      </c>
      <c r="J44" s="885"/>
      <c r="K44" s="885"/>
      <c r="L44" s="886"/>
      <c r="M44" s="893" t="s">
        <v>32</v>
      </c>
      <c r="N44" s="894"/>
      <c r="O44" s="894"/>
      <c r="P44" s="895"/>
      <c r="Q44" s="893" t="s">
        <v>32</v>
      </c>
      <c r="R44" s="894"/>
      <c r="S44" s="894"/>
      <c r="T44" s="895"/>
      <c r="U44" s="884" t="s">
        <v>32</v>
      </c>
      <c r="V44" s="885"/>
      <c r="W44" s="885"/>
      <c r="X44" s="886"/>
      <c r="Y44" s="884" t="s">
        <v>32</v>
      </c>
      <c r="Z44" s="885"/>
      <c r="AA44" s="885"/>
      <c r="AB44" s="886"/>
      <c r="AD44" s="563"/>
      <c r="AE44" s="563"/>
      <c r="AF44" s="563"/>
      <c r="AG44" s="563"/>
      <c r="AH44" s="563"/>
      <c r="AI44" s="563"/>
      <c r="AJ44" s="563"/>
      <c r="AK44" s="563"/>
      <c r="AL44" s="563"/>
      <c r="AM44" s="563"/>
      <c r="AN44" s="563"/>
      <c r="AO44" s="563"/>
      <c r="AP44" s="563"/>
      <c r="AQ44" s="563"/>
    </row>
    <row r="45" spans="1:44" ht="18" x14ac:dyDescent="0.2">
      <c r="A45" s="928" t="s">
        <v>28</v>
      </c>
      <c r="B45" s="929"/>
      <c r="C45" s="929"/>
      <c r="D45" s="929"/>
      <c r="E45" s="929"/>
      <c r="F45" s="929"/>
      <c r="G45" s="929"/>
      <c r="H45" s="929"/>
      <c r="I45" s="887">
        <f>I41</f>
        <v>1851</v>
      </c>
      <c r="J45" s="888"/>
      <c r="K45" s="888"/>
      <c r="L45" s="889"/>
      <c r="M45" s="896">
        <f>M41</f>
        <v>885</v>
      </c>
      <c r="N45" s="897"/>
      <c r="O45" s="897"/>
      <c r="P45" s="898"/>
      <c r="Q45" s="896">
        <f>Q41</f>
        <v>176.99999999999997</v>
      </c>
      <c r="R45" s="897"/>
      <c r="S45" s="897"/>
      <c r="T45" s="898"/>
      <c r="U45" s="887">
        <f>U41</f>
        <v>161.50000000000006</v>
      </c>
      <c r="V45" s="888"/>
      <c r="W45" s="888"/>
      <c r="X45" s="889"/>
      <c r="Y45" s="887">
        <f>Y41</f>
        <v>7653</v>
      </c>
      <c r="Z45" s="888"/>
      <c r="AA45" s="888"/>
      <c r="AB45" s="889"/>
      <c r="AD45" s="563"/>
      <c r="AE45" s="563"/>
      <c r="AF45" s="563"/>
      <c r="AG45" s="563"/>
      <c r="AH45" s="563"/>
      <c r="AI45" s="563"/>
      <c r="AJ45" s="563"/>
      <c r="AK45" s="563"/>
      <c r="AL45" s="563"/>
      <c r="AM45" s="563"/>
      <c r="AN45" s="563"/>
      <c r="AO45" s="563"/>
      <c r="AP45" s="563"/>
      <c r="AQ45" s="563"/>
    </row>
    <row r="46" spans="1:44" ht="18" x14ac:dyDescent="0.2">
      <c r="A46" s="890"/>
      <c r="B46" s="891"/>
      <c r="C46" s="891"/>
      <c r="D46" s="891"/>
      <c r="E46" s="891"/>
      <c r="F46" s="891"/>
      <c r="G46" s="891"/>
      <c r="H46" s="891"/>
      <c r="I46" s="890"/>
      <c r="J46" s="891"/>
      <c r="K46" s="891"/>
      <c r="L46" s="892"/>
      <c r="M46" s="890"/>
      <c r="N46" s="891"/>
      <c r="O46" s="891"/>
      <c r="P46" s="892"/>
      <c r="Q46" s="890"/>
      <c r="R46" s="891"/>
      <c r="S46" s="891"/>
      <c r="T46" s="892"/>
      <c r="U46" s="890"/>
      <c r="V46" s="891"/>
      <c r="W46" s="891"/>
      <c r="X46" s="892"/>
      <c r="Y46" s="890"/>
      <c r="Z46" s="891"/>
      <c r="AA46" s="891"/>
      <c r="AB46" s="892"/>
      <c r="AC46" s="2"/>
      <c r="AD46" s="563"/>
      <c r="AE46" s="563"/>
      <c r="AF46" s="563"/>
      <c r="AG46" s="563"/>
      <c r="AH46" s="563"/>
      <c r="AI46" s="563"/>
      <c r="AJ46" s="563"/>
      <c r="AK46" s="563"/>
      <c r="AL46" s="563"/>
      <c r="AM46" s="563"/>
      <c r="AN46" s="563"/>
      <c r="AO46" s="563"/>
      <c r="AP46" s="563"/>
      <c r="AQ46" s="563"/>
    </row>
    <row r="47" spans="1:44" ht="19" thickBot="1" x14ac:dyDescent="0.25">
      <c r="A47" s="890" t="s">
        <v>29</v>
      </c>
      <c r="B47" s="891"/>
      <c r="C47" s="891"/>
      <c r="D47" s="891"/>
      <c r="E47" s="891"/>
      <c r="F47" s="891"/>
      <c r="G47" s="891"/>
      <c r="H47" s="891"/>
      <c r="I47" s="884" t="s">
        <v>32</v>
      </c>
      <c r="J47" s="885"/>
      <c r="K47" s="885"/>
      <c r="L47" s="886"/>
      <c r="M47" s="884">
        <f>-21</f>
        <v>-21</v>
      </c>
      <c r="N47" s="885"/>
      <c r="O47" s="885"/>
      <c r="P47" s="886"/>
      <c r="Q47" s="884" t="s">
        <v>32</v>
      </c>
      <c r="R47" s="885"/>
      <c r="S47" s="885"/>
      <c r="T47" s="886"/>
      <c r="U47" s="884">
        <f>-12.7</f>
        <v>-12.7</v>
      </c>
      <c r="V47" s="885"/>
      <c r="W47" s="885"/>
      <c r="X47" s="886"/>
      <c r="Y47" s="884">
        <f>-50</f>
        <v>-50</v>
      </c>
      <c r="Z47" s="885"/>
      <c r="AA47" s="885"/>
      <c r="AB47" s="886"/>
      <c r="AC47" s="2"/>
      <c r="AD47" s="563"/>
      <c r="AE47" s="563"/>
      <c r="AF47" s="563"/>
      <c r="AG47" s="563"/>
      <c r="AH47" s="563"/>
      <c r="AI47" s="563"/>
      <c r="AJ47" s="563"/>
      <c r="AK47" s="563"/>
      <c r="AL47" s="563"/>
      <c r="AM47" s="563"/>
      <c r="AN47" s="563"/>
      <c r="AO47" s="563"/>
      <c r="AP47" s="563"/>
      <c r="AQ47" s="563"/>
    </row>
    <row r="48" spans="1:44" ht="19" thickBot="1" x14ac:dyDescent="0.25">
      <c r="A48" s="931" t="s">
        <v>30</v>
      </c>
      <c r="B48" s="932"/>
      <c r="C48" s="932"/>
      <c r="D48" s="932"/>
      <c r="E48" s="932"/>
      <c r="F48" s="932"/>
      <c r="G48" s="932"/>
      <c r="H48" s="933"/>
      <c r="I48" s="907">
        <f>I45</f>
        <v>1851</v>
      </c>
      <c r="J48" s="908"/>
      <c r="K48" s="908"/>
      <c r="L48" s="909"/>
      <c r="M48" s="907">
        <f>M45+M47</f>
        <v>864</v>
      </c>
      <c r="N48" s="908"/>
      <c r="O48" s="908"/>
      <c r="P48" s="909"/>
      <c r="Q48" s="907">
        <f>Q45</f>
        <v>176.99999999999997</v>
      </c>
      <c r="R48" s="908"/>
      <c r="S48" s="908"/>
      <c r="T48" s="909"/>
      <c r="U48" s="907">
        <f>U45+U47</f>
        <v>148.80000000000007</v>
      </c>
      <c r="V48" s="908"/>
      <c r="W48" s="908"/>
      <c r="X48" s="909"/>
      <c r="Y48" s="907">
        <f>Y45+Y47</f>
        <v>7603</v>
      </c>
      <c r="Z48" s="908"/>
      <c r="AA48" s="908"/>
      <c r="AB48" s="909"/>
      <c r="AD48" s="563"/>
      <c r="AE48" s="563"/>
      <c r="AF48" s="563"/>
      <c r="AG48" s="563"/>
      <c r="AH48" s="563"/>
      <c r="AI48" s="563"/>
      <c r="AJ48" s="563"/>
      <c r="AK48" s="563"/>
      <c r="AL48" s="563"/>
      <c r="AM48" s="563"/>
      <c r="AN48" s="563"/>
      <c r="AO48" s="563"/>
      <c r="AP48" s="563"/>
      <c r="AQ48" s="563"/>
    </row>
    <row r="49" spans="1:43" x14ac:dyDescent="0.2">
      <c r="U49" s="913"/>
      <c r="V49" s="913"/>
      <c r="W49" s="913"/>
      <c r="X49" s="913"/>
      <c r="Y49" s="2"/>
      <c r="Z49" s="4"/>
      <c r="AA49" s="4"/>
      <c r="AB49" s="4"/>
      <c r="AD49" s="563"/>
      <c r="AE49" s="563"/>
      <c r="AF49" s="563"/>
      <c r="AG49" s="563"/>
      <c r="AH49" s="563"/>
      <c r="AI49" s="563"/>
      <c r="AJ49" s="563"/>
      <c r="AK49" s="563"/>
      <c r="AL49" s="563"/>
      <c r="AM49" s="563"/>
      <c r="AN49" s="563"/>
      <c r="AO49" s="563"/>
      <c r="AP49" s="563"/>
      <c r="AQ49" s="563"/>
    </row>
    <row r="50" spans="1:43" x14ac:dyDescent="0.2">
      <c r="Y50" s="2"/>
      <c r="Z50" s="3"/>
      <c r="AA50" s="3"/>
      <c r="AB50" s="3"/>
      <c r="AD50" s="563"/>
      <c r="AE50" s="563"/>
      <c r="AF50" s="563"/>
      <c r="AG50" s="563"/>
      <c r="AH50" s="563"/>
      <c r="AI50" s="563"/>
      <c r="AJ50" s="563"/>
      <c r="AK50" s="563"/>
      <c r="AL50" s="563"/>
      <c r="AM50" s="563"/>
      <c r="AN50" s="563"/>
      <c r="AO50" s="563"/>
      <c r="AP50" s="563"/>
      <c r="AQ50" s="563"/>
    </row>
    <row r="51" spans="1:43" x14ac:dyDescent="0.2">
      <c r="AD51" s="563"/>
      <c r="AE51" s="563"/>
      <c r="AF51" s="563"/>
      <c r="AG51" s="563"/>
      <c r="AH51" s="563"/>
      <c r="AI51" s="563"/>
      <c r="AJ51" s="563"/>
      <c r="AK51" s="563"/>
      <c r="AL51" s="563"/>
      <c r="AM51" s="563"/>
      <c r="AN51" s="563"/>
      <c r="AO51" s="563"/>
      <c r="AP51" s="563"/>
      <c r="AQ51" s="563"/>
    </row>
    <row r="52" spans="1:43" x14ac:dyDescent="0.2">
      <c r="AD52" s="563"/>
      <c r="AE52" s="563"/>
      <c r="AF52" s="563"/>
      <c r="AG52" s="563"/>
      <c r="AH52" s="563"/>
      <c r="AI52" s="563"/>
      <c r="AJ52" s="563"/>
      <c r="AK52" s="563"/>
      <c r="AL52" s="563"/>
      <c r="AM52" s="563"/>
      <c r="AN52" s="563"/>
      <c r="AO52" s="563"/>
      <c r="AP52" s="563"/>
      <c r="AQ52" s="563"/>
    </row>
    <row r="53" spans="1:43" ht="16" customHeight="1" x14ac:dyDescent="0.2">
      <c r="AD53" s="563"/>
      <c r="AE53" s="563"/>
      <c r="AF53" s="563"/>
      <c r="AG53" s="563"/>
      <c r="AH53" s="563"/>
      <c r="AI53" s="563"/>
      <c r="AJ53" s="563"/>
      <c r="AK53" s="563"/>
      <c r="AL53" s="563"/>
      <c r="AM53" s="563"/>
      <c r="AN53" s="563"/>
      <c r="AO53" s="563"/>
      <c r="AP53" s="563"/>
      <c r="AQ53" s="563"/>
    </row>
    <row r="54" spans="1:43" ht="16" customHeight="1" x14ac:dyDescent="0.2">
      <c r="AD54" s="563"/>
      <c r="AE54" s="563"/>
      <c r="AF54" s="563"/>
      <c r="AG54" s="563"/>
      <c r="AH54" s="563"/>
      <c r="AI54" s="563"/>
      <c r="AJ54" s="563"/>
      <c r="AK54" s="563"/>
      <c r="AL54" s="563"/>
      <c r="AM54" s="563"/>
      <c r="AN54" s="563"/>
      <c r="AO54" s="563"/>
      <c r="AP54" s="563"/>
      <c r="AQ54" s="563"/>
    </row>
    <row r="55" spans="1:43" ht="16" customHeight="1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D55" s="563"/>
      <c r="AE55" s="563"/>
      <c r="AF55" s="563"/>
      <c r="AG55" s="563"/>
      <c r="AH55" s="563"/>
      <c r="AI55" s="563"/>
      <c r="AJ55" s="563"/>
      <c r="AK55" s="563"/>
      <c r="AL55" s="563"/>
      <c r="AM55" s="563"/>
      <c r="AN55" s="563"/>
      <c r="AO55" s="563"/>
      <c r="AP55" s="563"/>
      <c r="AQ55" s="563"/>
    </row>
    <row r="56" spans="1:43" ht="26" x14ac:dyDescent="0.2">
      <c r="A56" s="18"/>
      <c r="B56" s="18"/>
      <c r="C56" s="18"/>
      <c r="D56" s="18"/>
      <c r="E56" s="18"/>
      <c r="F56" s="18"/>
      <c r="G56" s="18"/>
      <c r="H56" s="18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D56" s="563"/>
      <c r="AE56" s="563"/>
      <c r="AF56" s="563"/>
      <c r="AG56" s="563"/>
      <c r="AH56" s="563"/>
      <c r="AI56" s="563"/>
      <c r="AJ56" s="563"/>
      <c r="AK56" s="563"/>
      <c r="AL56" s="563"/>
      <c r="AM56" s="563"/>
      <c r="AN56" s="563"/>
      <c r="AO56" s="563"/>
      <c r="AP56" s="563"/>
      <c r="AQ56" s="563"/>
    </row>
    <row r="57" spans="1:43" ht="26" x14ac:dyDescent="0.2">
      <c r="A57" s="18"/>
      <c r="B57" s="18"/>
      <c r="C57" s="18"/>
      <c r="D57" s="18"/>
      <c r="E57" s="18"/>
      <c r="F57" s="18"/>
      <c r="G57" s="18"/>
      <c r="H57" s="18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D57" s="563"/>
      <c r="AE57" s="563"/>
      <c r="AF57" s="563"/>
      <c r="AG57" s="563"/>
      <c r="AH57" s="563"/>
      <c r="AI57" s="563"/>
      <c r="AJ57" s="563"/>
      <c r="AK57" s="563"/>
      <c r="AL57" s="563"/>
      <c r="AM57" s="563"/>
      <c r="AN57" s="563"/>
      <c r="AO57" s="563"/>
      <c r="AP57" s="563"/>
      <c r="AQ57" s="563"/>
    </row>
    <row r="58" spans="1:43" ht="26" x14ac:dyDescent="0.2">
      <c r="A58" s="18"/>
      <c r="B58" s="18"/>
      <c r="C58" s="18"/>
      <c r="D58" s="18"/>
      <c r="E58" s="18"/>
      <c r="F58" s="18"/>
      <c r="G58" s="18"/>
      <c r="H58" s="18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D58" s="563"/>
      <c r="AE58" s="563"/>
      <c r="AF58" s="563"/>
      <c r="AG58" s="563"/>
      <c r="AH58" s="563"/>
      <c r="AI58" s="563"/>
      <c r="AJ58" s="563"/>
      <c r="AK58" s="563"/>
      <c r="AL58" s="563"/>
      <c r="AM58" s="563"/>
      <c r="AN58" s="563"/>
      <c r="AO58" s="563"/>
      <c r="AP58" s="563"/>
      <c r="AQ58" s="563"/>
    </row>
    <row r="59" spans="1:43" ht="18" x14ac:dyDescent="0.2">
      <c r="A59" s="19"/>
      <c r="B59" s="19"/>
      <c r="C59" s="19"/>
      <c r="D59" s="19"/>
      <c r="E59" s="19"/>
      <c r="F59" s="19"/>
      <c r="G59" s="19"/>
      <c r="H59" s="19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D59" s="563"/>
      <c r="AE59" s="563"/>
      <c r="AF59" s="563"/>
      <c r="AG59" s="563"/>
      <c r="AH59" s="563"/>
      <c r="AI59" s="563"/>
      <c r="AJ59" s="563"/>
      <c r="AK59" s="563"/>
      <c r="AL59" s="563"/>
      <c r="AM59" s="563"/>
      <c r="AN59" s="563"/>
      <c r="AO59" s="563"/>
      <c r="AP59" s="563"/>
      <c r="AQ59" s="563"/>
    </row>
    <row r="60" spans="1:43" x14ac:dyDescent="0.2">
      <c r="A60" s="20"/>
      <c r="B60" s="20"/>
      <c r="C60" s="20"/>
      <c r="D60" s="20"/>
      <c r="E60" s="20"/>
      <c r="F60" s="20"/>
      <c r="G60" s="20"/>
      <c r="H60" s="20"/>
      <c r="I60" s="21"/>
      <c r="J60" s="22"/>
      <c r="K60" s="22"/>
      <c r="L60" s="22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D60" s="563"/>
      <c r="AE60" s="563"/>
      <c r="AF60" s="563"/>
      <c r="AG60" s="563"/>
      <c r="AH60" s="563"/>
      <c r="AI60" s="563"/>
      <c r="AJ60" s="563"/>
      <c r="AK60" s="563"/>
      <c r="AL60" s="563"/>
      <c r="AM60" s="563"/>
      <c r="AN60" s="563"/>
      <c r="AO60" s="563"/>
      <c r="AP60" s="563"/>
      <c r="AQ60" s="563"/>
    </row>
    <row r="61" spans="1:43" ht="18" customHeight="1" x14ac:dyDescent="0.2">
      <c r="A61" s="23"/>
      <c r="B61" s="23"/>
      <c r="C61" s="23"/>
      <c r="D61" s="23"/>
      <c r="E61" s="23"/>
      <c r="F61" s="23"/>
      <c r="G61" s="23"/>
      <c r="H61" s="23"/>
      <c r="I61" s="22"/>
      <c r="J61" s="22"/>
      <c r="K61" s="22"/>
      <c r="L61" s="22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D61" s="563"/>
      <c r="AE61" s="563"/>
      <c r="AF61" s="563"/>
      <c r="AG61" s="563"/>
      <c r="AH61" s="563"/>
      <c r="AI61" s="563"/>
      <c r="AJ61" s="563"/>
      <c r="AK61" s="563"/>
      <c r="AL61" s="563"/>
      <c r="AM61" s="563"/>
      <c r="AN61" s="563"/>
      <c r="AO61" s="563"/>
      <c r="AP61" s="563"/>
      <c r="AQ61" s="563"/>
    </row>
    <row r="62" spans="1:43" ht="19" x14ac:dyDescent="0.25">
      <c r="A62" s="24"/>
      <c r="B62" s="24"/>
      <c r="C62" s="24"/>
      <c r="D62" s="24"/>
      <c r="E62" s="24"/>
      <c r="F62" s="24"/>
      <c r="G62" s="24"/>
      <c r="H62" s="24"/>
      <c r="I62" s="17"/>
      <c r="J62" s="17"/>
      <c r="K62" s="17"/>
      <c r="L62" s="17"/>
      <c r="M62" s="25"/>
      <c r="N62" s="25"/>
      <c r="O62" s="25"/>
      <c r="P62" s="25"/>
      <c r="Q62" s="26"/>
      <c r="R62" s="26"/>
      <c r="S62" s="26"/>
      <c r="T62" s="26"/>
      <c r="U62" s="25"/>
      <c r="V62" s="25"/>
      <c r="W62" s="25"/>
      <c r="X62" s="25"/>
      <c r="Y62" s="26"/>
      <c r="Z62" s="26"/>
      <c r="AA62" s="26"/>
      <c r="AB62" s="26"/>
      <c r="AD62" s="563"/>
      <c r="AE62" s="563"/>
      <c r="AF62" s="563"/>
      <c r="AG62" s="563"/>
      <c r="AH62" s="563"/>
      <c r="AI62" s="563"/>
      <c r="AJ62" s="563"/>
      <c r="AK62" s="563"/>
      <c r="AL62" s="563"/>
      <c r="AM62" s="563"/>
      <c r="AN62" s="563"/>
      <c r="AO62" s="563"/>
      <c r="AP62" s="563"/>
      <c r="AQ62" s="563"/>
    </row>
    <row r="63" spans="1:43" ht="18" x14ac:dyDescent="0.2">
      <c r="A63" s="556"/>
      <c r="B63" s="556"/>
      <c r="C63" s="556"/>
      <c r="D63" s="556"/>
      <c r="E63" s="27"/>
      <c r="F63" s="27"/>
      <c r="G63" s="27"/>
      <c r="H63" s="27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8"/>
      <c r="Z63" s="28"/>
      <c r="AA63" s="28"/>
      <c r="AB63" s="28"/>
      <c r="AD63" s="563"/>
      <c r="AE63" s="563"/>
      <c r="AF63" s="563"/>
      <c r="AG63" s="563"/>
      <c r="AH63" s="563"/>
      <c r="AI63" s="563"/>
      <c r="AJ63" s="563"/>
      <c r="AK63" s="563"/>
      <c r="AL63" s="563"/>
      <c r="AM63" s="563"/>
      <c r="AN63" s="563"/>
      <c r="AO63" s="563"/>
      <c r="AP63" s="563"/>
      <c r="AQ63" s="563"/>
    </row>
    <row r="64" spans="1:43" ht="18" x14ac:dyDescent="0.2">
      <c r="A64" s="556"/>
      <c r="B64" s="556"/>
      <c r="C64" s="556"/>
      <c r="D64" s="556"/>
      <c r="E64" s="29"/>
      <c r="F64" s="29"/>
      <c r="G64" s="29"/>
      <c r="H64" s="2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8"/>
      <c r="Z64" s="28"/>
      <c r="AA64" s="28"/>
      <c r="AB64" s="28"/>
      <c r="AD64" s="563"/>
      <c r="AE64" s="563"/>
      <c r="AF64" s="563"/>
      <c r="AG64" s="563"/>
      <c r="AH64" s="563"/>
      <c r="AI64" s="563"/>
      <c r="AJ64" s="563"/>
      <c r="AK64" s="563"/>
      <c r="AL64" s="563"/>
      <c r="AM64" s="563"/>
      <c r="AN64" s="563"/>
      <c r="AO64" s="563"/>
      <c r="AP64" s="563"/>
      <c r="AQ64" s="563"/>
    </row>
    <row r="65" spans="1:43" ht="18" x14ac:dyDescent="0.2">
      <c r="A65" s="29"/>
      <c r="B65" s="29"/>
      <c r="C65" s="29"/>
      <c r="D65" s="29"/>
      <c r="E65" s="29"/>
      <c r="F65" s="29"/>
      <c r="G65" s="29"/>
      <c r="H65" s="29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28"/>
      <c r="Z65" s="28"/>
      <c r="AA65" s="28"/>
      <c r="AB65" s="28"/>
      <c r="AD65" s="563"/>
      <c r="AE65" s="563"/>
      <c r="AF65" s="563"/>
      <c r="AG65" s="563"/>
      <c r="AH65" s="563"/>
      <c r="AI65" s="563"/>
      <c r="AJ65" s="563"/>
      <c r="AK65" s="563"/>
      <c r="AL65" s="563"/>
      <c r="AM65" s="563"/>
      <c r="AN65" s="563"/>
      <c r="AO65" s="563"/>
      <c r="AP65" s="563"/>
      <c r="AQ65" s="563"/>
    </row>
    <row r="66" spans="1:43" ht="18" x14ac:dyDescent="0.2">
      <c r="A66" s="27"/>
      <c r="B66" s="27"/>
      <c r="C66" s="27"/>
      <c r="D66" s="27"/>
      <c r="E66" s="27"/>
      <c r="F66" s="27"/>
      <c r="G66" s="27"/>
      <c r="H66" s="27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31"/>
      <c r="Z66" s="31"/>
      <c r="AA66" s="31"/>
      <c r="AB66" s="31"/>
      <c r="AD66" s="563"/>
      <c r="AE66" s="563"/>
      <c r="AF66" s="563"/>
      <c r="AG66" s="563"/>
      <c r="AH66" s="563"/>
      <c r="AI66" s="563"/>
      <c r="AJ66" s="563"/>
      <c r="AK66" s="563"/>
      <c r="AL66" s="563"/>
      <c r="AM66" s="563"/>
      <c r="AN66" s="563"/>
      <c r="AO66" s="563"/>
      <c r="AP66" s="563"/>
      <c r="AQ66" s="563"/>
    </row>
    <row r="67" spans="1:43" ht="18" x14ac:dyDescent="0.2">
      <c r="A67" s="29"/>
      <c r="B67" s="29"/>
      <c r="C67" s="29"/>
      <c r="D67" s="29"/>
      <c r="E67" s="29"/>
      <c r="F67" s="29"/>
      <c r="G67" s="29"/>
      <c r="H67" s="2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32"/>
      <c r="Z67" s="32"/>
      <c r="AA67" s="32"/>
      <c r="AB67" s="32"/>
      <c r="AD67" s="563"/>
      <c r="AE67" s="563"/>
      <c r="AF67" s="563"/>
      <c r="AG67" s="563"/>
      <c r="AH67" s="563"/>
      <c r="AI67" s="563"/>
      <c r="AJ67" s="563"/>
      <c r="AK67" s="563"/>
      <c r="AL67" s="563"/>
      <c r="AM67" s="563"/>
      <c r="AN67" s="563"/>
      <c r="AO67" s="563"/>
      <c r="AP67" s="563"/>
      <c r="AQ67" s="563"/>
    </row>
    <row r="68" spans="1:43" ht="18" customHeight="1" x14ac:dyDescent="0.2">
      <c r="A68" s="29"/>
      <c r="B68" s="29"/>
      <c r="C68" s="29"/>
      <c r="D68" s="29"/>
      <c r="E68" s="29"/>
      <c r="F68" s="29"/>
      <c r="G68" s="29"/>
      <c r="H68" s="29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28"/>
      <c r="Z68" s="28"/>
      <c r="AA68" s="28"/>
      <c r="AB68" s="28"/>
      <c r="AD68" s="563"/>
      <c r="AE68" s="563"/>
      <c r="AF68" s="563"/>
      <c r="AG68" s="563"/>
      <c r="AH68" s="563"/>
      <c r="AI68" s="563"/>
      <c r="AJ68" s="563"/>
      <c r="AK68" s="563"/>
      <c r="AL68" s="563"/>
      <c r="AM68" s="563"/>
      <c r="AN68" s="563"/>
      <c r="AO68" s="563"/>
      <c r="AP68" s="563"/>
      <c r="AQ68" s="563"/>
    </row>
    <row r="69" spans="1:43" ht="18" customHeight="1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31"/>
      <c r="Z69" s="31"/>
      <c r="AA69" s="31"/>
      <c r="AB69" s="31"/>
      <c r="AD69" s="563"/>
      <c r="AE69" s="563"/>
      <c r="AF69" s="563"/>
      <c r="AG69" s="563"/>
      <c r="AH69" s="563"/>
      <c r="AI69" s="563"/>
      <c r="AJ69" s="563"/>
      <c r="AK69" s="563"/>
      <c r="AL69" s="563"/>
      <c r="AM69" s="563"/>
      <c r="AN69" s="563"/>
      <c r="AO69" s="563"/>
      <c r="AP69" s="563"/>
      <c r="AQ69" s="563"/>
    </row>
    <row r="70" spans="1:43" ht="18" customHeight="1" x14ac:dyDescent="0.2">
      <c r="A70" s="27"/>
      <c r="B70" s="27"/>
      <c r="C70" s="27"/>
      <c r="D70" s="27"/>
      <c r="E70" s="27"/>
      <c r="F70" s="27"/>
      <c r="G70" s="27"/>
      <c r="H70" s="27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32"/>
      <c r="Z70" s="32"/>
      <c r="AA70" s="32"/>
      <c r="AB70" s="32"/>
      <c r="AD70" s="563"/>
      <c r="AE70" s="563"/>
      <c r="AF70" s="563"/>
      <c r="AG70" s="563"/>
      <c r="AH70" s="563"/>
      <c r="AI70" s="563"/>
      <c r="AJ70" s="563"/>
      <c r="AK70" s="563"/>
      <c r="AL70" s="563"/>
      <c r="AM70" s="563"/>
      <c r="AN70" s="563"/>
      <c r="AO70" s="563"/>
      <c r="AP70" s="563"/>
      <c r="AQ70" s="563"/>
    </row>
    <row r="71" spans="1:43" ht="18" x14ac:dyDescent="0.2">
      <c r="A71" s="29"/>
      <c r="B71" s="29"/>
      <c r="C71" s="29"/>
      <c r="D71" s="29"/>
      <c r="E71" s="29"/>
      <c r="F71" s="29"/>
      <c r="G71" s="29"/>
      <c r="H71" s="2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8"/>
      <c r="Z71" s="28"/>
      <c r="AA71" s="28"/>
      <c r="AB71" s="28"/>
      <c r="AD71" s="563"/>
      <c r="AE71" s="563"/>
      <c r="AF71" s="563"/>
      <c r="AG71" s="563"/>
      <c r="AH71" s="563"/>
      <c r="AI71" s="563"/>
      <c r="AJ71" s="563"/>
      <c r="AK71" s="563"/>
      <c r="AL71" s="563"/>
      <c r="AM71" s="563"/>
      <c r="AN71" s="563"/>
      <c r="AO71" s="563"/>
      <c r="AP71" s="563"/>
      <c r="AQ71" s="563"/>
    </row>
    <row r="72" spans="1:43" ht="18" x14ac:dyDescent="0.2">
      <c r="A72" s="29"/>
      <c r="B72" s="29"/>
      <c r="C72" s="29"/>
      <c r="D72" s="29"/>
      <c r="E72" s="29"/>
      <c r="F72" s="29"/>
      <c r="G72" s="29"/>
      <c r="H72" s="2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8"/>
      <c r="Z72" s="28"/>
      <c r="AA72" s="28"/>
      <c r="AB72" s="28"/>
      <c r="AD72" s="563"/>
      <c r="AE72" s="563"/>
      <c r="AF72" s="563"/>
      <c r="AG72" s="563"/>
      <c r="AH72" s="563"/>
      <c r="AI72" s="563"/>
      <c r="AJ72" s="563"/>
      <c r="AK72" s="563"/>
      <c r="AL72" s="563"/>
      <c r="AM72" s="563"/>
      <c r="AN72" s="563"/>
      <c r="AO72" s="563"/>
      <c r="AP72" s="563"/>
      <c r="AQ72" s="563"/>
    </row>
    <row r="73" spans="1:43" ht="18" x14ac:dyDescent="0.2">
      <c r="A73" s="29"/>
      <c r="B73" s="29"/>
      <c r="C73" s="29"/>
      <c r="D73" s="29"/>
      <c r="E73" s="29"/>
      <c r="F73" s="29"/>
      <c r="G73" s="29"/>
      <c r="H73" s="2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8"/>
      <c r="Z73" s="28"/>
      <c r="AA73" s="28"/>
      <c r="AB73" s="28"/>
      <c r="AD73" s="563"/>
      <c r="AE73" s="563"/>
      <c r="AF73" s="563"/>
      <c r="AG73" s="563"/>
      <c r="AH73" s="563"/>
      <c r="AI73" s="563"/>
      <c r="AJ73" s="563"/>
      <c r="AK73" s="563"/>
      <c r="AL73" s="563"/>
      <c r="AM73" s="563"/>
      <c r="AN73" s="563"/>
      <c r="AO73" s="563"/>
      <c r="AP73" s="563"/>
      <c r="AQ73" s="563"/>
    </row>
    <row r="74" spans="1:43" ht="1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31"/>
      <c r="Z74" s="31"/>
      <c r="AA74" s="31"/>
      <c r="AB74" s="31"/>
      <c r="AD74" s="563"/>
      <c r="AE74" s="563"/>
      <c r="AF74" s="563"/>
      <c r="AG74" s="563"/>
      <c r="AH74" s="563"/>
      <c r="AI74" s="563"/>
      <c r="AJ74" s="563"/>
      <c r="AK74" s="563"/>
      <c r="AL74" s="563"/>
      <c r="AM74" s="563"/>
      <c r="AN74" s="563"/>
      <c r="AO74" s="563"/>
      <c r="AP74" s="563"/>
      <c r="AQ74" s="563"/>
    </row>
    <row r="75" spans="1:43" ht="18" x14ac:dyDescent="0.2">
      <c r="A75" s="29"/>
      <c r="B75" s="29"/>
      <c r="C75" s="29"/>
      <c r="D75" s="29"/>
      <c r="E75" s="29"/>
      <c r="F75" s="29"/>
      <c r="G75" s="29"/>
      <c r="H75" s="29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2"/>
      <c r="Z75" s="32"/>
      <c r="AA75" s="32"/>
      <c r="AB75" s="32"/>
      <c r="AD75" s="563"/>
      <c r="AE75" s="563"/>
      <c r="AF75" s="563"/>
      <c r="AG75" s="563"/>
      <c r="AH75" s="563"/>
      <c r="AI75" s="563"/>
      <c r="AJ75" s="563"/>
      <c r="AK75" s="563"/>
      <c r="AL75" s="563"/>
      <c r="AM75" s="563"/>
      <c r="AN75" s="563"/>
      <c r="AO75" s="563"/>
      <c r="AP75" s="563"/>
      <c r="AQ75" s="563"/>
    </row>
    <row r="76" spans="1:43" ht="18" x14ac:dyDescent="0.2">
      <c r="A76" s="27"/>
      <c r="B76" s="27"/>
      <c r="C76" s="27"/>
      <c r="D76" s="27"/>
      <c r="E76" s="27"/>
      <c r="F76" s="27"/>
      <c r="G76" s="27"/>
      <c r="H76" s="27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8"/>
      <c r="Z76" s="28"/>
      <c r="AA76" s="28"/>
      <c r="AB76" s="28"/>
      <c r="AD76" s="563"/>
      <c r="AE76" s="563"/>
      <c r="AF76" s="563"/>
      <c r="AG76" s="563"/>
      <c r="AH76" s="563"/>
      <c r="AI76" s="563"/>
      <c r="AJ76" s="563"/>
      <c r="AK76" s="563"/>
      <c r="AL76" s="563"/>
      <c r="AM76" s="563"/>
      <c r="AN76" s="563"/>
      <c r="AO76" s="563"/>
      <c r="AP76" s="563"/>
      <c r="AQ76" s="563"/>
    </row>
    <row r="77" spans="1:43" ht="18" x14ac:dyDescent="0.2">
      <c r="A77" s="29"/>
      <c r="B77" s="29"/>
      <c r="C77" s="29"/>
      <c r="D77" s="29"/>
      <c r="E77" s="29"/>
      <c r="F77" s="29"/>
      <c r="G77" s="29"/>
      <c r="H77" s="29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28"/>
      <c r="Z77" s="28"/>
      <c r="AA77" s="28"/>
      <c r="AB77" s="28"/>
      <c r="AD77" s="563"/>
      <c r="AE77" s="563"/>
      <c r="AF77" s="563"/>
      <c r="AG77" s="563"/>
      <c r="AH77" s="563"/>
      <c r="AI77" s="563"/>
      <c r="AJ77" s="563"/>
      <c r="AK77" s="563"/>
      <c r="AL77" s="563"/>
      <c r="AM77" s="563"/>
      <c r="AN77" s="563"/>
      <c r="AO77" s="563"/>
      <c r="AP77" s="563"/>
      <c r="AQ77" s="563"/>
    </row>
    <row r="78" spans="1:43" ht="1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31"/>
      <c r="Z78" s="31"/>
      <c r="AA78" s="31"/>
      <c r="AB78" s="31"/>
      <c r="AD78" s="563"/>
      <c r="AE78" s="563"/>
      <c r="AF78" s="563"/>
      <c r="AG78" s="563"/>
      <c r="AH78" s="563"/>
      <c r="AI78" s="563"/>
      <c r="AJ78" s="563"/>
      <c r="AK78" s="563"/>
      <c r="AL78" s="563"/>
      <c r="AM78" s="563"/>
      <c r="AN78" s="563"/>
      <c r="AO78" s="563"/>
      <c r="AP78" s="563"/>
      <c r="AQ78" s="563"/>
    </row>
    <row r="79" spans="1:43" ht="18" x14ac:dyDescent="0.2">
      <c r="A79" s="29"/>
      <c r="B79" s="29"/>
      <c r="C79" s="29"/>
      <c r="D79" s="29"/>
      <c r="E79" s="29"/>
      <c r="F79" s="29"/>
      <c r="G79" s="29"/>
      <c r="H79" s="2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32"/>
      <c r="Z79" s="32"/>
      <c r="AA79" s="32"/>
      <c r="AB79" s="32"/>
    </row>
    <row r="80" spans="1:43" ht="18" x14ac:dyDescent="0.2">
      <c r="A80" s="27"/>
      <c r="B80" s="27"/>
      <c r="C80" s="27"/>
      <c r="D80" s="27"/>
      <c r="E80" s="27"/>
      <c r="F80" s="27"/>
      <c r="G80" s="27"/>
      <c r="H80" s="27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8"/>
      <c r="Z80" s="28"/>
      <c r="AA80" s="28"/>
      <c r="AB80" s="28"/>
    </row>
    <row r="81" spans="1:28" ht="18" x14ac:dyDescent="0.2">
      <c r="A81" s="29"/>
      <c r="B81" s="29"/>
      <c r="C81" s="29"/>
      <c r="D81" s="29"/>
      <c r="E81" s="29"/>
      <c r="F81" s="29"/>
      <c r="G81" s="29"/>
      <c r="H81" s="29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28"/>
      <c r="Z81" s="28"/>
      <c r="AA81" s="28"/>
      <c r="AB81" s="28"/>
    </row>
    <row r="82" spans="1:28" ht="1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8"/>
      <c r="Z82" s="28"/>
      <c r="AA82" s="28"/>
      <c r="AB82" s="28"/>
    </row>
    <row r="83" spans="1:28" ht="18" customHeight="1" x14ac:dyDescent="0.2">
      <c r="A83" s="29"/>
      <c r="B83" s="29"/>
      <c r="C83" s="29"/>
      <c r="D83" s="29"/>
      <c r="E83" s="29"/>
      <c r="F83" s="29"/>
      <c r="G83" s="29"/>
      <c r="H83" s="2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8"/>
      <c r="Z83" s="28"/>
      <c r="AA83" s="28"/>
      <c r="AB83" s="28"/>
    </row>
    <row r="84" spans="1:28" ht="18" customHeight="1" x14ac:dyDescent="0.2">
      <c r="A84" s="29"/>
      <c r="B84" s="29"/>
      <c r="C84" s="29"/>
      <c r="D84" s="29"/>
      <c r="E84" s="29"/>
      <c r="F84" s="29"/>
      <c r="G84" s="29"/>
      <c r="H84" s="29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3"/>
      <c r="Z84" s="33"/>
      <c r="AA84" s="33"/>
      <c r="AB84" s="33"/>
    </row>
    <row r="85" spans="1:28" ht="18" customHeight="1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30"/>
      <c r="N85" s="30"/>
      <c r="O85" s="30"/>
      <c r="P85" s="30"/>
      <c r="Q85" s="29"/>
      <c r="R85" s="29"/>
      <c r="S85" s="29"/>
      <c r="T85" s="29"/>
      <c r="U85" s="29"/>
      <c r="V85" s="29"/>
      <c r="W85" s="29"/>
      <c r="X85" s="29"/>
      <c r="Y85" s="32"/>
      <c r="Z85" s="32"/>
      <c r="AA85" s="32"/>
      <c r="AB85" s="32"/>
    </row>
    <row r="86" spans="1:28" ht="18" customHeight="1" x14ac:dyDescent="0.2">
      <c r="A86" s="29"/>
      <c r="B86" s="29"/>
      <c r="C86" s="29"/>
      <c r="D86" s="29"/>
      <c r="E86" s="29"/>
      <c r="F86" s="29"/>
      <c r="G86" s="29"/>
      <c r="H86" s="2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32"/>
      <c r="Z86" s="32"/>
      <c r="AA86" s="32"/>
      <c r="AB86" s="32"/>
    </row>
    <row r="87" spans="1:28" ht="18" x14ac:dyDescent="0.2">
      <c r="A87" s="29"/>
      <c r="B87" s="29"/>
      <c r="C87" s="29"/>
      <c r="D87" s="29"/>
      <c r="E87" s="29"/>
      <c r="F87" s="29"/>
      <c r="G87" s="29"/>
      <c r="H87" s="2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8"/>
      <c r="Z87" s="28"/>
      <c r="AA87" s="28"/>
      <c r="AB87" s="28"/>
    </row>
    <row r="88" spans="1:28" ht="18" x14ac:dyDescent="0.2">
      <c r="A88" s="27"/>
      <c r="B88" s="27"/>
      <c r="C88" s="27"/>
      <c r="D88" s="27"/>
      <c r="E88" s="27"/>
      <c r="F88" s="27"/>
      <c r="G88" s="27"/>
      <c r="H88" s="27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8"/>
      <c r="Z88" s="28"/>
      <c r="AA88" s="28"/>
      <c r="AB88" s="28"/>
    </row>
    <row r="89" spans="1:28" ht="18" x14ac:dyDescent="0.2">
      <c r="A89" s="29"/>
      <c r="B89" s="29"/>
      <c r="C89" s="29"/>
      <c r="D89" s="29"/>
      <c r="E89" s="29"/>
      <c r="F89" s="29"/>
      <c r="G89" s="29"/>
      <c r="H89" s="2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8"/>
      <c r="Z89" s="28"/>
      <c r="AA89" s="28"/>
      <c r="AB89" s="28"/>
    </row>
    <row r="90" spans="1:28" ht="18" x14ac:dyDescent="0.2">
      <c r="A90" s="27"/>
      <c r="B90" s="27"/>
      <c r="C90" s="27"/>
      <c r="D90" s="27"/>
      <c r="E90" s="27"/>
      <c r="F90" s="27"/>
      <c r="G90" s="27"/>
      <c r="H90" s="27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28"/>
      <c r="Z90" s="28"/>
      <c r="AA90" s="28"/>
      <c r="AB90" s="28"/>
    </row>
    <row r="91" spans="1:28" ht="18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8"/>
      <c r="Z91" s="28"/>
      <c r="AA91" s="28"/>
      <c r="AB91" s="28"/>
    </row>
    <row r="92" spans="1:28" ht="18" x14ac:dyDescent="0.2">
      <c r="A92" s="29"/>
      <c r="B92" s="29"/>
      <c r="C92" s="29"/>
      <c r="D92" s="29"/>
      <c r="E92" s="29"/>
      <c r="F92" s="29"/>
      <c r="G92" s="29"/>
      <c r="H92" s="2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8"/>
      <c r="Z92" s="28"/>
      <c r="AA92" s="28"/>
      <c r="AB92" s="28"/>
    </row>
    <row r="93" spans="1:28" ht="18" customHeight="1" x14ac:dyDescent="0.2">
      <c r="A93" s="29"/>
      <c r="B93" s="29"/>
      <c r="C93" s="29"/>
      <c r="D93" s="29"/>
      <c r="E93" s="29"/>
      <c r="F93" s="29"/>
      <c r="G93" s="29"/>
      <c r="H93" s="29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28"/>
      <c r="Z93" s="28"/>
      <c r="AA93" s="28"/>
      <c r="AB93" s="28"/>
    </row>
    <row r="94" spans="1:28" ht="18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8"/>
      <c r="Z94" s="28"/>
      <c r="AA94" s="28"/>
      <c r="AB94" s="28"/>
    </row>
    <row r="95" spans="1:28" ht="18" x14ac:dyDescent="0.2">
      <c r="A95" s="29"/>
      <c r="B95" s="29"/>
      <c r="C95" s="29"/>
      <c r="D95" s="29"/>
      <c r="E95" s="29"/>
      <c r="F95" s="29"/>
      <c r="G95" s="29"/>
      <c r="H95" s="2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31"/>
      <c r="Z95" s="31"/>
      <c r="AA95" s="31"/>
      <c r="AB95" s="31"/>
    </row>
    <row r="96" spans="1:28" ht="18" x14ac:dyDescent="0.2">
      <c r="A96" s="29"/>
      <c r="B96" s="29"/>
      <c r="C96" s="29"/>
      <c r="D96" s="29"/>
      <c r="E96" s="29"/>
      <c r="F96" s="29"/>
      <c r="G96" s="29"/>
      <c r="H96" s="2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32"/>
      <c r="Z96" s="32"/>
      <c r="AA96" s="32"/>
      <c r="AB96" s="32"/>
    </row>
    <row r="97" spans="1:28" ht="18" x14ac:dyDescent="0.2">
      <c r="A97" s="29"/>
      <c r="B97" s="29"/>
      <c r="C97" s="29"/>
      <c r="D97" s="29"/>
      <c r="E97" s="29"/>
      <c r="F97" s="29"/>
      <c r="G97" s="29"/>
      <c r="H97" s="29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28"/>
      <c r="Z97" s="28"/>
      <c r="AA97" s="28"/>
      <c r="AB97" s="28"/>
    </row>
    <row r="98" spans="1:28" ht="18" x14ac:dyDescent="0.2">
      <c r="A98" s="27"/>
      <c r="B98" s="27"/>
      <c r="C98" s="27"/>
      <c r="D98" s="27"/>
      <c r="E98" s="27"/>
      <c r="F98" s="27"/>
      <c r="G98" s="27"/>
      <c r="H98" s="27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8"/>
      <c r="Z98" s="28"/>
      <c r="AA98" s="28"/>
      <c r="AB98" s="28"/>
    </row>
    <row r="99" spans="1:28" ht="18" x14ac:dyDescent="0.2">
      <c r="A99" s="29"/>
      <c r="B99" s="29"/>
      <c r="C99" s="29"/>
      <c r="D99" s="29"/>
      <c r="E99" s="29"/>
      <c r="F99" s="29"/>
      <c r="G99" s="29"/>
      <c r="H99" s="2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8"/>
      <c r="Z99" s="28"/>
      <c r="AA99" s="28"/>
      <c r="AB99" s="28"/>
    </row>
    <row r="100" spans="1:28" ht="18" x14ac:dyDescent="0.2">
      <c r="A100" s="29"/>
      <c r="B100" s="29"/>
      <c r="C100" s="29"/>
      <c r="D100" s="29"/>
      <c r="E100" s="29"/>
      <c r="F100" s="29"/>
      <c r="G100" s="29"/>
      <c r="H100" s="29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28"/>
      <c r="Z100" s="28"/>
      <c r="AA100" s="28"/>
      <c r="AB100" s="28"/>
    </row>
    <row r="101" spans="1:28" ht="18" x14ac:dyDescent="0.2">
      <c r="A101" s="29"/>
      <c r="B101" s="29"/>
      <c r="C101" s="29"/>
      <c r="D101" s="29"/>
      <c r="E101" s="29"/>
      <c r="F101" s="29"/>
      <c r="G101" s="29"/>
      <c r="H101" s="29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28"/>
      <c r="Z101" s="28"/>
      <c r="AA101" s="28"/>
      <c r="AB101" s="28"/>
    </row>
    <row r="102" spans="1:28" ht="18" x14ac:dyDescent="0.2">
      <c r="A102" s="29"/>
      <c r="B102" s="29"/>
      <c r="C102" s="29"/>
      <c r="D102" s="29"/>
      <c r="E102" s="29"/>
      <c r="F102" s="29"/>
      <c r="G102" s="29"/>
      <c r="H102" s="29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28"/>
      <c r="Z102" s="28"/>
      <c r="AA102" s="28"/>
      <c r="AB102" s="28"/>
    </row>
    <row r="103" spans="1:28" ht="18" x14ac:dyDescent="0.2">
      <c r="A103" s="29"/>
      <c r="B103" s="29"/>
      <c r="C103" s="29"/>
      <c r="D103" s="29"/>
      <c r="E103" s="29"/>
      <c r="F103" s="29"/>
      <c r="G103" s="29"/>
      <c r="H103" s="29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31"/>
      <c r="Z103" s="31"/>
      <c r="AA103" s="31"/>
      <c r="AB103" s="31"/>
    </row>
    <row r="104" spans="1:28" ht="18" x14ac:dyDescent="0.2">
      <c r="A104" s="29"/>
      <c r="B104" s="29"/>
      <c r="C104" s="29"/>
      <c r="D104" s="29"/>
      <c r="E104" s="29"/>
      <c r="F104" s="29"/>
      <c r="G104" s="29"/>
      <c r="H104" s="29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32"/>
      <c r="Z104" s="32"/>
      <c r="AA104" s="32"/>
      <c r="AB104" s="32"/>
    </row>
    <row r="105" spans="1:28" ht="18" x14ac:dyDescent="0.2">
      <c r="A105" s="29"/>
      <c r="B105" s="29"/>
      <c r="C105" s="29"/>
      <c r="D105" s="29"/>
      <c r="E105" s="29"/>
      <c r="F105" s="29"/>
      <c r="G105" s="29"/>
      <c r="H105" s="29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28"/>
      <c r="Z105" s="28"/>
      <c r="AA105" s="28"/>
      <c r="AB105" s="28"/>
    </row>
    <row r="106" spans="1:28" ht="18" x14ac:dyDescent="0.2">
      <c r="A106" s="27"/>
      <c r="B106" s="27"/>
      <c r="C106" s="27"/>
      <c r="D106" s="27"/>
      <c r="E106" s="27"/>
      <c r="F106" s="27"/>
      <c r="G106" s="27"/>
      <c r="H106" s="2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28"/>
      <c r="Z106" s="28"/>
      <c r="AA106" s="28"/>
      <c r="AB106" s="28"/>
    </row>
    <row r="107" spans="1:28" ht="18" x14ac:dyDescent="0.2">
      <c r="A107" s="29"/>
      <c r="B107" s="29"/>
      <c r="C107" s="29"/>
      <c r="D107" s="29"/>
      <c r="E107" s="29"/>
      <c r="F107" s="29"/>
      <c r="G107" s="29"/>
      <c r="H107" s="29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28"/>
      <c r="Z107" s="28"/>
      <c r="AA107" s="28"/>
      <c r="AB107" s="28"/>
    </row>
    <row r="108" spans="1:28" ht="18" x14ac:dyDescent="0.2">
      <c r="A108" s="29"/>
      <c r="B108" s="29"/>
      <c r="C108" s="29"/>
      <c r="D108" s="29"/>
      <c r="E108" s="29"/>
      <c r="F108" s="29"/>
      <c r="G108" s="29"/>
      <c r="H108" s="29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28"/>
      <c r="Z108" s="28"/>
      <c r="AA108" s="28"/>
      <c r="AB108" s="28"/>
    </row>
    <row r="109" spans="1:28" ht="18" x14ac:dyDescent="0.2">
      <c r="A109" s="29"/>
      <c r="B109" s="29"/>
      <c r="C109" s="29"/>
      <c r="D109" s="29"/>
      <c r="E109" s="29"/>
      <c r="F109" s="29"/>
      <c r="G109" s="29"/>
      <c r="H109" s="29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28"/>
      <c r="Z109" s="28"/>
      <c r="AA109" s="28"/>
      <c r="AB109" s="28"/>
    </row>
    <row r="110" spans="1:28" ht="18" x14ac:dyDescent="0.2">
      <c r="A110" s="29"/>
      <c r="B110" s="29"/>
      <c r="C110" s="29"/>
      <c r="D110" s="29"/>
      <c r="E110" s="29"/>
      <c r="F110" s="29"/>
      <c r="G110" s="29"/>
      <c r="H110" s="29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31"/>
      <c r="Z110" s="31"/>
      <c r="AA110" s="31"/>
      <c r="AB110" s="31"/>
    </row>
    <row r="111" spans="1:28" ht="18" x14ac:dyDescent="0.2">
      <c r="A111" s="29"/>
      <c r="B111" s="29"/>
      <c r="C111" s="29"/>
      <c r="D111" s="29"/>
      <c r="E111" s="29"/>
      <c r="F111" s="29"/>
      <c r="G111" s="29"/>
      <c r="H111" s="29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32"/>
      <c r="Z111" s="32"/>
      <c r="AA111" s="32"/>
      <c r="AB111" s="32"/>
    </row>
    <row r="112" spans="1:28" ht="18" x14ac:dyDescent="0.2">
      <c r="A112" s="29"/>
      <c r="B112" s="29"/>
      <c r="C112" s="29"/>
      <c r="D112" s="29"/>
      <c r="E112" s="29"/>
      <c r="F112" s="29"/>
      <c r="G112" s="29"/>
      <c r="H112" s="29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35"/>
      <c r="Z112" s="35"/>
      <c r="AA112" s="35"/>
      <c r="AB112" s="35"/>
    </row>
    <row r="113" spans="1:28" ht="18" x14ac:dyDescent="0.2">
      <c r="A113" s="27"/>
      <c r="B113" s="27"/>
      <c r="C113" s="27"/>
      <c r="D113" s="27"/>
      <c r="E113" s="27"/>
      <c r="F113" s="27"/>
      <c r="G113" s="27"/>
      <c r="H113" s="2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32"/>
      <c r="Z113" s="32"/>
      <c r="AA113" s="32"/>
      <c r="AB113" s="32"/>
    </row>
    <row r="114" spans="1:28" ht="18" x14ac:dyDescent="0.2">
      <c r="A114" s="29"/>
      <c r="B114" s="29"/>
      <c r="C114" s="29"/>
      <c r="D114" s="29"/>
      <c r="E114" s="29"/>
      <c r="F114" s="29"/>
      <c r="G114" s="29"/>
      <c r="H114" s="29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33"/>
      <c r="Z114" s="33"/>
      <c r="AA114" s="33"/>
      <c r="AB114" s="33"/>
    </row>
    <row r="115" spans="1:28" ht="18" x14ac:dyDescent="0.2">
      <c r="A115" s="29"/>
      <c r="B115" s="29"/>
      <c r="C115" s="29"/>
      <c r="D115" s="29"/>
      <c r="E115" s="29"/>
      <c r="F115" s="29"/>
      <c r="G115" s="29"/>
      <c r="H115" s="29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32"/>
      <c r="Z115" s="32"/>
      <c r="AA115" s="32"/>
      <c r="AB115" s="32"/>
    </row>
    <row r="116" spans="1:28" ht="18" x14ac:dyDescent="0.2">
      <c r="A116" s="29"/>
      <c r="B116" s="29"/>
      <c r="C116" s="29"/>
      <c r="D116" s="29"/>
      <c r="E116" s="29"/>
      <c r="F116" s="29"/>
      <c r="G116" s="29"/>
      <c r="H116" s="29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35"/>
      <c r="Z116" s="35"/>
      <c r="AA116" s="35"/>
      <c r="AB116" s="35"/>
    </row>
    <row r="117" spans="1:28" ht="18" x14ac:dyDescent="0.2">
      <c r="A117" s="27"/>
      <c r="B117" s="27"/>
      <c r="C117" s="27"/>
      <c r="D117" s="27"/>
      <c r="E117" s="27"/>
      <c r="F117" s="27"/>
      <c r="G117" s="27"/>
      <c r="H117" s="2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32"/>
      <c r="Z117" s="32"/>
      <c r="AA117" s="32"/>
      <c r="AB117" s="32"/>
    </row>
    <row r="118" spans="1:28" ht="18" x14ac:dyDescent="0.2">
      <c r="A118" s="29"/>
      <c r="B118" s="29"/>
      <c r="C118" s="29"/>
      <c r="D118" s="29"/>
      <c r="E118" s="29"/>
      <c r="F118" s="29"/>
      <c r="G118" s="29"/>
      <c r="H118" s="29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33"/>
      <c r="Z118" s="33"/>
      <c r="AA118" s="33"/>
      <c r="AB118" s="33"/>
    </row>
    <row r="119" spans="1:28" ht="18" x14ac:dyDescent="0.2">
      <c r="A119" s="27"/>
      <c r="B119" s="27"/>
      <c r="C119" s="27"/>
      <c r="D119" s="27"/>
      <c r="E119" s="27"/>
      <c r="F119" s="27"/>
      <c r="G119" s="27"/>
      <c r="H119" s="2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8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spans="1:28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spans="1:28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spans="1:28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 spans="1:28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 spans="1:28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 spans="1:28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 spans="1:28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 spans="1:28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  <row r="129" spans="1:24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</sheetData>
  <mergeCells count="317">
    <mergeCell ref="AF17:AH17"/>
    <mergeCell ref="AJ17:AM17"/>
    <mergeCell ref="A17:H17"/>
    <mergeCell ref="A18:H18"/>
    <mergeCell ref="A19:H19"/>
    <mergeCell ref="A20:H20"/>
    <mergeCell ref="A21:H21"/>
    <mergeCell ref="A25:H25"/>
    <mergeCell ref="M21:P21"/>
    <mergeCell ref="Q21:T21"/>
    <mergeCell ref="Y23:AB23"/>
    <mergeCell ref="I22:L22"/>
    <mergeCell ref="M22:P22"/>
    <mergeCell ref="Q22:T22"/>
    <mergeCell ref="U22:X22"/>
    <mergeCell ref="Y22:AB22"/>
    <mergeCell ref="A24:H24"/>
    <mergeCell ref="I24:L24"/>
    <mergeCell ref="M24:P24"/>
    <mergeCell ref="Q24:T24"/>
    <mergeCell ref="U24:X24"/>
    <mergeCell ref="Y24:AB24"/>
    <mergeCell ref="A47:H47"/>
    <mergeCell ref="A1:H3"/>
    <mergeCell ref="A4:H4"/>
    <mergeCell ref="A5:H5"/>
    <mergeCell ref="A6:H6"/>
    <mergeCell ref="A7:H7"/>
    <mergeCell ref="A8:H8"/>
    <mergeCell ref="A9:H9"/>
    <mergeCell ref="A10:H10"/>
    <mergeCell ref="A11:H11"/>
    <mergeCell ref="A13:H13"/>
    <mergeCell ref="A14:H14"/>
    <mergeCell ref="A15:H15"/>
    <mergeCell ref="A16:H16"/>
    <mergeCell ref="A12:H12"/>
    <mergeCell ref="I5:L6"/>
    <mergeCell ref="M5:P6"/>
    <mergeCell ref="M7:P7"/>
    <mergeCell ref="Q5:T6"/>
    <mergeCell ref="Q7:T7"/>
    <mergeCell ref="Q8:T8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M11:P11"/>
    <mergeCell ref="M12:P12"/>
    <mergeCell ref="M13:P13"/>
    <mergeCell ref="M14:P14"/>
    <mergeCell ref="A48:H48"/>
    <mergeCell ref="A43:H43"/>
    <mergeCell ref="A44:H44"/>
    <mergeCell ref="A45:H45"/>
    <mergeCell ref="A46:H46"/>
    <mergeCell ref="A40:H40"/>
    <mergeCell ref="A41:H41"/>
    <mergeCell ref="A42:H42"/>
    <mergeCell ref="A38:H38"/>
    <mergeCell ref="A39:H39"/>
    <mergeCell ref="A28:H28"/>
    <mergeCell ref="A29:H29"/>
    <mergeCell ref="A30:H30"/>
    <mergeCell ref="A31:H31"/>
    <mergeCell ref="A32:H32"/>
    <mergeCell ref="A33:H33"/>
    <mergeCell ref="A34:H34"/>
    <mergeCell ref="A35:H35"/>
    <mergeCell ref="A36:H36"/>
    <mergeCell ref="A37:H37"/>
    <mergeCell ref="A27:H27"/>
    <mergeCell ref="I16:L16"/>
    <mergeCell ref="I17:L17"/>
    <mergeCell ref="I18:L18"/>
    <mergeCell ref="I19:L19"/>
    <mergeCell ref="I20:L20"/>
    <mergeCell ref="A22:H22"/>
    <mergeCell ref="A23:H23"/>
    <mergeCell ref="I23:L23"/>
    <mergeCell ref="A26:H26"/>
    <mergeCell ref="I25:L25"/>
    <mergeCell ref="I31:L31"/>
    <mergeCell ref="I32:L32"/>
    <mergeCell ref="I33:L33"/>
    <mergeCell ref="I34:L34"/>
    <mergeCell ref="I35:L35"/>
    <mergeCell ref="I36:L36"/>
    <mergeCell ref="I21:L21"/>
    <mergeCell ref="I26:L26"/>
    <mergeCell ref="I27:L27"/>
    <mergeCell ref="I28:L28"/>
    <mergeCell ref="I29:L29"/>
    <mergeCell ref="I30:L30"/>
    <mergeCell ref="I43:L43"/>
    <mergeCell ref="I44:L44"/>
    <mergeCell ref="I45:L45"/>
    <mergeCell ref="I46:L46"/>
    <mergeCell ref="I47:L47"/>
    <mergeCell ref="I48:L48"/>
    <mergeCell ref="I37:L37"/>
    <mergeCell ref="I38:L38"/>
    <mergeCell ref="I39:L39"/>
    <mergeCell ref="I40:L40"/>
    <mergeCell ref="I41:L41"/>
    <mergeCell ref="I42:L42"/>
    <mergeCell ref="M15:P15"/>
    <mergeCell ref="M16:P16"/>
    <mergeCell ref="M48:P48"/>
    <mergeCell ref="M40:P40"/>
    <mergeCell ref="M41:P41"/>
    <mergeCell ref="M42:P42"/>
    <mergeCell ref="M43:P43"/>
    <mergeCell ref="M44:P44"/>
    <mergeCell ref="M45:P45"/>
    <mergeCell ref="M36:P36"/>
    <mergeCell ref="M37:P37"/>
    <mergeCell ref="M38:P38"/>
    <mergeCell ref="M39:P39"/>
    <mergeCell ref="M19:P19"/>
    <mergeCell ref="M20:P20"/>
    <mergeCell ref="M23:P23"/>
    <mergeCell ref="M25:P25"/>
    <mergeCell ref="Q9:T9"/>
    <mergeCell ref="Q10:T10"/>
    <mergeCell ref="Q11:T11"/>
    <mergeCell ref="M46:P46"/>
    <mergeCell ref="M47:P47"/>
    <mergeCell ref="M8:P8"/>
    <mergeCell ref="M9:P9"/>
    <mergeCell ref="M10:P10"/>
    <mergeCell ref="M32:P32"/>
    <mergeCell ref="M33:P33"/>
    <mergeCell ref="M34:P34"/>
    <mergeCell ref="M35:P35"/>
    <mergeCell ref="M26:P26"/>
    <mergeCell ref="M27:P27"/>
    <mergeCell ref="M28:P28"/>
    <mergeCell ref="M29:P29"/>
    <mergeCell ref="M30:P30"/>
    <mergeCell ref="M31:P31"/>
    <mergeCell ref="M17:P17"/>
    <mergeCell ref="M18:P18"/>
    <mergeCell ref="Q17:T17"/>
    <mergeCell ref="Q18:T18"/>
    <mergeCell ref="Q19:T19"/>
    <mergeCell ref="Q20:T20"/>
    <mergeCell ref="Q46:T46"/>
    <mergeCell ref="Q47:T47"/>
    <mergeCell ref="Q48:T48"/>
    <mergeCell ref="Q38:T38"/>
    <mergeCell ref="Q39:T39"/>
    <mergeCell ref="Q40:T40"/>
    <mergeCell ref="Q41:T41"/>
    <mergeCell ref="Q42:T42"/>
    <mergeCell ref="Q34:T34"/>
    <mergeCell ref="Q35:T35"/>
    <mergeCell ref="Q36:T36"/>
    <mergeCell ref="Q37:T37"/>
    <mergeCell ref="U5:X6"/>
    <mergeCell ref="U7:X7"/>
    <mergeCell ref="U8:X8"/>
    <mergeCell ref="U9:X9"/>
    <mergeCell ref="U10:X10"/>
    <mergeCell ref="U11:X11"/>
    <mergeCell ref="Q43:T43"/>
    <mergeCell ref="Q44:T44"/>
    <mergeCell ref="Q45:T45"/>
    <mergeCell ref="Q27:T27"/>
    <mergeCell ref="Q28:T28"/>
    <mergeCell ref="Q29:T29"/>
    <mergeCell ref="Q30:T30"/>
    <mergeCell ref="Q31:T31"/>
    <mergeCell ref="Q32:T32"/>
    <mergeCell ref="Q26:T26"/>
    <mergeCell ref="Q12:T12"/>
    <mergeCell ref="Q13:T13"/>
    <mergeCell ref="Q14:T14"/>
    <mergeCell ref="Q15:T15"/>
    <mergeCell ref="Q16:T16"/>
    <mergeCell ref="Q23:T23"/>
    <mergeCell ref="Q25:T25"/>
    <mergeCell ref="Q33:T33"/>
    <mergeCell ref="U48:X48"/>
    <mergeCell ref="U49:X49"/>
    <mergeCell ref="Y5:AB6"/>
    <mergeCell ref="Y7:AB7"/>
    <mergeCell ref="Y8:AB8"/>
    <mergeCell ref="Y9:AB9"/>
    <mergeCell ref="Y10:AB10"/>
    <mergeCell ref="U39:X39"/>
    <mergeCell ref="U40:X40"/>
    <mergeCell ref="U41:X41"/>
    <mergeCell ref="U42:X42"/>
    <mergeCell ref="U43:X43"/>
    <mergeCell ref="U44:X44"/>
    <mergeCell ref="U33:X33"/>
    <mergeCell ref="U34:X34"/>
    <mergeCell ref="U35:X35"/>
    <mergeCell ref="U36:X36"/>
    <mergeCell ref="U37:X37"/>
    <mergeCell ref="U38:X38"/>
    <mergeCell ref="U27:X27"/>
    <mergeCell ref="U28:X28"/>
    <mergeCell ref="U29:X29"/>
    <mergeCell ref="U30:X30"/>
    <mergeCell ref="U31:X31"/>
    <mergeCell ref="Y11:AB11"/>
    <mergeCell ref="Y12:AB12"/>
    <mergeCell ref="Y13:AB13"/>
    <mergeCell ref="Y14:AB14"/>
    <mergeCell ref="Y15:AB15"/>
    <mergeCell ref="Y16:AB16"/>
    <mergeCell ref="U45:X45"/>
    <mergeCell ref="U46:X46"/>
    <mergeCell ref="U47:X47"/>
    <mergeCell ref="U32:X32"/>
    <mergeCell ref="U17:X17"/>
    <mergeCell ref="U18:X18"/>
    <mergeCell ref="U19:X19"/>
    <mergeCell ref="U20:X20"/>
    <mergeCell ref="U21:X21"/>
    <mergeCell ref="U26:X26"/>
    <mergeCell ref="U23:X23"/>
    <mergeCell ref="U25:X25"/>
    <mergeCell ref="U12:X12"/>
    <mergeCell ref="U13:X13"/>
    <mergeCell ref="U14:X14"/>
    <mergeCell ref="U15:X15"/>
    <mergeCell ref="U16:X16"/>
    <mergeCell ref="Y25:AB25"/>
    <mergeCell ref="Y46:AB46"/>
    <mergeCell ref="Y47:AB47"/>
    <mergeCell ref="Y48:AB48"/>
    <mergeCell ref="Y38:AB38"/>
    <mergeCell ref="Y39:AB39"/>
    <mergeCell ref="Y40:AB40"/>
    <mergeCell ref="Y41:AB41"/>
    <mergeCell ref="Y42:AB42"/>
    <mergeCell ref="Y43:AB43"/>
    <mergeCell ref="AE5:AG5"/>
    <mergeCell ref="AN5:AQ5"/>
    <mergeCell ref="AE6:AG6"/>
    <mergeCell ref="AN6:AP6"/>
    <mergeCell ref="Y44:AB44"/>
    <mergeCell ref="Y45:AB45"/>
    <mergeCell ref="Y32:AB32"/>
    <mergeCell ref="Y33:AB33"/>
    <mergeCell ref="Y34:AB34"/>
    <mergeCell ref="Y35:AB35"/>
    <mergeCell ref="Y36:AB36"/>
    <mergeCell ref="Y37:AB37"/>
    <mergeCell ref="Y26:AB26"/>
    <mergeCell ref="Y27:AB27"/>
    <mergeCell ref="Y28:AB28"/>
    <mergeCell ref="Y29:AB29"/>
    <mergeCell ref="Y30:AB30"/>
    <mergeCell ref="Y31:AB31"/>
    <mergeCell ref="Y17:AB17"/>
    <mergeCell ref="Y18:AB18"/>
    <mergeCell ref="AE40:AF40"/>
    <mergeCell ref="Y19:AB19"/>
    <mergeCell ref="Y20:AB20"/>
    <mergeCell ref="Y21:AB21"/>
    <mergeCell ref="AN7:AP7"/>
    <mergeCell ref="AE8:AG8"/>
    <mergeCell ref="AG36:AI36"/>
    <mergeCell ref="AG37:AI37"/>
    <mergeCell ref="AG38:AI38"/>
    <mergeCell ref="AG39:AI39"/>
    <mergeCell ref="AG40:AI40"/>
    <mergeCell ref="AQ33:AR34"/>
    <mergeCell ref="AE35:AF35"/>
    <mergeCell ref="AE36:AF36"/>
    <mergeCell ref="AE37:AF37"/>
    <mergeCell ref="AE38:AF38"/>
    <mergeCell ref="AE39:AF39"/>
    <mergeCell ref="AJ35:AN35"/>
    <mergeCell ref="AJ36:AN36"/>
    <mergeCell ref="AJ37:AN37"/>
    <mergeCell ref="AE33:AF34"/>
    <mergeCell ref="AG33:AI34"/>
    <mergeCell ref="AJ33:AN34"/>
    <mergeCell ref="AO33:AP34"/>
    <mergeCell ref="AN8:AP8"/>
    <mergeCell ref="AE9:AG9"/>
    <mergeCell ref="AN9:AP9"/>
    <mergeCell ref="AO17:AS17"/>
    <mergeCell ref="AR7:AX7"/>
    <mergeCell ref="AR6:AX6"/>
    <mergeCell ref="AT22:AZ22"/>
    <mergeCell ref="AT21:AZ21"/>
    <mergeCell ref="AQ41:AR42"/>
    <mergeCell ref="AG35:AI35"/>
    <mergeCell ref="AL41:AP42"/>
    <mergeCell ref="AQ35:AR35"/>
    <mergeCell ref="AQ36:AR36"/>
    <mergeCell ref="AQ37:AR37"/>
    <mergeCell ref="AQ38:AR38"/>
    <mergeCell ref="AQ39:AR39"/>
    <mergeCell ref="AQ40:AR40"/>
    <mergeCell ref="AJ38:AN38"/>
    <mergeCell ref="AJ39:AN39"/>
    <mergeCell ref="AJ40:AN40"/>
    <mergeCell ref="AO35:AP35"/>
    <mergeCell ref="AO36:AP36"/>
    <mergeCell ref="AO37:AP37"/>
    <mergeCell ref="AO38:AP38"/>
    <mergeCell ref="AO39:AP39"/>
    <mergeCell ref="AO40:AP40"/>
    <mergeCell ref="AE31:AR32"/>
    <mergeCell ref="AE7:AG7"/>
  </mergeCells>
  <pageMargins left="0.7" right="0.7" top="0.75" bottom="0.75" header="0.3" footer="0.3"/>
  <ignoredErrors>
    <ignoredError sqref="M3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ADD63-16B5-DA43-9565-8BB0DB48DD03}">
  <dimension ref="A1:AP25"/>
  <sheetViews>
    <sheetView zoomScale="113" zoomScaleNormal="100" workbookViewId="0">
      <selection activeCell="D5" sqref="D5"/>
    </sheetView>
  </sheetViews>
  <sheetFormatPr baseColWidth="10" defaultRowHeight="16" x14ac:dyDescent="0.2"/>
  <cols>
    <col min="1" max="2" width="10.83203125" style="269"/>
    <col min="3" max="3" width="24.1640625" style="269" customWidth="1"/>
    <col min="4" max="4" width="21.5" style="269" bestFit="1" customWidth="1"/>
    <col min="5" max="8" width="10.83203125" style="269"/>
    <col min="9" max="9" width="27" style="269" customWidth="1"/>
    <col min="10" max="10" width="14.83203125" style="269" customWidth="1"/>
    <col min="11" max="16384" width="10.83203125" style="269"/>
  </cols>
  <sheetData>
    <row r="1" spans="1:42" ht="17" thickBot="1" x14ac:dyDescent="0.25">
      <c r="A1" s="1074" t="s">
        <v>207</v>
      </c>
      <c r="B1" s="1075"/>
      <c r="C1" s="1075"/>
      <c r="D1" s="1096"/>
      <c r="G1" s="547"/>
      <c r="H1" s="548"/>
      <c r="I1" s="548"/>
      <c r="J1" s="548"/>
      <c r="K1" s="548"/>
      <c r="L1" s="548"/>
      <c r="M1" s="548"/>
      <c r="N1" s="548"/>
      <c r="O1" s="548"/>
      <c r="P1" s="549"/>
      <c r="Q1" s="499"/>
      <c r="R1" s="499"/>
      <c r="S1" s="499"/>
      <c r="T1" s="499"/>
      <c r="U1" s="499"/>
      <c r="V1" s="499"/>
      <c r="W1" s="499"/>
      <c r="X1" s="499"/>
      <c r="Y1" s="499"/>
      <c r="Z1" s="499"/>
      <c r="AA1" s="499"/>
      <c r="AB1" s="499"/>
      <c r="AC1" s="499"/>
      <c r="AD1" s="499"/>
      <c r="AE1" s="499"/>
      <c r="AF1" s="499"/>
      <c r="AG1" s="499"/>
      <c r="AH1" s="499"/>
      <c r="AI1" s="499"/>
      <c r="AJ1" s="499"/>
      <c r="AK1" s="499"/>
      <c r="AL1" s="499"/>
      <c r="AM1" s="499"/>
      <c r="AN1" s="499"/>
      <c r="AO1" s="499"/>
      <c r="AP1" s="499"/>
    </row>
    <row r="2" spans="1:42" ht="34" customHeight="1" thickBot="1" x14ac:dyDescent="0.25">
      <c r="A2" s="1249" t="s">
        <v>183</v>
      </c>
      <c r="B2" s="1250"/>
      <c r="C2" s="1250"/>
      <c r="D2" s="393">
        <f>'Leverage and Restructuration'!C4</f>
        <v>107.7</v>
      </c>
      <c r="G2" s="271" t="s">
        <v>184</v>
      </c>
      <c r="H2" s="272" t="s">
        <v>185</v>
      </c>
      <c r="I2" s="272" t="s">
        <v>342</v>
      </c>
      <c r="J2" s="272" t="s">
        <v>186</v>
      </c>
      <c r="K2" s="272" t="s">
        <v>187</v>
      </c>
      <c r="L2" s="272" t="s">
        <v>188</v>
      </c>
      <c r="M2" s="272" t="s">
        <v>189</v>
      </c>
      <c r="N2" s="272" t="s">
        <v>190</v>
      </c>
      <c r="O2" s="272" t="s">
        <v>191</v>
      </c>
      <c r="P2" s="503" t="s">
        <v>192</v>
      </c>
      <c r="Q2" s="499"/>
      <c r="R2" s="499"/>
      <c r="S2" s="499"/>
      <c r="T2" s="499"/>
      <c r="U2" s="499"/>
      <c r="V2" s="499"/>
      <c r="W2" s="499"/>
      <c r="X2" s="499"/>
      <c r="Y2" s="499"/>
      <c r="Z2" s="499"/>
      <c r="AA2" s="499"/>
      <c r="AB2" s="499"/>
      <c r="AC2" s="499"/>
      <c r="AD2" s="499"/>
      <c r="AE2" s="499"/>
      <c r="AF2" s="499"/>
      <c r="AG2" s="499"/>
      <c r="AH2" s="499"/>
      <c r="AI2" s="499"/>
      <c r="AJ2" s="499"/>
      <c r="AK2" s="499"/>
      <c r="AL2" s="499"/>
      <c r="AM2" s="499"/>
      <c r="AN2" s="499"/>
      <c r="AO2" s="499"/>
      <c r="AP2" s="499"/>
    </row>
    <row r="3" spans="1:42" ht="25" customHeight="1" x14ac:dyDescent="0.2">
      <c r="A3" s="1249" t="s">
        <v>193</v>
      </c>
      <c r="B3" s="1250"/>
      <c r="C3" s="1250"/>
      <c r="D3" s="396">
        <f>'Leverage and Restructuration'!C5</f>
        <v>72.5</v>
      </c>
      <c r="G3" s="273" t="s">
        <v>289</v>
      </c>
      <c r="H3" s="274" t="s">
        <v>194</v>
      </c>
      <c r="I3" s="278">
        <v>190.77728099999999</v>
      </c>
      <c r="J3" s="739">
        <v>0.02</v>
      </c>
      <c r="K3" s="275" t="s">
        <v>195</v>
      </c>
      <c r="L3" s="275" t="s">
        <v>285</v>
      </c>
      <c r="M3" s="275" t="s">
        <v>196</v>
      </c>
      <c r="N3" s="275" t="s">
        <v>197</v>
      </c>
      <c r="O3" s="275" t="s">
        <v>197</v>
      </c>
      <c r="P3" s="504" t="s">
        <v>293</v>
      </c>
      <c r="Q3" s="499"/>
      <c r="R3" s="499"/>
      <c r="S3" s="499"/>
      <c r="T3" s="499"/>
      <c r="U3" s="499"/>
      <c r="V3" s="499"/>
      <c r="W3" s="499"/>
      <c r="X3" s="499"/>
      <c r="Y3" s="499"/>
      <c r="Z3" s="499"/>
      <c r="AA3" s="499"/>
      <c r="AB3" s="499"/>
      <c r="AC3" s="499"/>
      <c r="AD3" s="499"/>
      <c r="AE3" s="499"/>
      <c r="AF3" s="499"/>
      <c r="AG3" s="499"/>
      <c r="AH3" s="499"/>
      <c r="AI3" s="499"/>
      <c r="AJ3" s="499"/>
      <c r="AK3" s="499"/>
      <c r="AL3" s="499"/>
      <c r="AM3" s="499"/>
      <c r="AN3" s="499"/>
      <c r="AO3" s="499"/>
      <c r="AP3" s="499"/>
    </row>
    <row r="4" spans="1:42" ht="23" customHeight="1" x14ac:dyDescent="0.2">
      <c r="A4" s="1249" t="s">
        <v>198</v>
      </c>
      <c r="B4" s="1250"/>
      <c r="C4" s="1250"/>
      <c r="D4" s="802">
        <f>'Leverage and Restructuration'!C6</f>
        <v>8807.7000000000007</v>
      </c>
      <c r="G4" s="276" t="s">
        <v>290</v>
      </c>
      <c r="H4" s="277" t="s">
        <v>194</v>
      </c>
      <c r="I4" s="278">
        <v>190.77728099999999</v>
      </c>
      <c r="J4" s="740">
        <f>0.01875</f>
        <v>1.8749999999999999E-2</v>
      </c>
      <c r="K4" s="278" t="s">
        <v>195</v>
      </c>
      <c r="L4" s="427" t="s">
        <v>286</v>
      </c>
      <c r="M4" s="278" t="s">
        <v>196</v>
      </c>
      <c r="N4" s="278" t="s">
        <v>197</v>
      </c>
      <c r="O4" s="278" t="s">
        <v>197</v>
      </c>
      <c r="P4" s="504" t="s">
        <v>293</v>
      </c>
      <c r="Q4" s="499"/>
      <c r="R4" s="499"/>
      <c r="S4" s="499"/>
      <c r="T4" s="499"/>
      <c r="U4" s="499"/>
      <c r="V4" s="499"/>
      <c r="W4" s="499"/>
      <c r="X4" s="499"/>
      <c r="Y4" s="499"/>
      <c r="Z4" s="499"/>
      <c r="AA4" s="499"/>
      <c r="AB4" s="499"/>
      <c r="AC4" s="499"/>
      <c r="AD4" s="499"/>
      <c r="AE4" s="499"/>
      <c r="AF4" s="499"/>
      <c r="AG4" s="499"/>
      <c r="AH4" s="499"/>
      <c r="AI4" s="499"/>
      <c r="AJ4" s="499"/>
      <c r="AK4" s="499"/>
      <c r="AL4" s="499"/>
      <c r="AM4" s="499"/>
      <c r="AN4" s="499"/>
      <c r="AO4" s="499"/>
      <c r="AP4" s="499"/>
    </row>
    <row r="5" spans="1:42" ht="32" customHeight="1" x14ac:dyDescent="0.2">
      <c r="A5" s="1249" t="s">
        <v>275</v>
      </c>
      <c r="B5" s="1250"/>
      <c r="C5" s="1250"/>
      <c r="D5" s="394">
        <f>'Leverage and Restructuration'!B31</f>
        <v>1784.912</v>
      </c>
      <c r="G5" s="276" t="s">
        <v>291</v>
      </c>
      <c r="H5" s="277" t="s">
        <v>194</v>
      </c>
      <c r="I5" s="278">
        <f>163.523384</f>
        <v>163.52338399999999</v>
      </c>
      <c r="J5" s="740">
        <f>0.0175</f>
        <v>1.7500000000000002E-2</v>
      </c>
      <c r="K5" s="278" t="s">
        <v>195</v>
      </c>
      <c r="L5" s="427" t="s">
        <v>287</v>
      </c>
      <c r="M5" s="278" t="s">
        <v>196</v>
      </c>
      <c r="N5" s="278" t="s">
        <v>197</v>
      </c>
      <c r="O5" s="278" t="s">
        <v>197</v>
      </c>
      <c r="P5" s="504" t="s">
        <v>293</v>
      </c>
      <c r="Q5" s="499"/>
      <c r="R5" s="499"/>
      <c r="S5" s="499"/>
      <c r="T5" s="499"/>
      <c r="U5" s="499"/>
      <c r="V5" s="499"/>
      <c r="W5" s="499"/>
      <c r="X5" s="499"/>
      <c r="Y5" s="499"/>
      <c r="Z5" s="499"/>
      <c r="AA5" s="499"/>
      <c r="AB5" s="499"/>
      <c r="AC5" s="499"/>
      <c r="AD5" s="499"/>
      <c r="AE5" s="499"/>
      <c r="AF5" s="499"/>
      <c r="AG5" s="499"/>
      <c r="AH5" s="499"/>
      <c r="AI5" s="499"/>
      <c r="AJ5" s="499"/>
      <c r="AK5" s="499"/>
      <c r="AL5" s="499"/>
      <c r="AM5" s="499"/>
      <c r="AN5" s="499"/>
      <c r="AO5" s="499"/>
      <c r="AP5" s="499"/>
    </row>
    <row r="6" spans="1:42" ht="26" customHeight="1" thickBot="1" x14ac:dyDescent="0.25">
      <c r="A6" s="1249" t="s">
        <v>199</v>
      </c>
      <c r="B6" s="1250"/>
      <c r="C6" s="1250"/>
      <c r="D6" s="395">
        <f>D4/(D4+D5)</f>
        <v>0.83149463040843941</v>
      </c>
      <c r="G6" s="279" t="s">
        <v>292</v>
      </c>
      <c r="H6" s="280" t="s">
        <v>194</v>
      </c>
      <c r="I6" s="281">
        <f>239.834296</f>
        <v>239.83429599999999</v>
      </c>
      <c r="J6" s="741">
        <f>0.015</f>
        <v>1.4999999999999999E-2</v>
      </c>
      <c r="K6" s="281" t="s">
        <v>195</v>
      </c>
      <c r="L6" s="428" t="s">
        <v>288</v>
      </c>
      <c r="M6" s="281" t="s">
        <v>196</v>
      </c>
      <c r="N6" s="281" t="s">
        <v>197</v>
      </c>
      <c r="O6" s="281" t="s">
        <v>197</v>
      </c>
      <c r="P6" s="505" t="s">
        <v>293</v>
      </c>
      <c r="Q6" s="499"/>
      <c r="R6" s="499"/>
      <c r="S6" s="499"/>
      <c r="T6" s="499"/>
      <c r="U6" s="499"/>
      <c r="V6" s="499"/>
      <c r="W6" s="499"/>
      <c r="X6" s="499"/>
      <c r="Y6" s="499"/>
      <c r="Z6" s="499"/>
      <c r="AA6" s="499"/>
      <c r="AB6" s="499"/>
      <c r="AC6" s="499"/>
      <c r="AD6" s="499"/>
      <c r="AE6" s="499"/>
      <c r="AF6" s="499"/>
      <c r="AG6" s="499"/>
      <c r="AH6" s="499"/>
      <c r="AI6" s="499"/>
      <c r="AJ6" s="499"/>
      <c r="AK6" s="499"/>
      <c r="AL6" s="499"/>
      <c r="AM6" s="499"/>
      <c r="AN6" s="499"/>
      <c r="AO6" s="499"/>
      <c r="AP6" s="499"/>
    </row>
    <row r="7" spans="1:42" ht="29" customHeight="1" thickBot="1" x14ac:dyDescent="0.25">
      <c r="A7" s="1249" t="s">
        <v>263</v>
      </c>
      <c r="B7" s="1250"/>
      <c r="C7" s="1250"/>
      <c r="D7" s="395">
        <f>D5/(D4+D5)</f>
        <v>0.16850536959156059</v>
      </c>
      <c r="E7" s="401"/>
      <c r="F7" s="401"/>
      <c r="G7" s="1254" t="s">
        <v>200</v>
      </c>
      <c r="H7" s="1255"/>
      <c r="I7" s="429">
        <f>SUM(I3:I6)</f>
        <v>784.91224199999999</v>
      </c>
      <c r="J7" s="506">
        <f>(I3*J3+I4*J4+I5*J5+I6*J6+S1*T1+S2*T2+S3*T3)/I7</f>
        <v>1.7647569444776221E-2</v>
      </c>
      <c r="K7" s="497"/>
      <c r="L7" s="497"/>
      <c r="M7" s="497"/>
      <c r="N7" s="497"/>
      <c r="O7" s="497"/>
      <c r="P7" s="498"/>
      <c r="Q7" s="499"/>
      <c r="R7" s="499"/>
      <c r="S7" s="499"/>
      <c r="T7" s="499"/>
      <c r="U7" s="499"/>
      <c r="V7" s="499"/>
      <c r="W7" s="499"/>
      <c r="X7" s="499"/>
      <c r="Y7" s="499"/>
      <c r="Z7" s="499"/>
      <c r="AA7" s="499"/>
      <c r="AB7" s="499"/>
      <c r="AC7" s="499"/>
      <c r="AD7" s="499"/>
      <c r="AE7" s="499"/>
      <c r="AF7" s="499"/>
      <c r="AG7" s="499"/>
      <c r="AH7" s="499"/>
      <c r="AI7" s="499"/>
      <c r="AJ7" s="499"/>
      <c r="AK7" s="499"/>
      <c r="AL7" s="499"/>
      <c r="AM7" s="499"/>
      <c r="AN7" s="499"/>
      <c r="AO7" s="499"/>
      <c r="AP7" s="499"/>
    </row>
    <row r="8" spans="1:42" ht="25" customHeight="1" x14ac:dyDescent="0.2">
      <c r="A8" s="1249" t="s">
        <v>278</v>
      </c>
      <c r="B8" s="1250"/>
      <c r="C8" s="1250"/>
      <c r="D8" s="395">
        <f>D13+D12*D11</f>
        <v>8.2642304383056614E-2</v>
      </c>
      <c r="G8" s="502"/>
      <c r="H8" s="502"/>
      <c r="I8" s="500"/>
      <c r="J8" s="501"/>
      <c r="K8" s="497"/>
      <c r="L8" s="497"/>
      <c r="M8" s="497"/>
      <c r="N8" s="497"/>
      <c r="O8" s="497"/>
      <c r="P8" s="498"/>
      <c r="Q8" s="499"/>
      <c r="R8" s="499"/>
      <c r="S8" s="499"/>
      <c r="T8" s="499"/>
      <c r="U8" s="499"/>
      <c r="V8" s="499"/>
      <c r="W8" s="499"/>
      <c r="X8" s="499"/>
      <c r="Y8" s="499"/>
      <c r="Z8" s="499"/>
      <c r="AA8" s="499"/>
      <c r="AB8" s="499"/>
      <c r="AC8" s="499"/>
      <c r="AD8" s="499"/>
      <c r="AE8" s="499"/>
      <c r="AF8" s="499"/>
      <c r="AG8" s="499"/>
      <c r="AH8" s="499"/>
      <c r="AI8" s="499"/>
      <c r="AJ8" s="499"/>
      <c r="AK8" s="499"/>
      <c r="AL8" s="499"/>
      <c r="AM8" s="499"/>
      <c r="AN8" s="499"/>
      <c r="AO8" s="499"/>
      <c r="AP8" s="499"/>
    </row>
    <row r="9" spans="1:42" x14ac:dyDescent="0.2">
      <c r="A9" s="1249" t="s">
        <v>279</v>
      </c>
      <c r="B9" s="1250"/>
      <c r="C9" s="1250"/>
      <c r="D9" s="395">
        <f>I7/D5*J7+(1-I7/D5)*AVERAGE('Coverage ratios'!R9,'Coverage ratios'!R19,'Coverage ratios'!R29,'Coverage ratios'!R39,'Coverage ratios'!R49)</f>
        <v>1.5805083149822277E-2</v>
      </c>
      <c r="G9" s="502"/>
      <c r="H9" s="502"/>
      <c r="I9" s="500"/>
      <c r="J9" s="501"/>
      <c r="K9" s="434"/>
      <c r="L9" s="434"/>
      <c r="M9" s="434"/>
      <c r="N9" s="434"/>
      <c r="O9" s="434"/>
      <c r="P9" s="434"/>
      <c r="Q9" s="499"/>
      <c r="R9" s="499"/>
      <c r="S9" s="499"/>
      <c r="T9" s="499"/>
      <c r="U9" s="499"/>
      <c r="V9" s="499"/>
      <c r="W9" s="499"/>
      <c r="X9" s="499"/>
      <c r="Y9" s="499"/>
      <c r="Z9" s="499"/>
      <c r="AA9" s="499"/>
      <c r="AB9" s="499"/>
      <c r="AC9" s="499"/>
      <c r="AD9" s="499"/>
      <c r="AE9" s="499"/>
      <c r="AF9" s="499"/>
      <c r="AG9" s="499"/>
      <c r="AH9" s="499"/>
      <c r="AI9" s="499"/>
      <c r="AJ9" s="499"/>
      <c r="AK9" s="499"/>
      <c r="AL9" s="499"/>
      <c r="AM9" s="499"/>
      <c r="AN9" s="499"/>
      <c r="AO9" s="499"/>
      <c r="AP9" s="499"/>
    </row>
    <row r="10" spans="1:42" x14ac:dyDescent="0.2">
      <c r="A10" s="1249" t="s">
        <v>201</v>
      </c>
      <c r="B10" s="1250"/>
      <c r="C10" s="1250"/>
      <c r="D10" s="395">
        <f>Rates!I21</f>
        <v>0.15</v>
      </c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499"/>
      <c r="AG10" s="499"/>
      <c r="AH10" s="499"/>
      <c r="AI10" s="499"/>
      <c r="AJ10" s="499"/>
      <c r="AK10" s="499"/>
      <c r="AL10" s="499"/>
      <c r="AM10" s="499"/>
      <c r="AN10" s="499"/>
      <c r="AO10" s="499"/>
      <c r="AP10" s="499"/>
    </row>
    <row r="11" spans="1:42" ht="17" thickBot="1" x14ac:dyDescent="0.25">
      <c r="A11" s="1249" t="s">
        <v>182</v>
      </c>
      <c r="B11" s="1250"/>
      <c r="C11" s="1250"/>
      <c r="D11" s="396">
        <f>Rates!T25</f>
        <v>1.3880999999999999</v>
      </c>
      <c r="X11" s="270"/>
    </row>
    <row r="12" spans="1:42" ht="17" thickBot="1" x14ac:dyDescent="0.25">
      <c r="A12" s="1249" t="s">
        <v>437</v>
      </c>
      <c r="B12" s="1250"/>
      <c r="C12" s="1250"/>
      <c r="D12" s="514">
        <f>Rates!T31</f>
        <v>5.383227102050147E-2</v>
      </c>
      <c r="E12" s="815" t="s">
        <v>136</v>
      </c>
      <c r="F12" s="815"/>
      <c r="G12" s="815"/>
      <c r="H12" s="815"/>
      <c r="I12" s="815"/>
      <c r="J12" s="816"/>
      <c r="X12" s="270"/>
    </row>
    <row r="13" spans="1:42" ht="17" thickBot="1" x14ac:dyDescent="0.25">
      <c r="A13" s="1249" t="s">
        <v>202</v>
      </c>
      <c r="B13" s="1250"/>
      <c r="C13" s="1250"/>
      <c r="D13" s="395">
        <f>Rates!I19*Rates!T29</f>
        <v>7.9177289794985298E-3</v>
      </c>
      <c r="E13" s="815" t="s">
        <v>244</v>
      </c>
      <c r="F13" s="815"/>
      <c r="G13" s="815"/>
      <c r="H13" s="815"/>
      <c r="I13" s="815"/>
      <c r="J13" s="816"/>
      <c r="X13" s="270"/>
    </row>
    <row r="14" spans="1:42" ht="17" thickBot="1" x14ac:dyDescent="0.25">
      <c r="A14" s="1249" t="s">
        <v>276</v>
      </c>
      <c r="B14" s="1250"/>
      <c r="C14" s="1250"/>
      <c r="D14" s="395">
        <f>D6*D8+D7*D9*(1-D10)</f>
        <v>7.0980387510039628E-2</v>
      </c>
      <c r="E14" s="817" t="s">
        <v>340</v>
      </c>
      <c r="F14" s="818"/>
      <c r="G14" s="818"/>
      <c r="H14" s="818"/>
      <c r="I14" s="818"/>
      <c r="J14" s="819"/>
      <c r="N14" s="282"/>
      <c r="O14" s="282"/>
      <c r="Q14" s="282"/>
      <c r="R14" s="282"/>
      <c r="S14" s="282"/>
      <c r="T14" s="282"/>
      <c r="U14" s="282"/>
      <c r="V14" s="282"/>
      <c r="W14" s="282"/>
      <c r="X14" s="270"/>
    </row>
    <row r="15" spans="1:42" x14ac:dyDescent="0.2">
      <c r="A15" s="1249" t="s">
        <v>403</v>
      </c>
      <c r="B15" s="1250"/>
      <c r="C15" s="1250"/>
      <c r="D15" s="397">
        <f>'Restructuration cap'!AH32</f>
        <v>1.6676405000000002E-2</v>
      </c>
      <c r="E15" s="1253"/>
      <c r="F15" s="1253"/>
      <c r="G15" s="1253"/>
      <c r="H15" s="1253"/>
      <c r="I15" s="1253"/>
      <c r="J15" s="1253"/>
      <c r="K15" s="1253"/>
      <c r="L15" s="1253"/>
      <c r="M15" s="1253"/>
      <c r="N15" s="1253"/>
      <c r="O15" s="1253"/>
      <c r="P15" s="270"/>
      <c r="Q15" s="270"/>
      <c r="R15" s="283"/>
      <c r="S15" s="270"/>
      <c r="T15" s="270"/>
      <c r="U15" s="270"/>
      <c r="V15" s="270"/>
      <c r="W15" s="270"/>
      <c r="X15" s="270"/>
    </row>
    <row r="16" spans="1:42" x14ac:dyDescent="0.2">
      <c r="A16" s="1249" t="s">
        <v>203</v>
      </c>
      <c r="B16" s="1250"/>
      <c r="C16" s="1250"/>
      <c r="D16" s="398">
        <f>('Restructuration cap'!AB86*(1+D15)/(D14-D15))</f>
        <v>4154.4322568409789</v>
      </c>
      <c r="X16" s="270"/>
    </row>
    <row r="17" spans="1:36" x14ac:dyDescent="0.2">
      <c r="A17" s="1249" t="s">
        <v>204</v>
      </c>
      <c r="B17" s="1250"/>
      <c r="C17" s="1250"/>
      <c r="D17" s="398">
        <f>NPV(D14,'Restructuration cap'!W86:AA86)</f>
        <v>671.13493761238999</v>
      </c>
      <c r="Q17" s="284"/>
      <c r="X17" s="270"/>
    </row>
    <row r="18" spans="1:36" ht="17" thickBot="1" x14ac:dyDescent="0.25">
      <c r="A18" s="1249" t="s">
        <v>205</v>
      </c>
      <c r="B18" s="1250"/>
      <c r="C18" s="1250"/>
      <c r="D18" s="398">
        <f>D16/((1+D14)^(4+1/4))</f>
        <v>3104.1323574509111</v>
      </c>
      <c r="E18" s="348"/>
      <c r="F18" s="348"/>
      <c r="G18" s="348"/>
      <c r="X18" s="270"/>
    </row>
    <row r="19" spans="1:36" ht="17" thickBot="1" x14ac:dyDescent="0.25">
      <c r="A19" s="1251" t="s">
        <v>381</v>
      </c>
      <c r="B19" s="1252"/>
      <c r="C19" s="1252"/>
      <c r="D19" s="399">
        <f>D17+D18</f>
        <v>3775.2672950633009</v>
      </c>
      <c r="E19" s="230"/>
      <c r="F19" s="230"/>
      <c r="G19" s="230"/>
      <c r="H19" s="230"/>
      <c r="I19" s="230"/>
      <c r="J19" s="230"/>
      <c r="X19" s="270"/>
    </row>
    <row r="20" spans="1:36" x14ac:dyDescent="0.2">
      <c r="X20" s="270"/>
    </row>
    <row r="21" spans="1:36" x14ac:dyDescent="0.2">
      <c r="X21" s="270"/>
    </row>
    <row r="22" spans="1:36" ht="17" thickBot="1" x14ac:dyDescent="0.25">
      <c r="X22" s="270"/>
    </row>
    <row r="23" spans="1:36" ht="16" customHeight="1" x14ac:dyDescent="0.2">
      <c r="A23" s="723"/>
      <c r="B23" s="723"/>
      <c r="C23" s="723"/>
      <c r="D23" s="723"/>
      <c r="E23" s="723"/>
      <c r="F23" s="723"/>
      <c r="G23" s="723"/>
      <c r="H23" s="723"/>
      <c r="I23" s="723"/>
      <c r="J23" s="723"/>
      <c r="K23" s="723"/>
      <c r="L23" s="723"/>
      <c r="M23" s="723"/>
      <c r="N23" s="723"/>
      <c r="O23" s="723"/>
      <c r="P23" s="723"/>
      <c r="Q23" s="723"/>
      <c r="R23" s="723"/>
      <c r="S23" s="723"/>
      <c r="T23" s="723"/>
      <c r="U23" s="723"/>
      <c r="V23" s="723"/>
      <c r="W23" s="723"/>
      <c r="X23" s="723"/>
      <c r="Y23" s="723"/>
      <c r="Z23" s="723"/>
      <c r="AA23" s="723"/>
      <c r="AB23" s="723"/>
      <c r="AC23" s="723"/>
      <c r="AD23" s="723"/>
      <c r="AE23" s="723"/>
      <c r="AF23" s="723"/>
      <c r="AG23" s="723"/>
      <c r="AH23" s="719"/>
      <c r="AI23" s="719"/>
      <c r="AJ23" s="720"/>
    </row>
    <row r="24" spans="1:36" ht="17" customHeight="1" thickBot="1" x14ac:dyDescent="0.25">
      <c r="A24" s="723"/>
      <c r="B24" s="723"/>
      <c r="C24" s="723"/>
      <c r="D24" s="723"/>
      <c r="E24" s="723"/>
      <c r="F24" s="723"/>
      <c r="G24" s="723"/>
      <c r="H24" s="723"/>
      <c r="I24" s="723"/>
      <c r="J24" s="723"/>
      <c r="K24" s="723"/>
      <c r="L24" s="723"/>
      <c r="M24" s="723"/>
      <c r="N24" s="723"/>
      <c r="O24" s="723"/>
      <c r="P24" s="723"/>
      <c r="Q24" s="723"/>
      <c r="R24" s="723"/>
      <c r="S24" s="723"/>
      <c r="T24" s="723"/>
      <c r="U24" s="723"/>
      <c r="V24" s="723"/>
      <c r="W24" s="723"/>
      <c r="X24" s="723"/>
      <c r="Y24" s="723"/>
      <c r="Z24" s="723"/>
      <c r="AA24" s="723"/>
      <c r="AB24" s="723"/>
      <c r="AC24" s="723"/>
      <c r="AD24" s="723"/>
      <c r="AE24" s="723"/>
      <c r="AF24" s="723"/>
      <c r="AG24" s="723"/>
      <c r="AH24" s="721"/>
      <c r="AI24" s="721"/>
      <c r="AJ24" s="722"/>
    </row>
    <row r="25" spans="1:36" x14ac:dyDescent="0.2">
      <c r="A25" s="689"/>
      <c r="B25" s="689"/>
      <c r="C25" s="689"/>
      <c r="D25" s="689"/>
      <c r="E25" s="689"/>
      <c r="F25" s="689"/>
      <c r="G25" s="689"/>
      <c r="H25" s="689"/>
      <c r="I25" s="689"/>
      <c r="J25" s="689"/>
      <c r="K25" s="689"/>
      <c r="L25" s="689"/>
      <c r="M25" s="689"/>
      <c r="N25" s="689"/>
      <c r="O25" s="689"/>
      <c r="P25" s="689"/>
      <c r="Q25" s="689"/>
      <c r="R25" s="689"/>
      <c r="S25" s="689"/>
      <c r="T25" s="689"/>
      <c r="U25" s="689"/>
      <c r="V25" s="689"/>
      <c r="W25" s="689"/>
      <c r="X25" s="724"/>
      <c r="Y25" s="689"/>
      <c r="Z25" s="689"/>
      <c r="AA25" s="689"/>
      <c r="AB25" s="689"/>
      <c r="AC25" s="689"/>
      <c r="AD25" s="689"/>
      <c r="AE25" s="689"/>
      <c r="AF25" s="689"/>
      <c r="AG25" s="689"/>
    </row>
  </sheetData>
  <mergeCells count="24">
    <mergeCell ref="A1:D1"/>
    <mergeCell ref="A2:C2"/>
    <mergeCell ref="A3:C3"/>
    <mergeCell ref="A4:C4"/>
    <mergeCell ref="A5:C5"/>
    <mergeCell ref="A6:C6"/>
    <mergeCell ref="A7:C7"/>
    <mergeCell ref="A8:C8"/>
    <mergeCell ref="A9:C9"/>
    <mergeCell ref="E15:O15"/>
    <mergeCell ref="E14:J14"/>
    <mergeCell ref="E13:J13"/>
    <mergeCell ref="E12:J12"/>
    <mergeCell ref="A10:C10"/>
    <mergeCell ref="A11:C11"/>
    <mergeCell ref="G7:H7"/>
    <mergeCell ref="A18:C18"/>
    <mergeCell ref="A19:C19"/>
    <mergeCell ref="A12:C12"/>
    <mergeCell ref="A13:C13"/>
    <mergeCell ref="A14:C14"/>
    <mergeCell ref="A15:C15"/>
    <mergeCell ref="A16:C16"/>
    <mergeCell ref="A17:C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52EF1-BA97-8C41-BD6F-13D3698DEC44}">
  <dimension ref="A3:AH79"/>
  <sheetViews>
    <sheetView tabSelected="1" zoomScale="75" workbookViewId="0">
      <selection activeCell="A4" sqref="A4:Q5"/>
    </sheetView>
  </sheetViews>
  <sheetFormatPr baseColWidth="10" defaultRowHeight="16" x14ac:dyDescent="0.2"/>
  <cols>
    <col min="5" max="5" width="23.6640625" customWidth="1"/>
    <col min="6" max="6" width="27.33203125" customWidth="1"/>
  </cols>
  <sheetData>
    <row r="3" spans="1:34" ht="17" thickBot="1" x14ac:dyDescent="0.25"/>
    <row r="4" spans="1:34" x14ac:dyDescent="0.2">
      <c r="A4" s="867" t="s">
        <v>440</v>
      </c>
      <c r="B4" s="876"/>
      <c r="C4" s="876"/>
      <c r="D4" s="876"/>
      <c r="E4" s="876"/>
      <c r="F4" s="876"/>
      <c r="G4" s="876"/>
      <c r="H4" s="876"/>
      <c r="I4" s="876"/>
      <c r="J4" s="876"/>
      <c r="K4" s="876"/>
      <c r="L4" s="876"/>
      <c r="M4" s="876"/>
      <c r="N4" s="876"/>
      <c r="O4" s="876"/>
      <c r="P4" s="876"/>
      <c r="Q4" s="876"/>
      <c r="R4" s="867" t="s">
        <v>392</v>
      </c>
      <c r="S4" s="876"/>
      <c r="T4" s="876"/>
      <c r="U4" s="876"/>
      <c r="V4" s="876"/>
      <c r="W4" s="876"/>
      <c r="X4" s="876"/>
      <c r="Y4" s="876"/>
      <c r="Z4" s="876"/>
      <c r="AA4" s="876"/>
      <c r="AB4" s="876"/>
      <c r="AC4" s="876"/>
      <c r="AD4" s="876"/>
      <c r="AE4" s="876"/>
      <c r="AF4" s="876"/>
      <c r="AG4" s="876"/>
      <c r="AH4" s="868"/>
    </row>
    <row r="5" spans="1:34" ht="17" thickBot="1" x14ac:dyDescent="0.25">
      <c r="A5" s="869"/>
      <c r="B5" s="877"/>
      <c r="C5" s="877"/>
      <c r="D5" s="877"/>
      <c r="E5" s="877"/>
      <c r="F5" s="877"/>
      <c r="G5" s="877"/>
      <c r="H5" s="877"/>
      <c r="I5" s="877"/>
      <c r="J5" s="877"/>
      <c r="K5" s="877"/>
      <c r="L5" s="877"/>
      <c r="M5" s="877"/>
      <c r="N5" s="877"/>
      <c r="O5" s="877"/>
      <c r="P5" s="877"/>
      <c r="Q5" s="877"/>
      <c r="R5" s="869"/>
      <c r="S5" s="877"/>
      <c r="T5" s="877"/>
      <c r="U5" s="877"/>
      <c r="V5" s="877"/>
      <c r="W5" s="877"/>
      <c r="X5" s="877"/>
      <c r="Y5" s="877"/>
      <c r="Z5" s="877"/>
      <c r="AA5" s="877"/>
      <c r="AB5" s="877"/>
      <c r="AC5" s="877"/>
      <c r="AD5" s="877"/>
      <c r="AE5" s="877"/>
      <c r="AF5" s="877"/>
      <c r="AG5" s="877"/>
      <c r="AH5" s="870"/>
    </row>
    <row r="6" spans="1:34" ht="17" thickBot="1" x14ac:dyDescent="0.25">
      <c r="A6" s="730"/>
      <c r="B6" s="731"/>
      <c r="C6" s="731"/>
      <c r="D6" s="731"/>
      <c r="E6" s="731"/>
      <c r="F6" s="731"/>
      <c r="G6" s="731"/>
      <c r="H6" s="731"/>
      <c r="I6" s="731"/>
      <c r="J6" s="731"/>
      <c r="K6" s="731"/>
      <c r="L6" s="731"/>
      <c r="M6" s="731"/>
      <c r="N6" s="731"/>
      <c r="O6" s="731"/>
      <c r="P6" s="731"/>
      <c r="Q6" s="731"/>
      <c r="R6" s="730"/>
      <c r="S6" s="731"/>
      <c r="T6" s="731"/>
      <c r="U6" s="731"/>
      <c r="V6" s="731"/>
      <c r="W6" s="731"/>
      <c r="X6" s="731"/>
      <c r="Y6" s="731"/>
      <c r="Z6" s="731"/>
      <c r="AA6" s="731"/>
      <c r="AB6" s="731"/>
      <c r="AC6" s="731"/>
      <c r="AD6" s="731"/>
      <c r="AE6" s="731"/>
      <c r="AF6" s="731"/>
      <c r="AG6" s="731"/>
      <c r="AH6" s="732"/>
    </row>
    <row r="7" spans="1:34" ht="17" thickBot="1" x14ac:dyDescent="0.25">
      <c r="A7" s="730"/>
      <c r="B7" s="731"/>
      <c r="C7" s="731"/>
      <c r="D7" s="731"/>
      <c r="E7" s="731"/>
      <c r="F7" s="731"/>
      <c r="G7" s="731"/>
      <c r="H7" s="731"/>
      <c r="I7" s="731"/>
      <c r="J7" s="731"/>
      <c r="K7" s="731"/>
      <c r="L7" s="731"/>
      <c r="M7" s="731"/>
      <c r="N7" s="731"/>
      <c r="O7" s="731"/>
      <c r="P7" s="731"/>
      <c r="Q7" s="731"/>
      <c r="R7" s="730"/>
      <c r="S7" s="1109" t="s">
        <v>398</v>
      </c>
      <c r="T7" s="1110"/>
      <c r="U7" s="1110"/>
      <c r="V7" s="1111"/>
      <c r="W7" s="731"/>
      <c r="X7" s="731"/>
      <c r="Y7" s="731"/>
      <c r="Z7" s="731"/>
      <c r="AA7" s="731"/>
      <c r="AB7" s="731"/>
      <c r="AC7" s="731"/>
      <c r="AD7" s="731"/>
      <c r="AE7" s="731"/>
      <c r="AF7" s="731"/>
      <c r="AG7" s="731"/>
      <c r="AH7" s="732"/>
    </row>
    <row r="8" spans="1:34" ht="17" thickBot="1" x14ac:dyDescent="0.25">
      <c r="A8" s="730"/>
      <c r="B8" s="731"/>
      <c r="C8" s="731"/>
      <c r="D8" s="731"/>
      <c r="E8" s="731"/>
      <c r="F8" s="731"/>
      <c r="G8" s="731"/>
      <c r="H8" s="731"/>
      <c r="I8" s="731"/>
      <c r="J8" s="731"/>
      <c r="K8" s="731"/>
      <c r="L8" s="731"/>
      <c r="M8" s="731"/>
      <c r="N8" s="731"/>
      <c r="O8" s="731"/>
      <c r="P8" s="731"/>
      <c r="Q8" s="731"/>
      <c r="R8" s="730"/>
      <c r="S8" s="1109" t="s">
        <v>395</v>
      </c>
      <c r="T8" s="1110"/>
      <c r="U8" s="1110"/>
      <c r="V8" s="1111"/>
      <c r="W8" s="1109" t="s">
        <v>396</v>
      </c>
      <c r="X8" s="1110"/>
      <c r="Y8" s="1110"/>
      <c r="Z8" s="1111"/>
      <c r="AA8" s="1109" t="s">
        <v>397</v>
      </c>
      <c r="AB8" s="1110"/>
      <c r="AC8" s="1110"/>
      <c r="AD8" s="1111"/>
      <c r="AE8" s="1110" t="s">
        <v>188</v>
      </c>
      <c r="AF8" s="1110"/>
      <c r="AG8" s="1110"/>
      <c r="AH8" s="1111"/>
    </row>
    <row r="9" spans="1:34" ht="17" thickBot="1" x14ac:dyDescent="0.25">
      <c r="A9" s="730"/>
      <c r="B9" s="731"/>
      <c r="C9" s="731"/>
      <c r="D9" s="731"/>
      <c r="E9" s="731"/>
      <c r="F9" s="731"/>
      <c r="G9" s="731"/>
      <c r="H9" s="731"/>
      <c r="I9" s="731"/>
      <c r="J9" s="731"/>
      <c r="K9" s="731"/>
      <c r="L9" s="731"/>
      <c r="M9" s="731"/>
      <c r="N9" s="731"/>
      <c r="O9" s="731"/>
      <c r="P9" s="731"/>
      <c r="Q9" s="731"/>
      <c r="R9" s="730"/>
      <c r="S9" s="1262" t="str">
        <f>'WACC CALCULATION'!G3</f>
        <v>2% Notes</v>
      </c>
      <c r="T9" s="1263"/>
      <c r="U9" s="1263"/>
      <c r="V9" s="1264"/>
      <c r="W9" s="1272">
        <f>1.57972402012898</f>
        <v>1.5797240201289799</v>
      </c>
      <c r="X9" s="1273"/>
      <c r="Y9" s="1273"/>
      <c r="Z9" s="1274"/>
      <c r="AA9" s="1272">
        <f>1.54874903934214</f>
        <v>1.5487490393421399</v>
      </c>
      <c r="AB9" s="1273"/>
      <c r="AC9" s="1273"/>
      <c r="AD9" s="1274"/>
      <c r="AE9" s="1263" t="str">
        <f>'WACC CALCULATION'!L3</f>
        <v>17-Jun-2022</v>
      </c>
      <c r="AF9" s="1263"/>
      <c r="AG9" s="1263"/>
      <c r="AH9" s="1264"/>
    </row>
    <row r="10" spans="1:34" ht="17" thickBot="1" x14ac:dyDescent="0.25">
      <c r="A10" s="730"/>
      <c r="B10" s="731"/>
      <c r="C10" s="731"/>
      <c r="D10" s="731"/>
      <c r="E10" s="731"/>
      <c r="F10" s="731"/>
      <c r="G10" s="731"/>
      <c r="H10" s="731"/>
      <c r="I10" s="731"/>
      <c r="J10" s="731"/>
      <c r="K10" s="731"/>
      <c r="L10" s="731"/>
      <c r="M10" s="731"/>
      <c r="N10" s="737" t="s">
        <v>388</v>
      </c>
      <c r="O10" s="738">
        <f>-0.66%</f>
        <v>-6.6E-3</v>
      </c>
      <c r="P10" s="731"/>
      <c r="Q10" s="731"/>
      <c r="R10" s="730"/>
      <c r="S10" s="1262" t="str">
        <f>'WACC CALCULATION'!G4</f>
        <v>1.875% Notes</v>
      </c>
      <c r="T10" s="1263"/>
      <c r="U10" s="1263"/>
      <c r="V10" s="1264"/>
      <c r="W10" s="1272">
        <f>2.98862923270256</f>
        <v>2.9886292327025599</v>
      </c>
      <c r="X10" s="1273"/>
      <c r="Y10" s="1273"/>
      <c r="Z10" s="1274"/>
      <c r="AA10" s="1272">
        <f>2.93347981223259</f>
        <v>2.9334798122325898</v>
      </c>
      <c r="AB10" s="1273"/>
      <c r="AC10" s="1273"/>
      <c r="AD10" s="1274"/>
      <c r="AE10" s="1263" t="str">
        <f>'WACC CALCULATION'!L4</f>
        <v>30-Nov-2023</v>
      </c>
      <c r="AF10" s="1263"/>
      <c r="AG10" s="1263"/>
      <c r="AH10" s="1264"/>
    </row>
    <row r="11" spans="1:34" ht="17" thickBot="1" x14ac:dyDescent="0.25">
      <c r="A11" s="730"/>
      <c r="B11" s="731"/>
      <c r="C11" s="731"/>
      <c r="D11" s="731"/>
      <c r="E11" s="731"/>
      <c r="F11" s="731"/>
      <c r="G11" s="731"/>
      <c r="H11" s="731"/>
      <c r="I11" s="731"/>
      <c r="J11" s="731"/>
      <c r="K11" s="731"/>
      <c r="L11" s="731"/>
      <c r="M11" s="731"/>
      <c r="N11" s="733" t="s">
        <v>389</v>
      </c>
      <c r="O11" s="734">
        <f>-0.45%</f>
        <v>-4.5000000000000005E-3</v>
      </c>
      <c r="P11" s="731"/>
      <c r="Q11" s="731"/>
      <c r="R11" s="730"/>
      <c r="S11" s="1262" t="str">
        <f>'WACC CALCULATION'!G5</f>
        <v>1.750% Notes</v>
      </c>
      <c r="T11" s="1263"/>
      <c r="U11" s="1263"/>
      <c r="V11" s="1264"/>
      <c r="W11" s="1272">
        <f>3.40241184226205</f>
        <v>3.4024118422620502</v>
      </c>
      <c r="X11" s="1273"/>
      <c r="Y11" s="1273"/>
      <c r="Z11" s="1274"/>
      <c r="AA11" s="1272">
        <f>3.34389370246885</f>
        <v>3.3438937024688502</v>
      </c>
      <c r="AB11" s="1273"/>
      <c r="AC11" s="1273"/>
      <c r="AD11" s="1274"/>
      <c r="AE11" s="1263" t="str">
        <f>'WACC CALCULATION'!L5</f>
        <v>05-Apr-2024</v>
      </c>
      <c r="AF11" s="1263"/>
      <c r="AG11" s="1263"/>
      <c r="AH11" s="1264"/>
    </row>
    <row r="12" spans="1:34" ht="17" thickBot="1" x14ac:dyDescent="0.25">
      <c r="A12" s="730"/>
      <c r="B12" s="731"/>
      <c r="C12" s="731"/>
      <c r="D12" s="731"/>
      <c r="E12" s="731"/>
      <c r="F12" s="731"/>
      <c r="G12" s="731"/>
      <c r="H12" s="731"/>
      <c r="I12" s="731"/>
      <c r="J12" s="731"/>
      <c r="K12" s="731"/>
      <c r="L12" s="731"/>
      <c r="M12" s="731"/>
      <c r="N12" s="731"/>
      <c r="O12" s="731"/>
      <c r="P12" s="731"/>
      <c r="Q12" s="731"/>
      <c r="R12" s="730"/>
      <c r="S12" s="1261" t="str">
        <f>'WACC CALCULATION'!G6</f>
        <v>1.50% Notes</v>
      </c>
      <c r="T12" s="1257"/>
      <c r="U12" s="1257"/>
      <c r="V12" s="1258"/>
      <c r="W12" s="1269">
        <f>4.85145728312157</f>
        <v>4.8514572831215697</v>
      </c>
      <c r="X12" s="1270"/>
      <c r="Y12" s="1270"/>
      <c r="Z12" s="1271"/>
      <c r="AA12" s="1269">
        <f>4.77976087007052</f>
        <v>4.7797608700705201</v>
      </c>
      <c r="AB12" s="1270"/>
      <c r="AC12" s="1270"/>
      <c r="AD12" s="1271"/>
      <c r="AE12" s="1257" t="str">
        <f>'WACC CALCULATION'!L6</f>
        <v>28-Nov-2025</v>
      </c>
      <c r="AF12" s="1257"/>
      <c r="AG12" s="1257"/>
      <c r="AH12" s="1258"/>
    </row>
    <row r="13" spans="1:34" ht="17" thickBot="1" x14ac:dyDescent="0.25">
      <c r="A13" s="730"/>
      <c r="B13" s="731"/>
      <c r="C13" s="731"/>
      <c r="D13" s="731"/>
      <c r="E13" s="731"/>
      <c r="F13" s="731"/>
      <c r="G13" s="731"/>
      <c r="H13" s="731"/>
      <c r="I13" s="731"/>
      <c r="J13" s="731"/>
      <c r="K13" s="731"/>
      <c r="L13" s="731"/>
      <c r="M13" s="731"/>
      <c r="N13" s="731"/>
      <c r="O13" s="731"/>
      <c r="P13" s="731"/>
      <c r="Q13" s="731"/>
      <c r="R13" s="730"/>
      <c r="S13" s="1268"/>
      <c r="T13" s="1268"/>
      <c r="U13" s="1268"/>
      <c r="V13" s="1268"/>
      <c r="W13" s="743"/>
      <c r="X13" s="743"/>
      <c r="Y13" s="743"/>
      <c r="Z13" s="743"/>
      <c r="AA13" s="743"/>
      <c r="AB13" s="743"/>
      <c r="AC13" s="743"/>
      <c r="AD13" s="743"/>
      <c r="AE13" s="731"/>
      <c r="AF13" s="731"/>
      <c r="AG13" s="731"/>
      <c r="AH13" s="732"/>
    </row>
    <row r="14" spans="1:34" ht="17" thickBot="1" x14ac:dyDescent="0.25">
      <c r="A14" s="730"/>
      <c r="B14" s="731"/>
      <c r="C14" s="731"/>
      <c r="D14" s="731"/>
      <c r="E14" s="731"/>
      <c r="F14" s="731"/>
      <c r="G14" s="731"/>
      <c r="H14" s="731"/>
      <c r="I14" s="731"/>
      <c r="J14" s="731"/>
      <c r="K14" s="731"/>
      <c r="L14" s="731"/>
      <c r="M14" s="731"/>
      <c r="N14" s="737" t="s">
        <v>390</v>
      </c>
      <c r="O14" s="738">
        <f>-0.45%</f>
        <v>-4.5000000000000005E-3</v>
      </c>
      <c r="P14" s="731"/>
      <c r="Q14" s="731"/>
      <c r="R14" s="730"/>
      <c r="S14" s="1268"/>
      <c r="T14" s="1268"/>
      <c r="U14" s="1268"/>
      <c r="V14" s="1268"/>
      <c r="W14" s="743"/>
      <c r="X14" s="743"/>
      <c r="Y14" s="743"/>
      <c r="Z14" s="743"/>
      <c r="AA14" s="743"/>
      <c r="AB14" s="743"/>
      <c r="AC14" s="743"/>
      <c r="AD14" s="743"/>
      <c r="AE14" s="731"/>
      <c r="AF14" s="731"/>
      <c r="AG14" s="731"/>
      <c r="AH14" s="732"/>
    </row>
    <row r="15" spans="1:34" ht="17" thickBot="1" x14ac:dyDescent="0.25">
      <c r="A15" s="730"/>
      <c r="B15" s="731"/>
      <c r="C15" s="731"/>
      <c r="D15" s="731"/>
      <c r="E15" s="731"/>
      <c r="F15" s="731"/>
      <c r="G15" s="731"/>
      <c r="H15" s="731"/>
      <c r="I15" s="731"/>
      <c r="J15" s="731"/>
      <c r="K15" s="731"/>
      <c r="L15" s="731"/>
      <c r="M15" s="731"/>
      <c r="N15" s="733" t="s">
        <v>391</v>
      </c>
      <c r="O15" s="734">
        <f>-0.6%</f>
        <v>-6.0000000000000001E-3</v>
      </c>
      <c r="P15" s="731"/>
      <c r="Q15" s="731"/>
      <c r="R15" s="730"/>
      <c r="S15" s="1109" t="s">
        <v>400</v>
      </c>
      <c r="T15" s="1110"/>
      <c r="U15" s="1110"/>
      <c r="V15" s="1111"/>
      <c r="W15" s="1265" t="str">
        <f>S9</f>
        <v>2% Notes</v>
      </c>
      <c r="X15" s="1266"/>
      <c r="Y15" s="1265" t="str">
        <f>S10</f>
        <v>1.875% Notes</v>
      </c>
      <c r="Z15" s="1266"/>
      <c r="AA15" s="1265" t="str">
        <f>S11</f>
        <v>1.750% Notes</v>
      </c>
      <c r="AB15" s="1266"/>
      <c r="AC15" s="1267" t="str">
        <f>S12</f>
        <v>1.50% Notes</v>
      </c>
      <c r="AD15" s="1266"/>
      <c r="AE15" s="1109" t="s">
        <v>399</v>
      </c>
      <c r="AF15" s="1110"/>
      <c r="AG15" s="1110"/>
      <c r="AH15" s="1111"/>
    </row>
    <row r="16" spans="1:34" ht="17" thickBot="1" x14ac:dyDescent="0.25">
      <c r="A16" s="730"/>
      <c r="B16" s="731"/>
      <c r="C16" s="731"/>
      <c r="D16" s="731"/>
      <c r="E16" s="731"/>
      <c r="F16" s="731"/>
      <c r="G16" s="731"/>
      <c r="H16" s="731"/>
      <c r="I16" s="731"/>
      <c r="J16" s="731"/>
      <c r="K16" s="731"/>
      <c r="L16" s="731"/>
      <c r="M16" s="731"/>
      <c r="N16" s="731"/>
      <c r="O16" s="731"/>
      <c r="P16" s="731"/>
      <c r="Q16" s="731"/>
      <c r="R16" s="730"/>
      <c r="S16" s="1256">
        <v>-0.01</v>
      </c>
      <c r="T16" s="1257"/>
      <c r="U16" s="1257"/>
      <c r="V16" s="1258"/>
      <c r="W16" s="1269">
        <f>-AA9*S16*'WACC CALCULATION'!I3</f>
        <v>2.9546613067705545</v>
      </c>
      <c r="X16" s="1270"/>
      <c r="Y16" s="1269">
        <f>-S16*'WACC CALCULATION'!I4*AA10</f>
        <v>5.5964130244612402</v>
      </c>
      <c r="Z16" s="1270"/>
      <c r="AA16" s="1269">
        <f>-S16*'WACC CALCULATION'!I5*AA11</f>
        <v>5.4680481396399552</v>
      </c>
      <c r="AB16" s="1270"/>
      <c r="AC16" s="1269">
        <f>-S16*'WACC CALCULATION'!I6*AA12</f>
        <v>11.463505833217106</v>
      </c>
      <c r="AD16" s="1271"/>
      <c r="AE16" s="1261">
        <f>SUM(W16:AD16)</f>
        <v>25.482628304088855</v>
      </c>
      <c r="AF16" s="1257"/>
      <c r="AG16" s="1257"/>
      <c r="AH16" s="1258"/>
    </row>
    <row r="17" spans="1:34" ht="17" thickBot="1" x14ac:dyDescent="0.25">
      <c r="A17" s="730"/>
      <c r="B17" s="731"/>
      <c r="C17" s="731"/>
      <c r="D17" s="731"/>
      <c r="E17" s="731"/>
      <c r="F17" s="731"/>
      <c r="G17" s="731"/>
      <c r="H17" s="731"/>
      <c r="I17" s="731"/>
      <c r="J17" s="731"/>
      <c r="K17" s="731"/>
      <c r="L17" s="731"/>
      <c r="M17" s="731"/>
      <c r="N17" s="731"/>
      <c r="O17" s="731"/>
      <c r="P17" s="731"/>
      <c r="Q17" s="731"/>
      <c r="R17" s="730"/>
      <c r="S17" s="1256">
        <v>0.01</v>
      </c>
      <c r="T17" s="1259"/>
      <c r="U17" s="1259"/>
      <c r="V17" s="1260"/>
      <c r="W17" s="1269">
        <f>-W16</f>
        <v>-2.9546613067705545</v>
      </c>
      <c r="X17" s="1270"/>
      <c r="Y17" s="1269">
        <f t="shared" ref="Y17" si="0">-Y16</f>
        <v>-5.5964130244612402</v>
      </c>
      <c r="Z17" s="1270"/>
      <c r="AA17" s="1269">
        <f t="shared" ref="AA17" si="1">-AA16</f>
        <v>-5.4680481396399552</v>
      </c>
      <c r="AB17" s="1270"/>
      <c r="AC17" s="1269">
        <f t="shared" ref="AC17" si="2">-AC16</f>
        <v>-11.463505833217106</v>
      </c>
      <c r="AD17" s="1271"/>
      <c r="AE17" s="1261">
        <f>SUM(W17:AD17)</f>
        <v>-25.482628304088855</v>
      </c>
      <c r="AF17" s="1257"/>
      <c r="AG17" s="1257"/>
      <c r="AH17" s="1258"/>
    </row>
    <row r="18" spans="1:34" ht="17" thickBot="1" x14ac:dyDescent="0.25">
      <c r="A18" s="730"/>
      <c r="B18" s="731"/>
      <c r="C18" s="731"/>
      <c r="D18" s="731"/>
      <c r="E18" s="731"/>
      <c r="F18" s="731"/>
      <c r="G18" s="731"/>
      <c r="H18" s="731"/>
      <c r="I18" s="731"/>
      <c r="J18" s="731"/>
      <c r="K18" s="731"/>
      <c r="L18" s="731"/>
      <c r="M18" s="731"/>
      <c r="N18" s="731"/>
      <c r="O18" s="731"/>
      <c r="P18" s="731"/>
      <c r="Q18" s="731"/>
      <c r="R18" s="730"/>
      <c r="S18" s="1279" t="s">
        <v>402</v>
      </c>
      <c r="T18" s="1280"/>
      <c r="U18" s="1280"/>
      <c r="V18" s="1281"/>
      <c r="W18" s="1282">
        <f>0.0118175539689225</f>
        <v>1.1817553968922499E-2</v>
      </c>
      <c r="X18" s="1283"/>
      <c r="Y18" s="1282">
        <v>1.06091214620246E-2</v>
      </c>
      <c r="Z18" s="1283"/>
      <c r="AA18" s="1275">
        <v>9.3313033625067893E-3</v>
      </c>
      <c r="AB18" s="1284"/>
      <c r="AC18" s="1275">
        <v>6.85263486662613E-3</v>
      </c>
      <c r="AD18" s="1276"/>
      <c r="AE18" s="1268"/>
      <c r="AF18" s="1268"/>
      <c r="AG18" s="1268"/>
      <c r="AH18" s="1277"/>
    </row>
    <row r="19" spans="1:34" x14ac:dyDescent="0.2">
      <c r="A19" s="730"/>
      <c r="B19" s="731"/>
      <c r="C19" s="731"/>
      <c r="D19" s="731"/>
      <c r="E19" s="731"/>
      <c r="F19" s="731"/>
      <c r="G19" s="731"/>
      <c r="H19" s="731"/>
      <c r="I19" s="731"/>
      <c r="J19" s="731"/>
      <c r="K19" s="731"/>
      <c r="L19" s="731"/>
      <c r="M19" s="731"/>
      <c r="N19" s="731"/>
      <c r="O19" s="731"/>
      <c r="P19" s="731"/>
      <c r="Q19" s="731"/>
      <c r="R19" s="730"/>
      <c r="S19" s="731"/>
      <c r="T19" s="731"/>
      <c r="U19" s="731"/>
      <c r="V19" s="731"/>
      <c r="W19" s="731"/>
      <c r="X19" s="731"/>
      <c r="Y19" s="731"/>
      <c r="Z19" s="731"/>
      <c r="AA19" s="731"/>
      <c r="AB19" s="731"/>
      <c r="AC19" s="731"/>
      <c r="AD19" s="731"/>
      <c r="AE19" s="731"/>
      <c r="AF19" s="731"/>
      <c r="AG19" s="731"/>
      <c r="AH19" s="732"/>
    </row>
    <row r="20" spans="1:34" x14ac:dyDescent="0.2">
      <c r="A20" s="730"/>
      <c r="B20" s="731"/>
      <c r="C20" s="731"/>
      <c r="D20" s="731"/>
      <c r="E20" s="731"/>
      <c r="F20" s="731"/>
      <c r="G20" s="731"/>
      <c r="H20" s="731"/>
      <c r="I20" s="731"/>
      <c r="J20" s="731"/>
      <c r="K20" s="731"/>
      <c r="L20" s="731"/>
      <c r="M20" s="731"/>
      <c r="N20" s="731"/>
      <c r="O20" s="731"/>
      <c r="P20" s="731"/>
      <c r="Q20" s="731"/>
      <c r="R20" s="730"/>
      <c r="S20" s="731"/>
      <c r="T20" s="731"/>
      <c r="U20" s="731"/>
      <c r="V20" s="731"/>
      <c r="W20" s="731"/>
      <c r="X20" s="731"/>
      <c r="Y20" s="731"/>
      <c r="Z20" s="731"/>
      <c r="AA20" s="731"/>
      <c r="AB20" s="731"/>
      <c r="AC20" s="731"/>
      <c r="AD20" s="731"/>
      <c r="AE20" s="731"/>
      <c r="AF20" s="731"/>
      <c r="AG20" s="731"/>
      <c r="AH20" s="732"/>
    </row>
    <row r="21" spans="1:34" x14ac:dyDescent="0.2">
      <c r="A21" s="730"/>
      <c r="B21" s="731"/>
      <c r="C21" s="731"/>
      <c r="D21" s="731"/>
      <c r="E21" s="731"/>
      <c r="F21" s="731"/>
      <c r="G21" s="731"/>
      <c r="H21" s="731"/>
      <c r="I21" s="731"/>
      <c r="J21" s="731"/>
      <c r="K21" s="731"/>
      <c r="L21" s="731"/>
      <c r="M21" s="731"/>
      <c r="N21" s="731"/>
      <c r="O21" s="731"/>
      <c r="P21" s="731"/>
      <c r="Q21" s="731"/>
      <c r="R21" s="730"/>
      <c r="S21" s="731"/>
      <c r="T21" s="731"/>
      <c r="U21" s="1268"/>
      <c r="V21" s="1268"/>
      <c r="W21" s="1268"/>
      <c r="X21" s="1268"/>
      <c r="Y21" s="731"/>
      <c r="Z21" s="731"/>
      <c r="AA21" s="731"/>
      <c r="AB21" s="731"/>
      <c r="AC21" s="731"/>
      <c r="AD21" s="731"/>
      <c r="AE21" s="731"/>
      <c r="AF21" s="731"/>
      <c r="AG21" s="731"/>
      <c r="AH21" s="732"/>
    </row>
    <row r="22" spans="1:34" x14ac:dyDescent="0.2">
      <c r="A22" s="730"/>
      <c r="B22" s="731"/>
      <c r="C22" s="731"/>
      <c r="D22" s="731"/>
      <c r="E22" s="731"/>
      <c r="F22" s="731"/>
      <c r="G22" s="731"/>
      <c r="H22" s="731"/>
      <c r="I22" s="731"/>
      <c r="J22" s="731"/>
      <c r="K22" s="731"/>
      <c r="L22" s="731"/>
      <c r="M22" s="731"/>
      <c r="N22" s="731"/>
      <c r="O22" s="731"/>
      <c r="P22" s="731"/>
      <c r="Q22" s="731"/>
      <c r="R22" s="730"/>
      <c r="S22" s="731"/>
      <c r="T22" s="731"/>
      <c r="U22" s="1268"/>
      <c r="V22" s="1268"/>
      <c r="W22" s="1268"/>
      <c r="X22" s="1268"/>
      <c r="Y22" s="731"/>
      <c r="Z22" s="731"/>
      <c r="AA22" s="731"/>
      <c r="AB22" s="731"/>
      <c r="AC22" s="731"/>
      <c r="AD22" s="731"/>
      <c r="AE22" s="731"/>
      <c r="AF22" s="731"/>
      <c r="AG22" s="731"/>
      <c r="AH22" s="732"/>
    </row>
    <row r="23" spans="1:34" x14ac:dyDescent="0.2">
      <c r="A23" s="730"/>
      <c r="B23" s="731"/>
      <c r="C23" s="731"/>
      <c r="D23" s="731"/>
      <c r="E23" s="731"/>
      <c r="F23" s="731"/>
      <c r="G23" s="731"/>
      <c r="H23" s="731"/>
      <c r="I23" s="731"/>
      <c r="J23" s="731"/>
      <c r="K23" s="731"/>
      <c r="L23" s="731"/>
      <c r="M23" s="731"/>
      <c r="N23" s="731"/>
      <c r="O23" s="731"/>
      <c r="P23" s="731"/>
      <c r="Q23" s="731"/>
      <c r="R23" s="730"/>
      <c r="S23" s="731"/>
      <c r="T23" s="731"/>
      <c r="U23" s="1268"/>
      <c r="V23" s="1268"/>
      <c r="W23" s="1268"/>
      <c r="X23" s="1268"/>
      <c r="Y23" s="731"/>
      <c r="Z23" s="731"/>
      <c r="AA23" s="731"/>
      <c r="AB23" s="731"/>
      <c r="AC23" s="731"/>
      <c r="AD23" s="731"/>
      <c r="AE23" s="731"/>
      <c r="AF23" s="731"/>
      <c r="AG23" s="731"/>
      <c r="AH23" s="732"/>
    </row>
    <row r="24" spans="1:34" x14ac:dyDescent="0.2">
      <c r="A24" s="730"/>
      <c r="B24" s="731"/>
      <c r="C24" s="731"/>
      <c r="D24" s="731"/>
      <c r="E24" s="731"/>
      <c r="F24" s="731"/>
      <c r="G24" s="731"/>
      <c r="H24" s="731"/>
      <c r="I24" s="731"/>
      <c r="J24" s="731"/>
      <c r="K24" s="731"/>
      <c r="L24" s="731"/>
      <c r="M24" s="731"/>
      <c r="N24" s="731"/>
      <c r="O24" s="731"/>
      <c r="P24" s="731"/>
      <c r="Q24" s="731"/>
      <c r="R24" s="730"/>
      <c r="S24" s="731"/>
      <c r="T24" s="731"/>
      <c r="U24" s="1268"/>
      <c r="V24" s="1268"/>
      <c r="W24" s="1268"/>
      <c r="X24" s="1268"/>
      <c r="Y24" s="731"/>
      <c r="Z24" s="731"/>
      <c r="AA24" s="731"/>
      <c r="AB24" s="731"/>
      <c r="AC24" s="731"/>
      <c r="AD24" s="731"/>
      <c r="AE24" s="731"/>
      <c r="AF24" s="731"/>
      <c r="AG24" s="731"/>
      <c r="AH24" s="732"/>
    </row>
    <row r="25" spans="1:34" ht="19" x14ac:dyDescent="0.25">
      <c r="A25" s="730"/>
      <c r="B25" s="731"/>
      <c r="C25" s="731"/>
      <c r="D25" s="731"/>
      <c r="E25" s="731"/>
      <c r="F25" s="731"/>
      <c r="G25" s="731"/>
      <c r="H25" s="731"/>
      <c r="I25" s="731"/>
      <c r="J25" s="731"/>
      <c r="K25" s="731"/>
      <c r="L25" s="731"/>
      <c r="M25" s="731"/>
      <c r="N25" s="731"/>
      <c r="O25" s="731"/>
      <c r="P25" s="731"/>
      <c r="Q25" s="731"/>
      <c r="R25" s="730"/>
      <c r="S25" s="731"/>
      <c r="T25" s="731"/>
      <c r="U25" s="731"/>
      <c r="V25" s="742"/>
      <c r="W25" s="731"/>
      <c r="X25" s="731"/>
      <c r="Y25" s="731"/>
      <c r="Z25" s="731"/>
      <c r="AA25" s="731"/>
      <c r="AB25" s="731"/>
      <c r="AC25" s="731"/>
      <c r="AD25" s="731"/>
      <c r="AE25" s="731"/>
      <c r="AF25" s="731"/>
      <c r="AG25" s="731"/>
      <c r="AH25" s="732"/>
    </row>
    <row r="26" spans="1:34" x14ac:dyDescent="0.2">
      <c r="A26" s="730"/>
      <c r="B26" s="731"/>
      <c r="C26" s="731"/>
      <c r="D26" s="731"/>
      <c r="E26" s="731"/>
      <c r="F26" s="731"/>
      <c r="G26" s="731"/>
      <c r="H26" s="731"/>
      <c r="I26" s="731"/>
      <c r="J26" s="731"/>
      <c r="K26" s="731"/>
      <c r="L26" s="731"/>
      <c r="M26" s="731"/>
      <c r="N26" s="731"/>
      <c r="O26" s="731"/>
      <c r="P26" s="731"/>
      <c r="Q26" s="731"/>
      <c r="R26" s="730"/>
      <c r="S26" s="731"/>
      <c r="T26" s="731"/>
      <c r="U26" s="731"/>
      <c r="V26" s="731"/>
      <c r="W26" s="731"/>
      <c r="X26" s="731"/>
      <c r="Y26" s="731"/>
      <c r="Z26" s="731"/>
      <c r="AA26" s="731"/>
      <c r="AB26" s="731"/>
      <c r="AC26" s="731"/>
      <c r="AD26" s="731"/>
      <c r="AE26" s="731"/>
      <c r="AF26" s="731"/>
      <c r="AG26" s="731"/>
      <c r="AH26" s="732"/>
    </row>
    <row r="27" spans="1:34" x14ac:dyDescent="0.2">
      <c r="A27" s="730"/>
      <c r="B27" s="731"/>
      <c r="C27" s="731"/>
      <c r="D27" s="731"/>
      <c r="E27" s="731"/>
      <c r="F27" s="731"/>
      <c r="G27" s="731"/>
      <c r="H27" s="731"/>
      <c r="I27" s="731"/>
      <c r="J27" s="731"/>
      <c r="K27" s="731"/>
      <c r="L27" s="731"/>
      <c r="M27" s="731"/>
      <c r="N27" s="731"/>
      <c r="O27" s="731"/>
      <c r="P27" s="731"/>
      <c r="Q27" s="731"/>
      <c r="R27" s="730"/>
      <c r="S27" s="731"/>
      <c r="T27" s="731"/>
      <c r="U27" s="731"/>
      <c r="V27" s="731"/>
      <c r="W27" s="731"/>
      <c r="X27" s="731"/>
      <c r="Y27" s="731"/>
      <c r="Z27" s="731"/>
      <c r="AA27" s="731"/>
      <c r="AB27" s="731"/>
      <c r="AC27" s="731"/>
      <c r="AD27" s="731"/>
      <c r="AE27" s="731"/>
      <c r="AF27" s="731"/>
      <c r="AG27" s="731"/>
      <c r="AH27" s="732"/>
    </row>
    <row r="28" spans="1:34" x14ac:dyDescent="0.2">
      <c r="A28" s="730"/>
      <c r="B28" s="731"/>
      <c r="C28" s="731"/>
      <c r="D28" s="731"/>
      <c r="E28" s="731"/>
      <c r="F28" s="731"/>
      <c r="G28" s="731"/>
      <c r="H28" s="731"/>
      <c r="I28" s="731"/>
      <c r="J28" s="731"/>
      <c r="K28" s="731"/>
      <c r="L28" s="731"/>
      <c r="M28" s="731"/>
      <c r="N28" s="731"/>
      <c r="O28" s="731"/>
      <c r="P28" s="731"/>
      <c r="Q28" s="731"/>
      <c r="R28" s="730"/>
      <c r="S28" s="731"/>
      <c r="T28" s="1278" t="s">
        <v>401</v>
      </c>
      <c r="U28" s="1278"/>
      <c r="V28" s="1278"/>
      <c r="W28" s="1278"/>
      <c r="X28" s="1278">
        <f>0.00685263486662613</f>
        <v>6.85263486662613E-3</v>
      </c>
      <c r="Y28" s="1278"/>
      <c r="Z28" s="1278"/>
      <c r="AA28" s="1278"/>
      <c r="AB28" s="731"/>
      <c r="AC28" s="731"/>
      <c r="AD28" s="731"/>
      <c r="AE28" s="731"/>
      <c r="AF28" s="731"/>
      <c r="AG28" s="731"/>
      <c r="AH28" s="732"/>
    </row>
    <row r="29" spans="1:34" x14ac:dyDescent="0.2">
      <c r="A29" s="730"/>
      <c r="B29" s="731"/>
      <c r="C29" s="731"/>
      <c r="D29" s="731"/>
      <c r="E29" s="731"/>
      <c r="F29" s="731"/>
      <c r="G29" s="731"/>
      <c r="H29" s="731"/>
      <c r="I29" s="731"/>
      <c r="J29" s="731"/>
      <c r="K29" s="731"/>
      <c r="L29" s="731"/>
      <c r="M29" s="731"/>
      <c r="N29" s="731"/>
      <c r="O29" s="731"/>
      <c r="P29" s="731"/>
      <c r="Q29" s="731"/>
      <c r="R29" s="730"/>
      <c r="S29" s="731"/>
      <c r="T29" s="731"/>
      <c r="U29" s="731"/>
      <c r="V29" s="731"/>
      <c r="W29" s="731"/>
      <c r="X29" s="731"/>
      <c r="Y29" s="731"/>
      <c r="Z29" s="731"/>
      <c r="AA29" s="731"/>
      <c r="AB29" s="731"/>
      <c r="AC29" s="731"/>
      <c r="AD29" s="731"/>
      <c r="AE29" s="731"/>
      <c r="AF29" s="731"/>
      <c r="AG29" s="731"/>
      <c r="AH29" s="732"/>
    </row>
    <row r="30" spans="1:34" x14ac:dyDescent="0.2">
      <c r="A30" s="730"/>
      <c r="B30" s="731"/>
      <c r="C30" s="731"/>
      <c r="D30" s="731"/>
      <c r="E30" s="731"/>
      <c r="F30" s="731"/>
      <c r="G30" s="731"/>
      <c r="H30" s="731"/>
      <c r="I30" s="731"/>
      <c r="J30" s="731"/>
      <c r="K30" s="731"/>
      <c r="L30" s="731"/>
      <c r="M30" s="731"/>
      <c r="N30" s="731"/>
      <c r="O30" s="731"/>
      <c r="P30" s="731"/>
      <c r="Q30" s="731"/>
      <c r="R30" s="730"/>
      <c r="S30" s="731"/>
      <c r="T30" s="731"/>
      <c r="U30" s="731"/>
      <c r="V30" s="731"/>
      <c r="W30" s="731"/>
      <c r="X30" s="731"/>
      <c r="Y30" s="731"/>
      <c r="Z30" s="731"/>
      <c r="AA30" s="731"/>
      <c r="AB30" s="731"/>
      <c r="AC30" s="731"/>
      <c r="AD30" s="731"/>
      <c r="AE30" s="731"/>
      <c r="AF30" s="731"/>
      <c r="AG30" s="731"/>
      <c r="AH30" s="732"/>
    </row>
    <row r="31" spans="1:34" x14ac:dyDescent="0.2">
      <c r="A31" s="730"/>
      <c r="B31" s="731"/>
      <c r="C31" s="731"/>
      <c r="D31" s="731"/>
      <c r="E31" s="731"/>
      <c r="F31" s="731"/>
      <c r="G31" s="731"/>
      <c r="H31" s="731"/>
      <c r="I31" s="731"/>
      <c r="J31" s="731"/>
      <c r="K31" s="731"/>
      <c r="L31" s="731"/>
      <c r="M31" s="731"/>
      <c r="N31" s="731"/>
      <c r="O31" s="731"/>
      <c r="P31" s="731"/>
      <c r="Q31" s="731"/>
      <c r="R31" s="730"/>
      <c r="S31" s="731"/>
      <c r="T31" s="731"/>
      <c r="U31" s="731"/>
      <c r="V31" s="731"/>
      <c r="W31" s="731"/>
      <c r="X31" s="731"/>
      <c r="Y31" s="731"/>
      <c r="Z31" s="731"/>
      <c r="AA31" s="731"/>
      <c r="AB31" s="731"/>
      <c r="AC31" s="731"/>
      <c r="AD31" s="731"/>
      <c r="AE31" s="731"/>
      <c r="AF31" s="731"/>
      <c r="AG31" s="731"/>
      <c r="AH31" s="732"/>
    </row>
    <row r="32" spans="1:34" ht="17" thickBot="1" x14ac:dyDescent="0.25">
      <c r="A32" s="730"/>
      <c r="B32" s="731"/>
      <c r="C32" s="731"/>
      <c r="D32" s="731"/>
      <c r="E32" s="731"/>
      <c r="F32" s="731"/>
      <c r="G32" s="731"/>
      <c r="H32" s="731"/>
      <c r="I32" s="731"/>
      <c r="J32" s="731"/>
      <c r="K32" s="731"/>
      <c r="L32" s="731"/>
      <c r="M32" s="731"/>
      <c r="N32" s="731"/>
      <c r="O32" s="731"/>
      <c r="P32" s="731"/>
      <c r="Q32" s="731"/>
      <c r="R32" s="730"/>
      <c r="S32" s="731"/>
      <c r="T32" s="731"/>
      <c r="U32" s="731"/>
      <c r="V32" s="731"/>
      <c r="W32" s="731"/>
      <c r="X32" s="731"/>
      <c r="Y32" s="731"/>
      <c r="Z32" s="731"/>
      <c r="AA32" s="731"/>
      <c r="AB32" s="731"/>
      <c r="AC32" s="731"/>
      <c r="AD32" s="731"/>
      <c r="AE32" s="731"/>
      <c r="AF32" s="731"/>
      <c r="AG32" s="731"/>
      <c r="AH32" s="732"/>
    </row>
    <row r="33" spans="1:34" ht="17" thickBot="1" x14ac:dyDescent="0.25">
      <c r="A33" s="730"/>
      <c r="B33" s="731"/>
      <c r="C33" s="731"/>
      <c r="D33" s="731"/>
      <c r="E33" s="731"/>
      <c r="F33" s="731"/>
      <c r="G33" s="731"/>
      <c r="H33" s="731"/>
      <c r="I33" s="731"/>
      <c r="J33" s="731"/>
      <c r="K33" s="731"/>
      <c r="L33" s="731"/>
      <c r="M33" s="731"/>
      <c r="N33" s="731"/>
      <c r="O33" s="731"/>
      <c r="P33" s="731"/>
      <c r="Q33" s="731"/>
      <c r="R33" s="730"/>
      <c r="S33" s="731"/>
      <c r="T33" s="1074" t="s">
        <v>400</v>
      </c>
      <c r="U33" s="1075"/>
      <c r="V33" s="1075"/>
      <c r="W33" s="1096"/>
      <c r="X33" s="1109" t="s">
        <v>399</v>
      </c>
      <c r="Y33" s="1110"/>
      <c r="Z33" s="1110"/>
      <c r="AA33" s="1111"/>
      <c r="AB33" s="731"/>
      <c r="AC33" s="731"/>
      <c r="AD33" s="731"/>
      <c r="AE33" s="731"/>
      <c r="AF33" s="731"/>
      <c r="AG33" s="731"/>
      <c r="AH33" s="732"/>
    </row>
    <row r="34" spans="1:34" ht="17" thickBot="1" x14ac:dyDescent="0.25">
      <c r="A34" s="730"/>
      <c r="B34" s="731"/>
      <c r="C34" s="731"/>
      <c r="D34" s="731"/>
      <c r="E34" s="731"/>
      <c r="F34" s="731"/>
      <c r="G34" s="731"/>
      <c r="H34" s="731"/>
      <c r="I34" s="731"/>
      <c r="J34" s="731"/>
      <c r="K34" s="731"/>
      <c r="L34" s="731"/>
      <c r="M34" s="731"/>
      <c r="N34" s="731"/>
      <c r="O34" s="731"/>
      <c r="P34" s="731"/>
      <c r="Q34" s="731"/>
      <c r="R34" s="730"/>
      <c r="S34" s="731"/>
      <c r="T34" s="1256">
        <v>-0.01</v>
      </c>
      <c r="U34" s="1257"/>
      <c r="V34" s="1257"/>
      <c r="W34" s="1258"/>
      <c r="X34" s="1261">
        <f>AE16</f>
        <v>25.482628304088855</v>
      </c>
      <c r="Y34" s="1257"/>
      <c r="Z34" s="1257"/>
      <c r="AA34" s="1258"/>
      <c r="AB34" s="731"/>
      <c r="AC34" s="731"/>
      <c r="AD34" s="731"/>
      <c r="AE34" s="731"/>
      <c r="AF34" s="731"/>
      <c r="AG34" s="731"/>
      <c r="AH34" s="732"/>
    </row>
    <row r="35" spans="1:34" ht="17" thickBot="1" x14ac:dyDescent="0.25">
      <c r="A35" s="730"/>
      <c r="B35" s="731"/>
      <c r="C35" s="731"/>
      <c r="D35" s="731"/>
      <c r="E35" s="731"/>
      <c r="F35" s="731"/>
      <c r="G35" s="731"/>
      <c r="H35" s="731"/>
      <c r="I35" s="731"/>
      <c r="J35" s="731"/>
      <c r="K35" s="731"/>
      <c r="L35" s="731"/>
      <c r="M35" s="731"/>
      <c r="N35" s="731"/>
      <c r="O35" s="731"/>
      <c r="P35" s="731"/>
      <c r="Q35" s="731"/>
      <c r="R35" s="730"/>
      <c r="S35" s="731"/>
      <c r="T35" s="1256">
        <v>0.01</v>
      </c>
      <c r="U35" s="1259"/>
      <c r="V35" s="1259"/>
      <c r="W35" s="1260"/>
      <c r="X35" s="1261">
        <f>AE17</f>
        <v>-25.482628304088855</v>
      </c>
      <c r="Y35" s="1257"/>
      <c r="Z35" s="1257"/>
      <c r="AA35" s="1258"/>
      <c r="AB35" s="731"/>
      <c r="AC35" s="731"/>
      <c r="AD35" s="731"/>
      <c r="AE35" s="731"/>
      <c r="AF35" s="731"/>
      <c r="AG35" s="731"/>
      <c r="AH35" s="732"/>
    </row>
    <row r="36" spans="1:34" x14ac:dyDescent="0.2">
      <c r="A36" s="730"/>
      <c r="B36" s="731"/>
      <c r="C36" s="731"/>
      <c r="D36" s="731"/>
      <c r="E36" s="731"/>
      <c r="F36" s="731"/>
      <c r="G36" s="731"/>
      <c r="H36" s="731"/>
      <c r="I36" s="731"/>
      <c r="J36" s="731"/>
      <c r="K36" s="731"/>
      <c r="L36" s="731"/>
      <c r="M36" s="731"/>
      <c r="N36" s="731"/>
      <c r="O36" s="731"/>
      <c r="P36" s="731"/>
      <c r="Q36" s="731"/>
      <c r="R36" s="730"/>
      <c r="S36" s="731"/>
      <c r="T36" s="731"/>
      <c r="U36" s="731"/>
      <c r="V36" s="731"/>
      <c r="W36" s="731"/>
      <c r="X36" s="731"/>
      <c r="Y36" s="731"/>
      <c r="Z36" s="731"/>
      <c r="AA36" s="731"/>
      <c r="AB36" s="731"/>
      <c r="AC36" s="731"/>
      <c r="AD36" s="731"/>
      <c r="AE36" s="731"/>
      <c r="AF36" s="731"/>
      <c r="AG36" s="731"/>
      <c r="AH36" s="732"/>
    </row>
    <row r="37" spans="1:34" x14ac:dyDescent="0.2">
      <c r="A37" s="730"/>
      <c r="B37" s="731"/>
      <c r="C37" s="731"/>
      <c r="D37" s="731"/>
      <c r="E37" s="731"/>
      <c r="F37" s="731"/>
      <c r="G37" s="731"/>
      <c r="H37" s="731"/>
      <c r="I37" s="731"/>
      <c r="J37" s="731"/>
      <c r="K37" s="731"/>
      <c r="L37" s="731"/>
      <c r="M37" s="731"/>
      <c r="N37" s="731"/>
      <c r="O37" s="731"/>
      <c r="P37" s="731"/>
      <c r="Q37" s="731"/>
      <c r="R37" s="730"/>
      <c r="S37" s="731"/>
      <c r="T37" s="731"/>
      <c r="U37" s="731"/>
      <c r="V37" s="731"/>
      <c r="W37" s="731"/>
      <c r="X37" s="731"/>
      <c r="Y37" s="731"/>
      <c r="Z37" s="731"/>
      <c r="AA37" s="731"/>
      <c r="AB37" s="731"/>
      <c r="AC37" s="731"/>
      <c r="AD37" s="731"/>
      <c r="AE37" s="731"/>
      <c r="AF37" s="731"/>
      <c r="AG37" s="731"/>
      <c r="AH37" s="732"/>
    </row>
    <row r="38" spans="1:34" x14ac:dyDescent="0.2">
      <c r="A38" s="730"/>
      <c r="B38" s="731"/>
      <c r="C38" s="731"/>
      <c r="D38" s="731"/>
      <c r="E38" s="731"/>
      <c r="F38" s="731"/>
      <c r="G38" s="731"/>
      <c r="H38" s="731"/>
      <c r="I38" s="731"/>
      <c r="J38" s="731"/>
      <c r="K38" s="731"/>
      <c r="L38" s="731"/>
      <c r="M38" s="731"/>
      <c r="N38" s="731"/>
      <c r="O38" s="731"/>
      <c r="P38" s="731"/>
      <c r="Q38" s="731"/>
      <c r="R38" s="730"/>
      <c r="S38" s="731"/>
      <c r="T38" s="731"/>
      <c r="U38" s="731"/>
      <c r="V38" s="731"/>
      <c r="W38" s="731"/>
      <c r="X38" s="731"/>
      <c r="Y38" s="731"/>
      <c r="Z38" s="731"/>
      <c r="AA38" s="731"/>
      <c r="AB38" s="731"/>
      <c r="AC38" s="731"/>
      <c r="AD38" s="731"/>
      <c r="AE38" s="731"/>
      <c r="AF38" s="731"/>
      <c r="AG38" s="731"/>
      <c r="AH38" s="732"/>
    </row>
    <row r="39" spans="1:34" x14ac:dyDescent="0.2">
      <c r="A39" s="730"/>
      <c r="B39" s="731"/>
      <c r="C39" s="731"/>
      <c r="D39" s="731"/>
      <c r="E39" s="731"/>
      <c r="F39" s="731"/>
      <c r="G39" s="731"/>
      <c r="H39" s="731"/>
      <c r="I39" s="731"/>
      <c r="J39" s="731"/>
      <c r="K39" s="731"/>
      <c r="L39" s="731"/>
      <c r="M39" s="731"/>
      <c r="N39" s="731"/>
      <c r="O39" s="731"/>
      <c r="P39" s="731"/>
      <c r="Q39" s="731"/>
      <c r="R39" s="730"/>
      <c r="S39" s="731"/>
      <c r="T39" s="731"/>
      <c r="U39" s="731"/>
      <c r="V39" s="731"/>
      <c r="W39" s="731"/>
      <c r="X39" s="731"/>
      <c r="Y39" s="731"/>
      <c r="Z39" s="731"/>
      <c r="AA39" s="731"/>
      <c r="AB39" s="731"/>
      <c r="AC39" s="731"/>
      <c r="AD39" s="731"/>
      <c r="AE39" s="731"/>
      <c r="AF39" s="731"/>
      <c r="AG39" s="731"/>
      <c r="AH39" s="732"/>
    </row>
    <row r="40" spans="1:34" x14ac:dyDescent="0.2">
      <c r="A40" s="730"/>
      <c r="B40" s="731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1"/>
      <c r="P40" s="731"/>
      <c r="Q40" s="731"/>
      <c r="R40" s="730"/>
      <c r="S40" s="731"/>
      <c r="T40" s="731"/>
      <c r="U40" s="731"/>
      <c r="V40" s="731"/>
      <c r="W40" s="731"/>
      <c r="X40" s="731"/>
      <c r="Y40" s="731"/>
      <c r="Z40" s="731"/>
      <c r="AA40" s="731"/>
      <c r="AB40" s="731"/>
      <c r="AC40" s="731"/>
      <c r="AD40" s="731"/>
      <c r="AE40" s="731"/>
      <c r="AF40" s="731"/>
      <c r="AG40" s="731"/>
      <c r="AH40" s="732"/>
    </row>
    <row r="41" spans="1:34" x14ac:dyDescent="0.2">
      <c r="A41" s="730"/>
      <c r="B41" s="731"/>
      <c r="C41" s="731"/>
      <c r="D41" s="731"/>
      <c r="E41" s="731"/>
      <c r="F41" s="731"/>
      <c r="G41" s="731"/>
      <c r="H41" s="731"/>
      <c r="I41" s="731"/>
      <c r="J41" s="731"/>
      <c r="K41" s="731"/>
      <c r="L41" s="731"/>
      <c r="M41" s="731"/>
      <c r="N41" s="731"/>
      <c r="O41" s="731"/>
      <c r="P41" s="731"/>
      <c r="Q41" s="731"/>
      <c r="R41" s="730"/>
      <c r="S41" s="731"/>
      <c r="T41" s="731"/>
      <c r="U41" s="731"/>
      <c r="V41" s="731"/>
      <c r="W41" s="731"/>
      <c r="X41" s="731"/>
      <c r="Y41" s="731"/>
      <c r="Z41" s="731"/>
      <c r="AA41" s="731"/>
      <c r="AB41" s="731"/>
      <c r="AC41" s="731"/>
      <c r="AD41" s="731"/>
      <c r="AE41" s="731"/>
      <c r="AF41" s="731"/>
      <c r="AG41" s="731"/>
      <c r="AH41" s="732"/>
    </row>
    <row r="42" spans="1:34" x14ac:dyDescent="0.2">
      <c r="A42" s="730"/>
      <c r="B42" s="731"/>
      <c r="C42" s="731"/>
      <c r="D42" s="731"/>
      <c r="E42" s="731"/>
      <c r="F42" s="731"/>
      <c r="G42" s="731"/>
      <c r="H42" s="731"/>
      <c r="I42" s="731"/>
      <c r="J42" s="731"/>
      <c r="K42" s="731"/>
      <c r="L42" s="731"/>
      <c r="M42" s="731"/>
      <c r="N42" s="731"/>
      <c r="O42" s="731"/>
      <c r="P42" s="731"/>
      <c r="Q42" s="731"/>
      <c r="R42" s="730"/>
      <c r="S42" s="731"/>
      <c r="T42" s="731"/>
      <c r="U42" s="731"/>
      <c r="V42" s="731"/>
      <c r="W42" s="731"/>
      <c r="X42" s="731"/>
      <c r="Y42" s="731"/>
      <c r="Z42" s="731"/>
      <c r="AA42" s="731"/>
      <c r="AB42" s="731"/>
      <c r="AC42" s="731"/>
      <c r="AD42" s="731"/>
      <c r="AE42" s="731"/>
      <c r="AF42" s="731"/>
      <c r="AG42" s="731"/>
      <c r="AH42" s="732"/>
    </row>
    <row r="43" spans="1:34" x14ac:dyDescent="0.2">
      <c r="A43" s="730"/>
      <c r="B43" s="731"/>
      <c r="C43" s="731"/>
      <c r="D43" s="731"/>
      <c r="E43" s="731"/>
      <c r="F43" s="731"/>
      <c r="G43" s="731"/>
      <c r="H43" s="731"/>
      <c r="I43" s="731"/>
      <c r="J43" s="731"/>
      <c r="K43" s="731"/>
      <c r="L43" s="731"/>
      <c r="M43" s="731"/>
      <c r="N43" s="731"/>
      <c r="O43" s="731"/>
      <c r="P43" s="731"/>
      <c r="Q43" s="731"/>
      <c r="R43" s="730"/>
      <c r="S43" s="731"/>
      <c r="T43" s="731"/>
      <c r="U43" s="731"/>
      <c r="V43" s="731"/>
      <c r="W43" s="731"/>
      <c r="X43" s="731"/>
      <c r="Y43" s="731"/>
      <c r="Z43" s="731"/>
      <c r="AA43" s="731"/>
      <c r="AB43" s="731"/>
      <c r="AC43" s="731"/>
      <c r="AD43" s="731"/>
      <c r="AE43" s="731"/>
      <c r="AF43" s="731"/>
      <c r="AG43" s="731"/>
      <c r="AH43" s="732"/>
    </row>
    <row r="44" spans="1:34" x14ac:dyDescent="0.2">
      <c r="A44" s="730"/>
      <c r="B44" s="731"/>
      <c r="C44" s="731"/>
      <c r="D44" s="731"/>
      <c r="E44" s="731"/>
      <c r="F44" s="731"/>
      <c r="G44" s="731"/>
      <c r="H44" s="731"/>
      <c r="I44" s="731"/>
      <c r="J44" s="731"/>
      <c r="K44" s="731"/>
      <c r="L44" s="731"/>
      <c r="M44" s="731"/>
      <c r="N44" s="731"/>
      <c r="O44" s="731"/>
      <c r="P44" s="731"/>
      <c r="Q44" s="731"/>
      <c r="R44" s="730"/>
      <c r="S44" s="731"/>
      <c r="T44" s="731"/>
      <c r="U44" s="731"/>
      <c r="V44" s="731"/>
      <c r="W44" s="731"/>
      <c r="X44" s="731"/>
      <c r="Y44" s="731"/>
      <c r="Z44" s="731"/>
      <c r="AA44" s="731"/>
      <c r="AB44" s="731"/>
      <c r="AC44" s="731"/>
      <c r="AD44" s="731"/>
      <c r="AE44" s="731"/>
      <c r="AF44" s="731"/>
      <c r="AG44" s="731"/>
      <c r="AH44" s="732"/>
    </row>
    <row r="45" spans="1:34" ht="17" thickBot="1" x14ac:dyDescent="0.25">
      <c r="A45" s="359"/>
      <c r="B45" s="360"/>
      <c r="C45" s="360"/>
      <c r="D45" s="360"/>
      <c r="E45" s="360"/>
      <c r="F45" s="360"/>
      <c r="G45" s="360"/>
      <c r="H45" s="360"/>
      <c r="I45" s="360"/>
      <c r="J45" s="360"/>
      <c r="K45" s="360"/>
      <c r="L45" s="360"/>
      <c r="M45" s="360"/>
      <c r="N45" s="360"/>
      <c r="O45" s="360"/>
      <c r="P45" s="360"/>
      <c r="Q45" s="360"/>
      <c r="R45" s="359"/>
      <c r="S45" s="360"/>
      <c r="T45" s="360"/>
      <c r="U45" s="360"/>
      <c r="V45" s="360"/>
      <c r="W45" s="360"/>
      <c r="X45" s="360"/>
      <c r="Y45" s="360"/>
      <c r="Z45" s="360"/>
      <c r="AA45" s="360"/>
      <c r="AB45" s="360"/>
      <c r="AC45" s="360"/>
      <c r="AD45" s="360"/>
      <c r="AE45" s="360"/>
      <c r="AF45" s="360"/>
      <c r="AG45" s="360"/>
      <c r="AH45" s="735"/>
    </row>
    <row r="46" spans="1:34" x14ac:dyDescent="0.2">
      <c r="A46" s="1287" t="s">
        <v>425</v>
      </c>
      <c r="B46" s="1288"/>
      <c r="C46" s="1288"/>
      <c r="D46" s="1288"/>
      <c r="E46" s="1288"/>
      <c r="F46" s="1288"/>
      <c r="G46" s="1288"/>
      <c r="H46" s="1288"/>
      <c r="I46" s="1288"/>
      <c r="J46" s="1288"/>
      <c r="K46" s="1288"/>
      <c r="L46" s="1288"/>
      <c r="M46" s="1288"/>
      <c r="N46" s="1288"/>
      <c r="O46" s="1288"/>
      <c r="P46" s="1288"/>
      <c r="Q46" s="1289"/>
    </row>
    <row r="47" spans="1:34" ht="17" thickBot="1" x14ac:dyDescent="0.25">
      <c r="A47" s="1290"/>
      <c r="B47" s="1291"/>
      <c r="C47" s="1291"/>
      <c r="D47" s="1291"/>
      <c r="E47" s="1291"/>
      <c r="F47" s="1291"/>
      <c r="G47" s="1291"/>
      <c r="H47" s="1291"/>
      <c r="I47" s="1291"/>
      <c r="J47" s="1291"/>
      <c r="K47" s="1291"/>
      <c r="L47" s="1291"/>
      <c r="M47" s="1291"/>
      <c r="N47" s="1291"/>
      <c r="O47" s="1291"/>
      <c r="P47" s="1291"/>
      <c r="Q47" s="1292"/>
    </row>
    <row r="48" spans="1:34" x14ac:dyDescent="0.2">
      <c r="A48" s="803"/>
      <c r="B48" s="804"/>
      <c r="C48" s="804"/>
      <c r="D48" s="804"/>
      <c r="E48" s="804"/>
      <c r="F48" s="804"/>
      <c r="G48" s="804"/>
      <c r="H48" s="804"/>
      <c r="I48" s="804"/>
      <c r="J48" s="804"/>
      <c r="K48" s="804"/>
      <c r="L48" s="804"/>
      <c r="M48" s="804"/>
      <c r="N48" s="804"/>
      <c r="O48" s="804"/>
      <c r="P48" s="804"/>
      <c r="Q48" s="805"/>
    </row>
    <row r="49" spans="1:17" x14ac:dyDescent="0.2">
      <c r="A49" s="730"/>
      <c r="B49" s="731"/>
      <c r="C49" s="731"/>
      <c r="D49" s="731"/>
      <c r="E49" s="731"/>
      <c r="F49" s="731"/>
      <c r="G49" s="731"/>
      <c r="H49" s="731"/>
      <c r="I49" s="731"/>
      <c r="J49" s="731"/>
      <c r="K49" s="731"/>
      <c r="L49" s="731"/>
      <c r="M49" s="731"/>
      <c r="N49" s="731"/>
      <c r="O49" s="731"/>
      <c r="P49" s="731"/>
      <c r="Q49" s="732"/>
    </row>
    <row r="50" spans="1:17" x14ac:dyDescent="0.2">
      <c r="A50" s="730"/>
      <c r="B50" s="731"/>
      <c r="C50" s="731"/>
      <c r="D50" s="731"/>
      <c r="E50" s="731"/>
      <c r="F50" s="731"/>
      <c r="G50" s="731"/>
      <c r="H50" s="731"/>
      <c r="I50" s="731"/>
      <c r="J50" s="731"/>
      <c r="K50" s="731"/>
      <c r="L50" s="731"/>
      <c r="M50" s="731"/>
      <c r="N50" s="731"/>
      <c r="O50" s="731"/>
      <c r="P50" s="731"/>
      <c r="Q50" s="732"/>
    </row>
    <row r="51" spans="1:17" x14ac:dyDescent="0.2">
      <c r="A51" s="730"/>
      <c r="B51" s="731"/>
      <c r="C51" s="731"/>
      <c r="D51" s="731"/>
      <c r="E51" s="731"/>
      <c r="F51" s="731"/>
      <c r="G51" s="731"/>
      <c r="H51" s="731"/>
      <c r="I51" s="731"/>
      <c r="J51" s="731"/>
      <c r="K51" s="731"/>
      <c r="L51" s="731"/>
      <c r="M51" s="731"/>
      <c r="N51" s="731"/>
      <c r="O51" s="731"/>
      <c r="P51" s="731"/>
      <c r="Q51" s="732"/>
    </row>
    <row r="52" spans="1:17" x14ac:dyDescent="0.2">
      <c r="A52" s="730"/>
      <c r="B52" s="731"/>
      <c r="C52" s="731"/>
      <c r="D52" s="731"/>
      <c r="E52" s="731"/>
      <c r="F52" s="731"/>
      <c r="G52" s="731"/>
      <c r="H52" s="731"/>
      <c r="I52" s="731"/>
      <c r="J52" s="731"/>
      <c r="K52" s="731"/>
      <c r="L52" s="731"/>
      <c r="M52" s="731"/>
      <c r="N52" s="731"/>
      <c r="O52" s="731"/>
      <c r="P52" s="731"/>
      <c r="Q52" s="732"/>
    </row>
    <row r="53" spans="1:17" ht="17" thickBot="1" x14ac:dyDescent="0.25">
      <c r="A53" s="730"/>
      <c r="B53" s="731"/>
      <c r="C53" s="731"/>
      <c r="D53" s="731"/>
      <c r="E53" s="731"/>
      <c r="F53" s="731"/>
      <c r="G53" s="731"/>
      <c r="H53" s="731"/>
      <c r="I53" s="731"/>
      <c r="J53" s="731"/>
      <c r="K53" s="731"/>
      <c r="L53" s="731"/>
      <c r="M53" s="731"/>
      <c r="N53" s="731"/>
      <c r="O53" s="731"/>
      <c r="P53" s="731"/>
      <c r="Q53" s="732"/>
    </row>
    <row r="54" spans="1:17" ht="17" thickBot="1" x14ac:dyDescent="0.25">
      <c r="A54" s="730"/>
      <c r="B54" s="731"/>
      <c r="C54" s="1293" t="s">
        <v>426</v>
      </c>
      <c r="D54" s="1294"/>
      <c r="E54" s="806">
        <f>SUM(E55:E58)</f>
        <v>1</v>
      </c>
      <c r="F54" s="731"/>
      <c r="G54" s="731"/>
      <c r="H54" s="731"/>
      <c r="I54" s="731"/>
      <c r="J54" s="731"/>
      <c r="K54" s="731"/>
      <c r="L54" s="731"/>
      <c r="M54" s="731"/>
      <c r="N54" s="731"/>
      <c r="O54" s="731"/>
      <c r="P54" s="731"/>
      <c r="Q54" s="732"/>
    </row>
    <row r="55" spans="1:17" ht="17" thickBot="1" x14ac:dyDescent="0.25">
      <c r="A55" s="730"/>
      <c r="B55" s="731"/>
      <c r="C55" s="1295" t="s">
        <v>427</v>
      </c>
      <c r="D55" s="1296"/>
      <c r="E55" s="807">
        <v>0.33</v>
      </c>
      <c r="F55" s="731"/>
      <c r="G55" s="731"/>
      <c r="H55" s="731"/>
      <c r="I55" s="731"/>
      <c r="J55" s="731"/>
      <c r="K55" s="731"/>
      <c r="L55" s="731"/>
      <c r="M55" s="731"/>
      <c r="N55" s="731"/>
      <c r="O55" s="731"/>
      <c r="P55" s="731"/>
      <c r="Q55" s="732"/>
    </row>
    <row r="56" spans="1:17" ht="17" thickBot="1" x14ac:dyDescent="0.25">
      <c r="A56" s="730"/>
      <c r="B56" s="731"/>
      <c r="C56" s="1295" t="s">
        <v>428</v>
      </c>
      <c r="D56" s="1296"/>
      <c r="E56" s="807">
        <v>0.3</v>
      </c>
      <c r="F56" s="731"/>
      <c r="G56" s="731"/>
      <c r="H56" s="731"/>
      <c r="I56" s="731"/>
      <c r="J56" s="731"/>
      <c r="K56" s="731"/>
      <c r="L56" s="731"/>
      <c r="M56" s="731"/>
      <c r="N56" s="731"/>
      <c r="O56" s="731"/>
      <c r="P56" s="731"/>
      <c r="Q56" s="732"/>
    </row>
    <row r="57" spans="1:17" ht="17" thickBot="1" x14ac:dyDescent="0.25">
      <c r="A57" s="730"/>
      <c r="B57" s="731"/>
      <c r="C57" s="1295" t="s">
        <v>429</v>
      </c>
      <c r="D57" s="1296"/>
      <c r="E57" s="807">
        <v>0.18</v>
      </c>
      <c r="F57" s="731"/>
      <c r="G57" s="731"/>
      <c r="H57" s="731"/>
      <c r="I57" s="731"/>
      <c r="J57" s="731"/>
      <c r="K57" s="731"/>
      <c r="L57" s="731"/>
      <c r="M57" s="731"/>
      <c r="N57" s="731"/>
      <c r="O57" s="731"/>
      <c r="P57" s="731"/>
      <c r="Q57" s="732"/>
    </row>
    <row r="58" spans="1:17" ht="17" thickBot="1" x14ac:dyDescent="0.25">
      <c r="A58" s="730"/>
      <c r="B58" s="731"/>
      <c r="C58" s="1285" t="s">
        <v>430</v>
      </c>
      <c r="D58" s="1286"/>
      <c r="E58" s="807">
        <v>0.19</v>
      </c>
      <c r="F58" s="731"/>
      <c r="G58" s="731"/>
      <c r="H58" s="731"/>
      <c r="I58" s="731"/>
      <c r="J58" s="731"/>
      <c r="K58" s="731"/>
      <c r="L58" s="731"/>
      <c r="M58" s="731"/>
      <c r="N58" s="731"/>
      <c r="O58" s="731"/>
      <c r="P58" s="731"/>
      <c r="Q58" s="732"/>
    </row>
    <row r="59" spans="1:17" x14ac:dyDescent="0.2">
      <c r="A59" s="730"/>
      <c r="B59" s="731"/>
      <c r="C59" s="731"/>
      <c r="D59" s="731"/>
      <c r="E59" s="731"/>
      <c r="F59" s="731"/>
      <c r="G59" s="731"/>
      <c r="H59" s="731"/>
      <c r="I59" s="731"/>
      <c r="J59" s="731"/>
      <c r="K59" s="731"/>
      <c r="L59" s="731"/>
      <c r="M59" s="731"/>
      <c r="N59" s="731"/>
      <c r="O59" s="731"/>
      <c r="P59" s="731"/>
      <c r="Q59" s="732"/>
    </row>
    <row r="60" spans="1:17" x14ac:dyDescent="0.2">
      <c r="A60" s="730"/>
      <c r="B60" s="731"/>
      <c r="C60" s="731"/>
      <c r="D60" s="731"/>
      <c r="E60" s="731"/>
      <c r="F60" s="731"/>
      <c r="G60" s="731"/>
      <c r="H60" s="731"/>
      <c r="I60" s="731"/>
      <c r="J60" s="731"/>
      <c r="K60" s="731"/>
      <c r="L60" s="731"/>
      <c r="M60" s="731"/>
      <c r="N60" s="731"/>
      <c r="O60" s="731"/>
      <c r="P60" s="731"/>
      <c r="Q60" s="732"/>
    </row>
    <row r="61" spans="1:17" x14ac:dyDescent="0.2">
      <c r="A61" s="730"/>
      <c r="B61" s="731"/>
      <c r="C61" s="731"/>
      <c r="D61" s="731"/>
      <c r="E61" s="731"/>
      <c r="F61" s="731"/>
      <c r="G61" s="731"/>
      <c r="H61" s="731"/>
      <c r="I61" s="731"/>
      <c r="J61" s="731"/>
      <c r="K61" s="731"/>
      <c r="L61" s="731"/>
      <c r="M61" s="731"/>
      <c r="N61" s="731"/>
      <c r="O61" s="731"/>
      <c r="P61" s="731"/>
      <c r="Q61" s="732"/>
    </row>
    <row r="62" spans="1:17" x14ac:dyDescent="0.2">
      <c r="A62" s="730"/>
      <c r="B62" s="731"/>
      <c r="C62" s="731"/>
      <c r="D62" s="731"/>
      <c r="E62" s="731"/>
      <c r="F62" s="731"/>
      <c r="G62" s="731"/>
      <c r="H62" s="731"/>
      <c r="I62" s="731"/>
      <c r="J62" s="731"/>
      <c r="K62" s="731"/>
      <c r="L62" s="731"/>
      <c r="M62" s="731"/>
      <c r="N62" s="731"/>
      <c r="O62" s="731"/>
      <c r="P62" s="731"/>
      <c r="Q62" s="732"/>
    </row>
    <row r="63" spans="1:17" x14ac:dyDescent="0.2">
      <c r="A63" s="730"/>
      <c r="B63" s="731"/>
      <c r="C63" s="731"/>
      <c r="D63" s="731"/>
      <c r="E63" s="731"/>
      <c r="F63" s="731"/>
      <c r="G63" s="731"/>
      <c r="H63" s="731"/>
      <c r="I63" s="731"/>
      <c r="J63" s="731"/>
      <c r="K63" s="731"/>
      <c r="L63" s="731"/>
      <c r="M63" s="731"/>
      <c r="N63" s="731"/>
      <c r="O63" s="731"/>
      <c r="P63" s="731"/>
      <c r="Q63" s="732"/>
    </row>
    <row r="64" spans="1:17" x14ac:dyDescent="0.2">
      <c r="A64" s="730"/>
      <c r="B64" s="731"/>
      <c r="C64" s="731"/>
      <c r="D64" s="731"/>
      <c r="E64" s="731"/>
      <c r="F64" s="731"/>
      <c r="G64" s="731"/>
      <c r="H64" s="731"/>
      <c r="I64" s="731"/>
      <c r="J64" s="731"/>
      <c r="K64" s="731"/>
      <c r="L64" s="731"/>
      <c r="M64" s="731"/>
      <c r="N64" s="731"/>
      <c r="O64" s="731"/>
      <c r="P64" s="731"/>
      <c r="Q64" s="732"/>
    </row>
    <row r="65" spans="1:17" x14ac:dyDescent="0.2">
      <c r="A65" s="730"/>
      <c r="B65" s="731"/>
      <c r="C65" s="731"/>
      <c r="D65" s="731"/>
      <c r="E65" s="731"/>
      <c r="F65" s="731"/>
      <c r="G65" s="731"/>
      <c r="H65" s="731"/>
      <c r="I65" s="731"/>
      <c r="J65" s="731"/>
      <c r="K65" s="731"/>
      <c r="L65" s="731"/>
      <c r="M65" s="731"/>
      <c r="N65" s="731"/>
      <c r="O65" s="731"/>
      <c r="P65" s="731"/>
      <c r="Q65" s="732"/>
    </row>
    <row r="66" spans="1:17" x14ac:dyDescent="0.2">
      <c r="A66" s="730"/>
      <c r="B66" s="731"/>
      <c r="C66" s="731"/>
      <c r="D66" s="731"/>
      <c r="E66" s="731"/>
      <c r="F66" s="731"/>
      <c r="G66" s="731"/>
      <c r="H66" s="731"/>
      <c r="I66" s="731"/>
      <c r="J66" s="731"/>
      <c r="K66" s="731"/>
      <c r="L66" s="731"/>
      <c r="M66" s="731"/>
      <c r="N66" s="731"/>
      <c r="O66" s="731"/>
      <c r="P66" s="731"/>
      <c r="Q66" s="732"/>
    </row>
    <row r="67" spans="1:17" x14ac:dyDescent="0.2">
      <c r="A67" s="730"/>
      <c r="B67" s="731"/>
      <c r="C67" s="731"/>
      <c r="D67" s="731"/>
      <c r="E67" s="731"/>
      <c r="F67" s="731"/>
      <c r="G67" s="731"/>
      <c r="H67" s="731"/>
      <c r="I67" s="731"/>
      <c r="J67" s="731"/>
      <c r="K67" s="731"/>
      <c r="L67" s="731"/>
      <c r="M67" s="731"/>
      <c r="N67" s="731"/>
      <c r="O67" s="731"/>
      <c r="P67" s="731"/>
      <c r="Q67" s="732"/>
    </row>
    <row r="68" spans="1:17" x14ac:dyDescent="0.2">
      <c r="A68" s="730"/>
      <c r="B68" s="731"/>
      <c r="C68" s="731"/>
      <c r="D68" s="731"/>
      <c r="E68" s="731"/>
      <c r="F68" s="731"/>
      <c r="G68" s="731"/>
      <c r="H68" s="731"/>
      <c r="I68" s="731"/>
      <c r="J68" s="731"/>
      <c r="K68" s="731"/>
      <c r="L68" s="731"/>
      <c r="M68" s="731"/>
      <c r="N68" s="731"/>
      <c r="O68" s="731"/>
      <c r="P68" s="731"/>
      <c r="Q68" s="732"/>
    </row>
    <row r="69" spans="1:17" x14ac:dyDescent="0.2">
      <c r="A69" s="730"/>
      <c r="B69" s="731"/>
      <c r="C69" s="731"/>
      <c r="D69" s="731"/>
      <c r="E69" s="731"/>
      <c r="F69" s="731"/>
      <c r="G69" s="731"/>
      <c r="H69" s="731"/>
      <c r="I69" s="731"/>
      <c r="J69" s="731"/>
      <c r="K69" s="731"/>
      <c r="L69" s="731"/>
      <c r="M69" s="731"/>
      <c r="N69" s="731"/>
      <c r="O69" s="731"/>
      <c r="P69" s="731"/>
      <c r="Q69" s="732"/>
    </row>
    <row r="70" spans="1:17" x14ac:dyDescent="0.2">
      <c r="A70" s="730"/>
      <c r="B70" s="731"/>
      <c r="C70" s="731"/>
      <c r="D70" s="731"/>
      <c r="E70" s="731"/>
      <c r="F70" s="731"/>
      <c r="G70" s="731"/>
      <c r="H70" s="731"/>
      <c r="I70" s="731"/>
      <c r="J70" s="731"/>
      <c r="K70" s="731"/>
      <c r="L70" s="731"/>
      <c r="M70" s="731"/>
      <c r="N70" s="731"/>
      <c r="O70" s="731"/>
      <c r="P70" s="731"/>
      <c r="Q70" s="732"/>
    </row>
    <row r="71" spans="1:17" x14ac:dyDescent="0.2">
      <c r="A71" s="730"/>
      <c r="B71" s="731"/>
      <c r="C71" s="731"/>
      <c r="D71" s="731"/>
      <c r="E71" s="731"/>
      <c r="F71" s="731"/>
      <c r="G71" s="731"/>
      <c r="H71" s="731"/>
      <c r="I71" s="731"/>
      <c r="J71" s="731"/>
      <c r="K71" s="731"/>
      <c r="L71" s="731"/>
      <c r="M71" s="731"/>
      <c r="N71" s="731"/>
      <c r="O71" s="731"/>
      <c r="P71" s="731"/>
      <c r="Q71" s="732"/>
    </row>
    <row r="72" spans="1:17" x14ac:dyDescent="0.2">
      <c r="A72" s="730"/>
      <c r="B72" s="731"/>
      <c r="C72" s="731"/>
      <c r="D72" s="731"/>
      <c r="E72" s="731"/>
      <c r="F72" s="731"/>
      <c r="G72" s="731"/>
      <c r="H72" s="731"/>
      <c r="I72" s="731"/>
      <c r="J72" s="731"/>
      <c r="K72" s="731"/>
      <c r="L72" s="731"/>
      <c r="M72" s="731"/>
      <c r="N72" s="731"/>
      <c r="O72" s="731"/>
      <c r="P72" s="731"/>
      <c r="Q72" s="732"/>
    </row>
    <row r="73" spans="1:17" x14ac:dyDescent="0.2">
      <c r="A73" s="730"/>
      <c r="B73" s="731"/>
      <c r="C73" s="731"/>
      <c r="D73" s="731"/>
      <c r="E73" s="731"/>
      <c r="F73" s="731"/>
      <c r="G73" s="731"/>
      <c r="H73" s="731"/>
      <c r="I73" s="731"/>
      <c r="J73" s="731"/>
      <c r="K73" s="731"/>
      <c r="L73" s="731"/>
      <c r="M73" s="731"/>
      <c r="N73" s="731"/>
      <c r="O73" s="731"/>
      <c r="P73" s="731"/>
      <c r="Q73" s="732"/>
    </row>
    <row r="74" spans="1:17" x14ac:dyDescent="0.2">
      <c r="A74" s="730"/>
      <c r="B74" s="731"/>
      <c r="C74" s="731"/>
      <c r="D74" s="731"/>
      <c r="E74" s="731"/>
      <c r="F74" s="731"/>
      <c r="G74" s="731"/>
      <c r="H74" s="731"/>
      <c r="I74" s="731"/>
      <c r="J74" s="731"/>
      <c r="K74" s="731"/>
      <c r="L74" s="731"/>
      <c r="M74" s="731"/>
      <c r="N74" s="731"/>
      <c r="O74" s="731"/>
      <c r="P74" s="731"/>
      <c r="Q74" s="732"/>
    </row>
    <row r="75" spans="1:17" x14ac:dyDescent="0.2">
      <c r="A75" s="730"/>
      <c r="B75" s="731"/>
      <c r="C75" s="731"/>
      <c r="D75" s="731"/>
      <c r="E75" s="731"/>
      <c r="F75" s="731"/>
      <c r="G75" s="731"/>
      <c r="H75" s="731"/>
      <c r="I75" s="731"/>
      <c r="J75" s="731"/>
      <c r="K75" s="731"/>
      <c r="L75" s="731"/>
      <c r="M75" s="731"/>
      <c r="N75" s="731"/>
      <c r="O75" s="731"/>
      <c r="P75" s="731"/>
      <c r="Q75" s="732"/>
    </row>
    <row r="76" spans="1:17" x14ac:dyDescent="0.2">
      <c r="A76" s="730"/>
      <c r="B76" s="731"/>
      <c r="C76" s="731"/>
      <c r="D76" s="731"/>
      <c r="E76" s="731"/>
      <c r="F76" s="731"/>
      <c r="G76" s="731"/>
      <c r="H76" s="731"/>
      <c r="I76" s="731"/>
      <c r="J76" s="731"/>
      <c r="K76" s="731"/>
      <c r="L76" s="731"/>
      <c r="M76" s="731"/>
      <c r="N76" s="731"/>
      <c r="O76" s="731"/>
      <c r="P76" s="731"/>
      <c r="Q76" s="732"/>
    </row>
    <row r="77" spans="1:17" x14ac:dyDescent="0.2">
      <c r="A77" s="730"/>
      <c r="B77" s="731"/>
      <c r="C77" s="731"/>
      <c r="D77" s="731"/>
      <c r="E77" s="731"/>
      <c r="F77" s="731"/>
      <c r="G77" s="731"/>
      <c r="H77" s="731"/>
      <c r="I77" s="731"/>
      <c r="J77" s="731"/>
      <c r="K77" s="731"/>
      <c r="L77" s="731"/>
      <c r="M77" s="731"/>
      <c r="N77" s="731"/>
      <c r="O77" s="731"/>
      <c r="P77" s="731"/>
      <c r="Q77" s="732"/>
    </row>
    <row r="78" spans="1:17" x14ac:dyDescent="0.2">
      <c r="A78" s="730"/>
      <c r="B78" s="731"/>
      <c r="C78" s="731"/>
      <c r="D78" s="731"/>
      <c r="E78" s="731"/>
      <c r="F78" s="731"/>
      <c r="G78" s="731"/>
      <c r="H78" s="731"/>
      <c r="I78" s="731"/>
      <c r="J78" s="731"/>
      <c r="K78" s="731"/>
      <c r="L78" s="731"/>
      <c r="M78" s="731"/>
      <c r="N78" s="731"/>
      <c r="O78" s="731"/>
      <c r="P78" s="731"/>
      <c r="Q78" s="732"/>
    </row>
    <row r="79" spans="1:17" ht="17" thickBot="1" x14ac:dyDescent="0.25">
      <c r="A79" s="359"/>
      <c r="B79" s="360"/>
      <c r="C79" s="360"/>
      <c r="D79" s="360"/>
      <c r="E79" s="360"/>
      <c r="F79" s="360"/>
      <c r="G79" s="360"/>
      <c r="H79" s="360"/>
      <c r="I79" s="360"/>
      <c r="J79" s="360"/>
      <c r="K79" s="360"/>
      <c r="L79" s="360"/>
      <c r="M79" s="360"/>
      <c r="N79" s="360"/>
      <c r="O79" s="360"/>
      <c r="P79" s="360"/>
      <c r="Q79" s="735"/>
    </row>
  </sheetData>
  <mergeCells count="68">
    <mergeCell ref="C58:D58"/>
    <mergeCell ref="A46:Q47"/>
    <mergeCell ref="C54:D54"/>
    <mergeCell ref="C55:D55"/>
    <mergeCell ref="C56:D56"/>
    <mergeCell ref="C57:D57"/>
    <mergeCell ref="AC18:AD18"/>
    <mergeCell ref="AE18:AF18"/>
    <mergeCell ref="AG18:AH18"/>
    <mergeCell ref="T28:W28"/>
    <mergeCell ref="X28:AA28"/>
    <mergeCell ref="S18:V18"/>
    <mergeCell ref="W18:X18"/>
    <mergeCell ref="Y18:Z18"/>
    <mergeCell ref="AA18:AB18"/>
    <mergeCell ref="U21:U24"/>
    <mergeCell ref="V21:V24"/>
    <mergeCell ref="W21:W24"/>
    <mergeCell ref="X21:X24"/>
    <mergeCell ref="A4:Q5"/>
    <mergeCell ref="R4:AH5"/>
    <mergeCell ref="S8:V8"/>
    <mergeCell ref="S9:V9"/>
    <mergeCell ref="S10:V10"/>
    <mergeCell ref="S7:V7"/>
    <mergeCell ref="AE8:AH8"/>
    <mergeCell ref="AE9:AH9"/>
    <mergeCell ref="AE10:AH10"/>
    <mergeCell ref="W8:Z8"/>
    <mergeCell ref="AA8:AD8"/>
    <mergeCell ref="W9:Z9"/>
    <mergeCell ref="AA9:AD9"/>
    <mergeCell ref="W10:Z10"/>
    <mergeCell ref="AA10:AD10"/>
    <mergeCell ref="AE11:AH11"/>
    <mergeCell ref="AE12:AH12"/>
    <mergeCell ref="W11:Z11"/>
    <mergeCell ref="AA11:AD11"/>
    <mergeCell ref="W12:Z12"/>
    <mergeCell ref="AA12:AD12"/>
    <mergeCell ref="S17:V17"/>
    <mergeCell ref="AE15:AH15"/>
    <mergeCell ref="AA17:AB17"/>
    <mergeCell ref="AC17:AD17"/>
    <mergeCell ref="AE17:AH17"/>
    <mergeCell ref="AE16:AH16"/>
    <mergeCell ref="S16:V16"/>
    <mergeCell ref="W16:X16"/>
    <mergeCell ref="Y16:Z16"/>
    <mergeCell ref="AA16:AB16"/>
    <mergeCell ref="AC16:AD16"/>
    <mergeCell ref="W17:X17"/>
    <mergeCell ref="S15:V15"/>
    <mergeCell ref="Y17:Z17"/>
    <mergeCell ref="S11:V11"/>
    <mergeCell ref="S12:V12"/>
    <mergeCell ref="Y15:Z15"/>
    <mergeCell ref="AA15:AB15"/>
    <mergeCell ref="AC15:AD15"/>
    <mergeCell ref="W15:X15"/>
    <mergeCell ref="S13:V13"/>
    <mergeCell ref="S14:V14"/>
    <mergeCell ref="T33:W33"/>
    <mergeCell ref="T34:W34"/>
    <mergeCell ref="T35:W35"/>
    <mergeCell ref="X33:AA33"/>
    <mergeCell ref="X34:AA34"/>
    <mergeCell ref="X35:AA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D33E-C05A-B145-AE5F-F2E86D2C0D74}">
  <dimension ref="A1:AW846"/>
  <sheetViews>
    <sheetView topLeftCell="H6" zoomScale="125" zoomScaleNormal="125" workbookViewId="0">
      <selection activeCell="AM32" sqref="AM32:AW32"/>
    </sheetView>
  </sheetViews>
  <sheetFormatPr baseColWidth="10" defaultRowHeight="16" x14ac:dyDescent="0.2"/>
  <cols>
    <col min="1" max="2" width="10.83203125" style="48"/>
    <col min="3" max="3" width="26.33203125" customWidth="1"/>
    <col min="4" max="4" width="12.33203125" bestFit="1" customWidth="1"/>
    <col min="5" max="5" width="23.33203125" bestFit="1" customWidth="1"/>
    <col min="6" max="22" width="12.33203125" bestFit="1" customWidth="1"/>
    <col min="23" max="23" width="12.5" bestFit="1" customWidth="1"/>
    <col min="24" max="24" width="12" style="433" bestFit="1" customWidth="1"/>
    <col min="25" max="25" width="12" style="434" bestFit="1" customWidth="1"/>
    <col min="26" max="27" width="13.1640625" style="434" bestFit="1" customWidth="1"/>
    <col min="28" max="28" width="10.83203125" style="435"/>
    <col min="31" max="31" width="11" bestFit="1" customWidth="1"/>
    <col min="32" max="32" width="36.1640625" customWidth="1"/>
    <col min="33" max="33" width="41.1640625" customWidth="1"/>
    <col min="35" max="35" width="18.1640625" customWidth="1"/>
  </cols>
  <sheetData>
    <row r="1" spans="1:37" x14ac:dyDescent="0.2">
      <c r="A1" s="1008" t="s">
        <v>177</v>
      </c>
      <c r="B1" s="1009"/>
      <c r="C1" s="1010"/>
      <c r="D1" s="570"/>
      <c r="E1" s="570"/>
      <c r="F1" s="570"/>
      <c r="G1" s="570"/>
      <c r="H1" s="570"/>
      <c r="I1" s="570"/>
      <c r="J1" s="570"/>
      <c r="K1" s="570"/>
      <c r="L1" s="570"/>
      <c r="M1" s="570"/>
      <c r="N1" s="570"/>
      <c r="O1" s="570"/>
      <c r="P1" s="570"/>
      <c r="Q1" s="570"/>
      <c r="R1" s="570"/>
      <c r="S1" s="570"/>
      <c r="T1" s="570"/>
      <c r="U1" s="570"/>
      <c r="V1" s="570"/>
      <c r="W1" s="570"/>
      <c r="X1" s="569"/>
      <c r="Y1" s="570"/>
      <c r="Z1" s="570"/>
      <c r="AA1" s="570"/>
      <c r="AB1" s="432"/>
    </row>
    <row r="2" spans="1:37" ht="31" customHeight="1" x14ac:dyDescent="0.2">
      <c r="A2" s="1011" t="s">
        <v>239</v>
      </c>
      <c r="B2" s="1012"/>
      <c r="C2" s="1013"/>
      <c r="D2" s="445">
        <v>2000</v>
      </c>
      <c r="E2" s="445">
        <v>2001</v>
      </c>
      <c r="F2" s="445">
        <v>2002</v>
      </c>
      <c r="G2" s="445">
        <v>2003</v>
      </c>
      <c r="H2" s="445">
        <v>2004</v>
      </c>
      <c r="I2" s="445">
        <v>2005</v>
      </c>
      <c r="J2" s="445">
        <v>2006</v>
      </c>
      <c r="K2" s="445">
        <v>2007</v>
      </c>
      <c r="L2" s="445">
        <v>2008</v>
      </c>
      <c r="M2" s="445">
        <v>2009</v>
      </c>
      <c r="N2" s="445">
        <v>2010</v>
      </c>
      <c r="O2" s="445">
        <v>2011</v>
      </c>
      <c r="P2" s="445">
        <v>2012</v>
      </c>
      <c r="Q2" s="445">
        <v>2013</v>
      </c>
      <c r="R2" s="445">
        <v>2014</v>
      </c>
      <c r="S2" s="445">
        <v>2015</v>
      </c>
      <c r="T2" s="445">
        <v>2016</v>
      </c>
      <c r="U2" s="445">
        <v>2017</v>
      </c>
      <c r="V2" s="445">
        <v>2018</v>
      </c>
      <c r="W2" s="445">
        <f>2019</f>
        <v>2019</v>
      </c>
      <c r="X2" s="470">
        <f>2020</f>
        <v>2020</v>
      </c>
      <c r="Y2" s="445">
        <f>2021</f>
        <v>2021</v>
      </c>
      <c r="Z2" s="445">
        <v>2022</v>
      </c>
      <c r="AA2" s="445">
        <v>2023</v>
      </c>
      <c r="AB2" s="452">
        <v>2024</v>
      </c>
      <c r="AC2" s="839"/>
      <c r="AD2" s="839"/>
      <c r="AE2" s="438"/>
      <c r="AF2" s="438"/>
      <c r="AG2" s="438"/>
      <c r="AH2" s="438"/>
      <c r="AI2" s="438"/>
      <c r="AJ2" s="434"/>
      <c r="AK2" s="434"/>
    </row>
    <row r="3" spans="1:37" ht="17" customHeight="1" x14ac:dyDescent="0.2">
      <c r="A3" s="1014" t="s">
        <v>127</v>
      </c>
      <c r="B3" s="1015"/>
      <c r="C3" s="1016"/>
      <c r="D3" s="988" t="s">
        <v>155</v>
      </c>
      <c r="E3" s="988"/>
      <c r="F3" s="988"/>
      <c r="G3" s="988"/>
      <c r="H3" s="988"/>
      <c r="I3" s="988"/>
      <c r="J3" s="988"/>
      <c r="K3" s="988"/>
      <c r="L3" s="988"/>
      <c r="M3" s="988"/>
      <c r="N3" s="988"/>
      <c r="O3" s="988"/>
      <c r="P3" s="988"/>
      <c r="Q3" s="988"/>
      <c r="R3" s="988"/>
      <c r="S3" s="988"/>
      <c r="T3" s="988"/>
      <c r="U3" s="988"/>
      <c r="V3" s="988"/>
      <c r="W3" s="451"/>
      <c r="X3" s="1056" t="s">
        <v>156</v>
      </c>
      <c r="Y3" s="988"/>
      <c r="Z3" s="988"/>
      <c r="AA3" s="988"/>
      <c r="AB3" s="1057"/>
      <c r="AC3" s="1031"/>
      <c r="AD3" s="1031"/>
      <c r="AE3" s="481"/>
      <c r="AF3" s="481"/>
      <c r="AG3" s="481"/>
      <c r="AH3" s="481"/>
      <c r="AI3" s="481"/>
      <c r="AJ3" s="434"/>
      <c r="AK3" s="434"/>
    </row>
    <row r="4" spans="1:37" x14ac:dyDescent="0.2">
      <c r="A4" s="1038" t="s">
        <v>3</v>
      </c>
      <c r="B4" s="1039"/>
      <c r="C4" s="104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568"/>
      <c r="V4" s="568"/>
      <c r="W4" s="568"/>
      <c r="X4" s="567"/>
      <c r="Y4" s="568"/>
      <c r="Z4" s="568"/>
      <c r="AA4" s="568"/>
      <c r="AC4" s="1031"/>
      <c r="AD4" s="1031"/>
      <c r="AE4" s="481"/>
      <c r="AF4" s="481"/>
      <c r="AG4" s="481"/>
      <c r="AH4" s="481"/>
      <c r="AI4" s="481"/>
      <c r="AJ4" s="434"/>
      <c r="AK4" s="434"/>
    </row>
    <row r="5" spans="1:37" x14ac:dyDescent="0.2">
      <c r="A5" s="1017" t="s">
        <v>54</v>
      </c>
      <c r="B5" s="1018"/>
      <c r="C5" s="1019"/>
      <c r="D5" s="566"/>
      <c r="E5" s="566"/>
      <c r="F5" s="566"/>
      <c r="G5" s="566"/>
      <c r="H5" s="566"/>
      <c r="I5" s="566"/>
      <c r="J5" s="566"/>
      <c r="K5" s="566"/>
      <c r="L5" s="566"/>
      <c r="M5" s="566"/>
      <c r="N5" s="566"/>
      <c r="O5" s="566"/>
      <c r="P5" s="566"/>
      <c r="Q5" s="566"/>
      <c r="R5" s="566"/>
      <c r="S5" s="566"/>
      <c r="T5" s="566"/>
      <c r="U5" s="568"/>
      <c r="V5" s="568"/>
      <c r="W5" s="568"/>
      <c r="X5" s="567"/>
      <c r="Y5" s="568"/>
      <c r="Z5" s="568"/>
      <c r="AA5" s="568"/>
      <c r="AC5" s="6"/>
      <c r="AD5" s="22"/>
      <c r="AE5" s="22"/>
      <c r="AF5" s="22"/>
      <c r="AG5" s="22"/>
      <c r="AH5" s="22"/>
      <c r="AI5" s="22"/>
    </row>
    <row r="6" spans="1:37" x14ac:dyDescent="0.2">
      <c r="A6" s="970" t="s">
        <v>4</v>
      </c>
      <c r="B6" s="971"/>
      <c r="C6" s="972"/>
      <c r="D6" s="696">
        <v>95.3</v>
      </c>
      <c r="E6" s="696">
        <v>140.9</v>
      </c>
      <c r="F6" s="696">
        <v>113.3</v>
      </c>
      <c r="G6" s="696">
        <v>146.19999999999999</v>
      </c>
      <c r="H6" s="696">
        <v>153.6</v>
      </c>
      <c r="I6" s="696">
        <v>168.7</v>
      </c>
      <c r="J6" s="696">
        <v>216.3</v>
      </c>
      <c r="K6" s="696">
        <v>329.9</v>
      </c>
      <c r="L6" s="696">
        <v>406.9</v>
      </c>
      <c r="M6" s="696">
        <v>370.3</v>
      </c>
      <c r="N6" s="697">
        <v>448</v>
      </c>
      <c r="O6" s="697">
        <v>473.5</v>
      </c>
      <c r="P6" s="697">
        <v>450.2</v>
      </c>
      <c r="Q6" s="697">
        <v>467.8</v>
      </c>
      <c r="R6" s="697">
        <v>468.7</v>
      </c>
      <c r="S6" s="697">
        <v>542.5</v>
      </c>
      <c r="T6" s="697">
        <v>634</v>
      </c>
      <c r="U6" s="697">
        <v>735.4</v>
      </c>
      <c r="V6" s="697">
        <v>840.9</v>
      </c>
      <c r="W6" s="697">
        <v>972</v>
      </c>
      <c r="X6" s="698">
        <f>945</f>
        <v>945</v>
      </c>
      <c r="Y6" s="649">
        <f>1030.584068</f>
        <v>1030.5840679999999</v>
      </c>
      <c r="Z6" s="649">
        <f>1119.711</f>
        <v>1119.711</v>
      </c>
      <c r="AA6" s="649">
        <f>1212.59939</f>
        <v>1212.5993900000001</v>
      </c>
      <c r="AB6" s="650">
        <f>1309.068138</f>
        <v>1309.0681380000001</v>
      </c>
      <c r="AD6" s="108"/>
      <c r="AE6" s="108"/>
      <c r="AF6" s="108"/>
      <c r="AG6" s="108"/>
      <c r="AH6" s="108"/>
      <c r="AI6" s="108"/>
    </row>
    <row r="7" spans="1:37" x14ac:dyDescent="0.2">
      <c r="A7" s="964" t="s">
        <v>95</v>
      </c>
      <c r="B7" s="965"/>
      <c r="C7" s="966"/>
      <c r="D7" s="571"/>
      <c r="E7" s="93">
        <f t="shared" ref="E7:V7" si="0">(E6-D6)/D6</f>
        <v>0.47848898216159508</v>
      </c>
      <c r="F7" s="93">
        <f t="shared" si="0"/>
        <v>-0.19588360539389643</v>
      </c>
      <c r="G7" s="93">
        <f t="shared" si="0"/>
        <v>0.29037952338923206</v>
      </c>
      <c r="H7" s="93">
        <f t="shared" si="0"/>
        <v>5.0615595075239439E-2</v>
      </c>
      <c r="I7" s="93">
        <f t="shared" si="0"/>
        <v>9.830729166666663E-2</v>
      </c>
      <c r="J7" s="93">
        <f t="shared" si="0"/>
        <v>0.28215767634854788</v>
      </c>
      <c r="K7" s="93">
        <f t="shared" si="0"/>
        <v>0.52519648636153471</v>
      </c>
      <c r="L7" s="93">
        <f t="shared" si="0"/>
        <v>0.23340406183692031</v>
      </c>
      <c r="M7" s="93">
        <f t="shared" si="0"/>
        <v>-8.9948390267879014E-2</v>
      </c>
      <c r="N7" s="93">
        <f t="shared" si="0"/>
        <v>0.20982986767485817</v>
      </c>
      <c r="O7" s="93">
        <f t="shared" si="0"/>
        <v>5.6919642857142856E-2</v>
      </c>
      <c r="P7" s="93">
        <f t="shared" si="0"/>
        <v>-4.9208025343189042E-2</v>
      </c>
      <c r="Q7" s="93">
        <f t="shared" si="0"/>
        <v>3.9093736117281258E-2</v>
      </c>
      <c r="R7" s="93">
        <f t="shared" si="0"/>
        <v>1.9238991021803702E-3</v>
      </c>
      <c r="S7" s="93">
        <f t="shared" si="0"/>
        <v>0.15745679539150845</v>
      </c>
      <c r="T7" s="93">
        <f t="shared" si="0"/>
        <v>0.16866359447004609</v>
      </c>
      <c r="U7" s="93">
        <f t="shared" si="0"/>
        <v>0.15993690851735012</v>
      </c>
      <c r="V7" s="93">
        <f t="shared" si="0"/>
        <v>0.14345934185477291</v>
      </c>
      <c r="W7" s="93">
        <f t="shared" ref="W7:AB7" si="1">(W6-V6)/V6</f>
        <v>0.15590438815554766</v>
      </c>
      <c r="X7" s="115">
        <f t="shared" si="1"/>
        <v>-2.7777777777777776E-2</v>
      </c>
      <c r="Y7" s="93">
        <f t="shared" si="1"/>
        <v>9.0565151322751211E-2</v>
      </c>
      <c r="Z7" s="93">
        <f t="shared" si="1"/>
        <v>8.6481961799549312E-2</v>
      </c>
      <c r="AA7" s="93">
        <f t="shared" si="1"/>
        <v>8.2957468489637115E-2</v>
      </c>
      <c r="AB7" s="94">
        <f t="shared" si="1"/>
        <v>7.9555332779773211E-2</v>
      </c>
      <c r="AD7" s="109"/>
      <c r="AE7" s="109"/>
      <c r="AF7" s="109"/>
      <c r="AG7" s="110"/>
      <c r="AH7" s="108"/>
      <c r="AI7" s="108"/>
    </row>
    <row r="8" spans="1:37" x14ac:dyDescent="0.2">
      <c r="A8" s="970" t="s">
        <v>5</v>
      </c>
      <c r="B8" s="971"/>
      <c r="C8" s="972"/>
      <c r="D8" s="566" t="s">
        <v>32</v>
      </c>
      <c r="E8" s="566" t="s">
        <v>32</v>
      </c>
      <c r="F8" s="566" t="s">
        <v>32</v>
      </c>
      <c r="G8" s="566" t="s">
        <v>32</v>
      </c>
      <c r="H8" s="566" t="s">
        <v>32</v>
      </c>
      <c r="I8" s="566" t="s">
        <v>32</v>
      </c>
      <c r="J8" s="566" t="s">
        <v>32</v>
      </c>
      <c r="K8" s="566" t="s">
        <v>32</v>
      </c>
      <c r="L8" s="566" t="s">
        <v>32</v>
      </c>
      <c r="M8" s="566" t="s">
        <v>32</v>
      </c>
      <c r="N8" s="566" t="s">
        <v>32</v>
      </c>
      <c r="O8" s="566" t="s">
        <v>32</v>
      </c>
      <c r="P8" s="566" t="s">
        <v>32</v>
      </c>
      <c r="Q8" s="566" t="s">
        <v>32</v>
      </c>
      <c r="R8" s="566" t="s">
        <v>32</v>
      </c>
      <c r="S8" s="566" t="s">
        <v>32</v>
      </c>
      <c r="T8" s="566" t="s">
        <v>32</v>
      </c>
      <c r="U8" s="566" t="s">
        <v>32</v>
      </c>
      <c r="V8" s="566" t="s">
        <v>32</v>
      </c>
      <c r="W8" s="566" t="s">
        <v>32</v>
      </c>
      <c r="X8" s="565" t="s">
        <v>32</v>
      </c>
      <c r="Y8" s="566" t="s">
        <v>32</v>
      </c>
      <c r="Z8" s="566" t="s">
        <v>32</v>
      </c>
      <c r="AA8" s="566" t="s">
        <v>32</v>
      </c>
      <c r="AB8" s="436" t="s">
        <v>32</v>
      </c>
      <c r="AD8" s="109"/>
      <c r="AE8" s="109"/>
      <c r="AF8" s="109"/>
      <c r="AG8" s="108"/>
      <c r="AH8" s="108"/>
      <c r="AI8" s="108"/>
    </row>
    <row r="9" spans="1:37" x14ac:dyDescent="0.2">
      <c r="A9" s="964" t="s">
        <v>95</v>
      </c>
      <c r="B9" s="965"/>
      <c r="C9" s="966"/>
      <c r="D9" s="566" t="s">
        <v>32</v>
      </c>
      <c r="E9" s="566" t="s">
        <v>32</v>
      </c>
      <c r="F9" s="566" t="s">
        <v>32</v>
      </c>
      <c r="G9" s="566" t="s">
        <v>32</v>
      </c>
      <c r="H9" s="566" t="s">
        <v>32</v>
      </c>
      <c r="I9" s="566" t="s">
        <v>32</v>
      </c>
      <c r="J9" s="566" t="s">
        <v>32</v>
      </c>
      <c r="K9" s="566" t="s">
        <v>32</v>
      </c>
      <c r="L9" s="566" t="s">
        <v>32</v>
      </c>
      <c r="M9" s="566" t="s">
        <v>32</v>
      </c>
      <c r="N9" s="566" t="s">
        <v>32</v>
      </c>
      <c r="O9" s="566" t="s">
        <v>32</v>
      </c>
      <c r="P9" s="566" t="s">
        <v>32</v>
      </c>
      <c r="Q9" s="566" t="s">
        <v>32</v>
      </c>
      <c r="R9" s="566" t="s">
        <v>32</v>
      </c>
      <c r="S9" s="566" t="s">
        <v>32</v>
      </c>
      <c r="T9" s="566" t="s">
        <v>32</v>
      </c>
      <c r="U9" s="566" t="s">
        <v>32</v>
      </c>
      <c r="V9" s="566" t="s">
        <v>32</v>
      </c>
      <c r="W9" s="566" t="s">
        <v>32</v>
      </c>
      <c r="X9" s="565" t="s">
        <v>32</v>
      </c>
      <c r="Y9" s="566" t="s">
        <v>32</v>
      </c>
      <c r="Z9" s="566" t="s">
        <v>32</v>
      </c>
      <c r="AA9" s="566" t="s">
        <v>32</v>
      </c>
      <c r="AB9" s="436" t="s">
        <v>32</v>
      </c>
      <c r="AD9" s="109"/>
      <c r="AE9" s="108"/>
      <c r="AF9" s="108"/>
      <c r="AG9" s="108"/>
      <c r="AH9" s="108"/>
      <c r="AI9" s="108"/>
    </row>
    <row r="10" spans="1:37" ht="17" thickBot="1" x14ac:dyDescent="0.25">
      <c r="A10" s="1020"/>
      <c r="B10" s="1021"/>
      <c r="C10" s="1022"/>
      <c r="D10" s="571"/>
      <c r="E10" s="571"/>
      <c r="F10" s="571"/>
      <c r="G10" s="571"/>
      <c r="H10" s="571"/>
      <c r="I10" s="571"/>
      <c r="J10" s="571"/>
      <c r="K10" s="571"/>
      <c r="L10" s="571"/>
      <c r="M10" s="571"/>
      <c r="N10" s="571"/>
      <c r="O10" s="571"/>
      <c r="P10" s="571"/>
      <c r="Q10" s="571"/>
      <c r="R10" s="571"/>
      <c r="S10" s="571"/>
      <c r="T10" s="571"/>
      <c r="U10" s="568"/>
      <c r="V10" s="568"/>
      <c r="W10" s="568"/>
      <c r="X10" s="368"/>
      <c r="Y10" s="402"/>
      <c r="Z10" s="402"/>
      <c r="AA10" s="402"/>
      <c r="AB10" s="403"/>
      <c r="AD10" s="108"/>
      <c r="AE10" s="108"/>
      <c r="AF10" s="108"/>
      <c r="AG10" s="108"/>
      <c r="AH10" s="108"/>
      <c r="AI10" s="108"/>
    </row>
    <row r="11" spans="1:37" ht="17" thickBot="1" x14ac:dyDescent="0.25">
      <c r="A11" s="967" t="s">
        <v>96</v>
      </c>
      <c r="B11" s="968"/>
      <c r="C11" s="969"/>
      <c r="D11" s="455">
        <f>D6</f>
        <v>95.3</v>
      </c>
      <c r="E11" s="455">
        <f t="shared" ref="E11:AA11" si="2">E6</f>
        <v>140.9</v>
      </c>
      <c r="F11" s="455">
        <f t="shared" si="2"/>
        <v>113.3</v>
      </c>
      <c r="G11" s="455">
        <f t="shared" si="2"/>
        <v>146.19999999999999</v>
      </c>
      <c r="H11" s="455">
        <f t="shared" si="2"/>
        <v>153.6</v>
      </c>
      <c r="I11" s="455">
        <f t="shared" si="2"/>
        <v>168.7</v>
      </c>
      <c r="J11" s="455">
        <f t="shared" si="2"/>
        <v>216.3</v>
      </c>
      <c r="K11" s="455">
        <f t="shared" si="2"/>
        <v>329.9</v>
      </c>
      <c r="L11" s="455">
        <f t="shared" si="2"/>
        <v>406.9</v>
      </c>
      <c r="M11" s="455">
        <f t="shared" si="2"/>
        <v>370.3</v>
      </c>
      <c r="N11" s="455">
        <f t="shared" si="2"/>
        <v>448</v>
      </c>
      <c r="O11" s="455">
        <f t="shared" si="2"/>
        <v>473.5</v>
      </c>
      <c r="P11" s="455">
        <f t="shared" si="2"/>
        <v>450.2</v>
      </c>
      <c r="Q11" s="455">
        <f t="shared" si="2"/>
        <v>467.8</v>
      </c>
      <c r="R11" s="455">
        <f t="shared" si="2"/>
        <v>468.7</v>
      </c>
      <c r="S11" s="455">
        <f t="shared" si="2"/>
        <v>542.5</v>
      </c>
      <c r="T11" s="455">
        <f t="shared" si="2"/>
        <v>634</v>
      </c>
      <c r="U11" s="455">
        <f t="shared" si="2"/>
        <v>735.4</v>
      </c>
      <c r="V11" s="455">
        <f t="shared" si="2"/>
        <v>840.9</v>
      </c>
      <c r="W11" s="455">
        <f t="shared" si="2"/>
        <v>972</v>
      </c>
      <c r="X11" s="471">
        <f t="shared" si="2"/>
        <v>945</v>
      </c>
      <c r="Y11" s="455">
        <f t="shared" si="2"/>
        <v>1030.5840679999999</v>
      </c>
      <c r="Z11" s="455">
        <f t="shared" si="2"/>
        <v>1119.711</v>
      </c>
      <c r="AA11" s="455">
        <f t="shared" si="2"/>
        <v>1212.5993900000001</v>
      </c>
      <c r="AB11" s="456">
        <f t="shared" ref="AB11" si="3">AB6</f>
        <v>1309.0681380000001</v>
      </c>
      <c r="AD11" s="109"/>
      <c r="AE11" s="108"/>
      <c r="AF11" s="108"/>
      <c r="AG11" s="108"/>
      <c r="AH11" s="108"/>
      <c r="AI11" s="108"/>
    </row>
    <row r="12" spans="1:37" x14ac:dyDescent="0.2">
      <c r="A12" s="964" t="s">
        <v>95</v>
      </c>
      <c r="B12" s="965"/>
      <c r="C12" s="966"/>
      <c r="D12" s="4" t="s">
        <v>32</v>
      </c>
      <c r="E12" s="82">
        <f>E7</f>
        <v>0.47848898216159508</v>
      </c>
      <c r="F12" s="82">
        <f t="shared" ref="F12:AA12" si="4">F7</f>
        <v>-0.19588360539389643</v>
      </c>
      <c r="G12" s="82">
        <f t="shared" si="4"/>
        <v>0.29037952338923206</v>
      </c>
      <c r="H12" s="82">
        <f t="shared" si="4"/>
        <v>5.0615595075239439E-2</v>
      </c>
      <c r="I12" s="82">
        <f t="shared" si="4"/>
        <v>9.830729166666663E-2</v>
      </c>
      <c r="J12" s="82">
        <f t="shared" si="4"/>
        <v>0.28215767634854788</v>
      </c>
      <c r="K12" s="82">
        <f t="shared" si="4"/>
        <v>0.52519648636153471</v>
      </c>
      <c r="L12" s="82">
        <f t="shared" si="4"/>
        <v>0.23340406183692031</v>
      </c>
      <c r="M12" s="82">
        <f t="shared" si="4"/>
        <v>-8.9948390267879014E-2</v>
      </c>
      <c r="N12" s="82">
        <f t="shared" si="4"/>
        <v>0.20982986767485817</v>
      </c>
      <c r="O12" s="82">
        <f t="shared" si="4"/>
        <v>5.6919642857142856E-2</v>
      </c>
      <c r="P12" s="82">
        <f t="shared" si="4"/>
        <v>-4.9208025343189042E-2</v>
      </c>
      <c r="Q12" s="82">
        <f t="shared" si="4"/>
        <v>3.9093736117281258E-2</v>
      </c>
      <c r="R12" s="82">
        <f t="shared" si="4"/>
        <v>1.9238991021803702E-3</v>
      </c>
      <c r="S12" s="82">
        <f t="shared" si="4"/>
        <v>0.15745679539150845</v>
      </c>
      <c r="T12" s="82">
        <f t="shared" si="4"/>
        <v>0.16866359447004609</v>
      </c>
      <c r="U12" s="82">
        <f t="shared" si="4"/>
        <v>0.15993690851735012</v>
      </c>
      <c r="V12" s="82">
        <f t="shared" si="4"/>
        <v>0.14345934185477291</v>
      </c>
      <c r="W12" s="82">
        <f t="shared" si="4"/>
        <v>0.15590438815554766</v>
      </c>
      <c r="X12" s="116">
        <f t="shared" si="4"/>
        <v>-2.7777777777777776E-2</v>
      </c>
      <c r="Y12" s="82">
        <f t="shared" si="4"/>
        <v>9.0565151322751211E-2</v>
      </c>
      <c r="Z12" s="82">
        <f t="shared" si="4"/>
        <v>8.6481961799549312E-2</v>
      </c>
      <c r="AA12" s="82">
        <f t="shared" si="4"/>
        <v>8.2957468489637115E-2</v>
      </c>
      <c r="AB12" s="96">
        <f t="shared" ref="AB12" si="5">AB7</f>
        <v>7.9555332779773211E-2</v>
      </c>
      <c r="AD12" s="108"/>
      <c r="AE12" s="108"/>
      <c r="AF12" s="108"/>
      <c r="AG12" s="108"/>
      <c r="AH12" s="108"/>
      <c r="AI12" s="108"/>
    </row>
    <row r="13" spans="1:37" ht="12" customHeight="1" x14ac:dyDescent="0.2">
      <c r="A13" s="996"/>
      <c r="B13" s="997"/>
      <c r="C13" s="998"/>
      <c r="D13" s="566"/>
      <c r="E13" s="566"/>
      <c r="F13" s="566"/>
      <c r="G13" s="566"/>
      <c r="H13" s="566"/>
      <c r="I13" s="566"/>
      <c r="J13" s="566"/>
      <c r="K13" s="566"/>
      <c r="L13" s="566"/>
      <c r="M13" s="566"/>
      <c r="N13" s="566"/>
      <c r="O13" s="566"/>
      <c r="P13" s="566"/>
      <c r="Q13" s="566"/>
      <c r="R13" s="566"/>
      <c r="S13" s="566"/>
      <c r="T13" s="566"/>
      <c r="U13" s="568"/>
      <c r="V13" s="568"/>
      <c r="W13" s="568"/>
      <c r="X13" s="567"/>
      <c r="Y13" s="568"/>
      <c r="Z13" s="568"/>
      <c r="AA13" s="568"/>
      <c r="AD13" s="109"/>
      <c r="AE13" s="108"/>
      <c r="AF13" s="108"/>
      <c r="AG13" s="108"/>
      <c r="AH13" s="108"/>
      <c r="AI13" s="108"/>
    </row>
    <row r="14" spans="1:37" hidden="1" x14ac:dyDescent="0.2">
      <c r="A14" s="970"/>
      <c r="B14" s="971"/>
      <c r="C14" s="972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113"/>
      <c r="X14" s="117"/>
      <c r="Y14" s="113"/>
      <c r="Z14" s="113"/>
      <c r="AA14" s="113"/>
      <c r="AB14" s="118"/>
      <c r="AD14" s="108"/>
      <c r="AE14" s="108"/>
      <c r="AF14" s="108"/>
      <c r="AG14" s="108"/>
      <c r="AH14" s="108"/>
      <c r="AI14" s="108"/>
    </row>
    <row r="15" spans="1:37" x14ac:dyDescent="0.2">
      <c r="A15" s="970" t="s">
        <v>7</v>
      </c>
      <c r="B15" s="971"/>
      <c r="C15" s="972"/>
      <c r="D15" s="631">
        <v>35.6</v>
      </c>
      <c r="E15" s="631">
        <v>53.5</v>
      </c>
      <c r="F15" s="631">
        <v>55.6</v>
      </c>
      <c r="G15" s="631">
        <v>55.5</v>
      </c>
      <c r="H15" s="631">
        <v>53.8</v>
      </c>
      <c r="I15" s="631">
        <v>65.5</v>
      </c>
      <c r="J15" s="631">
        <v>75</v>
      </c>
      <c r="K15" s="631">
        <v>97</v>
      </c>
      <c r="L15" s="631">
        <v>140.80000000000001</v>
      </c>
      <c r="M15" s="631">
        <v>104.9</v>
      </c>
      <c r="N15" s="631">
        <v>137.5</v>
      </c>
      <c r="O15" s="631">
        <v>152.4</v>
      </c>
      <c r="P15" s="631">
        <v>142.9</v>
      </c>
      <c r="Q15" s="631">
        <v>140.19999999999999</v>
      </c>
      <c r="R15" s="631">
        <v>115.4</v>
      </c>
      <c r="S15" s="631">
        <v>158.5</v>
      </c>
      <c r="T15" s="631">
        <v>191.3</v>
      </c>
      <c r="U15" s="631">
        <v>206.9</v>
      </c>
      <c r="V15" s="631">
        <v>229.2</v>
      </c>
      <c r="W15" s="631">
        <v>264.5</v>
      </c>
      <c r="X15" s="95">
        <f t="shared" ref="X15:AA15" si="6">X16*X11</f>
        <v>242.527635</v>
      </c>
      <c r="Y15" s="4">
        <f t="shared" si="6"/>
        <v>277.23638954861195</v>
      </c>
      <c r="Z15" s="4">
        <f t="shared" si="6"/>
        <v>300.43749638700001</v>
      </c>
      <c r="AA15" s="4">
        <f t="shared" si="6"/>
        <v>324.85416398161004</v>
      </c>
      <c r="AB15" s="97">
        <f t="shared" ref="AB15" si="7">AB16*AB11</f>
        <v>350.67055467116404</v>
      </c>
      <c r="AD15" s="109"/>
      <c r="AE15" s="108"/>
      <c r="AF15" s="108"/>
      <c r="AG15" s="108"/>
      <c r="AH15" s="108"/>
      <c r="AI15" s="108"/>
    </row>
    <row r="16" spans="1:37" ht="17" thickBot="1" x14ac:dyDescent="0.25">
      <c r="A16" s="992" t="s">
        <v>98</v>
      </c>
      <c r="B16" s="965"/>
      <c r="C16" s="966"/>
      <c r="D16" s="83">
        <f>(D15/D11)</f>
        <v>0.37355718782791186</v>
      </c>
      <c r="E16" s="83">
        <f t="shared" ref="E16:W16" si="8">(E15/E11)</f>
        <v>0.37970191625266142</v>
      </c>
      <c r="F16" s="83">
        <f t="shared" si="8"/>
        <v>0.49073256840247131</v>
      </c>
      <c r="G16" s="83">
        <f t="shared" si="8"/>
        <v>0.37961696306429554</v>
      </c>
      <c r="H16" s="83">
        <f t="shared" si="8"/>
        <v>0.35026041666666669</v>
      </c>
      <c r="I16" s="83">
        <f t="shared" si="8"/>
        <v>0.38826318909306462</v>
      </c>
      <c r="J16" s="83">
        <f t="shared" si="8"/>
        <v>0.34674063800277388</v>
      </c>
      <c r="K16" s="83">
        <f t="shared" si="8"/>
        <v>0.29402849348287363</v>
      </c>
      <c r="L16" s="83">
        <f t="shared" si="8"/>
        <v>0.34603096583927262</v>
      </c>
      <c r="M16" s="83">
        <f t="shared" si="8"/>
        <v>0.28328382392654605</v>
      </c>
      <c r="N16" s="83">
        <f t="shared" si="8"/>
        <v>0.30691964285714285</v>
      </c>
      <c r="O16" s="83">
        <f t="shared" si="8"/>
        <v>0.32185850052798309</v>
      </c>
      <c r="P16" s="83">
        <f t="shared" si="8"/>
        <v>0.31741448245224346</v>
      </c>
      <c r="Q16" s="83">
        <f t="shared" si="8"/>
        <v>0.29970072680632748</v>
      </c>
      <c r="R16" s="83">
        <f t="shared" si="8"/>
        <v>0.2462129293791338</v>
      </c>
      <c r="S16" s="83">
        <f t="shared" si="8"/>
        <v>0.29216589861751152</v>
      </c>
      <c r="T16" s="83">
        <f t="shared" si="8"/>
        <v>0.30173501577287071</v>
      </c>
      <c r="U16" s="83">
        <f t="shared" si="8"/>
        <v>0.28134348653793856</v>
      </c>
      <c r="V16" s="83">
        <f t="shared" si="8"/>
        <v>0.27256510881198714</v>
      </c>
      <c r="W16" s="83">
        <f t="shared" si="8"/>
        <v>0.27211934156378603</v>
      </c>
      <c r="X16" s="407">
        <f xml:space="preserve"> 0.256643</f>
        <v>0.25664300000000001</v>
      </c>
      <c r="Y16" s="408">
        <f>0.269009</f>
        <v>0.269009</v>
      </c>
      <c r="Z16" s="408">
        <f>0.268317</f>
        <v>0.26831700000000003</v>
      </c>
      <c r="AA16" s="408">
        <f>0.267899</f>
        <v>0.267899</v>
      </c>
      <c r="AB16" s="409">
        <f>0.267878</f>
        <v>0.267878</v>
      </c>
      <c r="AD16" s="108"/>
      <c r="AE16" s="108"/>
      <c r="AF16" s="108"/>
      <c r="AG16" s="108"/>
      <c r="AH16" s="108"/>
      <c r="AI16" s="108"/>
    </row>
    <row r="17" spans="1:49" ht="17" thickBot="1" x14ac:dyDescent="0.25">
      <c r="A17" s="967" t="s">
        <v>8</v>
      </c>
      <c r="B17" s="968"/>
      <c r="C17" s="969"/>
      <c r="D17" s="457">
        <f>D11-D15</f>
        <v>59.699999999999996</v>
      </c>
      <c r="E17" s="457">
        <f t="shared" ref="E17:AA17" si="9">E11-E15</f>
        <v>87.4</v>
      </c>
      <c r="F17" s="457">
        <f t="shared" si="9"/>
        <v>57.699999999999996</v>
      </c>
      <c r="G17" s="457">
        <f t="shared" si="9"/>
        <v>90.699999999999989</v>
      </c>
      <c r="H17" s="457">
        <f t="shared" si="9"/>
        <v>99.8</v>
      </c>
      <c r="I17" s="457">
        <f t="shared" si="9"/>
        <v>103.19999999999999</v>
      </c>
      <c r="J17" s="457">
        <f t="shared" si="9"/>
        <v>141.30000000000001</v>
      </c>
      <c r="K17" s="457">
        <f t="shared" si="9"/>
        <v>232.89999999999998</v>
      </c>
      <c r="L17" s="457">
        <f t="shared" si="9"/>
        <v>266.09999999999997</v>
      </c>
      <c r="M17" s="457">
        <f t="shared" si="9"/>
        <v>265.39999999999998</v>
      </c>
      <c r="N17" s="457">
        <f t="shared" si="9"/>
        <v>310.5</v>
      </c>
      <c r="O17" s="457">
        <f t="shared" si="9"/>
        <v>321.10000000000002</v>
      </c>
      <c r="P17" s="457">
        <f t="shared" si="9"/>
        <v>307.29999999999995</v>
      </c>
      <c r="Q17" s="457">
        <f t="shared" si="9"/>
        <v>327.60000000000002</v>
      </c>
      <c r="R17" s="457">
        <f t="shared" si="9"/>
        <v>353.29999999999995</v>
      </c>
      <c r="S17" s="457">
        <f t="shared" si="9"/>
        <v>384</v>
      </c>
      <c r="T17" s="457">
        <f t="shared" si="9"/>
        <v>442.7</v>
      </c>
      <c r="U17" s="457">
        <f t="shared" si="9"/>
        <v>528.5</v>
      </c>
      <c r="V17" s="457">
        <f t="shared" si="9"/>
        <v>611.70000000000005</v>
      </c>
      <c r="W17" s="457">
        <f t="shared" si="9"/>
        <v>707.5</v>
      </c>
      <c r="X17" s="472">
        <f t="shared" si="9"/>
        <v>702.47236499999997</v>
      </c>
      <c r="Y17" s="457">
        <f t="shared" si="9"/>
        <v>753.34767845138799</v>
      </c>
      <c r="Z17" s="457">
        <f t="shared" si="9"/>
        <v>819.273503613</v>
      </c>
      <c r="AA17" s="457">
        <f t="shared" si="9"/>
        <v>887.74522601838999</v>
      </c>
      <c r="AB17" s="458">
        <f t="shared" ref="AB17" si="10">AB11-AB15</f>
        <v>958.39758332883605</v>
      </c>
      <c r="AD17" s="75"/>
      <c r="AE17" s="75"/>
      <c r="AF17" s="75"/>
      <c r="AG17" s="75"/>
      <c r="AH17" s="75"/>
      <c r="AI17" s="75"/>
    </row>
    <row r="18" spans="1:49" x14ac:dyDescent="0.2">
      <c r="A18" s="999" t="s">
        <v>95</v>
      </c>
      <c r="B18" s="1000"/>
      <c r="C18" s="1001"/>
      <c r="D18" s="581" t="s">
        <v>32</v>
      </c>
      <c r="E18" s="582">
        <f>(E17-D17)/E17</f>
        <v>0.31693363844393602</v>
      </c>
      <c r="F18" s="582">
        <f t="shared" ref="F18:V18" si="11">(F17-E17)/F17</f>
        <v>-0.5147313691507801</v>
      </c>
      <c r="G18" s="582">
        <f t="shared" si="11"/>
        <v>0.36383682469680262</v>
      </c>
      <c r="H18" s="582">
        <f t="shared" si="11"/>
        <v>9.1182364729459009E-2</v>
      </c>
      <c r="I18" s="582">
        <f t="shared" si="11"/>
        <v>3.2945736434108447E-2</v>
      </c>
      <c r="J18" s="582">
        <f t="shared" si="11"/>
        <v>0.26963906581740993</v>
      </c>
      <c r="K18" s="582">
        <f t="shared" si="11"/>
        <v>0.39330184628595954</v>
      </c>
      <c r="L18" s="582">
        <f t="shared" si="11"/>
        <v>0.12476512589252158</v>
      </c>
      <c r="M18" s="582">
        <f t="shared" si="11"/>
        <v>-2.6375282592313062E-3</v>
      </c>
      <c r="N18" s="582">
        <f t="shared" si="11"/>
        <v>0.14524959742351054</v>
      </c>
      <c r="O18" s="582">
        <f t="shared" si="11"/>
        <v>3.3011522890065467E-2</v>
      </c>
      <c r="P18" s="582">
        <f t="shared" si="11"/>
        <v>-4.4907256752359487E-2</v>
      </c>
      <c r="Q18" s="582">
        <f t="shared" si="11"/>
        <v>6.1965811965812169E-2</v>
      </c>
      <c r="R18" s="582">
        <f t="shared" si="11"/>
        <v>7.2742711576563646E-2</v>
      </c>
      <c r="S18" s="582">
        <f t="shared" si="11"/>
        <v>7.9947916666666785E-2</v>
      </c>
      <c r="T18" s="582">
        <f t="shared" si="11"/>
        <v>0.1325954370905805</v>
      </c>
      <c r="U18" s="582">
        <f t="shared" si="11"/>
        <v>0.16234626300851468</v>
      </c>
      <c r="V18" s="582">
        <f t="shared" si="11"/>
        <v>0.13601438613699532</v>
      </c>
      <c r="W18" s="582">
        <f t="shared" ref="W18" si="12">(W17-V17)/W17</f>
        <v>0.1354063604240282</v>
      </c>
      <c r="X18" s="98">
        <f t="shared" ref="X18" si="13">(X17-W17)/X17</f>
        <v>-7.1570573455939897E-3</v>
      </c>
      <c r="Y18" s="83">
        <f t="shared" ref="Y18" si="14">(Y17-X17)/Y17</f>
        <v>6.7532315963287209E-2</v>
      </c>
      <c r="Z18" s="83">
        <f t="shared" ref="Z18" si="15">(Z17-Y17)/Z17</f>
        <v>8.0468640656482612E-2</v>
      </c>
      <c r="AA18" s="83">
        <f t="shared" ref="AA18:AB18" si="16">(AA17-Z17)/AA17</f>
        <v>7.7129924665989211E-2</v>
      </c>
      <c r="AB18" s="99">
        <f t="shared" si="16"/>
        <v>7.3719256537612229E-2</v>
      </c>
    </row>
    <row r="19" spans="1:49" x14ac:dyDescent="0.2">
      <c r="A19" s="964" t="s">
        <v>97</v>
      </c>
      <c r="B19" s="965"/>
      <c r="C19" s="966"/>
      <c r="D19" s="84">
        <f>D17/D11</f>
        <v>0.62644281217208808</v>
      </c>
      <c r="E19" s="84">
        <f t="shared" ref="E19:AA19" si="17">E17/E11</f>
        <v>0.62029808374733852</v>
      </c>
      <c r="F19" s="84">
        <f t="shared" si="17"/>
        <v>0.50926743159752863</v>
      </c>
      <c r="G19" s="84">
        <f t="shared" si="17"/>
        <v>0.62038303693570451</v>
      </c>
      <c r="H19" s="84">
        <f t="shared" si="17"/>
        <v>0.64973958333333337</v>
      </c>
      <c r="I19" s="84">
        <f t="shared" si="17"/>
        <v>0.61173681090693532</v>
      </c>
      <c r="J19" s="84">
        <f t="shared" si="17"/>
        <v>0.65325936199722612</v>
      </c>
      <c r="K19" s="84">
        <f t="shared" si="17"/>
        <v>0.70597150651712637</v>
      </c>
      <c r="L19" s="84">
        <f t="shared" si="17"/>
        <v>0.65396903416072738</v>
      </c>
      <c r="M19" s="84">
        <f t="shared" si="17"/>
        <v>0.71671617607345384</v>
      </c>
      <c r="N19" s="84">
        <f t="shared" si="17"/>
        <v>0.6930803571428571</v>
      </c>
      <c r="O19" s="84">
        <f t="shared" si="17"/>
        <v>0.67814149947201696</v>
      </c>
      <c r="P19" s="84">
        <f t="shared" si="17"/>
        <v>0.68258551754775643</v>
      </c>
      <c r="Q19" s="84">
        <f t="shared" si="17"/>
        <v>0.70029927319367258</v>
      </c>
      <c r="R19" s="84">
        <f t="shared" si="17"/>
        <v>0.75378707062086614</v>
      </c>
      <c r="S19" s="84">
        <f t="shared" si="17"/>
        <v>0.70783410138248848</v>
      </c>
      <c r="T19" s="84">
        <f t="shared" si="17"/>
        <v>0.69826498422712935</v>
      </c>
      <c r="U19" s="84">
        <f t="shared" si="17"/>
        <v>0.7186565134620615</v>
      </c>
      <c r="V19" s="84">
        <f t="shared" si="17"/>
        <v>0.72743489118801297</v>
      </c>
      <c r="W19" s="84">
        <f t="shared" si="17"/>
        <v>0.72788065843621397</v>
      </c>
      <c r="X19" s="100">
        <f t="shared" si="17"/>
        <v>0.74335699999999993</v>
      </c>
      <c r="Y19" s="84">
        <f t="shared" si="17"/>
        <v>0.73099100000000006</v>
      </c>
      <c r="Z19" s="84">
        <f t="shared" si="17"/>
        <v>0.73168299999999997</v>
      </c>
      <c r="AA19" s="84">
        <f t="shared" si="17"/>
        <v>0.73210099999999989</v>
      </c>
      <c r="AB19" s="101">
        <f t="shared" ref="AB19" si="18">AB17/AB11</f>
        <v>0.73212199999999994</v>
      </c>
    </row>
    <row r="20" spans="1:49" x14ac:dyDescent="0.2">
      <c r="A20" s="970"/>
      <c r="B20" s="971"/>
      <c r="C20" s="972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568"/>
      <c r="V20" s="568"/>
      <c r="W20" s="568"/>
      <c r="X20" s="567"/>
      <c r="Y20" s="568"/>
      <c r="Z20" s="568"/>
      <c r="AA20" s="568"/>
    </row>
    <row r="21" spans="1:49" x14ac:dyDescent="0.2">
      <c r="A21" s="1023" t="s">
        <v>9</v>
      </c>
      <c r="B21" s="1024"/>
      <c r="C21" s="1025"/>
      <c r="D21" s="4">
        <v>28.3</v>
      </c>
      <c r="E21" s="4">
        <v>40.799999999999997</v>
      </c>
      <c r="F21" s="4">
        <v>66.099999999999994</v>
      </c>
      <c r="G21" s="4">
        <v>48.1</v>
      </c>
      <c r="H21" s="4">
        <v>55.8</v>
      </c>
      <c r="I21" s="4">
        <v>56.4</v>
      </c>
      <c r="J21" s="4">
        <v>74.2</v>
      </c>
      <c r="K21" s="4">
        <v>97.3</v>
      </c>
      <c r="L21" s="4">
        <v>103.4</v>
      </c>
      <c r="M21" s="4">
        <v>92.6</v>
      </c>
      <c r="N21" s="4">
        <v>147.9</v>
      </c>
      <c r="O21" s="4">
        <v>203.8</v>
      </c>
      <c r="P21" s="4">
        <v>149.4</v>
      </c>
      <c r="Q21" s="4">
        <v>139.80000000000001</v>
      </c>
      <c r="R21" s="4">
        <v>139.5</v>
      </c>
      <c r="S21" s="4">
        <v>167.4</v>
      </c>
      <c r="T21" s="4">
        <v>174.7</v>
      </c>
      <c r="U21" s="4">
        <v>202.8</v>
      </c>
      <c r="V21" s="4">
        <v>229.3</v>
      </c>
      <c r="W21" s="751">
        <v>273.89999999999998</v>
      </c>
      <c r="X21" s="123">
        <f>X11*X22</f>
        <v>266.58544499999999</v>
      </c>
      <c r="Y21" s="124">
        <f t="shared" ref="Y21:AA21" si="19">Y11*Y22</f>
        <v>285.85928644556799</v>
      </c>
      <c r="Z21" s="124">
        <f t="shared" si="19"/>
        <v>303.52677903599999</v>
      </c>
      <c r="AA21" s="124">
        <f t="shared" si="19"/>
        <v>321.06721608664003</v>
      </c>
      <c r="AB21" s="216">
        <f t="shared" ref="AB21" si="20">AB11*AB22</f>
        <v>338.36269603768801</v>
      </c>
    </row>
    <row r="22" spans="1:49" s="144" customFormat="1" x14ac:dyDescent="0.2">
      <c r="A22" s="992" t="s">
        <v>98</v>
      </c>
      <c r="B22" s="965"/>
      <c r="C22" s="966"/>
      <c r="D22" s="84">
        <f>SUMIF(D21,"&lt;&gt;-")/D11</f>
        <v>0.29695697796432319</v>
      </c>
      <c r="E22" s="84">
        <f t="shared" ref="E22:W22" si="21">SUMIF(E21,"&lt;&gt;-")/E11</f>
        <v>0.28956706884315114</v>
      </c>
      <c r="F22" s="84">
        <f t="shared" si="21"/>
        <v>0.58340688437775812</v>
      </c>
      <c r="G22" s="84">
        <f t="shared" si="21"/>
        <v>0.3290013679890561</v>
      </c>
      <c r="H22" s="84">
        <f t="shared" si="21"/>
        <v>0.36328125</v>
      </c>
      <c r="I22" s="84">
        <f t="shared" si="21"/>
        <v>0.3343212803793717</v>
      </c>
      <c r="J22" s="84">
        <f t="shared" si="21"/>
        <v>0.34304207119741098</v>
      </c>
      <c r="K22" s="84">
        <f t="shared" si="21"/>
        <v>0.29493785995756289</v>
      </c>
      <c r="L22" s="84">
        <f t="shared" si="21"/>
        <v>0.25411649053821583</v>
      </c>
      <c r="M22" s="84">
        <f t="shared" si="21"/>
        <v>0.25006751282743717</v>
      </c>
      <c r="N22" s="84">
        <f t="shared" si="21"/>
        <v>0.33013392857142859</v>
      </c>
      <c r="O22" s="84">
        <f t="shared" si="21"/>
        <v>0.43041182682154172</v>
      </c>
      <c r="P22" s="84">
        <f t="shared" si="21"/>
        <v>0.33185250999555754</v>
      </c>
      <c r="Q22" s="84">
        <f t="shared" si="21"/>
        <v>0.29884566053869177</v>
      </c>
      <c r="R22" s="84">
        <f t="shared" si="21"/>
        <v>0.29763174738638787</v>
      </c>
      <c r="S22" s="84">
        <f t="shared" si="21"/>
        <v>0.30857142857142861</v>
      </c>
      <c r="T22" s="84">
        <f t="shared" si="21"/>
        <v>0.27555205047318609</v>
      </c>
      <c r="U22" s="84">
        <f t="shared" si="21"/>
        <v>0.2757682893663313</v>
      </c>
      <c r="V22" s="84">
        <f t="shared" si="21"/>
        <v>0.27268402901652994</v>
      </c>
      <c r="W22" s="84">
        <f t="shared" si="21"/>
        <v>0.28179012345679011</v>
      </c>
      <c r="X22" s="147">
        <f>0.282101</f>
        <v>0.28210099999999999</v>
      </c>
      <c r="Y22" s="148">
        <f>0.277376</f>
        <v>0.27737600000000001</v>
      </c>
      <c r="Z22" s="148">
        <f>0.271076</f>
        <v>0.27107599999999998</v>
      </c>
      <c r="AA22" s="148">
        <f>0.264776</f>
        <v>0.26477600000000001</v>
      </c>
      <c r="AB22" s="217">
        <f>0.258476</f>
        <v>0.25847599999999998</v>
      </c>
    </row>
    <row r="23" spans="1:49" x14ac:dyDescent="0.2">
      <c r="A23" s="992" t="s">
        <v>10</v>
      </c>
      <c r="B23" s="965" t="s">
        <v>10</v>
      </c>
      <c r="C23" s="966" t="s">
        <v>10</v>
      </c>
      <c r="D23" s="607">
        <v>15.3</v>
      </c>
      <c r="E23" s="607">
        <v>30.4</v>
      </c>
      <c r="F23" s="607">
        <v>34.799999999999997</v>
      </c>
      <c r="G23" s="607">
        <v>30.1</v>
      </c>
      <c r="H23" s="607">
        <v>28</v>
      </c>
      <c r="I23" s="607">
        <v>23.9</v>
      </c>
      <c r="J23" s="607">
        <v>33.799999999999997</v>
      </c>
      <c r="K23" s="607">
        <v>57.1</v>
      </c>
      <c r="L23" s="607">
        <v>74.900000000000006</v>
      </c>
      <c r="M23" s="607">
        <v>62.5</v>
      </c>
      <c r="N23" s="607">
        <v>88.9</v>
      </c>
      <c r="O23" s="607">
        <v>119.3</v>
      </c>
      <c r="P23" s="566">
        <f>0</f>
        <v>0</v>
      </c>
      <c r="Q23" s="566">
        <f>0</f>
        <v>0</v>
      </c>
      <c r="R23" s="566">
        <f>0</f>
        <v>0</v>
      </c>
      <c r="S23" s="566">
        <f>0</f>
        <v>0</v>
      </c>
      <c r="T23" s="566">
        <f>0</f>
        <v>0</v>
      </c>
      <c r="U23" s="566">
        <f>0</f>
        <v>0</v>
      </c>
      <c r="V23" s="566">
        <f>0</f>
        <v>0</v>
      </c>
      <c r="W23" s="566">
        <f>0</f>
        <v>0</v>
      </c>
      <c r="X23" s="119">
        <f>X11*X24</f>
        <v>0</v>
      </c>
      <c r="Y23" s="28">
        <f t="shared" ref="Y23:AA23" si="22">Y11*Y24</f>
        <v>0</v>
      </c>
      <c r="Z23" s="28">
        <f t="shared" si="22"/>
        <v>0</v>
      </c>
      <c r="AA23" s="28">
        <f t="shared" si="22"/>
        <v>0</v>
      </c>
      <c r="AB23" s="120">
        <f t="shared" ref="AB23" si="23">AB11*AB24</f>
        <v>0</v>
      </c>
    </row>
    <row r="24" spans="1:49" s="144" customFormat="1" ht="17" thickBot="1" x14ac:dyDescent="0.25">
      <c r="A24" s="992" t="s">
        <v>98</v>
      </c>
      <c r="B24" s="965"/>
      <c r="C24" s="966"/>
      <c r="D24" s="82">
        <f t="shared" ref="D24:W24" si="24">D23/D11</f>
        <v>0.16054564533053517</v>
      </c>
      <c r="E24" s="82">
        <f t="shared" si="24"/>
        <v>0.21575585521646556</v>
      </c>
      <c r="F24" s="82">
        <f t="shared" si="24"/>
        <v>0.30714916151809352</v>
      </c>
      <c r="G24" s="82">
        <f t="shared" si="24"/>
        <v>0.20588235294117649</v>
      </c>
      <c r="H24" s="82">
        <f t="shared" si="24"/>
        <v>0.18229166666666669</v>
      </c>
      <c r="I24" s="82">
        <f t="shared" si="24"/>
        <v>0.14167160640189685</v>
      </c>
      <c r="J24" s="82">
        <f t="shared" si="24"/>
        <v>0.15626444752658342</v>
      </c>
      <c r="K24" s="82">
        <f t="shared" si="24"/>
        <v>0.17308275234919673</v>
      </c>
      <c r="L24" s="82">
        <f t="shared" si="24"/>
        <v>0.18407471123126076</v>
      </c>
      <c r="M24" s="82">
        <f t="shared" si="24"/>
        <v>0.16878206859303266</v>
      </c>
      <c r="N24" s="82">
        <f t="shared" si="24"/>
        <v>0.19843750000000002</v>
      </c>
      <c r="O24" s="82">
        <f t="shared" si="24"/>
        <v>0.25195353748680044</v>
      </c>
      <c r="P24" s="82">
        <f t="shared" si="24"/>
        <v>0</v>
      </c>
      <c r="Q24" s="82">
        <f t="shared" si="24"/>
        <v>0</v>
      </c>
      <c r="R24" s="82">
        <f t="shared" si="24"/>
        <v>0</v>
      </c>
      <c r="S24" s="82">
        <f t="shared" si="24"/>
        <v>0</v>
      </c>
      <c r="T24" s="82">
        <f t="shared" si="24"/>
        <v>0</v>
      </c>
      <c r="U24" s="82">
        <f t="shared" si="24"/>
        <v>0</v>
      </c>
      <c r="V24" s="82">
        <f t="shared" si="24"/>
        <v>0</v>
      </c>
      <c r="W24" s="82">
        <f t="shared" si="24"/>
        <v>0</v>
      </c>
      <c r="X24" s="218">
        <f t="shared" ref="X24:AB24" si="25">$AH$28</f>
        <v>0</v>
      </c>
      <c r="Y24" s="149">
        <f t="shared" si="25"/>
        <v>0</v>
      </c>
      <c r="Z24" s="149">
        <f t="shared" si="25"/>
        <v>0</v>
      </c>
      <c r="AA24" s="149">
        <f t="shared" si="25"/>
        <v>0</v>
      </c>
      <c r="AB24" s="219">
        <f t="shared" si="25"/>
        <v>0</v>
      </c>
    </row>
    <row r="25" spans="1:49" ht="17" thickBot="1" x14ac:dyDescent="0.25">
      <c r="A25" s="993" t="s">
        <v>11</v>
      </c>
      <c r="B25" s="994"/>
      <c r="C25" s="995"/>
      <c r="D25" s="566">
        <v>0.5</v>
      </c>
      <c r="E25" s="566">
        <v>0.6</v>
      </c>
      <c r="F25" s="566">
        <v>1.2</v>
      </c>
      <c r="G25" s="566">
        <v>1.7</v>
      </c>
      <c r="H25" s="566">
        <v>1.7</v>
      </c>
      <c r="I25" s="4" t="s">
        <v>32</v>
      </c>
      <c r="J25" s="4" t="s">
        <v>32</v>
      </c>
      <c r="K25" s="566">
        <v>16</v>
      </c>
      <c r="L25" s="566">
        <v>23.9</v>
      </c>
      <c r="M25" s="566">
        <v>30.1</v>
      </c>
      <c r="N25" s="4" t="s">
        <v>32</v>
      </c>
      <c r="O25" s="4" t="s">
        <v>32</v>
      </c>
      <c r="P25" s="4" t="s">
        <v>32</v>
      </c>
      <c r="Q25" s="4" t="s">
        <v>32</v>
      </c>
      <c r="R25" s="4" t="s">
        <v>32</v>
      </c>
      <c r="S25" s="4" t="s">
        <v>32</v>
      </c>
      <c r="T25" s="4" t="s">
        <v>32</v>
      </c>
      <c r="U25" s="4" t="s">
        <v>32</v>
      </c>
      <c r="V25" s="566">
        <v>4</v>
      </c>
      <c r="W25" s="28">
        <v>4.3</v>
      </c>
      <c r="X25" s="119">
        <f>X11*X26</f>
        <v>4.3378696436357878</v>
      </c>
      <c r="Y25" s="28">
        <f t="shared" ref="Y25:AA25" si="26">Y11*Y26</f>
        <v>4.7307294643300315</v>
      </c>
      <c r="Z25" s="28">
        <f t="shared" si="26"/>
        <v>5.1398522291482234</v>
      </c>
      <c r="AA25" s="28">
        <f t="shared" si="26"/>
        <v>5.5662413584891786</v>
      </c>
      <c r="AB25" s="120">
        <f t="shared" ref="AB25" si="27">AB11*AB26</f>
        <v>6.0090655420963222</v>
      </c>
      <c r="AC25" s="1029" t="s">
        <v>258</v>
      </c>
      <c r="AD25" s="1029"/>
      <c r="AE25" s="1029"/>
      <c r="AF25" s="1029"/>
      <c r="AG25" s="1030"/>
      <c r="AH25" s="1041">
        <f>AVERAGE(Q16:W16)</f>
        <v>0.2808346439270793</v>
      </c>
      <c r="AI25" s="1042"/>
      <c r="AJ25" s="1042"/>
      <c r="AK25" s="1042"/>
      <c r="AL25" s="1043"/>
    </row>
    <row r="26" spans="1:49" ht="17" thickBot="1" x14ac:dyDescent="0.25">
      <c r="A26" s="992" t="s">
        <v>98</v>
      </c>
      <c r="B26" s="965"/>
      <c r="C26" s="966"/>
      <c r="D26" s="83">
        <f>D25/D11</f>
        <v>5.2465897166841559E-3</v>
      </c>
      <c r="E26" s="83">
        <f>E25/E11</f>
        <v>4.2583392476933995E-3</v>
      </c>
      <c r="F26" s="83">
        <f t="shared" ref="F26:W26" si="28">F25/F11</f>
        <v>1.0591350397175639E-2</v>
      </c>
      <c r="G26" s="83">
        <f t="shared" si="28"/>
        <v>1.1627906976744186E-2</v>
      </c>
      <c r="H26" s="83">
        <f t="shared" si="28"/>
        <v>1.1067708333333334E-2</v>
      </c>
      <c r="I26" s="647" t="s">
        <v>32</v>
      </c>
      <c r="J26" s="647" t="s">
        <v>32</v>
      </c>
      <c r="K26" s="83">
        <f t="shared" si="28"/>
        <v>4.8499545316762656E-2</v>
      </c>
      <c r="L26" s="83">
        <f t="shared" si="28"/>
        <v>5.8736790366183338E-2</v>
      </c>
      <c r="M26" s="83">
        <f t="shared" si="28"/>
        <v>8.1285444234404536E-2</v>
      </c>
      <c r="N26" s="647" t="s">
        <v>32</v>
      </c>
      <c r="O26" s="647" t="s">
        <v>32</v>
      </c>
      <c r="P26" s="647" t="s">
        <v>32</v>
      </c>
      <c r="Q26" s="647" t="s">
        <v>32</v>
      </c>
      <c r="R26" s="647" t="s">
        <v>32</v>
      </c>
      <c r="S26" s="647" t="s">
        <v>32</v>
      </c>
      <c r="T26" s="647" t="s">
        <v>32</v>
      </c>
      <c r="U26" s="647" t="s">
        <v>32</v>
      </c>
      <c r="V26" s="83">
        <f t="shared" si="28"/>
        <v>4.7568081817100727E-3</v>
      </c>
      <c r="W26" s="83">
        <f t="shared" si="28"/>
        <v>4.4238683127572013E-3</v>
      </c>
      <c r="X26" s="121">
        <f>$AH$29</f>
        <v>4.5903382472336374E-3</v>
      </c>
      <c r="Y26" s="114">
        <f t="shared" ref="Y26:AB26" si="29">$AH$29</f>
        <v>4.5903382472336374E-3</v>
      </c>
      <c r="Z26" s="114">
        <f t="shared" si="29"/>
        <v>4.5903382472336374E-3</v>
      </c>
      <c r="AA26" s="114">
        <f t="shared" si="29"/>
        <v>4.5903382472336374E-3</v>
      </c>
      <c r="AB26" s="122">
        <f t="shared" si="29"/>
        <v>4.5903382472336374E-3</v>
      </c>
      <c r="AC26" s="1036" t="s">
        <v>259</v>
      </c>
      <c r="AD26" s="1036"/>
      <c r="AE26" s="1036"/>
      <c r="AF26" s="1036"/>
      <c r="AG26" s="1037"/>
      <c r="AH26" s="1044">
        <f>AVERAGE(Q28:W28)</f>
        <v>0.22157452662999849</v>
      </c>
      <c r="AI26" s="1045"/>
      <c r="AJ26" s="1045"/>
      <c r="AK26" s="1045"/>
      <c r="AL26" s="1046"/>
    </row>
    <row r="27" spans="1:49" ht="17" thickBot="1" x14ac:dyDescent="0.25">
      <c r="A27" s="970" t="s">
        <v>99</v>
      </c>
      <c r="B27" s="971"/>
      <c r="C27" s="972"/>
      <c r="D27" s="28" t="s">
        <v>32</v>
      </c>
      <c r="E27" s="28" t="s">
        <v>32</v>
      </c>
      <c r="F27" s="28" t="s">
        <v>32</v>
      </c>
      <c r="G27" s="28">
        <f>0</f>
        <v>0</v>
      </c>
      <c r="H27" s="28">
        <f>-1</f>
        <v>-1</v>
      </c>
      <c r="I27" s="28">
        <f>0</f>
        <v>0</v>
      </c>
      <c r="J27" s="28" t="s">
        <v>32</v>
      </c>
      <c r="K27" s="28" t="s">
        <v>32</v>
      </c>
      <c r="L27" s="28" t="s">
        <v>32</v>
      </c>
      <c r="M27" s="28" t="s">
        <v>32</v>
      </c>
      <c r="N27" s="28" t="s">
        <v>32</v>
      </c>
      <c r="O27" s="28" t="s">
        <v>32</v>
      </c>
      <c r="P27" s="4">
        <f>109.8</f>
        <v>109.8</v>
      </c>
      <c r="Q27" s="4">
        <f>94.3</f>
        <v>94.3</v>
      </c>
      <c r="R27" s="4">
        <f>95.7</f>
        <v>95.7</v>
      </c>
      <c r="S27" s="4">
        <f>199.8</f>
        <v>199.8</v>
      </c>
      <c r="T27" s="4">
        <f>118.8</f>
        <v>118.8</v>
      </c>
      <c r="U27" s="4">
        <f>147.3</f>
        <v>147.30000000000001</v>
      </c>
      <c r="V27" s="4">
        <f>159.6</f>
        <v>159.6</v>
      </c>
      <c r="W27" s="4">
        <f>193.9</f>
        <v>193.9</v>
      </c>
      <c r="X27" s="95">
        <f>X11*X28</f>
        <v>209.38792766534857</v>
      </c>
      <c r="Y27" s="4">
        <f>Y11*Y28</f>
        <v>228.35117701951816</v>
      </c>
      <c r="Z27" s="4">
        <f>Z11*Z28</f>
        <v>248.09943478740223</v>
      </c>
      <c r="AA27" s="4">
        <f>AA11*AA28</f>
        <v>268.68113583107493</v>
      </c>
      <c r="AB27" s="97">
        <f>AB11*AB28</f>
        <v>290.05615300376354</v>
      </c>
      <c r="AC27" s="1034" t="s">
        <v>262</v>
      </c>
      <c r="AD27" s="1034"/>
      <c r="AE27" s="1034"/>
      <c r="AF27" s="1034"/>
      <c r="AG27" s="1035"/>
      <c r="AH27" s="1047">
        <f>AVERAGE(Q22:W22)</f>
        <v>0.28726333268704934</v>
      </c>
      <c r="AI27" s="1048"/>
      <c r="AJ27" s="1048"/>
      <c r="AK27" s="1048"/>
      <c r="AL27" s="1049"/>
    </row>
    <row r="28" spans="1:49" ht="17" thickBot="1" x14ac:dyDescent="0.25">
      <c r="A28" s="1053" t="s">
        <v>98</v>
      </c>
      <c r="B28" s="1054"/>
      <c r="C28" s="1055"/>
      <c r="D28" s="583" t="s">
        <v>32</v>
      </c>
      <c r="E28" s="583" t="s">
        <v>32</v>
      </c>
      <c r="F28" s="632" t="s">
        <v>32</v>
      </c>
      <c r="G28" s="584">
        <f t="shared" ref="G28:W28" si="30">(G27/G11)</f>
        <v>0</v>
      </c>
      <c r="H28" s="584">
        <f t="shared" si="30"/>
        <v>-6.510416666666667E-3</v>
      </c>
      <c r="I28" s="584">
        <f t="shared" si="30"/>
        <v>0</v>
      </c>
      <c r="J28" s="632" t="s">
        <v>32</v>
      </c>
      <c r="K28" s="632" t="s">
        <v>32</v>
      </c>
      <c r="L28" s="632" t="s">
        <v>32</v>
      </c>
      <c r="M28" s="632" t="s">
        <v>32</v>
      </c>
      <c r="N28" s="632" t="s">
        <v>32</v>
      </c>
      <c r="O28" s="632" t="s">
        <v>32</v>
      </c>
      <c r="P28" s="584">
        <f t="shared" si="30"/>
        <v>0.24389160373167482</v>
      </c>
      <c r="Q28" s="584">
        <f t="shared" si="30"/>
        <v>0.20158187259512611</v>
      </c>
      <c r="R28" s="584">
        <f t="shared" si="30"/>
        <v>0.20418177938980159</v>
      </c>
      <c r="S28" s="584">
        <f t="shared" si="30"/>
        <v>0.36829493087557608</v>
      </c>
      <c r="T28" s="584">
        <f t="shared" si="30"/>
        <v>0.18738170347003155</v>
      </c>
      <c r="U28" s="584">
        <f t="shared" si="30"/>
        <v>0.20029915692140335</v>
      </c>
      <c r="V28" s="584">
        <f t="shared" si="30"/>
        <v>0.18979664645023189</v>
      </c>
      <c r="W28" s="584">
        <f t="shared" si="30"/>
        <v>0.19948559670781893</v>
      </c>
      <c r="X28" s="121">
        <f>$AH$26</f>
        <v>0.22157452662999849</v>
      </c>
      <c r="Y28" s="114">
        <f t="shared" ref="Y28:AB28" si="31">$AH$26</f>
        <v>0.22157452662999849</v>
      </c>
      <c r="Z28" s="114">
        <f t="shared" si="31"/>
        <v>0.22157452662999849</v>
      </c>
      <c r="AA28" s="114">
        <f t="shared" si="31"/>
        <v>0.22157452662999849</v>
      </c>
      <c r="AB28" s="122">
        <f t="shared" si="31"/>
        <v>0.22157452662999849</v>
      </c>
      <c r="AC28" s="1032" t="s">
        <v>260</v>
      </c>
      <c r="AD28" s="1032"/>
      <c r="AE28" s="1032"/>
      <c r="AF28" s="1032"/>
      <c r="AG28" s="1033"/>
      <c r="AH28" s="1050">
        <f>AVERAGE(P24:W24)</f>
        <v>0</v>
      </c>
      <c r="AI28" s="1051"/>
      <c r="AJ28" s="1051"/>
      <c r="AK28" s="1051"/>
      <c r="AL28" s="1052"/>
    </row>
    <row r="29" spans="1:49" ht="17" thickBot="1" x14ac:dyDescent="0.25">
      <c r="A29" s="967" t="s">
        <v>320</v>
      </c>
      <c r="B29" s="968"/>
      <c r="C29" s="969"/>
      <c r="D29" s="459">
        <f t="shared" ref="D29:V29" si="32">D23+IF(D25="-",0,D25)+IF(D27="-",0,D27)+IF(D21="-",0,D21)</f>
        <v>44.1</v>
      </c>
      <c r="E29" s="459">
        <f t="shared" si="32"/>
        <v>71.8</v>
      </c>
      <c r="F29" s="459">
        <f t="shared" si="32"/>
        <v>102.1</v>
      </c>
      <c r="G29" s="459">
        <f t="shared" si="32"/>
        <v>79.900000000000006</v>
      </c>
      <c r="H29" s="459">
        <f t="shared" si="32"/>
        <v>84.5</v>
      </c>
      <c r="I29" s="459">
        <f t="shared" si="32"/>
        <v>80.3</v>
      </c>
      <c r="J29" s="459">
        <f t="shared" si="32"/>
        <v>108</v>
      </c>
      <c r="K29" s="459">
        <f t="shared" si="32"/>
        <v>170.39999999999998</v>
      </c>
      <c r="L29" s="459">
        <f t="shared" si="32"/>
        <v>202.20000000000002</v>
      </c>
      <c r="M29" s="459">
        <f t="shared" si="32"/>
        <v>185.2</v>
      </c>
      <c r="N29" s="459">
        <f t="shared" si="32"/>
        <v>236.8</v>
      </c>
      <c r="O29" s="459">
        <f t="shared" si="32"/>
        <v>323.10000000000002</v>
      </c>
      <c r="P29" s="459">
        <f t="shared" si="32"/>
        <v>259.2</v>
      </c>
      <c r="Q29" s="459">
        <f t="shared" si="32"/>
        <v>234.10000000000002</v>
      </c>
      <c r="R29" s="459">
        <f t="shared" si="32"/>
        <v>235.2</v>
      </c>
      <c r="S29" s="459">
        <f t="shared" si="32"/>
        <v>367.20000000000005</v>
      </c>
      <c r="T29" s="459">
        <f t="shared" si="32"/>
        <v>293.5</v>
      </c>
      <c r="U29" s="459">
        <f t="shared" si="32"/>
        <v>350.1</v>
      </c>
      <c r="V29" s="459">
        <f t="shared" si="32"/>
        <v>392.9</v>
      </c>
      <c r="W29" s="459">
        <f>W23+IF(W25="-",0,W25)+IF(W27="-",0,W27)+IF(W21="-",0,W21)</f>
        <v>472.1</v>
      </c>
      <c r="X29" s="473">
        <f t="shared" ref="X29:AA29" si="33">X23+X25-IF(X27="-",0,-X27)+IF(X21="-",0,X21)</f>
        <v>480.31124230898433</v>
      </c>
      <c r="Y29" s="459">
        <f t="shared" si="33"/>
        <v>518.94119292941616</v>
      </c>
      <c r="Z29" s="459">
        <f t="shared" si="33"/>
        <v>556.76606605255051</v>
      </c>
      <c r="AA29" s="459">
        <f t="shared" si="33"/>
        <v>595.31459327620405</v>
      </c>
      <c r="AB29" s="460">
        <f t="shared" ref="AB29" si="34">AB23+AB25-IF(AB27="-",0,-AB27)+IF(AB21="-",0,AB21)</f>
        <v>634.42791458354782</v>
      </c>
      <c r="AC29" s="1032" t="s">
        <v>261</v>
      </c>
      <c r="AD29" s="1032"/>
      <c r="AE29" s="1032"/>
      <c r="AF29" s="1032"/>
      <c r="AG29" s="1033"/>
      <c r="AH29" s="1026">
        <f>AVERAGE(Q26:W26)</f>
        <v>4.5903382472336374E-3</v>
      </c>
      <c r="AI29" s="1027"/>
      <c r="AJ29" s="1027"/>
      <c r="AK29" s="1027"/>
      <c r="AL29" s="1028"/>
    </row>
    <row r="30" spans="1:49" ht="17" thickBot="1" x14ac:dyDescent="0.25">
      <c r="A30" s="989" t="s">
        <v>98</v>
      </c>
      <c r="B30" s="990"/>
      <c r="C30" s="991"/>
      <c r="D30" s="267">
        <f t="shared" ref="D30:E30" si="35">D29/D11</f>
        <v>0.46274921301154254</v>
      </c>
      <c r="E30" s="267">
        <f t="shared" si="35"/>
        <v>0.50958126330731013</v>
      </c>
      <c r="F30" s="267">
        <f t="shared" ref="F30:V30" si="36">F29/F11</f>
        <v>0.90114739629302731</v>
      </c>
      <c r="G30" s="267">
        <f t="shared" si="36"/>
        <v>0.54651162790697683</v>
      </c>
      <c r="H30" s="267">
        <f t="shared" si="36"/>
        <v>0.55013020833333337</v>
      </c>
      <c r="I30" s="267">
        <f t="shared" si="36"/>
        <v>0.47599288678126855</v>
      </c>
      <c r="J30" s="267">
        <f t="shared" si="36"/>
        <v>0.49930651872399445</v>
      </c>
      <c r="K30" s="267">
        <f t="shared" si="36"/>
        <v>0.51652015762352221</v>
      </c>
      <c r="L30" s="267">
        <f t="shared" si="36"/>
        <v>0.49692799213565991</v>
      </c>
      <c r="M30" s="267">
        <f t="shared" si="36"/>
        <v>0.50013502565487433</v>
      </c>
      <c r="N30" s="267">
        <f t="shared" si="36"/>
        <v>0.52857142857142858</v>
      </c>
      <c r="O30" s="267">
        <f t="shared" si="36"/>
        <v>0.68236536430834216</v>
      </c>
      <c r="P30" s="267">
        <f t="shared" si="36"/>
        <v>0.57574411372723233</v>
      </c>
      <c r="Q30" s="267">
        <f t="shared" si="36"/>
        <v>0.50042753313381794</v>
      </c>
      <c r="R30" s="267">
        <f t="shared" si="36"/>
        <v>0.5018135267761894</v>
      </c>
      <c r="S30" s="267">
        <f t="shared" si="36"/>
        <v>0.67686635944700468</v>
      </c>
      <c r="T30" s="267">
        <f t="shared" si="36"/>
        <v>0.46293375394321767</v>
      </c>
      <c r="U30" s="267">
        <f t="shared" si="36"/>
        <v>0.47606744628773462</v>
      </c>
      <c r="V30" s="267">
        <f t="shared" si="36"/>
        <v>0.46723748364847184</v>
      </c>
      <c r="W30" s="267">
        <f t="shared" ref="W30:AA30" si="37">W29/W11</f>
        <v>0.48569958847736627</v>
      </c>
      <c r="X30" s="474">
        <f t="shared" si="37"/>
        <v>0.50826586487723213</v>
      </c>
      <c r="Y30" s="267">
        <f t="shared" si="37"/>
        <v>0.50354086487723215</v>
      </c>
      <c r="Z30" s="267">
        <f t="shared" si="37"/>
        <v>0.49724086487723218</v>
      </c>
      <c r="AA30" s="267">
        <f t="shared" si="37"/>
        <v>0.49094086487723204</v>
      </c>
      <c r="AB30" s="268">
        <f t="shared" ref="AB30" si="38">AB29/AB11</f>
        <v>0.48464086487723207</v>
      </c>
      <c r="AC30" s="1032" t="s">
        <v>206</v>
      </c>
      <c r="AD30" s="1032"/>
      <c r="AE30" s="1032"/>
      <c r="AF30" s="1032"/>
      <c r="AG30" s="1033"/>
      <c r="AH30" s="1061">
        <f>AVERAGE(Q70:W70)</f>
        <v>0</v>
      </c>
      <c r="AI30" s="1062"/>
      <c r="AJ30" s="1062"/>
      <c r="AK30" s="1062"/>
      <c r="AL30" s="1063"/>
    </row>
    <row r="31" spans="1:49" ht="17" thickBot="1" x14ac:dyDescent="0.25">
      <c r="A31" s="967" t="s">
        <v>321</v>
      </c>
      <c r="B31" s="968"/>
      <c r="C31" s="969"/>
      <c r="D31" s="461">
        <f>D17-SUMIF(D29,"&lt;&gt;-")</f>
        <v>15.599999999999994</v>
      </c>
      <c r="E31" s="461">
        <f t="shared" ref="E31:X31" si="39">E17-SUMIF(E29,"&lt;&gt;-")</f>
        <v>15.600000000000009</v>
      </c>
      <c r="F31" s="461">
        <f t="shared" si="39"/>
        <v>-44.4</v>
      </c>
      <c r="G31" s="461">
        <f t="shared" si="39"/>
        <v>10.799999999999983</v>
      </c>
      <c r="H31" s="461">
        <f t="shared" si="39"/>
        <v>15.299999999999997</v>
      </c>
      <c r="I31" s="461">
        <f t="shared" si="39"/>
        <v>22.899999999999991</v>
      </c>
      <c r="J31" s="461">
        <f t="shared" si="39"/>
        <v>33.300000000000011</v>
      </c>
      <c r="K31" s="461">
        <f t="shared" si="39"/>
        <v>62.5</v>
      </c>
      <c r="L31" s="461">
        <f t="shared" si="39"/>
        <v>63.899999999999949</v>
      </c>
      <c r="M31" s="461">
        <f t="shared" si="39"/>
        <v>80.199999999999989</v>
      </c>
      <c r="N31" s="461">
        <f t="shared" si="39"/>
        <v>73.699999999999989</v>
      </c>
      <c r="O31" s="461">
        <f t="shared" si="39"/>
        <v>-2</v>
      </c>
      <c r="P31" s="461">
        <f t="shared" si="39"/>
        <v>48.099999999999966</v>
      </c>
      <c r="Q31" s="461">
        <f t="shared" si="39"/>
        <v>93.5</v>
      </c>
      <c r="R31" s="461">
        <f t="shared" si="39"/>
        <v>118.09999999999997</v>
      </c>
      <c r="S31" s="461">
        <f t="shared" si="39"/>
        <v>16.799999999999955</v>
      </c>
      <c r="T31" s="461">
        <f t="shared" si="39"/>
        <v>149.19999999999999</v>
      </c>
      <c r="U31" s="461">
        <f t="shared" si="39"/>
        <v>178.39999999999998</v>
      </c>
      <c r="V31" s="461">
        <f t="shared" si="39"/>
        <v>218.80000000000007</v>
      </c>
      <c r="W31" s="461">
        <f>W17-SUMIF(W29,"&lt;&gt;-")</f>
        <v>235.39999999999998</v>
      </c>
      <c r="X31" s="475">
        <f t="shared" si="39"/>
        <v>222.16112269101563</v>
      </c>
      <c r="Y31" s="461">
        <f t="shared" ref="Y31:AA31" si="40">Y17-SUMIF(Y29,"&lt;&gt;-")</f>
        <v>234.40648552197183</v>
      </c>
      <c r="Z31" s="461">
        <f t="shared" si="40"/>
        <v>262.50743756044949</v>
      </c>
      <c r="AA31" s="461">
        <f t="shared" si="40"/>
        <v>292.43063274218594</v>
      </c>
      <c r="AB31" s="462">
        <f t="shared" ref="AB31" si="41">AB17-SUMIF(AB29,"&lt;&gt;-")</f>
        <v>323.96966874528823</v>
      </c>
      <c r="AC31" s="1032" t="s">
        <v>154</v>
      </c>
      <c r="AD31" s="1032"/>
      <c r="AE31" s="1032"/>
      <c r="AF31" s="1032"/>
      <c r="AG31" s="1032"/>
      <c r="AH31" s="1064">
        <f>AVERAGE(Q84:W84)</f>
        <v>4.5903382472336374E-3</v>
      </c>
      <c r="AI31" s="1065"/>
      <c r="AJ31" s="1065"/>
      <c r="AK31" s="1065"/>
      <c r="AL31" s="1066"/>
      <c r="AM31" s="264"/>
      <c r="AN31" s="264"/>
    </row>
    <row r="32" spans="1:49" s="48" customFormat="1" ht="17" thickBot="1" x14ac:dyDescent="0.25">
      <c r="A32" s="993" t="s">
        <v>95</v>
      </c>
      <c r="B32" s="962"/>
      <c r="C32" s="963"/>
      <c r="D32" s="447" t="s">
        <v>32</v>
      </c>
      <c r="E32" s="85">
        <f>(E31-D31)/ABS(D31)</f>
        <v>9.1095222533346209E-16</v>
      </c>
      <c r="F32" s="85">
        <f t="shared" ref="F32:W32" si="42">(F31-E31)/ABS(E31)</f>
        <v>-3.8461538461538445</v>
      </c>
      <c r="G32" s="85">
        <f t="shared" si="42"/>
        <v>1.2432432432432428</v>
      </c>
      <c r="H32" s="85">
        <f t="shared" si="42"/>
        <v>0.41666666666666863</v>
      </c>
      <c r="I32" s="85">
        <f t="shared" si="42"/>
        <v>0.49673202614379058</v>
      </c>
      <c r="J32" s="85">
        <f t="shared" si="42"/>
        <v>0.45414847161572158</v>
      </c>
      <c r="K32" s="85">
        <f t="shared" si="42"/>
        <v>0.87687687687687621</v>
      </c>
      <c r="L32" s="85">
        <f t="shared" si="42"/>
        <v>2.2399999999999181E-2</v>
      </c>
      <c r="M32" s="85">
        <f t="shared" si="42"/>
        <v>0.25508607198748129</v>
      </c>
      <c r="N32" s="85">
        <f t="shared" si="42"/>
        <v>-8.1047381546134681E-2</v>
      </c>
      <c r="O32" s="85">
        <f t="shared" si="42"/>
        <v>-1.0271370420624153</v>
      </c>
      <c r="P32" s="85">
        <f t="shared" si="42"/>
        <v>25.049999999999983</v>
      </c>
      <c r="Q32" s="85">
        <f t="shared" si="42"/>
        <v>0.94386694386694525</v>
      </c>
      <c r="R32" s="85">
        <f t="shared" si="42"/>
        <v>0.2631016042780745</v>
      </c>
      <c r="S32" s="85">
        <f t="shared" si="42"/>
        <v>-0.85774767146486064</v>
      </c>
      <c r="T32" s="85">
        <f t="shared" si="42"/>
        <v>7.8809523809524045</v>
      </c>
      <c r="U32" s="85">
        <f t="shared" si="42"/>
        <v>0.195710455764075</v>
      </c>
      <c r="V32" s="85">
        <f t="shared" si="42"/>
        <v>0.22645739910313956</v>
      </c>
      <c r="W32" s="85">
        <f t="shared" si="42"/>
        <v>7.5868372943326795E-2</v>
      </c>
      <c r="X32" s="102">
        <f>(X31-W31)/ABS(W31)</f>
        <v>-5.6239920598913952E-2</v>
      </c>
      <c r="Y32" s="85">
        <f t="shared" ref="Y32:AB32" si="43">(Y31-X31)/ABS(X31)</f>
        <v>5.511928767117006E-2</v>
      </c>
      <c r="Z32" s="85">
        <f t="shared" si="43"/>
        <v>0.11988129072411542</v>
      </c>
      <c r="AA32" s="85">
        <f t="shared" si="43"/>
        <v>0.11398989476191819</v>
      </c>
      <c r="AB32" s="220">
        <f t="shared" si="43"/>
        <v>0.10785134138429298</v>
      </c>
      <c r="AC32" s="1032" t="s">
        <v>274</v>
      </c>
      <c r="AD32" s="1032"/>
      <c r="AE32" s="1032"/>
      <c r="AF32" s="1032"/>
      <c r="AG32" s="1033"/>
      <c r="AH32" s="1058">
        <f>(1/2)*(0.33*(1.7%*1.014+1%*1.013) + 0.19*(4%*1.072+ 1.5%*1.025)+ 0.18*(2%*1.026-2.1%*1.026) )+ 0.3*(2.2%*1.018)</f>
        <v>1.6676405000000002E-2</v>
      </c>
      <c r="AI32" s="1059"/>
      <c r="AJ32" s="1059"/>
      <c r="AK32" s="1059"/>
      <c r="AL32" s="1060"/>
      <c r="AM32" s="817" t="s">
        <v>438</v>
      </c>
      <c r="AN32" s="818"/>
      <c r="AO32" s="818"/>
      <c r="AP32" s="818"/>
      <c r="AQ32" s="818"/>
      <c r="AR32" s="818"/>
      <c r="AS32" s="818"/>
      <c r="AT32" s="818"/>
      <c r="AU32" s="818"/>
      <c r="AV32" s="818"/>
      <c r="AW32" s="819"/>
    </row>
    <row r="33" spans="1:44" s="48" customFormat="1" ht="17" thickBot="1" x14ac:dyDescent="0.25">
      <c r="A33" s="993" t="s">
        <v>100</v>
      </c>
      <c r="B33" s="962"/>
      <c r="C33" s="963"/>
      <c r="D33" s="448">
        <f t="shared" ref="D33:AB33" si="44">D31/D11</f>
        <v>0.1636935991605456</v>
      </c>
      <c r="E33" s="448">
        <f t="shared" si="44"/>
        <v>0.11071682044002845</v>
      </c>
      <c r="F33" s="448">
        <f t="shared" si="44"/>
        <v>-0.39187996469549868</v>
      </c>
      <c r="G33" s="448">
        <f t="shared" si="44"/>
        <v>7.3871409028727658E-2</v>
      </c>
      <c r="H33" s="448">
        <f t="shared" si="44"/>
        <v>9.9609374999999986E-2</v>
      </c>
      <c r="I33" s="448">
        <f t="shared" si="44"/>
        <v>0.13574392412566683</v>
      </c>
      <c r="J33" s="448">
        <f t="shared" si="44"/>
        <v>0.15395284327323167</v>
      </c>
      <c r="K33" s="448">
        <f t="shared" si="44"/>
        <v>0.18945134889360413</v>
      </c>
      <c r="L33" s="448">
        <f t="shared" si="44"/>
        <v>0.15704104202506747</v>
      </c>
      <c r="M33" s="448">
        <f t="shared" si="44"/>
        <v>0.2165811504185795</v>
      </c>
      <c r="N33" s="448">
        <f t="shared" si="44"/>
        <v>0.16450892857142854</v>
      </c>
      <c r="O33" s="448">
        <f t="shared" si="44"/>
        <v>-4.2238648363252373E-3</v>
      </c>
      <c r="P33" s="448">
        <f t="shared" si="44"/>
        <v>0.10684140382052414</v>
      </c>
      <c r="Q33" s="448">
        <f t="shared" si="44"/>
        <v>0.19987174005985464</v>
      </c>
      <c r="R33" s="448">
        <f t="shared" si="44"/>
        <v>0.25197354384467668</v>
      </c>
      <c r="S33" s="448">
        <f t="shared" si="44"/>
        <v>3.0967741935483788E-2</v>
      </c>
      <c r="T33" s="448">
        <f t="shared" si="44"/>
        <v>0.23533123028391165</v>
      </c>
      <c r="U33" s="448">
        <f t="shared" si="44"/>
        <v>0.24258906717432688</v>
      </c>
      <c r="V33" s="448">
        <f t="shared" si="44"/>
        <v>0.26019740753954107</v>
      </c>
      <c r="W33" s="448">
        <f t="shared" si="44"/>
        <v>0.24218106995884772</v>
      </c>
      <c r="X33" s="476">
        <f t="shared" si="44"/>
        <v>0.23509113512276786</v>
      </c>
      <c r="Y33" s="448">
        <f t="shared" si="44"/>
        <v>0.22745013512276793</v>
      </c>
      <c r="Z33" s="448">
        <f t="shared" si="44"/>
        <v>0.23444213512276782</v>
      </c>
      <c r="AA33" s="448">
        <f t="shared" si="44"/>
        <v>0.24116013512276788</v>
      </c>
      <c r="AB33" s="453">
        <f t="shared" si="44"/>
        <v>0.24748113512276793</v>
      </c>
      <c r="AC33" s="1032" t="s">
        <v>336</v>
      </c>
      <c r="AD33" s="1032"/>
      <c r="AE33" s="1032"/>
      <c r="AF33" s="1032"/>
      <c r="AG33" s="1033"/>
      <c r="AH33" s="1058">
        <f>AVERAGE(Q63:W63)</f>
        <v>0.14823939808765466</v>
      </c>
      <c r="AI33" s="1059"/>
      <c r="AJ33" s="1059"/>
      <c r="AK33" s="1059"/>
      <c r="AL33" s="1060"/>
      <c r="AM33" s="265"/>
      <c r="AN33" s="265"/>
    </row>
    <row r="34" spans="1:44" s="48" customFormat="1" ht="1" hidden="1" customHeight="1" thickBot="1" x14ac:dyDescent="0.2">
      <c r="A34" s="576"/>
      <c r="B34" s="577"/>
      <c r="C34" s="686"/>
      <c r="D34" s="577"/>
      <c r="E34" s="577"/>
      <c r="F34" s="577"/>
      <c r="G34" s="577"/>
      <c r="H34" s="577"/>
      <c r="I34" s="577"/>
      <c r="J34" s="577"/>
      <c r="K34" s="577"/>
      <c r="L34" s="577"/>
      <c r="M34" s="577"/>
      <c r="N34" s="577"/>
      <c r="O34" s="577"/>
      <c r="P34" s="577"/>
      <c r="Q34" s="577"/>
      <c r="R34" s="577"/>
      <c r="S34" s="577"/>
      <c r="T34" s="577"/>
      <c r="U34" s="577"/>
      <c r="V34" s="577"/>
      <c r="W34" s="577"/>
      <c r="X34" s="576"/>
      <c r="Y34" s="577"/>
      <c r="Z34" s="577"/>
      <c r="AA34" s="577"/>
      <c r="AB34" s="225"/>
      <c r="AC34" s="237"/>
      <c r="AD34" s="237"/>
      <c r="AE34" s="237"/>
      <c r="AF34" s="237"/>
      <c r="AG34" s="237"/>
      <c r="AH34" s="237"/>
      <c r="AI34" s="237"/>
      <c r="AJ34" s="237"/>
      <c r="AK34" s="237"/>
      <c r="AL34" s="237"/>
      <c r="AM34" s="237"/>
      <c r="AN34" s="237"/>
      <c r="AO34" s="237"/>
      <c r="AP34" s="237"/>
      <c r="AQ34" s="237"/>
      <c r="AR34" s="237"/>
    </row>
    <row r="35" spans="1:44" ht="16" hidden="1" customHeight="1" thickBot="1" x14ac:dyDescent="0.2">
      <c r="A35" s="576"/>
      <c r="B35" s="577"/>
      <c r="C35" s="686"/>
      <c r="D35" s="577"/>
      <c r="E35" s="577"/>
      <c r="F35" s="577"/>
      <c r="G35" s="577"/>
      <c r="H35" s="577"/>
      <c r="I35" s="577"/>
      <c r="J35" s="577"/>
      <c r="K35" s="577"/>
      <c r="L35" s="577"/>
      <c r="M35" s="577"/>
      <c r="N35" s="577"/>
      <c r="O35" s="577"/>
      <c r="P35" s="577"/>
      <c r="Q35" s="577"/>
      <c r="R35" s="577"/>
      <c r="S35" s="577"/>
      <c r="T35" s="577"/>
      <c r="U35" s="577"/>
      <c r="V35" s="577"/>
      <c r="W35" s="577"/>
      <c r="X35" s="576"/>
      <c r="Y35" s="577"/>
      <c r="Z35" s="577"/>
      <c r="AA35" s="577"/>
      <c r="AM35" s="265"/>
      <c r="AN35" s="265"/>
    </row>
    <row r="36" spans="1:44" s="145" customFormat="1" ht="16" hidden="1" customHeight="1" thickBot="1" x14ac:dyDescent="0.2">
      <c r="A36" s="576"/>
      <c r="B36" s="577"/>
      <c r="C36" s="686"/>
      <c r="D36" s="577"/>
      <c r="E36" s="577"/>
      <c r="F36" s="577"/>
      <c r="G36" s="577"/>
      <c r="H36" s="577"/>
      <c r="I36" s="577"/>
      <c r="J36" s="577"/>
      <c r="K36" s="577"/>
      <c r="L36" s="577"/>
      <c r="M36" s="577"/>
      <c r="N36" s="577"/>
      <c r="O36" s="577"/>
      <c r="P36" s="577"/>
      <c r="Q36" s="577"/>
      <c r="R36" s="577"/>
      <c r="S36" s="577"/>
      <c r="T36" s="577"/>
      <c r="U36" s="577"/>
      <c r="V36" s="577"/>
      <c r="W36" s="577"/>
      <c r="X36" s="576"/>
      <c r="Y36" s="577"/>
      <c r="Z36" s="577"/>
      <c r="AA36" s="577"/>
      <c r="AB36" s="435"/>
      <c r="AC36"/>
      <c r="AD36"/>
      <c r="AE36"/>
      <c r="AF36"/>
      <c r="AG36"/>
      <c r="AH36"/>
      <c r="AI36"/>
      <c r="AJ36"/>
      <c r="AK36"/>
      <c r="AL36"/>
      <c r="AM36" s="266"/>
      <c r="AN36" s="266"/>
    </row>
    <row r="37" spans="1:44" ht="16" hidden="1" customHeight="1" thickBot="1" x14ac:dyDescent="0.2">
      <c r="A37" s="576"/>
      <c r="B37" s="577"/>
      <c r="C37" s="686"/>
      <c r="D37" s="577"/>
      <c r="E37" s="577"/>
      <c r="F37" s="577"/>
      <c r="G37" s="577"/>
      <c r="H37" s="577"/>
      <c r="I37" s="577"/>
      <c r="J37" s="577"/>
      <c r="K37" s="577"/>
      <c r="L37" s="577"/>
      <c r="M37" s="577"/>
      <c r="N37" s="577"/>
      <c r="O37" s="577"/>
      <c r="P37" s="577"/>
      <c r="Q37" s="577"/>
      <c r="R37" s="577"/>
      <c r="S37" s="577"/>
      <c r="T37" s="577"/>
      <c r="U37" s="577"/>
      <c r="V37" s="577"/>
      <c r="W37" s="577"/>
      <c r="X37" s="576"/>
      <c r="Y37" s="577"/>
      <c r="Z37" s="577"/>
      <c r="AA37" s="577"/>
      <c r="AM37" s="264"/>
      <c r="AN37" s="264"/>
      <c r="AO37" s="260"/>
    </row>
    <row r="38" spans="1:44" s="145" customFormat="1" ht="16" hidden="1" customHeight="1" thickBot="1" x14ac:dyDescent="0.2">
      <c r="A38" s="576"/>
      <c r="B38" s="577"/>
      <c r="C38" s="686"/>
      <c r="D38" s="577"/>
      <c r="E38" s="577"/>
      <c r="F38" s="577"/>
      <c r="G38" s="577"/>
      <c r="H38" s="577"/>
      <c r="I38" s="577"/>
      <c r="J38" s="577"/>
      <c r="K38" s="577"/>
      <c r="L38" s="577"/>
      <c r="M38" s="577"/>
      <c r="N38" s="577"/>
      <c r="O38" s="577"/>
      <c r="P38" s="577"/>
      <c r="Q38" s="577"/>
      <c r="R38" s="577"/>
      <c r="S38" s="577"/>
      <c r="T38" s="577"/>
      <c r="U38" s="577"/>
      <c r="V38" s="577"/>
      <c r="W38" s="577"/>
      <c r="X38" s="576"/>
      <c r="Y38" s="577"/>
      <c r="Z38" s="577"/>
      <c r="AA38" s="577"/>
      <c r="AB38" s="435"/>
      <c r="AC38"/>
      <c r="AD38"/>
      <c r="AE38"/>
      <c r="AF38"/>
      <c r="AG38"/>
      <c r="AH38"/>
      <c r="AI38"/>
      <c r="AJ38"/>
      <c r="AK38"/>
      <c r="AL38"/>
      <c r="AM38" s="266"/>
      <c r="AN38" s="266"/>
    </row>
    <row r="39" spans="1:44" ht="17" hidden="1" customHeight="1" thickBot="1" x14ac:dyDescent="0.2">
      <c r="A39" s="576"/>
      <c r="B39" s="577"/>
      <c r="C39" s="686"/>
      <c r="D39" s="577"/>
      <c r="E39" s="577"/>
      <c r="F39" s="577"/>
      <c r="G39" s="577"/>
      <c r="H39" s="577"/>
      <c r="I39" s="577"/>
      <c r="J39" s="577"/>
      <c r="K39" s="577"/>
      <c r="L39" s="577"/>
      <c r="M39" s="577"/>
      <c r="N39" s="577"/>
      <c r="O39" s="577"/>
      <c r="P39" s="577"/>
      <c r="Q39" s="577"/>
      <c r="R39" s="577"/>
      <c r="S39" s="577"/>
      <c r="T39" s="577"/>
      <c r="U39" s="577"/>
      <c r="V39" s="577"/>
      <c r="W39" s="577"/>
      <c r="X39" s="576"/>
      <c r="Y39" s="577"/>
      <c r="Z39" s="577"/>
      <c r="AA39" s="577"/>
      <c r="AE39" s="400"/>
    </row>
    <row r="40" spans="1:44" ht="1" hidden="1" customHeight="1" thickBot="1" x14ac:dyDescent="0.2">
      <c r="A40" s="576"/>
      <c r="B40" s="577"/>
      <c r="C40" s="686"/>
      <c r="D40" s="577"/>
      <c r="E40" s="577"/>
      <c r="F40" s="577"/>
      <c r="G40" s="577"/>
      <c r="H40" s="577"/>
      <c r="I40" s="577"/>
      <c r="J40" s="577"/>
      <c r="K40" s="577"/>
      <c r="L40" s="577"/>
      <c r="M40" s="577"/>
      <c r="N40" s="577"/>
      <c r="O40" s="577"/>
      <c r="P40" s="577"/>
      <c r="Q40" s="577"/>
      <c r="R40" s="577"/>
      <c r="S40" s="577"/>
      <c r="T40" s="577"/>
      <c r="U40" s="577"/>
      <c r="V40" s="577"/>
      <c r="W40" s="577"/>
      <c r="X40" s="576"/>
      <c r="Y40" s="577"/>
      <c r="Z40" s="577"/>
      <c r="AA40" s="577"/>
    </row>
    <row r="41" spans="1:44" ht="1" hidden="1" customHeight="1" thickBot="1" x14ac:dyDescent="0.2">
      <c r="A41" s="576"/>
      <c r="B41" s="577"/>
      <c r="C41" s="686"/>
      <c r="D41" s="577"/>
      <c r="E41" s="577"/>
      <c r="F41" s="577"/>
      <c r="G41" s="577"/>
      <c r="H41" s="577"/>
      <c r="I41" s="577"/>
      <c r="J41" s="577"/>
      <c r="K41" s="577"/>
      <c r="L41" s="577"/>
      <c r="M41" s="577"/>
      <c r="N41" s="577"/>
      <c r="O41" s="577"/>
      <c r="P41" s="577"/>
      <c r="Q41" s="577"/>
      <c r="R41" s="577"/>
      <c r="S41" s="577"/>
      <c r="T41" s="577"/>
      <c r="U41" s="577"/>
      <c r="V41" s="577"/>
      <c r="W41" s="577"/>
      <c r="X41" s="576"/>
      <c r="Y41" s="577"/>
      <c r="Z41" s="577"/>
      <c r="AA41" s="577"/>
    </row>
    <row r="42" spans="1:44" ht="1" hidden="1" customHeight="1" thickBot="1" x14ac:dyDescent="0.2">
      <c r="A42" s="576"/>
      <c r="B42" s="577"/>
      <c r="C42" s="686"/>
      <c r="D42" s="577"/>
      <c r="E42" s="577"/>
      <c r="F42" s="577"/>
      <c r="G42" s="577"/>
      <c r="H42" s="577"/>
      <c r="I42" s="577"/>
      <c r="J42" s="577"/>
      <c r="K42" s="577"/>
      <c r="L42" s="577"/>
      <c r="M42" s="577"/>
      <c r="N42" s="577"/>
      <c r="O42" s="577"/>
      <c r="P42" s="577"/>
      <c r="Q42" s="577"/>
      <c r="R42" s="577"/>
      <c r="S42" s="577"/>
      <c r="T42" s="577"/>
      <c r="U42" s="577"/>
      <c r="V42" s="577"/>
      <c r="W42" s="577"/>
      <c r="X42" s="576"/>
      <c r="Y42" s="577"/>
      <c r="Z42" s="577"/>
      <c r="AA42" s="577"/>
    </row>
    <row r="43" spans="1:44" s="145" customFormat="1" ht="1" hidden="1" customHeight="1" thickBot="1" x14ac:dyDescent="0.2">
      <c r="A43" s="576"/>
      <c r="B43" s="577"/>
      <c r="C43" s="686"/>
      <c r="D43" s="577"/>
      <c r="E43" s="577"/>
      <c r="F43" s="577"/>
      <c r="G43" s="577"/>
      <c r="H43" s="577"/>
      <c r="I43" s="577"/>
      <c r="J43" s="577"/>
      <c r="K43" s="577"/>
      <c r="L43" s="577"/>
      <c r="M43" s="577"/>
      <c r="N43" s="577"/>
      <c r="O43" s="577"/>
      <c r="P43" s="577"/>
      <c r="Q43" s="577"/>
      <c r="R43" s="577"/>
      <c r="S43" s="577"/>
      <c r="T43" s="577"/>
      <c r="U43" s="577"/>
      <c r="V43" s="577"/>
      <c r="W43" s="577"/>
      <c r="X43" s="576"/>
      <c r="Y43" s="577"/>
      <c r="Z43" s="577"/>
      <c r="AA43" s="577"/>
      <c r="AB43" s="435"/>
      <c r="AC43"/>
      <c r="AD43"/>
      <c r="AE43"/>
      <c r="AF43"/>
      <c r="AG43"/>
      <c r="AH43"/>
      <c r="AI43"/>
      <c r="AJ43"/>
      <c r="AK43"/>
      <c r="AL43"/>
    </row>
    <row r="44" spans="1:44" ht="1" hidden="1" customHeight="1" thickBot="1" x14ac:dyDescent="0.2">
      <c r="A44" s="576"/>
      <c r="B44" s="577"/>
      <c r="C44" s="686"/>
      <c r="D44" s="577"/>
      <c r="E44" s="577"/>
      <c r="F44" s="577"/>
      <c r="G44" s="577"/>
      <c r="H44" s="577"/>
      <c r="I44" s="577"/>
      <c r="J44" s="577"/>
      <c r="K44" s="577"/>
      <c r="L44" s="577"/>
      <c r="M44" s="577"/>
      <c r="N44" s="577"/>
      <c r="O44" s="577"/>
      <c r="P44" s="577"/>
      <c r="Q44" s="577"/>
      <c r="R44" s="577"/>
      <c r="S44" s="577"/>
      <c r="T44" s="577"/>
      <c r="U44" s="577"/>
      <c r="V44" s="577"/>
      <c r="W44" s="577"/>
      <c r="X44" s="576"/>
      <c r="Y44" s="577"/>
      <c r="Z44" s="577"/>
      <c r="AA44" s="577"/>
    </row>
    <row r="45" spans="1:44" s="145" customFormat="1" ht="1" hidden="1" customHeight="1" thickBot="1" x14ac:dyDescent="0.2">
      <c r="A45" s="576"/>
      <c r="B45" s="577"/>
      <c r="C45" s="686"/>
      <c r="D45" s="577"/>
      <c r="E45" s="577"/>
      <c r="F45" s="577"/>
      <c r="G45" s="577"/>
      <c r="H45" s="577"/>
      <c r="I45" s="577"/>
      <c r="J45" s="577"/>
      <c r="K45" s="577"/>
      <c r="L45" s="577"/>
      <c r="M45" s="577"/>
      <c r="N45" s="577"/>
      <c r="O45" s="577"/>
      <c r="P45" s="577"/>
      <c r="Q45" s="577"/>
      <c r="R45" s="577"/>
      <c r="S45" s="577"/>
      <c r="T45" s="577"/>
      <c r="U45" s="577"/>
      <c r="V45" s="577"/>
      <c r="W45" s="577"/>
      <c r="X45" s="576"/>
      <c r="Y45" s="577"/>
      <c r="Z45" s="577"/>
      <c r="AA45" s="577"/>
      <c r="AB45" s="435"/>
      <c r="AC45"/>
      <c r="AD45"/>
      <c r="AE45"/>
      <c r="AF45"/>
      <c r="AG45"/>
      <c r="AH45"/>
      <c r="AI45"/>
      <c r="AJ45"/>
      <c r="AK45"/>
      <c r="AL45"/>
    </row>
    <row r="46" spans="1:44" ht="1" hidden="1" customHeight="1" thickBot="1" x14ac:dyDescent="0.2">
      <c r="A46" s="576"/>
      <c r="B46" s="577"/>
      <c r="C46" s="686"/>
      <c r="D46" s="577"/>
      <c r="E46" s="577"/>
      <c r="F46" s="577"/>
      <c r="G46" s="577"/>
      <c r="H46" s="577"/>
      <c r="I46" s="577"/>
      <c r="J46" s="577"/>
      <c r="K46" s="577"/>
      <c r="L46" s="577"/>
      <c r="M46" s="577"/>
      <c r="N46" s="577"/>
      <c r="O46" s="577"/>
      <c r="P46" s="577"/>
      <c r="Q46" s="577"/>
      <c r="R46" s="577"/>
      <c r="S46" s="577"/>
      <c r="T46" s="577"/>
      <c r="U46" s="577"/>
      <c r="V46" s="577"/>
      <c r="W46" s="577"/>
      <c r="X46" s="576"/>
      <c r="Y46" s="577"/>
      <c r="Z46" s="577"/>
      <c r="AA46" s="577"/>
    </row>
    <row r="47" spans="1:44" ht="1" hidden="1" customHeight="1" thickBot="1" x14ac:dyDescent="0.2">
      <c r="A47" s="576"/>
      <c r="B47" s="577"/>
      <c r="C47" s="686"/>
      <c r="D47" s="577"/>
      <c r="E47" s="577"/>
      <c r="F47" s="577"/>
      <c r="G47" s="577"/>
      <c r="H47" s="577"/>
      <c r="I47" s="577"/>
      <c r="J47" s="577"/>
      <c r="K47" s="577"/>
      <c r="L47" s="577"/>
      <c r="M47" s="577"/>
      <c r="N47" s="577"/>
      <c r="O47" s="577"/>
      <c r="P47" s="577"/>
      <c r="Q47" s="577"/>
      <c r="R47" s="577"/>
      <c r="S47" s="577"/>
      <c r="T47" s="577"/>
      <c r="U47" s="577"/>
      <c r="V47" s="577"/>
      <c r="W47" s="577"/>
      <c r="X47" s="576"/>
      <c r="Y47" s="577"/>
      <c r="Z47" s="577"/>
      <c r="AA47" s="577"/>
    </row>
    <row r="48" spans="1:44" ht="1" hidden="1" customHeight="1" thickBot="1" x14ac:dyDescent="0.2">
      <c r="A48" s="576"/>
      <c r="B48" s="577"/>
      <c r="C48" s="686"/>
      <c r="D48" s="577"/>
      <c r="E48" s="577"/>
      <c r="F48" s="577"/>
      <c r="G48" s="577"/>
      <c r="H48" s="577"/>
      <c r="I48" s="577"/>
      <c r="J48" s="577"/>
      <c r="K48" s="577"/>
      <c r="L48" s="577"/>
      <c r="M48" s="577"/>
      <c r="N48" s="577"/>
      <c r="O48" s="577"/>
      <c r="P48" s="577"/>
      <c r="Q48" s="577"/>
      <c r="R48" s="577"/>
      <c r="S48" s="577"/>
      <c r="T48" s="577"/>
      <c r="U48" s="577"/>
      <c r="V48" s="577"/>
      <c r="W48" s="577"/>
      <c r="X48" s="576"/>
      <c r="Y48" s="577"/>
      <c r="Z48" s="577"/>
      <c r="AA48" s="577"/>
    </row>
    <row r="49" spans="1:38" ht="1" hidden="1" customHeight="1" thickBot="1" x14ac:dyDescent="0.2">
      <c r="A49" s="576"/>
      <c r="B49" s="577"/>
      <c r="C49" s="686"/>
      <c r="D49" s="577"/>
      <c r="E49" s="577"/>
      <c r="F49" s="577"/>
      <c r="G49" s="577"/>
      <c r="H49" s="577"/>
      <c r="I49" s="577"/>
      <c r="J49" s="577"/>
      <c r="K49" s="577"/>
      <c r="L49" s="577"/>
      <c r="M49" s="577"/>
      <c r="N49" s="577"/>
      <c r="O49" s="577"/>
      <c r="P49" s="577"/>
      <c r="Q49" s="577"/>
      <c r="R49" s="577"/>
      <c r="S49" s="577"/>
      <c r="T49" s="577"/>
      <c r="U49" s="577"/>
      <c r="V49" s="577"/>
      <c r="W49" s="577"/>
      <c r="X49" s="576"/>
      <c r="Y49" s="577"/>
      <c r="Z49" s="577"/>
      <c r="AA49" s="577"/>
    </row>
    <row r="50" spans="1:38" s="145" customFormat="1" ht="1" hidden="1" customHeight="1" thickBot="1" x14ac:dyDescent="0.2">
      <c r="A50" s="576"/>
      <c r="B50" s="577"/>
      <c r="C50" s="686"/>
      <c r="D50" s="577"/>
      <c r="E50" s="577"/>
      <c r="F50" s="577"/>
      <c r="G50" s="577"/>
      <c r="H50" s="577"/>
      <c r="I50" s="577"/>
      <c r="J50" s="577"/>
      <c r="K50" s="577"/>
      <c r="L50" s="577"/>
      <c r="M50" s="577"/>
      <c r="N50" s="577"/>
      <c r="O50" s="577"/>
      <c r="P50" s="577"/>
      <c r="Q50" s="577"/>
      <c r="R50" s="577"/>
      <c r="S50" s="577"/>
      <c r="T50" s="577"/>
      <c r="U50" s="577"/>
      <c r="V50" s="577"/>
      <c r="W50" s="577"/>
      <c r="X50" s="576"/>
      <c r="Y50" s="577"/>
      <c r="Z50" s="577"/>
      <c r="AA50" s="577"/>
      <c r="AB50" s="435"/>
      <c r="AC50"/>
      <c r="AD50"/>
      <c r="AE50"/>
      <c r="AF50"/>
      <c r="AG50"/>
      <c r="AH50"/>
      <c r="AI50"/>
      <c r="AJ50"/>
      <c r="AK50"/>
      <c r="AL50"/>
    </row>
    <row r="51" spans="1:38" ht="1" hidden="1" customHeight="1" thickBot="1" x14ac:dyDescent="0.2">
      <c r="A51" s="576"/>
      <c r="B51" s="577"/>
      <c r="C51" s="686"/>
      <c r="D51" s="577"/>
      <c r="E51" s="577"/>
      <c r="F51" s="577"/>
      <c r="G51" s="577"/>
      <c r="H51" s="577"/>
      <c r="I51" s="577"/>
      <c r="J51" s="577"/>
      <c r="K51" s="577"/>
      <c r="L51" s="577"/>
      <c r="M51" s="577"/>
      <c r="N51" s="577"/>
      <c r="O51" s="577"/>
      <c r="P51" s="577"/>
      <c r="Q51" s="577"/>
      <c r="R51" s="577"/>
      <c r="S51" s="577"/>
      <c r="T51" s="577"/>
      <c r="U51" s="577"/>
      <c r="V51" s="577"/>
      <c r="W51" s="577"/>
      <c r="X51" s="576"/>
      <c r="Y51" s="577"/>
      <c r="Z51" s="577"/>
      <c r="AA51" s="577"/>
    </row>
    <row r="52" spans="1:38" ht="4" hidden="1" customHeight="1" thickBot="1" x14ac:dyDescent="0.2">
      <c r="A52" s="576"/>
      <c r="B52" s="577"/>
      <c r="C52" s="686"/>
      <c r="D52" s="577"/>
      <c r="E52" s="577"/>
      <c r="F52" s="577"/>
      <c r="G52" s="577"/>
      <c r="H52" s="577"/>
      <c r="I52" s="577"/>
      <c r="J52" s="577"/>
      <c r="K52" s="577"/>
      <c r="L52" s="577"/>
      <c r="M52" s="577"/>
      <c r="N52" s="577"/>
      <c r="O52" s="577"/>
      <c r="P52" s="577"/>
      <c r="Q52" s="577"/>
      <c r="R52" s="577"/>
      <c r="S52" s="577"/>
      <c r="T52" s="577"/>
      <c r="U52" s="577"/>
      <c r="V52" s="577"/>
      <c r="W52" s="577"/>
      <c r="X52" s="576"/>
      <c r="Y52" s="577"/>
      <c r="Z52" s="577"/>
      <c r="AA52" s="577"/>
    </row>
    <row r="53" spans="1:38" ht="1" hidden="1" customHeight="1" thickBot="1" x14ac:dyDescent="0.2">
      <c r="A53" s="576"/>
      <c r="B53" s="577"/>
      <c r="C53" s="686"/>
      <c r="D53" s="577"/>
      <c r="E53" s="577"/>
      <c r="F53" s="577"/>
      <c r="G53" s="577"/>
      <c r="H53" s="577"/>
      <c r="I53" s="577"/>
      <c r="J53" s="577"/>
      <c r="K53" s="577"/>
      <c r="L53" s="577"/>
      <c r="M53" s="577"/>
      <c r="N53" s="577"/>
      <c r="O53" s="577"/>
      <c r="P53" s="577"/>
      <c r="Q53" s="577"/>
      <c r="R53" s="577"/>
      <c r="S53" s="577"/>
      <c r="T53" s="577"/>
      <c r="U53" s="577"/>
      <c r="V53" s="577"/>
      <c r="W53" s="577"/>
      <c r="X53" s="576"/>
      <c r="Y53" s="577"/>
      <c r="Z53" s="577"/>
      <c r="AA53" s="577"/>
    </row>
    <row r="54" spans="1:38" ht="1" hidden="1" customHeight="1" thickBot="1" x14ac:dyDescent="0.2">
      <c r="A54" s="576"/>
      <c r="B54" s="577"/>
      <c r="C54" s="686"/>
      <c r="D54" s="577"/>
      <c r="E54" s="577"/>
      <c r="F54" s="577"/>
      <c r="G54" s="577"/>
      <c r="H54" s="577"/>
      <c r="I54" s="577"/>
      <c r="J54" s="577"/>
      <c r="K54" s="577"/>
      <c r="L54" s="577"/>
      <c r="M54" s="577"/>
      <c r="N54" s="577"/>
      <c r="O54" s="577"/>
      <c r="P54" s="577"/>
      <c r="Q54" s="577"/>
      <c r="R54" s="577"/>
      <c r="S54" s="577"/>
      <c r="T54" s="577"/>
      <c r="U54" s="577"/>
      <c r="V54" s="577"/>
      <c r="W54" s="577"/>
      <c r="X54" s="576"/>
      <c r="Y54" s="577"/>
      <c r="Z54" s="577"/>
      <c r="AA54" s="577"/>
    </row>
    <row r="55" spans="1:38" s="145" customFormat="1" ht="24" customHeight="1" thickBot="1" x14ac:dyDescent="0.25">
      <c r="A55" s="1071" t="s">
        <v>1</v>
      </c>
      <c r="B55" s="1072"/>
      <c r="C55" s="1073"/>
      <c r="D55" s="586">
        <f>D31-D66</f>
        <v>13.499999999999995</v>
      </c>
      <c r="E55" s="586">
        <f t="shared" ref="E55:AB55" si="45">E31-E66</f>
        <v>13.500000000000009</v>
      </c>
      <c r="F55" s="586">
        <f t="shared" si="45"/>
        <v>-46.8</v>
      </c>
      <c r="G55" s="586">
        <f t="shared" si="45"/>
        <v>8.9999999999999822</v>
      </c>
      <c r="H55" s="586">
        <f t="shared" si="45"/>
        <v>12.299999999999997</v>
      </c>
      <c r="I55" s="586">
        <f t="shared" si="45"/>
        <v>20.599999999999991</v>
      </c>
      <c r="J55" s="586">
        <f t="shared" si="45"/>
        <v>29.100000000000012</v>
      </c>
      <c r="K55" s="586">
        <f t="shared" si="45"/>
        <v>62.8</v>
      </c>
      <c r="L55" s="586">
        <f t="shared" si="45"/>
        <v>65.799999999999955</v>
      </c>
      <c r="M55" s="586">
        <f t="shared" si="45"/>
        <v>79.899999999999991</v>
      </c>
      <c r="N55" s="586">
        <f t="shared" si="45"/>
        <v>73.299999999999983</v>
      </c>
      <c r="O55" s="586">
        <f t="shared" si="45"/>
        <v>-14.2</v>
      </c>
      <c r="P55" s="586">
        <f t="shared" si="45"/>
        <v>35.499999999999964</v>
      </c>
      <c r="Q55" s="586">
        <f t="shared" si="45"/>
        <v>79.3</v>
      </c>
      <c r="R55" s="586">
        <f t="shared" si="45"/>
        <v>103.39999999999996</v>
      </c>
      <c r="S55" s="586">
        <f t="shared" si="45"/>
        <v>5.0999999999999552</v>
      </c>
      <c r="T55" s="586">
        <f t="shared" si="45"/>
        <v>132.89999999999998</v>
      </c>
      <c r="U55" s="586">
        <f t="shared" si="45"/>
        <v>155.89999999999998</v>
      </c>
      <c r="V55" s="586">
        <f t="shared" si="45"/>
        <v>191.60000000000008</v>
      </c>
      <c r="W55" s="586">
        <f t="shared" si="45"/>
        <v>203.99999999999997</v>
      </c>
      <c r="X55" s="587">
        <f t="shared" si="45"/>
        <v>192.78115661979439</v>
      </c>
      <c r="Y55" s="586">
        <f t="shared" si="45"/>
        <v>203.77440120580266</v>
      </c>
      <c r="Z55" s="586">
        <f t="shared" si="45"/>
        <v>228.3315701455524</v>
      </c>
      <c r="AA55" s="586">
        <f t="shared" si="45"/>
        <v>254.53716771594461</v>
      </c>
      <c r="AB55" s="588">
        <f t="shared" si="45"/>
        <v>282.23050501864998</v>
      </c>
      <c r="AC55"/>
      <c r="AD55"/>
      <c r="AE55"/>
      <c r="AF55"/>
      <c r="AG55"/>
      <c r="AH55"/>
      <c r="AI55"/>
      <c r="AJ55"/>
      <c r="AK55"/>
      <c r="AL55"/>
    </row>
    <row r="56" spans="1:38" s="515" customFormat="1" ht="33" customHeight="1" thickBot="1" x14ac:dyDescent="0.25">
      <c r="A56" s="967" t="s">
        <v>2</v>
      </c>
      <c r="B56" s="968"/>
      <c r="C56" s="969"/>
      <c r="D56" s="461">
        <f t="shared" ref="D56:T56" si="46">D31++IF(D25="-",0,D25)</f>
        <v>16.099999999999994</v>
      </c>
      <c r="E56" s="461">
        <f t="shared" si="46"/>
        <v>16.20000000000001</v>
      </c>
      <c r="F56" s="461">
        <f t="shared" si="46"/>
        <v>-43.199999999999996</v>
      </c>
      <c r="G56" s="461">
        <f t="shared" si="46"/>
        <v>12.499999999999982</v>
      </c>
      <c r="H56" s="461">
        <f t="shared" si="46"/>
        <v>16.999999999999996</v>
      </c>
      <c r="I56" s="461">
        <f t="shared" si="46"/>
        <v>22.899999999999991</v>
      </c>
      <c r="J56" s="461">
        <f t="shared" si="46"/>
        <v>33.300000000000011</v>
      </c>
      <c r="K56" s="461">
        <f t="shared" si="46"/>
        <v>78.5</v>
      </c>
      <c r="L56" s="461">
        <f t="shared" si="46"/>
        <v>87.799999999999955</v>
      </c>
      <c r="M56" s="461">
        <f t="shared" si="46"/>
        <v>110.29999999999998</v>
      </c>
      <c r="N56" s="461">
        <f>N31+IF(N25="-",0,N25)</f>
        <v>73.699999999999989</v>
      </c>
      <c r="O56" s="461">
        <f t="shared" si="46"/>
        <v>-2</v>
      </c>
      <c r="P56" s="461">
        <f t="shared" si="46"/>
        <v>48.099999999999966</v>
      </c>
      <c r="Q56" s="461">
        <f t="shared" si="46"/>
        <v>93.5</v>
      </c>
      <c r="R56" s="461">
        <f t="shared" si="46"/>
        <v>118.09999999999997</v>
      </c>
      <c r="S56" s="461">
        <f t="shared" si="46"/>
        <v>16.799999999999955</v>
      </c>
      <c r="T56" s="461">
        <f t="shared" si="46"/>
        <v>149.19999999999999</v>
      </c>
      <c r="U56" s="461">
        <f>U31++IF(U25="-",0,U25)</f>
        <v>178.39999999999998</v>
      </c>
      <c r="V56" s="461">
        <f t="shared" ref="V56:W56" si="47">V31++IF(V25="-",0,V25)</f>
        <v>222.80000000000007</v>
      </c>
      <c r="W56" s="461">
        <f t="shared" si="47"/>
        <v>239.7</v>
      </c>
      <c r="X56" s="475">
        <f t="shared" ref="X56:AB56" si="48">X31+X25</f>
        <v>226.49899233465143</v>
      </c>
      <c r="Y56" s="461">
        <f t="shared" si="48"/>
        <v>239.13721498630187</v>
      </c>
      <c r="Z56" s="461">
        <f t="shared" si="48"/>
        <v>267.64728978959772</v>
      </c>
      <c r="AA56" s="461">
        <f t="shared" si="48"/>
        <v>297.99687410067509</v>
      </c>
      <c r="AB56" s="462">
        <f t="shared" si="48"/>
        <v>329.97873428738455</v>
      </c>
    </row>
    <row r="57" spans="1:38" x14ac:dyDescent="0.2">
      <c r="A57" s="999" t="s">
        <v>98</v>
      </c>
      <c r="B57" s="1000"/>
      <c r="C57" s="1001"/>
      <c r="D57" s="636">
        <f t="shared" ref="D57:AB57" si="49">D56/D11</f>
        <v>0.16894018887722975</v>
      </c>
      <c r="E57" s="636">
        <f t="shared" si="49"/>
        <v>0.11497515968772186</v>
      </c>
      <c r="F57" s="636">
        <f t="shared" si="49"/>
        <v>-0.381288614298323</v>
      </c>
      <c r="G57" s="636">
        <f t="shared" si="49"/>
        <v>8.5499316005471837E-2</v>
      </c>
      <c r="H57" s="636">
        <f t="shared" si="49"/>
        <v>0.11067708333333331</v>
      </c>
      <c r="I57" s="636">
        <f t="shared" si="49"/>
        <v>0.13574392412566683</v>
      </c>
      <c r="J57" s="636">
        <f t="shared" si="49"/>
        <v>0.15395284327323167</v>
      </c>
      <c r="K57" s="636">
        <f t="shared" si="49"/>
        <v>0.2379508942103668</v>
      </c>
      <c r="L57" s="636">
        <f t="shared" si="49"/>
        <v>0.21577783239125081</v>
      </c>
      <c r="M57" s="636">
        <f t="shared" si="49"/>
        <v>0.29786659465298398</v>
      </c>
      <c r="N57" s="636">
        <f t="shared" si="49"/>
        <v>0.16450892857142854</v>
      </c>
      <c r="O57" s="636">
        <f t="shared" si="49"/>
        <v>-4.2238648363252373E-3</v>
      </c>
      <c r="P57" s="636">
        <f t="shared" si="49"/>
        <v>0.10684140382052414</v>
      </c>
      <c r="Q57" s="636">
        <f t="shared" si="49"/>
        <v>0.19987174005985464</v>
      </c>
      <c r="R57" s="636">
        <f t="shared" si="49"/>
        <v>0.25197354384467668</v>
      </c>
      <c r="S57" s="636">
        <f t="shared" si="49"/>
        <v>3.0967741935483788E-2</v>
      </c>
      <c r="T57" s="636">
        <f t="shared" si="49"/>
        <v>0.23533123028391165</v>
      </c>
      <c r="U57" s="636">
        <f t="shared" si="49"/>
        <v>0.24258906717432688</v>
      </c>
      <c r="V57" s="636">
        <f t="shared" si="49"/>
        <v>0.26495421572125111</v>
      </c>
      <c r="W57" s="637">
        <f t="shared" si="49"/>
        <v>0.24660493827160493</v>
      </c>
      <c r="X57" s="642">
        <f t="shared" si="49"/>
        <v>0.23968147337000151</v>
      </c>
      <c r="Y57" s="636">
        <f t="shared" si="49"/>
        <v>0.23204047337000158</v>
      </c>
      <c r="Z57" s="636">
        <f t="shared" si="49"/>
        <v>0.23903247337000147</v>
      </c>
      <c r="AA57" s="636">
        <f t="shared" si="49"/>
        <v>0.2457504733700015</v>
      </c>
      <c r="AB57" s="637">
        <f t="shared" si="49"/>
        <v>0.25207147337000158</v>
      </c>
    </row>
    <row r="58" spans="1:38" s="604" customFormat="1" x14ac:dyDescent="0.2">
      <c r="A58" s="1068"/>
      <c r="B58" s="1069"/>
      <c r="C58" s="1070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222"/>
      <c r="X58" s="104"/>
      <c r="Y58" s="87"/>
      <c r="Z58" s="87"/>
      <c r="AA58" s="87"/>
      <c r="AB58" s="222"/>
    </row>
    <row r="59" spans="1:38" s="604" customFormat="1" x14ac:dyDescent="0.2">
      <c r="A59" s="970" t="s">
        <v>332</v>
      </c>
      <c r="B59" s="971"/>
      <c r="C59" s="972"/>
      <c r="D59" s="630" t="s">
        <v>32</v>
      </c>
      <c r="E59" s="630" t="s">
        <v>32</v>
      </c>
      <c r="F59" s="630">
        <v>-1.1000000000000001</v>
      </c>
      <c r="G59" s="630">
        <v>-0.6</v>
      </c>
      <c r="H59" s="630">
        <v>-0.4</v>
      </c>
      <c r="I59" s="630">
        <v>-0.8</v>
      </c>
      <c r="J59" s="630">
        <v>-4.0999999999999996</v>
      </c>
      <c r="K59" s="630">
        <v>-5.2</v>
      </c>
      <c r="L59" s="630">
        <v>-7.1</v>
      </c>
      <c r="M59" s="630">
        <v>-7.3</v>
      </c>
      <c r="N59" s="630">
        <v>-10.5</v>
      </c>
      <c r="O59" s="630">
        <v>-6.9</v>
      </c>
      <c r="P59" s="630">
        <v>-7</v>
      </c>
      <c r="Q59" s="630">
        <v>-6.9</v>
      </c>
      <c r="R59" s="630">
        <v>-8.4</v>
      </c>
      <c r="S59" s="630">
        <v>-13.6</v>
      </c>
      <c r="T59" s="630">
        <v>-13</v>
      </c>
      <c r="U59" s="630">
        <v>-12.9</v>
      </c>
      <c r="V59" s="630">
        <v>-13.8</v>
      </c>
      <c r="W59" s="638">
        <v>-22.4</v>
      </c>
      <c r="X59" s="104"/>
      <c r="Y59" s="87"/>
      <c r="Z59" s="87"/>
      <c r="AA59" s="87"/>
      <c r="AB59" s="222"/>
    </row>
    <row r="60" spans="1:38" s="604" customFormat="1" x14ac:dyDescent="0.2">
      <c r="A60" s="970" t="s">
        <v>333</v>
      </c>
      <c r="B60" s="971"/>
      <c r="C60" s="972"/>
      <c r="D60" s="630">
        <v>0</v>
      </c>
      <c r="E60" s="630">
        <v>1.1000000000000001</v>
      </c>
      <c r="F60" s="630">
        <v>1.7</v>
      </c>
      <c r="G60" s="630">
        <v>3</v>
      </c>
      <c r="H60" s="630">
        <v>0.9</v>
      </c>
      <c r="I60" s="630">
        <v>-1.4</v>
      </c>
      <c r="J60" s="630">
        <v>9.6999999999999993</v>
      </c>
      <c r="K60" s="630">
        <v>7.5</v>
      </c>
      <c r="L60" s="630">
        <v>8.5</v>
      </c>
      <c r="M60" s="630">
        <v>-2.4</v>
      </c>
      <c r="N60" s="630">
        <v>1.8</v>
      </c>
      <c r="O60" s="630">
        <v>-4.9000000000000004</v>
      </c>
      <c r="P60" s="630">
        <v>-2.7</v>
      </c>
      <c r="Q60" s="630">
        <v>-1.9</v>
      </c>
      <c r="R60" s="630">
        <v>-0.6</v>
      </c>
      <c r="S60" s="630">
        <v>-1.1000000000000001</v>
      </c>
      <c r="T60" s="630">
        <v>-0.1</v>
      </c>
      <c r="U60" s="630">
        <v>-0.8</v>
      </c>
      <c r="V60" s="630">
        <v>1.1000000000000001</v>
      </c>
      <c r="W60" s="638">
        <v>4.4000000000000004</v>
      </c>
      <c r="X60" s="104"/>
      <c r="Y60" s="87"/>
      <c r="Z60" s="87"/>
      <c r="AA60" s="87"/>
      <c r="AB60" s="222"/>
    </row>
    <row r="61" spans="1:38" s="604" customFormat="1" x14ac:dyDescent="0.2">
      <c r="A61" s="970" t="s">
        <v>334</v>
      </c>
      <c r="B61" s="971"/>
      <c r="C61" s="972"/>
      <c r="D61" s="630">
        <v>-1</v>
      </c>
      <c r="E61" s="630">
        <v>-2.2999999999999998</v>
      </c>
      <c r="F61" s="630">
        <v>-2.5</v>
      </c>
      <c r="G61" s="630">
        <v>0</v>
      </c>
      <c r="H61" s="630">
        <v>2.1</v>
      </c>
      <c r="I61" s="630">
        <v>0</v>
      </c>
      <c r="J61" s="630" t="s">
        <v>32</v>
      </c>
      <c r="K61" s="630" t="s">
        <v>32</v>
      </c>
      <c r="L61" s="630" t="s">
        <v>32</v>
      </c>
      <c r="M61" s="630" t="s">
        <v>32</v>
      </c>
      <c r="N61" s="630" t="s">
        <v>32</v>
      </c>
      <c r="O61" s="630" t="s">
        <v>32</v>
      </c>
      <c r="P61" s="630" t="s">
        <v>32</v>
      </c>
      <c r="Q61" s="630">
        <v>-2.2000000000000002</v>
      </c>
      <c r="R61" s="630">
        <v>-2.9</v>
      </c>
      <c r="S61" s="630">
        <v>-3.9</v>
      </c>
      <c r="T61" s="630">
        <v>-4</v>
      </c>
      <c r="U61" s="630">
        <v>-3.7</v>
      </c>
      <c r="V61" s="630">
        <v>-10.6</v>
      </c>
      <c r="W61" s="638">
        <v>-4.9000000000000004</v>
      </c>
      <c r="X61" s="104"/>
      <c r="Y61" s="87"/>
      <c r="Z61" s="87"/>
      <c r="AA61" s="87"/>
      <c r="AB61" s="222"/>
    </row>
    <row r="62" spans="1:38" s="604" customFormat="1" x14ac:dyDescent="0.2">
      <c r="A62" s="970" t="s">
        <v>338</v>
      </c>
      <c r="B62" s="971"/>
      <c r="C62" s="972"/>
      <c r="D62" s="630">
        <f>-(D60+IF(D59="-",0,D59)+IF(D61="-",0,D61))</f>
        <v>1</v>
      </c>
      <c r="E62" s="630">
        <f t="shared" ref="E62:W62" si="50">-(E60+IF(E59="-",0,E59)+IF(E61="-",0,E61))</f>
        <v>1.1999999999999997</v>
      </c>
      <c r="F62" s="630">
        <f t="shared" si="50"/>
        <v>1.9000000000000001</v>
      </c>
      <c r="G62" s="630">
        <f t="shared" si="50"/>
        <v>-2.4</v>
      </c>
      <c r="H62" s="630">
        <f t="shared" si="50"/>
        <v>-2.6</v>
      </c>
      <c r="I62" s="630">
        <f t="shared" si="50"/>
        <v>2.2000000000000002</v>
      </c>
      <c r="J62" s="630">
        <f t="shared" si="50"/>
        <v>-5.6</v>
      </c>
      <c r="K62" s="630">
        <f t="shared" si="50"/>
        <v>-2.2999999999999998</v>
      </c>
      <c r="L62" s="630">
        <f t="shared" si="50"/>
        <v>-1.4000000000000004</v>
      </c>
      <c r="M62" s="630">
        <f t="shared" si="50"/>
        <v>9.6999999999999993</v>
      </c>
      <c r="N62" s="630">
        <f t="shared" si="50"/>
        <v>8.6999999999999993</v>
      </c>
      <c r="O62" s="630">
        <f t="shared" si="50"/>
        <v>11.8</v>
      </c>
      <c r="P62" s="630">
        <f t="shared" si="50"/>
        <v>9.6999999999999993</v>
      </c>
      <c r="Q62" s="630">
        <f t="shared" si="50"/>
        <v>11</v>
      </c>
      <c r="R62" s="630">
        <f t="shared" si="50"/>
        <v>11.9</v>
      </c>
      <c r="S62" s="630">
        <f t="shared" si="50"/>
        <v>18.599999999999998</v>
      </c>
      <c r="T62" s="630">
        <f t="shared" si="50"/>
        <v>17.100000000000001</v>
      </c>
      <c r="U62" s="630">
        <f t="shared" si="50"/>
        <v>17.400000000000002</v>
      </c>
      <c r="V62" s="630">
        <f t="shared" si="50"/>
        <v>23.3</v>
      </c>
      <c r="W62" s="638">
        <f t="shared" si="50"/>
        <v>22.9</v>
      </c>
      <c r="X62" s="635">
        <f>W62*(1+X63)</f>
        <v>26.294682216207288</v>
      </c>
      <c r="Y62" s="630">
        <f t="shared" ref="Y62:AB62" si="51">X62*(1+Y63)</f>
        <v>30.192590080844013</v>
      </c>
      <c r="Z62" s="630">
        <f t="shared" si="51"/>
        <v>34.668321461135619</v>
      </c>
      <c r="AA62" s="630">
        <f t="shared" si="51"/>
        <v>39.807532567243683</v>
      </c>
      <c r="AB62" s="638">
        <f t="shared" si="51"/>
        <v>45.708577234366594</v>
      </c>
    </row>
    <row r="63" spans="1:38" s="604" customFormat="1" ht="17" thickBot="1" x14ac:dyDescent="0.25">
      <c r="A63" s="1053" t="s">
        <v>337</v>
      </c>
      <c r="B63" s="1054"/>
      <c r="C63" s="1055"/>
      <c r="D63" s="639" t="s">
        <v>32</v>
      </c>
      <c r="E63" s="640">
        <f>(E62-D62)/D62</f>
        <v>0.19999999999999973</v>
      </c>
      <c r="F63" s="640">
        <f t="shared" ref="F63:W63" si="52">(F62-E62)/E62</f>
        <v>0.58333333333333381</v>
      </c>
      <c r="G63" s="640">
        <f t="shared" si="52"/>
        <v>-2.263157894736842</v>
      </c>
      <c r="H63" s="640">
        <f t="shared" si="52"/>
        <v>8.3333333333333412E-2</v>
      </c>
      <c r="I63" s="640">
        <f t="shared" si="52"/>
        <v>-1.8461538461538463</v>
      </c>
      <c r="J63" s="640">
        <f t="shared" si="52"/>
        <v>-3.545454545454545</v>
      </c>
      <c r="K63" s="640">
        <f t="shared" si="52"/>
        <v>-0.5892857142857143</v>
      </c>
      <c r="L63" s="640">
        <f t="shared" si="52"/>
        <v>-0.39130434782608675</v>
      </c>
      <c r="M63" s="640">
        <f t="shared" si="52"/>
        <v>-7.9285714285714262</v>
      </c>
      <c r="N63" s="640">
        <f t="shared" si="52"/>
        <v>-0.10309278350515465</v>
      </c>
      <c r="O63" s="640">
        <f t="shared" si="52"/>
        <v>0.35632183908045995</v>
      </c>
      <c r="P63" s="640">
        <f t="shared" si="52"/>
        <v>-0.17796610169491536</v>
      </c>
      <c r="Q63" s="640">
        <f t="shared" si="52"/>
        <v>0.13402061855670111</v>
      </c>
      <c r="R63" s="640">
        <f t="shared" si="52"/>
        <v>8.1818181818181845E-2</v>
      </c>
      <c r="S63" s="640">
        <f t="shared" si="52"/>
        <v>0.56302521008403339</v>
      </c>
      <c r="T63" s="640">
        <f t="shared" si="52"/>
        <v>-8.0645161290322398E-2</v>
      </c>
      <c r="U63" s="640">
        <f t="shared" si="52"/>
        <v>1.7543859649122848E-2</v>
      </c>
      <c r="V63" s="640">
        <f t="shared" si="52"/>
        <v>0.33908045977011481</v>
      </c>
      <c r="W63" s="641">
        <f t="shared" si="52"/>
        <v>-1.7167381974249017E-2</v>
      </c>
      <c r="X63" s="643">
        <f>$AH$33</f>
        <v>0.14823939808765466</v>
      </c>
      <c r="Y63" s="644">
        <f t="shared" ref="Y63:AB63" si="53">$AH$33</f>
        <v>0.14823939808765466</v>
      </c>
      <c r="Z63" s="644">
        <f t="shared" si="53"/>
        <v>0.14823939808765466</v>
      </c>
      <c r="AA63" s="644">
        <f t="shared" si="53"/>
        <v>0.14823939808765466</v>
      </c>
      <c r="AB63" s="645">
        <f t="shared" si="53"/>
        <v>0.14823939808765466</v>
      </c>
      <c r="AC63" s="605"/>
    </row>
    <row r="64" spans="1:38" s="604" customFormat="1" ht="17" thickBot="1" x14ac:dyDescent="0.25">
      <c r="A64" s="1067" t="s">
        <v>335</v>
      </c>
      <c r="B64" s="968"/>
      <c r="C64" s="969"/>
      <c r="D64" s="633">
        <f>D31-D62</f>
        <v>14.599999999999994</v>
      </c>
      <c r="E64" s="633">
        <f t="shared" ref="E64:AA64" si="54">E31-E62</f>
        <v>14.400000000000009</v>
      </c>
      <c r="F64" s="633">
        <f t="shared" si="54"/>
        <v>-46.3</v>
      </c>
      <c r="G64" s="633">
        <f t="shared" si="54"/>
        <v>13.199999999999983</v>
      </c>
      <c r="H64" s="633">
        <f t="shared" si="54"/>
        <v>17.899999999999999</v>
      </c>
      <c r="I64" s="633">
        <f t="shared" si="54"/>
        <v>20.699999999999992</v>
      </c>
      <c r="J64" s="633">
        <f t="shared" si="54"/>
        <v>38.900000000000013</v>
      </c>
      <c r="K64" s="633">
        <f t="shared" si="54"/>
        <v>64.8</v>
      </c>
      <c r="L64" s="633">
        <f t="shared" si="54"/>
        <v>65.299999999999955</v>
      </c>
      <c r="M64" s="633">
        <f t="shared" si="54"/>
        <v>70.499999999999986</v>
      </c>
      <c r="N64" s="633">
        <f t="shared" si="54"/>
        <v>64.999999999999986</v>
      </c>
      <c r="O64" s="633">
        <f t="shared" si="54"/>
        <v>-13.8</v>
      </c>
      <c r="P64" s="633">
        <f t="shared" si="54"/>
        <v>38.399999999999963</v>
      </c>
      <c r="Q64" s="633">
        <f t="shared" si="54"/>
        <v>82.5</v>
      </c>
      <c r="R64" s="633">
        <f t="shared" si="54"/>
        <v>106.19999999999996</v>
      </c>
      <c r="S64" s="633">
        <f t="shared" si="54"/>
        <v>-1.8000000000000433</v>
      </c>
      <c r="T64" s="633">
        <f t="shared" si="54"/>
        <v>132.1</v>
      </c>
      <c r="U64" s="633">
        <f t="shared" si="54"/>
        <v>160.99999999999997</v>
      </c>
      <c r="V64" s="633">
        <f t="shared" si="54"/>
        <v>195.50000000000006</v>
      </c>
      <c r="W64" s="633">
        <f t="shared" si="54"/>
        <v>212.49999999999997</v>
      </c>
      <c r="X64" s="646">
        <f t="shared" si="54"/>
        <v>195.86644047480834</v>
      </c>
      <c r="Y64" s="633">
        <f t="shared" si="54"/>
        <v>204.21389544112782</v>
      </c>
      <c r="Z64" s="633">
        <f t="shared" si="54"/>
        <v>227.83911609931386</v>
      </c>
      <c r="AA64" s="633">
        <f t="shared" si="54"/>
        <v>252.62310017494224</v>
      </c>
      <c r="AB64" s="634">
        <f>AB31-AB62</f>
        <v>278.26109151092163</v>
      </c>
    </row>
    <row r="65" spans="1:38" s="145" customFormat="1" x14ac:dyDescent="0.2">
      <c r="A65" s="961"/>
      <c r="B65" s="962"/>
      <c r="C65" s="963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8"/>
      <c r="P65" s="568"/>
      <c r="Q65" s="568"/>
      <c r="R65" s="568"/>
      <c r="S65" s="568"/>
      <c r="T65" s="568"/>
      <c r="U65" s="568"/>
      <c r="V65" s="568"/>
      <c r="W65" s="568"/>
      <c r="X65" s="619"/>
      <c r="Y65" s="620"/>
      <c r="Z65" s="620"/>
      <c r="AA65" s="620"/>
      <c r="AB65" s="621"/>
      <c r="AC65" s="426"/>
      <c r="AD65"/>
      <c r="AE65"/>
      <c r="AF65"/>
      <c r="AG65"/>
      <c r="AH65"/>
      <c r="AI65"/>
      <c r="AJ65"/>
      <c r="AK65"/>
      <c r="AL65"/>
    </row>
    <row r="66" spans="1:38" x14ac:dyDescent="0.2">
      <c r="A66" s="970" t="s">
        <v>24</v>
      </c>
      <c r="B66" s="971"/>
      <c r="C66" s="972"/>
      <c r="D66" s="4">
        <v>2.1</v>
      </c>
      <c r="E66" s="4">
        <v>2.1</v>
      </c>
      <c r="F66" s="4">
        <v>2.4</v>
      </c>
      <c r="G66" s="4">
        <v>1.8</v>
      </c>
      <c r="H66" s="4">
        <v>3</v>
      </c>
      <c r="I66" s="4">
        <v>2.2999999999999998</v>
      </c>
      <c r="J66" s="4">
        <v>4.2</v>
      </c>
      <c r="K66" s="4">
        <v>-0.3</v>
      </c>
      <c r="L66" s="4">
        <v>-1.9</v>
      </c>
      <c r="M66" s="4">
        <v>0.3</v>
      </c>
      <c r="N66" s="4">
        <v>0.4</v>
      </c>
      <c r="O66" s="4">
        <v>12.2</v>
      </c>
      <c r="P66" s="4">
        <v>12.6</v>
      </c>
      <c r="Q66" s="4">
        <v>14.2</v>
      </c>
      <c r="R66" s="4">
        <v>14.7</v>
      </c>
      <c r="S66" s="4">
        <v>11.7</v>
      </c>
      <c r="T66" s="4">
        <v>16.3</v>
      </c>
      <c r="U66" s="4">
        <v>22.5</v>
      </c>
      <c r="V66" s="4">
        <v>27.2</v>
      </c>
      <c r="W66" s="88">
        <v>31.4</v>
      </c>
      <c r="X66" s="105">
        <f>X64*X67</f>
        <v>29.379966071221251</v>
      </c>
      <c r="Y66" s="88">
        <f t="shared" ref="Y66:AB66" si="55">Y64*Y67</f>
        <v>30.63208431616917</v>
      </c>
      <c r="Z66" s="88">
        <f t="shared" si="55"/>
        <v>34.175867414897077</v>
      </c>
      <c r="AA66" s="88">
        <f t="shared" si="55"/>
        <v>37.893465026241337</v>
      </c>
      <c r="AB66" s="221">
        <f t="shared" si="55"/>
        <v>41.739163726638246</v>
      </c>
      <c r="AC66" s="426"/>
    </row>
    <row r="67" spans="1:38" s="145" customFormat="1" x14ac:dyDescent="0.2">
      <c r="A67" s="964" t="s">
        <v>101</v>
      </c>
      <c r="B67" s="965"/>
      <c r="C67" s="966"/>
      <c r="D67" s="107">
        <f>D66/D64</f>
        <v>0.14383561643835624</v>
      </c>
      <c r="E67" s="107">
        <f t="shared" ref="E67:W67" si="56">E66/E64</f>
        <v>0.14583333333333326</v>
      </c>
      <c r="F67" s="107">
        <f t="shared" si="56"/>
        <v>-5.183585313174946E-2</v>
      </c>
      <c r="G67" s="107">
        <f t="shared" si="56"/>
        <v>0.13636363636363655</v>
      </c>
      <c r="H67" s="107">
        <f t="shared" si="56"/>
        <v>0.16759776536312851</v>
      </c>
      <c r="I67" s="107">
        <f t="shared" si="56"/>
        <v>0.11111111111111115</v>
      </c>
      <c r="J67" s="107">
        <f t="shared" si="56"/>
        <v>0.10796915167095113</v>
      </c>
      <c r="K67" s="107">
        <f t="shared" si="56"/>
        <v>-4.6296296296296294E-3</v>
      </c>
      <c r="L67" s="107">
        <f t="shared" si="56"/>
        <v>-2.9096477794793282E-2</v>
      </c>
      <c r="M67" s="107">
        <f t="shared" si="56"/>
        <v>4.2553191489361712E-3</v>
      </c>
      <c r="N67" s="107">
        <f t="shared" si="56"/>
        <v>6.1538461538461556E-3</v>
      </c>
      <c r="O67" s="107">
        <f t="shared" si="56"/>
        <v>-0.88405797101449268</v>
      </c>
      <c r="P67" s="107">
        <f t="shared" si="56"/>
        <v>0.32812500000000033</v>
      </c>
      <c r="Q67" s="107">
        <f t="shared" si="56"/>
        <v>0.17212121212121212</v>
      </c>
      <c r="R67" s="107">
        <f t="shared" si="56"/>
        <v>0.13841807909604525</v>
      </c>
      <c r="S67" s="107">
        <f t="shared" si="56"/>
        <v>-6.4999999999998428</v>
      </c>
      <c r="T67" s="107">
        <f t="shared" si="56"/>
        <v>0.12339137017411053</v>
      </c>
      <c r="U67" s="107">
        <f t="shared" si="56"/>
        <v>0.13975155279503107</v>
      </c>
      <c r="V67" s="107">
        <f t="shared" si="56"/>
        <v>0.13913043478260864</v>
      </c>
      <c r="W67" s="107">
        <f t="shared" si="56"/>
        <v>0.14776470588235296</v>
      </c>
      <c r="X67" s="106">
        <f>Rates!$I$21</f>
        <v>0.15</v>
      </c>
      <c r="Y67" s="107">
        <f>Rates!$I$21</f>
        <v>0.15</v>
      </c>
      <c r="Z67" s="107">
        <f>Rates!$I$21</f>
        <v>0.15</v>
      </c>
      <c r="AA67" s="107">
        <f>Rates!$I$21</f>
        <v>0.15</v>
      </c>
      <c r="AB67" s="223">
        <f>Rates!$I$21</f>
        <v>0.15</v>
      </c>
      <c r="AC67"/>
      <c r="AD67"/>
      <c r="AE67"/>
      <c r="AF67"/>
      <c r="AG67"/>
      <c r="AH67"/>
      <c r="AI67"/>
      <c r="AJ67"/>
      <c r="AK67"/>
      <c r="AL67"/>
    </row>
    <row r="68" spans="1:38" x14ac:dyDescent="0.2">
      <c r="A68" s="961"/>
      <c r="B68" s="962"/>
      <c r="C68" s="963"/>
      <c r="D68" s="568"/>
      <c r="E68" s="568"/>
      <c r="F68" s="568"/>
      <c r="G68" s="568"/>
      <c r="H68" s="568"/>
      <c r="I68" s="568"/>
      <c r="J68" s="568"/>
      <c r="K68" s="568"/>
      <c r="L68" s="568"/>
      <c r="M68" s="568"/>
      <c r="N68" s="568"/>
      <c r="O68" s="568"/>
      <c r="P68" s="568"/>
      <c r="Q68" s="568"/>
      <c r="R68" s="568"/>
      <c r="S68" s="568"/>
      <c r="T68" s="568"/>
      <c r="U68" s="568"/>
      <c r="V68" s="568"/>
      <c r="W68" s="568"/>
      <c r="X68" s="623"/>
      <c r="Y68" s="624"/>
      <c r="Z68" s="624"/>
      <c r="AA68" s="624"/>
      <c r="AE68" s="757"/>
    </row>
    <row r="69" spans="1:38" s="145" customFormat="1" x14ac:dyDescent="0.2">
      <c r="A69" s="970" t="s">
        <v>29</v>
      </c>
      <c r="B69" s="971"/>
      <c r="C69" s="972"/>
      <c r="D69" s="181">
        <v>-0.5</v>
      </c>
      <c r="E69" s="181">
        <v>-1.8</v>
      </c>
      <c r="F69" s="181">
        <v>0</v>
      </c>
      <c r="G69" s="181">
        <v>0</v>
      </c>
      <c r="H69" s="181">
        <v>0.8</v>
      </c>
      <c r="I69" s="181">
        <v>0.3</v>
      </c>
      <c r="J69" s="181">
        <v>0.1</v>
      </c>
      <c r="K69" s="181">
        <v>0</v>
      </c>
      <c r="L69" s="181">
        <v>-0.5</v>
      </c>
      <c r="M69" s="181">
        <v>0.1</v>
      </c>
      <c r="N69" s="181">
        <v>0.2</v>
      </c>
      <c r="O69" s="181">
        <v>0.1</v>
      </c>
      <c r="P69" s="181">
        <v>0</v>
      </c>
      <c r="Q69" s="181">
        <v>0</v>
      </c>
      <c r="R69" s="181">
        <v>0</v>
      </c>
      <c r="S69" s="181">
        <v>0</v>
      </c>
      <c r="T69" s="181">
        <v>0</v>
      </c>
      <c r="U69" s="181">
        <v>0</v>
      </c>
      <c r="V69" s="181">
        <v>0</v>
      </c>
      <c r="W69" s="185">
        <v>0</v>
      </c>
      <c r="X69" s="184">
        <f>X70*X11</f>
        <v>0</v>
      </c>
      <c r="Y69" s="185">
        <f>Y70*Y11</f>
        <v>0</v>
      </c>
      <c r="Z69" s="185">
        <f>Z70*Z11</f>
        <v>0</v>
      </c>
      <c r="AA69" s="185">
        <f>AA70*AA11</f>
        <v>0</v>
      </c>
      <c r="AB69" s="205">
        <f>AB70*AB11</f>
        <v>0</v>
      </c>
      <c r="AC69"/>
      <c r="AD69"/>
      <c r="AE69"/>
      <c r="AF69"/>
      <c r="AG69"/>
      <c r="AH69"/>
      <c r="AI69"/>
      <c r="AJ69"/>
      <c r="AK69"/>
      <c r="AL69"/>
    </row>
    <row r="70" spans="1:38" x14ac:dyDescent="0.2">
      <c r="A70" s="964" t="s">
        <v>98</v>
      </c>
      <c r="B70" s="965"/>
      <c r="C70" s="966"/>
      <c r="D70" s="84">
        <f t="shared" ref="D70:W70" si="57">D69/D11</f>
        <v>-5.2465897166841559E-3</v>
      </c>
      <c r="E70" s="84">
        <f t="shared" si="57"/>
        <v>-1.2775017743080198E-2</v>
      </c>
      <c r="F70" s="84">
        <f t="shared" si="57"/>
        <v>0</v>
      </c>
      <c r="G70" s="84">
        <f t="shared" si="57"/>
        <v>0</v>
      </c>
      <c r="H70" s="84">
        <f t="shared" si="57"/>
        <v>5.2083333333333339E-3</v>
      </c>
      <c r="I70" s="84">
        <f t="shared" si="57"/>
        <v>1.7783046828689982E-3</v>
      </c>
      <c r="J70" s="84">
        <f t="shared" si="57"/>
        <v>4.6232085067036521E-4</v>
      </c>
      <c r="K70" s="84">
        <f t="shared" si="57"/>
        <v>0</v>
      </c>
      <c r="L70" s="84">
        <f t="shared" si="57"/>
        <v>-1.2288031457360531E-3</v>
      </c>
      <c r="M70" s="84">
        <f t="shared" si="57"/>
        <v>2.7005130974885227E-4</v>
      </c>
      <c r="N70" s="84">
        <f t="shared" si="57"/>
        <v>4.4642857142857147E-4</v>
      </c>
      <c r="O70" s="84">
        <f t="shared" si="57"/>
        <v>2.111932418162619E-4</v>
      </c>
      <c r="P70" s="84">
        <f t="shared" si="57"/>
        <v>0</v>
      </c>
      <c r="Q70" s="84">
        <f t="shared" si="57"/>
        <v>0</v>
      </c>
      <c r="R70" s="84">
        <f t="shared" si="57"/>
        <v>0</v>
      </c>
      <c r="S70" s="84">
        <f t="shared" si="57"/>
        <v>0</v>
      </c>
      <c r="T70" s="84">
        <f t="shared" si="57"/>
        <v>0</v>
      </c>
      <c r="U70" s="84">
        <f t="shared" si="57"/>
        <v>0</v>
      </c>
      <c r="V70" s="84">
        <f t="shared" si="57"/>
        <v>0</v>
      </c>
      <c r="W70" s="84">
        <f t="shared" si="57"/>
        <v>0</v>
      </c>
      <c r="X70" s="182">
        <f t="shared" ref="X70:AB70" si="58">$AH$30</f>
        <v>0</v>
      </c>
      <c r="Y70" s="183">
        <f t="shared" si="58"/>
        <v>0</v>
      </c>
      <c r="Z70" s="183">
        <f t="shared" si="58"/>
        <v>0</v>
      </c>
      <c r="AA70" s="183">
        <f t="shared" si="58"/>
        <v>0</v>
      </c>
      <c r="AB70" s="224">
        <f t="shared" si="58"/>
        <v>0</v>
      </c>
    </row>
    <row r="71" spans="1:38" ht="17" thickBot="1" x14ac:dyDescent="0.25">
      <c r="A71" s="964"/>
      <c r="B71" s="965"/>
      <c r="C71" s="966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8"/>
      <c r="P71" s="568"/>
      <c r="Q71" s="568"/>
      <c r="R71" s="568"/>
      <c r="S71" s="568"/>
      <c r="T71" s="568"/>
      <c r="U71" s="568"/>
      <c r="V71" s="568"/>
      <c r="W71" s="568"/>
      <c r="X71" s="368"/>
      <c r="Y71" s="402"/>
      <c r="Z71" s="402"/>
      <c r="AA71" s="402"/>
      <c r="AB71" s="403"/>
    </row>
    <row r="72" spans="1:38" ht="17" thickBot="1" x14ac:dyDescent="0.25">
      <c r="A72" s="967" t="s">
        <v>102</v>
      </c>
      <c r="B72" s="968"/>
      <c r="C72" s="969"/>
      <c r="D72" s="463">
        <f>D64-D66-SUMIF(D69,"&lt;&gt;-")</f>
        <v>12.999999999999995</v>
      </c>
      <c r="E72" s="463">
        <f t="shared" ref="E72:AA72" si="59">E64-E66-SUMIF(E69,"&lt;&gt;-")</f>
        <v>14.10000000000001</v>
      </c>
      <c r="F72" s="463">
        <f t="shared" si="59"/>
        <v>-48.699999999999996</v>
      </c>
      <c r="G72" s="463">
        <f t="shared" si="59"/>
        <v>11.399999999999983</v>
      </c>
      <c r="H72" s="463">
        <f t="shared" si="59"/>
        <v>14.099999999999998</v>
      </c>
      <c r="I72" s="463">
        <f t="shared" si="59"/>
        <v>18.099999999999991</v>
      </c>
      <c r="J72" s="463">
        <f t="shared" si="59"/>
        <v>34.600000000000009</v>
      </c>
      <c r="K72" s="463">
        <f t="shared" si="59"/>
        <v>65.099999999999994</v>
      </c>
      <c r="L72" s="463">
        <f t="shared" si="59"/>
        <v>67.69999999999996</v>
      </c>
      <c r="M72" s="463">
        <f t="shared" si="59"/>
        <v>70.099999999999994</v>
      </c>
      <c r="N72" s="463">
        <f t="shared" si="59"/>
        <v>64.399999999999977</v>
      </c>
      <c r="O72" s="463">
        <f t="shared" si="59"/>
        <v>-26.1</v>
      </c>
      <c r="P72" s="463">
        <f t="shared" si="59"/>
        <v>25.799999999999962</v>
      </c>
      <c r="Q72" s="463">
        <f t="shared" si="59"/>
        <v>68.3</v>
      </c>
      <c r="R72" s="463">
        <f t="shared" si="59"/>
        <v>91.499999999999957</v>
      </c>
      <c r="S72" s="463">
        <f t="shared" si="59"/>
        <v>-13.500000000000043</v>
      </c>
      <c r="T72" s="463">
        <f t="shared" si="59"/>
        <v>115.8</v>
      </c>
      <c r="U72" s="463">
        <f t="shared" si="59"/>
        <v>138.49999999999997</v>
      </c>
      <c r="V72" s="463">
        <f t="shared" si="59"/>
        <v>168.30000000000007</v>
      </c>
      <c r="W72" s="463">
        <f t="shared" si="59"/>
        <v>181.09999999999997</v>
      </c>
      <c r="X72" s="477">
        <f>X64-X66-SUMIF(X69,"&lt;&gt;-")</f>
        <v>166.4864744035871</v>
      </c>
      <c r="Y72" s="463">
        <f t="shared" si="59"/>
        <v>173.58181112495865</v>
      </c>
      <c r="Z72" s="463">
        <f t="shared" si="59"/>
        <v>193.66324868441677</v>
      </c>
      <c r="AA72" s="463">
        <f t="shared" si="59"/>
        <v>214.72963514870091</v>
      </c>
      <c r="AB72" s="464">
        <f>AB64-AB66-SUMIF(AB69,"&lt;&gt;-")</f>
        <v>236.52192778428338</v>
      </c>
    </row>
    <row r="73" spans="1:38" x14ac:dyDescent="0.2">
      <c r="A73" s="973" t="s">
        <v>95</v>
      </c>
      <c r="B73" s="974"/>
      <c r="C73" s="975"/>
      <c r="D73" s="113" t="s">
        <v>32</v>
      </c>
      <c r="E73" s="214">
        <f t="shared" ref="E73" si="60">(E72-D72)/ABS(D72)</f>
        <v>8.4615384615385855E-2</v>
      </c>
      <c r="F73" s="214">
        <f t="shared" ref="F73" si="61">(F72-E72)/ABS(E72)</f>
        <v>-4.4539007092198553</v>
      </c>
      <c r="G73" s="214">
        <f t="shared" ref="G73" si="62">(G72-F72)/ABS(F72)</f>
        <v>1.2340862422997945</v>
      </c>
      <c r="H73" s="214">
        <f t="shared" ref="H73" si="63">(H72-G72)/ABS(G72)</f>
        <v>0.2368421052631596</v>
      </c>
      <c r="I73" s="214">
        <f t="shared" ref="I73" si="64">(I72-H72)/ABS(H72)</f>
        <v>0.28368794326241087</v>
      </c>
      <c r="J73" s="214">
        <f t="shared" ref="J73" si="65">(J72-I72)/ABS(I72)</f>
        <v>0.91160220994475283</v>
      </c>
      <c r="K73" s="214">
        <f t="shared" ref="K73" si="66">(K72-J72)/ABS(J72)</f>
        <v>0.88150289017340977</v>
      </c>
      <c r="L73" s="214">
        <f t="shared" ref="L73" si="67">(L72-K72)/ABS(K72)</f>
        <v>3.9938556067587803E-2</v>
      </c>
      <c r="M73" s="214">
        <f t="shared" ref="M73" si="68">(M72-L72)/ABS(L72)</f>
        <v>3.5450516986706579E-2</v>
      </c>
      <c r="N73" s="214">
        <f t="shared" ref="N73" si="69">(N72-M72)/ABS(M72)</f>
        <v>-8.1312410841655025E-2</v>
      </c>
      <c r="O73" s="214">
        <f t="shared" ref="O73" si="70">(O72-N72)/ABS(N72)</f>
        <v>-1.40527950310559</v>
      </c>
      <c r="P73" s="214">
        <f t="shared" ref="P73" si="71">(P72-O72)/ABS(O72)</f>
        <v>1.9885057471264354</v>
      </c>
      <c r="Q73" s="214">
        <f t="shared" ref="Q73" si="72">(Q72-P72)/ABS(P72)</f>
        <v>1.6472868217054302</v>
      </c>
      <c r="R73" s="214">
        <f t="shared" ref="R73" si="73">(R72-Q72)/ABS(Q72)</f>
        <v>0.33967789165446505</v>
      </c>
      <c r="S73" s="214">
        <f t="shared" ref="S73:T73" si="74">(S72-R72)/ABS(R72)</f>
        <v>-1.147540983606558</v>
      </c>
      <c r="T73" s="214">
        <f t="shared" si="74"/>
        <v>9.5777777777777509</v>
      </c>
      <c r="U73" s="214">
        <f>(U72-T72)/ABS(T72)</f>
        <v>0.19602763385146782</v>
      </c>
      <c r="V73" s="214">
        <f>(V72-U72)/ABS(U72)</f>
        <v>0.21516245487364696</v>
      </c>
      <c r="W73" s="214">
        <f>(W72-V72)/ABS(V72)</f>
        <v>7.6054664289957774E-2</v>
      </c>
      <c r="X73" s="215">
        <f t="shared" ref="X73" si="75">(X72-W72)/W72</f>
        <v>-8.0693128638392453E-2</v>
      </c>
      <c r="Y73" s="214">
        <f t="shared" ref="Y73" si="76">(Y72-X72)/X72</f>
        <v>4.2618097036348057E-2</v>
      </c>
      <c r="Z73" s="214">
        <f t="shared" ref="Z73" si="77">(Z72-Y72)/Y72</f>
        <v>0.11568860486771758</v>
      </c>
      <c r="AA73" s="214">
        <f t="shared" ref="AA73:AB73" si="78">(AA72-Z72)/Z72</f>
        <v>0.10877844199863025</v>
      </c>
      <c r="AB73" s="226">
        <f t="shared" si="78"/>
        <v>0.10148712179616587</v>
      </c>
    </row>
    <row r="74" spans="1:38" x14ac:dyDescent="0.2">
      <c r="A74" s="973" t="s">
        <v>100</v>
      </c>
      <c r="B74" s="974"/>
      <c r="C74" s="975"/>
      <c r="D74" s="214">
        <f t="shared" ref="D74:AB74" si="79">D72/D11</f>
        <v>0.13641133263378799</v>
      </c>
      <c r="E74" s="214">
        <f t="shared" si="79"/>
        <v>0.10007097232079495</v>
      </c>
      <c r="F74" s="214">
        <f t="shared" si="79"/>
        <v>-0.42983230361871139</v>
      </c>
      <c r="G74" s="214">
        <f t="shared" si="79"/>
        <v>7.7975376196990312E-2</v>
      </c>
      <c r="H74" s="214">
        <f t="shared" si="79"/>
        <v>9.1796874999999986E-2</v>
      </c>
      <c r="I74" s="214">
        <f t="shared" si="79"/>
        <v>0.10729104919976284</v>
      </c>
      <c r="J74" s="214">
        <f t="shared" si="79"/>
        <v>0.1599630143319464</v>
      </c>
      <c r="K74" s="214">
        <f t="shared" si="79"/>
        <v>0.19733252500757806</v>
      </c>
      <c r="L74" s="214">
        <f t="shared" si="79"/>
        <v>0.1663799459326615</v>
      </c>
      <c r="M74" s="214">
        <f t="shared" si="79"/>
        <v>0.18930596813394543</v>
      </c>
      <c r="N74" s="214">
        <f t="shared" si="79"/>
        <v>0.14374999999999996</v>
      </c>
      <c r="O74" s="214">
        <f t="shared" si="79"/>
        <v>-5.5121436114044353E-2</v>
      </c>
      <c r="P74" s="214">
        <f t="shared" si="79"/>
        <v>5.7307863171923504E-2</v>
      </c>
      <c r="Q74" s="214">
        <f t="shared" si="79"/>
        <v>0.14600256519880289</v>
      </c>
      <c r="R74" s="214">
        <f t="shared" si="79"/>
        <v>0.1952208235545124</v>
      </c>
      <c r="S74" s="214">
        <f t="shared" si="79"/>
        <v>-2.488479262672819E-2</v>
      </c>
      <c r="T74" s="214">
        <f t="shared" si="79"/>
        <v>0.18264984227129338</v>
      </c>
      <c r="U74" s="214">
        <f t="shared" si="79"/>
        <v>0.18833288006527057</v>
      </c>
      <c r="V74" s="214">
        <f t="shared" si="79"/>
        <v>0.20014270424545139</v>
      </c>
      <c r="W74" s="214">
        <f t="shared" si="79"/>
        <v>0.1863168724279835</v>
      </c>
      <c r="X74" s="215">
        <f t="shared" si="79"/>
        <v>0.17617616339003925</v>
      </c>
      <c r="Y74" s="214">
        <f t="shared" si="79"/>
        <v>0.16843052062877287</v>
      </c>
      <c r="Z74" s="214">
        <f t="shared" si="79"/>
        <v>0.17295824430091047</v>
      </c>
      <c r="AA74" s="214">
        <f t="shared" si="79"/>
        <v>0.17708209068841846</v>
      </c>
      <c r="AB74" s="226">
        <f t="shared" si="79"/>
        <v>0.18067961545962199</v>
      </c>
    </row>
    <row r="75" spans="1:38" x14ac:dyDescent="0.2">
      <c r="A75" s="976"/>
      <c r="B75" s="977"/>
      <c r="C75" s="978"/>
      <c r="D75" s="568"/>
      <c r="E75" s="568"/>
      <c r="F75" s="568"/>
      <c r="G75" s="568"/>
      <c r="H75" s="568"/>
      <c r="I75" s="568"/>
      <c r="J75" s="568"/>
      <c r="K75" s="568"/>
      <c r="L75" s="568"/>
      <c r="M75" s="568"/>
      <c r="N75" s="568"/>
      <c r="O75" s="568"/>
      <c r="P75" s="568"/>
      <c r="Q75" s="568"/>
      <c r="R75" s="568"/>
      <c r="S75" s="568"/>
      <c r="T75" s="568"/>
      <c r="U75" s="568"/>
      <c r="V75" s="568"/>
      <c r="W75" s="568"/>
      <c r="X75" s="567"/>
      <c r="Y75" s="568"/>
      <c r="Z75" s="568"/>
      <c r="AA75" s="568"/>
    </row>
    <row r="76" spans="1:38" ht="17" thickBot="1" x14ac:dyDescent="0.25">
      <c r="A76" s="979"/>
      <c r="B76" s="980"/>
      <c r="C76" s="981"/>
      <c r="D76" s="568"/>
      <c r="E76" s="568"/>
      <c r="F76" s="568"/>
      <c r="G76" s="568"/>
      <c r="H76" s="568"/>
      <c r="I76" s="568"/>
      <c r="J76" s="568"/>
      <c r="K76" s="568"/>
      <c r="L76" s="568"/>
      <c r="M76" s="568"/>
      <c r="N76" s="568"/>
      <c r="O76" s="568"/>
      <c r="P76" s="568"/>
      <c r="Q76" s="568"/>
      <c r="R76" s="568"/>
      <c r="S76" s="568"/>
      <c r="T76" s="568"/>
      <c r="U76" s="568"/>
      <c r="V76" s="568"/>
      <c r="W76" s="568"/>
      <c r="X76" s="567"/>
      <c r="Y76" s="568"/>
      <c r="Z76" s="568"/>
      <c r="AA76" s="568"/>
    </row>
    <row r="77" spans="1:38" s="145" customFormat="1" ht="17" thickBot="1" x14ac:dyDescent="0.25">
      <c r="A77" s="982" t="s">
        <v>266</v>
      </c>
      <c r="B77" s="983"/>
      <c r="C77" s="984"/>
      <c r="D77" s="465">
        <f>NWC!C40</f>
        <v>89</v>
      </c>
      <c r="E77" s="465">
        <f>NWC!D40</f>
        <v>-76.700000000000017</v>
      </c>
      <c r="F77" s="465">
        <f>NWC!E40</f>
        <v>7.9000000000000057</v>
      </c>
      <c r="G77" s="465">
        <f>NWC!F40</f>
        <v>20.500000000000014</v>
      </c>
      <c r="H77" s="465">
        <f>NWC!G40</f>
        <v>9.8999999999999773</v>
      </c>
      <c r="I77" s="465">
        <f>NWC!H40</f>
        <v>102.1</v>
      </c>
      <c r="J77" s="465">
        <f>NWC!I40</f>
        <v>59.80000000000004</v>
      </c>
      <c r="K77" s="465">
        <f>NWC!J40</f>
        <v>17.599999999999966</v>
      </c>
      <c r="L77" s="465">
        <f>NWC!K40</f>
        <v>51.900000000000034</v>
      </c>
      <c r="M77" s="465">
        <f>NWC!L40</f>
        <v>-176.2</v>
      </c>
      <c r="N77" s="465">
        <f>NWC!M40</f>
        <v>0.60000000000002274</v>
      </c>
      <c r="O77" s="465">
        <f>NWC!N40</f>
        <v>10.099999999999909</v>
      </c>
      <c r="P77" s="465">
        <f>NWC!O40</f>
        <v>-44.700000000000045</v>
      </c>
      <c r="Q77" s="465">
        <f>NWC!P40</f>
        <v>62.600000000000023</v>
      </c>
      <c r="R77" s="465">
        <f>NWC!Q40</f>
        <v>-52.999999999999943</v>
      </c>
      <c r="S77" s="465">
        <f>NWC!R40</f>
        <v>-116.09999999999997</v>
      </c>
      <c r="T77" s="465">
        <f>NWC!S40</f>
        <v>52.39999999999992</v>
      </c>
      <c r="U77" s="465">
        <f>NWC!T40</f>
        <v>-18.599999999999909</v>
      </c>
      <c r="V77" s="465">
        <f>NWC!U40</f>
        <v>-134.50000000000011</v>
      </c>
      <c r="W77" s="465">
        <f>NWC!V40</f>
        <v>38.11545043755325</v>
      </c>
      <c r="X77" s="478">
        <f>NWC!W40</f>
        <v>-31.070582135053769</v>
      </c>
      <c r="Y77" s="465">
        <f>NWC!X40</f>
        <v>-67.906951488092545</v>
      </c>
      <c r="Z77" s="465">
        <f>NWC!Y40</f>
        <v>-11.315827520552489</v>
      </c>
      <c r="AA77" s="465">
        <f>NWC!Z40</f>
        <v>-56.049906948867488</v>
      </c>
      <c r="AB77" s="466">
        <f>AVERAGE(X77:AA77)</f>
        <v>-41.585817023141573</v>
      </c>
      <c r="AC77"/>
      <c r="AD77"/>
      <c r="AE77"/>
      <c r="AF77"/>
      <c r="AG77"/>
      <c r="AH77"/>
      <c r="AI77"/>
      <c r="AJ77"/>
      <c r="AK77"/>
      <c r="AL77"/>
    </row>
    <row r="78" spans="1:38" x14ac:dyDescent="0.2">
      <c r="A78" s="979" t="s">
        <v>98</v>
      </c>
      <c r="B78" s="980"/>
      <c r="C78" s="981"/>
      <c r="D78" s="214">
        <f t="shared" ref="D78:AB78" si="80">D77/D11</f>
        <v>0.93389296956977963</v>
      </c>
      <c r="E78" s="214">
        <f t="shared" si="80"/>
        <v>-0.54435770049680632</v>
      </c>
      <c r="F78" s="214">
        <f t="shared" si="80"/>
        <v>6.9726390114739675E-2</v>
      </c>
      <c r="G78" s="214">
        <f t="shared" si="80"/>
        <v>0.14021887824897411</v>
      </c>
      <c r="H78" s="214">
        <f t="shared" si="80"/>
        <v>6.4453124999999861E-2</v>
      </c>
      <c r="I78" s="214">
        <f t="shared" si="80"/>
        <v>0.60521636040308235</v>
      </c>
      <c r="J78" s="214">
        <f t="shared" si="80"/>
        <v>0.27646786870087858</v>
      </c>
      <c r="K78" s="214">
        <f t="shared" si="80"/>
        <v>5.3349499848438821E-2</v>
      </c>
      <c r="L78" s="214">
        <f t="shared" si="80"/>
        <v>0.12754976652740241</v>
      </c>
      <c r="M78" s="214">
        <f t="shared" si="80"/>
        <v>-0.47583040777747765</v>
      </c>
      <c r="N78" s="214">
        <f t="shared" si="80"/>
        <v>1.339285714285765E-3</v>
      </c>
      <c r="O78" s="214">
        <f t="shared" si="80"/>
        <v>2.1330517423442257E-2</v>
      </c>
      <c r="P78" s="214">
        <f t="shared" si="80"/>
        <v>-9.9289204797867722E-2</v>
      </c>
      <c r="Q78" s="214">
        <f t="shared" si="80"/>
        <v>0.13381787088499364</v>
      </c>
      <c r="R78" s="214">
        <f t="shared" si="80"/>
        <v>-0.11307872839769563</v>
      </c>
      <c r="S78" s="214">
        <f t="shared" si="80"/>
        <v>-0.21400921658986169</v>
      </c>
      <c r="T78" s="214">
        <f t="shared" si="80"/>
        <v>8.2649842271293253E-2</v>
      </c>
      <c r="U78" s="214">
        <f t="shared" si="80"/>
        <v>-2.529235790046221E-2</v>
      </c>
      <c r="V78" s="214">
        <f t="shared" si="80"/>
        <v>-0.15994767511000132</v>
      </c>
      <c r="W78" s="449">
        <f t="shared" si="80"/>
        <v>3.921342637608359E-2</v>
      </c>
      <c r="X78" s="215">
        <f t="shared" si="80"/>
        <v>-3.2878922894236794E-2</v>
      </c>
      <c r="Y78" s="214">
        <f t="shared" si="80"/>
        <v>-6.5891714801953022E-2</v>
      </c>
      <c r="Z78" s="214">
        <f t="shared" si="80"/>
        <v>-1.0106025144481468E-2</v>
      </c>
      <c r="AA78" s="214">
        <f t="shared" si="80"/>
        <v>-4.6222938433828076E-2</v>
      </c>
      <c r="AB78" s="226">
        <f t="shared" si="80"/>
        <v>-3.1767496141703183E-2</v>
      </c>
    </row>
    <row r="79" spans="1:38" ht="17" thickBot="1" x14ac:dyDescent="0.25">
      <c r="A79" s="976"/>
      <c r="B79" s="977"/>
      <c r="C79" s="978"/>
      <c r="D79" s="568"/>
      <c r="E79" s="568"/>
      <c r="F79" s="568"/>
      <c r="G79" s="568"/>
      <c r="H79" s="568"/>
      <c r="I79" s="568"/>
      <c r="J79" s="568"/>
      <c r="K79" s="568"/>
      <c r="L79" s="568"/>
      <c r="M79" s="568"/>
      <c r="N79" s="568"/>
      <c r="O79" s="568"/>
      <c r="P79" s="568"/>
      <c r="Q79" s="568"/>
      <c r="R79" s="568"/>
      <c r="S79" s="568"/>
      <c r="T79" s="568"/>
      <c r="U79" s="568"/>
      <c r="V79" s="568"/>
      <c r="W79" s="568"/>
      <c r="X79" s="567"/>
      <c r="Y79" s="568"/>
      <c r="Z79" s="568"/>
      <c r="AA79" s="568"/>
      <c r="AC79" s="423"/>
    </row>
    <row r="80" spans="1:38" s="186" customFormat="1" ht="20" customHeight="1" thickBot="1" x14ac:dyDescent="0.25">
      <c r="A80" s="1005" t="s">
        <v>265</v>
      </c>
      <c r="B80" s="1006"/>
      <c r="C80" s="1007"/>
      <c r="D80" s="467">
        <v>0</v>
      </c>
      <c r="E80" s="465">
        <f>-CAPEX!E8</f>
        <v>-6.5</v>
      </c>
      <c r="F80" s="465">
        <f>-CAPEX!F8</f>
        <v>-4.5000000000000009</v>
      </c>
      <c r="G80" s="465">
        <f>-CAPEX!G8</f>
        <v>-2.0000000000000009</v>
      </c>
      <c r="H80" s="465">
        <f>-CAPEX!H8</f>
        <v>-5.0999999999999988</v>
      </c>
      <c r="I80" s="465">
        <f>-CAPEX!I8</f>
        <v>1.6999999999999993</v>
      </c>
      <c r="J80" s="465">
        <f>-CAPEX!J8</f>
        <v>-4.3000000000000007</v>
      </c>
      <c r="K80" s="465">
        <f>-CAPEX!K8</f>
        <v>-25.9</v>
      </c>
      <c r="L80" s="465">
        <f>-CAPEX!L8</f>
        <v>-21.9</v>
      </c>
      <c r="M80" s="465">
        <f>-CAPEX!M8</f>
        <v>-34.6</v>
      </c>
      <c r="N80" s="465">
        <f>-CAPEX!N8</f>
        <v>-1</v>
      </c>
      <c r="O80" s="465">
        <f>-CAPEX!O8</f>
        <v>-0.70000000000000284</v>
      </c>
      <c r="P80" s="465">
        <f>-CAPEX!P8</f>
        <v>-6.0999999999999943</v>
      </c>
      <c r="Q80" s="465">
        <f>-CAPEX!Q8</f>
        <v>-3.1000000000000014</v>
      </c>
      <c r="R80" s="465">
        <f>-CAPEX!R8</f>
        <v>-3.7000000000000028</v>
      </c>
      <c r="S80" s="465">
        <f>-CAPEX!S8</f>
        <v>-5.6999999999999957</v>
      </c>
      <c r="T80" s="465">
        <f>-CAPEX!T8</f>
        <v>-2.8000000000000043</v>
      </c>
      <c r="U80" s="465">
        <f>-CAPEX!U8</f>
        <v>-3.6999999999999957</v>
      </c>
      <c r="V80" s="465">
        <f>-CAPEX!V8</f>
        <v>-8.9000000000000057</v>
      </c>
      <c r="W80" s="465">
        <f>-CAPEX!W8</f>
        <v>-73.400000000000006</v>
      </c>
      <c r="X80" s="478">
        <f>-CAPEX!X8</f>
        <v>-32.272559907640527</v>
      </c>
      <c r="Y80" s="465">
        <f>-CAPEX!Y8</f>
        <v>-37.861599425828601</v>
      </c>
      <c r="Z80" s="465">
        <f>-CAPEX!Z8</f>
        <v>-44.560317603709144</v>
      </c>
      <c r="AA80" s="465">
        <f>-CAPEX!AA8</f>
        <v>-52.5897847459212</v>
      </c>
      <c r="AB80" s="466">
        <f>-CAPEX!AB8</f>
        <v>-62.215116255777673</v>
      </c>
      <c r="AC80"/>
      <c r="AD80"/>
      <c r="AE80"/>
      <c r="AF80"/>
      <c r="AG80"/>
      <c r="AH80"/>
      <c r="AI80"/>
      <c r="AJ80"/>
      <c r="AK80"/>
      <c r="AL80"/>
    </row>
    <row r="81" spans="1:38" s="186" customFormat="1" ht="19" customHeight="1" x14ac:dyDescent="0.2">
      <c r="A81" s="985" t="s">
        <v>98</v>
      </c>
      <c r="B81" s="986"/>
      <c r="C81" s="987"/>
      <c r="D81" s="450">
        <f>CAPEX!D9</f>
        <v>0</v>
      </c>
      <c r="E81" s="214">
        <f>CAPEX!E9</f>
        <v>6.8205666316894023E-2</v>
      </c>
      <c r="F81" s="214">
        <f>CAPEX!F9</f>
        <v>3.1937544357700499E-2</v>
      </c>
      <c r="G81" s="214">
        <f>CAPEX!G9</f>
        <v>1.7652250661959409E-2</v>
      </c>
      <c r="H81" s="214">
        <f>CAPEX!H9</f>
        <v>3.4883720930232551E-2</v>
      </c>
      <c r="I81" s="214">
        <f>CAPEX!I9</f>
        <v>-1.1067708333333329E-2</v>
      </c>
      <c r="J81" s="214">
        <f>CAPEX!J9</f>
        <v>2.5489033787788981E-2</v>
      </c>
      <c r="K81" s="214">
        <f>CAPEX!K9</f>
        <v>0.11974110032362459</v>
      </c>
      <c r="L81" s="214">
        <f>CAPEX!L9</f>
        <v>6.6383752652318884E-2</v>
      </c>
      <c r="M81" s="214">
        <f>CAPEX!M9</f>
        <v>8.5033177684934888E-2</v>
      </c>
      <c r="N81" s="214">
        <f>CAPEX!N9</f>
        <v>2.7005130974885228E-3</v>
      </c>
      <c r="O81" s="214">
        <f>CAPEX!O9</f>
        <v>1.5625000000000064E-3</v>
      </c>
      <c r="P81" s="214">
        <f>CAPEX!P9</f>
        <v>1.2882787750791963E-2</v>
      </c>
      <c r="Q81" s="214">
        <f>CAPEX!Q9</f>
        <v>6.8858285206574886E-3</v>
      </c>
      <c r="R81" s="214">
        <f>CAPEX!R9</f>
        <v>7.9093629756306176E-3</v>
      </c>
      <c r="S81" s="214">
        <f>CAPEX!S9</f>
        <v>1.2161297205035195E-2</v>
      </c>
      <c r="T81" s="214">
        <f>CAPEX!T9</f>
        <v>5.161290322580653E-3</v>
      </c>
      <c r="U81" s="214">
        <f>CAPEX!U9</f>
        <v>5.835962145110403E-3</v>
      </c>
      <c r="V81" s="214">
        <f>CAPEX!V9</f>
        <v>1.2102257274952415E-2</v>
      </c>
      <c r="W81" s="214">
        <f>CAPEX!W9</f>
        <v>8.728743013437984E-2</v>
      </c>
      <c r="X81" s="215">
        <f>CAPEX!X9</f>
        <v>3.320222212720219E-2</v>
      </c>
      <c r="Y81" s="214">
        <f>CAPEX!Y9</f>
        <v>4.0065184577596405E-2</v>
      </c>
      <c r="Z81" s="214">
        <f>CAPEX!Z9</f>
        <v>4.3237925936682679E-2</v>
      </c>
      <c r="AA81" s="214">
        <f>CAPEX!AA9</f>
        <v>4.6967284188438978E-2</v>
      </c>
      <c r="AB81" s="226">
        <f>CAPEX!AB9</f>
        <v>5.1307230375381985E-2</v>
      </c>
      <c r="AC81"/>
      <c r="AD81"/>
      <c r="AE81"/>
      <c r="AF81"/>
      <c r="AG81"/>
      <c r="AH81"/>
      <c r="AI81"/>
      <c r="AJ81"/>
      <c r="AK81"/>
      <c r="AL81"/>
    </row>
    <row r="82" spans="1:38" ht="17" thickBot="1" x14ac:dyDescent="0.25">
      <c r="A82" s="1002"/>
      <c r="B82" s="1003"/>
      <c r="C82" s="1004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7"/>
      <c r="Y82" s="568"/>
      <c r="Z82" s="568"/>
      <c r="AA82" s="568"/>
    </row>
    <row r="83" spans="1:38" ht="17" thickBot="1" x14ac:dyDescent="0.25">
      <c r="A83" s="1005" t="s">
        <v>264</v>
      </c>
      <c r="B83" s="1006"/>
      <c r="C83" s="1007"/>
      <c r="D83" s="457">
        <f t="shared" ref="D83:W83" si="81">D25</f>
        <v>0.5</v>
      </c>
      <c r="E83" s="457">
        <f t="shared" si="81"/>
        <v>0.6</v>
      </c>
      <c r="F83" s="457">
        <f t="shared" si="81"/>
        <v>1.2</v>
      </c>
      <c r="G83" s="457">
        <f t="shared" si="81"/>
        <v>1.7</v>
      </c>
      <c r="H83" s="457">
        <f t="shared" si="81"/>
        <v>1.7</v>
      </c>
      <c r="I83" s="457" t="str">
        <f t="shared" si="81"/>
        <v>-</v>
      </c>
      <c r="J83" s="457" t="str">
        <f t="shared" si="81"/>
        <v>-</v>
      </c>
      <c r="K83" s="457">
        <f t="shared" si="81"/>
        <v>16</v>
      </c>
      <c r="L83" s="457">
        <f t="shared" si="81"/>
        <v>23.9</v>
      </c>
      <c r="M83" s="457">
        <f t="shared" si="81"/>
        <v>30.1</v>
      </c>
      <c r="N83" s="457" t="str">
        <f t="shared" si="81"/>
        <v>-</v>
      </c>
      <c r="O83" s="457" t="str">
        <f t="shared" si="81"/>
        <v>-</v>
      </c>
      <c r="P83" s="457" t="str">
        <f t="shared" si="81"/>
        <v>-</v>
      </c>
      <c r="Q83" s="457" t="str">
        <f t="shared" si="81"/>
        <v>-</v>
      </c>
      <c r="R83" s="457" t="str">
        <f t="shared" si="81"/>
        <v>-</v>
      </c>
      <c r="S83" s="457" t="str">
        <f t="shared" si="81"/>
        <v>-</v>
      </c>
      <c r="T83" s="457" t="str">
        <f t="shared" si="81"/>
        <v>-</v>
      </c>
      <c r="U83" s="457" t="str">
        <f t="shared" si="81"/>
        <v>-</v>
      </c>
      <c r="V83" s="457">
        <f t="shared" si="81"/>
        <v>4</v>
      </c>
      <c r="W83" s="457">
        <f t="shared" si="81"/>
        <v>4.3</v>
      </c>
      <c r="X83" s="479">
        <f>X84*X11</f>
        <v>4.3378696436357878</v>
      </c>
      <c r="Y83" s="468">
        <f>Y84*Y11</f>
        <v>4.7307294643300315</v>
      </c>
      <c r="Z83" s="468">
        <f>Z84*Z11</f>
        <v>5.1398522291482234</v>
      </c>
      <c r="AA83" s="468">
        <f>AA84*AA11</f>
        <v>5.5662413584891786</v>
      </c>
      <c r="AB83" s="469">
        <f>AB84*AB11</f>
        <v>6.0090655420963222</v>
      </c>
    </row>
    <row r="84" spans="1:38" x14ac:dyDescent="0.2">
      <c r="A84" s="985" t="s">
        <v>98</v>
      </c>
      <c r="B84" s="986"/>
      <c r="C84" s="987"/>
      <c r="D84" s="214">
        <f t="shared" ref="D84:W84" si="82">D83/D11</f>
        <v>5.2465897166841559E-3</v>
      </c>
      <c r="E84" s="214">
        <f t="shared" si="82"/>
        <v>4.2583392476933995E-3</v>
      </c>
      <c r="F84" s="214">
        <f t="shared" si="82"/>
        <v>1.0591350397175639E-2</v>
      </c>
      <c r="G84" s="214">
        <f t="shared" si="82"/>
        <v>1.1627906976744186E-2</v>
      </c>
      <c r="H84" s="214">
        <f t="shared" si="82"/>
        <v>1.1067708333333334E-2</v>
      </c>
      <c r="I84" s="214" t="s">
        <v>32</v>
      </c>
      <c r="J84" s="214" t="s">
        <v>32</v>
      </c>
      <c r="K84" s="214">
        <f t="shared" si="82"/>
        <v>4.8499545316762656E-2</v>
      </c>
      <c r="L84" s="214">
        <f t="shared" si="82"/>
        <v>5.8736790366183338E-2</v>
      </c>
      <c r="M84" s="214">
        <f t="shared" si="82"/>
        <v>8.1285444234404536E-2</v>
      </c>
      <c r="N84" s="214" t="s">
        <v>32</v>
      </c>
      <c r="O84" s="214" t="s">
        <v>32</v>
      </c>
      <c r="P84" s="214" t="s">
        <v>32</v>
      </c>
      <c r="Q84" s="214" t="s">
        <v>32</v>
      </c>
      <c r="R84" s="214" t="s">
        <v>32</v>
      </c>
      <c r="S84" s="214" t="s">
        <v>32</v>
      </c>
      <c r="T84" s="214" t="s">
        <v>32</v>
      </c>
      <c r="U84" s="214" t="s">
        <v>32</v>
      </c>
      <c r="V84" s="214">
        <f t="shared" si="82"/>
        <v>4.7568081817100727E-3</v>
      </c>
      <c r="W84" s="214">
        <f t="shared" si="82"/>
        <v>4.4238683127572013E-3</v>
      </c>
      <c r="X84" s="407">
        <f>$AH$31</f>
        <v>4.5903382472336374E-3</v>
      </c>
      <c r="Y84" s="408">
        <f t="shared" ref="Y84:AB84" si="83">$AH$31</f>
        <v>4.5903382472336374E-3</v>
      </c>
      <c r="Z84" s="408">
        <f t="shared" si="83"/>
        <v>4.5903382472336374E-3</v>
      </c>
      <c r="AA84" s="408">
        <f t="shared" si="83"/>
        <v>4.5903382472336374E-3</v>
      </c>
      <c r="AB84" s="409">
        <f t="shared" si="83"/>
        <v>4.5903382472336374E-3</v>
      </c>
    </row>
    <row r="85" spans="1:38" ht="17" thickBot="1" x14ac:dyDescent="0.25">
      <c r="A85" s="1002"/>
      <c r="B85" s="1003"/>
      <c r="C85" s="1004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8"/>
      <c r="P85" s="568"/>
      <c r="Q85" s="568"/>
      <c r="R85" s="568"/>
      <c r="S85" s="568"/>
      <c r="T85" s="568"/>
      <c r="U85" s="568"/>
      <c r="V85" s="568"/>
      <c r="W85" s="568"/>
      <c r="X85" s="567"/>
      <c r="Y85" s="568"/>
      <c r="Z85" s="568"/>
      <c r="AA85" s="568"/>
    </row>
    <row r="86" spans="1:38" ht="17" thickBot="1" x14ac:dyDescent="0.25">
      <c r="A86" s="958" t="s">
        <v>216</v>
      </c>
      <c r="B86" s="959"/>
      <c r="C86" s="960"/>
      <c r="D86" s="262">
        <f t="shared" ref="D86:O86" si="84">D72-D77+IF(D83="-",0,D83)+D80</f>
        <v>-75.5</v>
      </c>
      <c r="E86" s="262">
        <f t="shared" si="84"/>
        <v>84.90000000000002</v>
      </c>
      <c r="F86" s="262">
        <f t="shared" si="84"/>
        <v>-59.9</v>
      </c>
      <c r="G86" s="262">
        <f t="shared" si="84"/>
        <v>-9.4000000000000323</v>
      </c>
      <c r="H86" s="262">
        <f t="shared" si="84"/>
        <v>0.80000000000002203</v>
      </c>
      <c r="I86" s="262">
        <f t="shared" si="84"/>
        <v>-82.3</v>
      </c>
      <c r="J86" s="262">
        <f t="shared" si="84"/>
        <v>-29.500000000000032</v>
      </c>
      <c r="K86" s="262">
        <f t="shared" si="84"/>
        <v>37.60000000000003</v>
      </c>
      <c r="L86" s="262">
        <f t="shared" si="84"/>
        <v>17.799999999999926</v>
      </c>
      <c r="M86" s="262">
        <f t="shared" si="84"/>
        <v>241.79999999999998</v>
      </c>
      <c r="N86" s="262">
        <f t="shared" si="84"/>
        <v>62.799999999999955</v>
      </c>
      <c r="O86" s="262">
        <f t="shared" si="84"/>
        <v>-36.899999999999913</v>
      </c>
      <c r="P86" s="262">
        <f t="shared" ref="P86:V86" si="85">P72-P77+IF(P83="-",0,P83)+P80</f>
        <v>64.400000000000006</v>
      </c>
      <c r="Q86" s="262">
        <f t="shared" si="85"/>
        <v>2.599999999999973</v>
      </c>
      <c r="R86" s="262">
        <f t="shared" si="85"/>
        <v>140.7999999999999</v>
      </c>
      <c r="S86" s="262">
        <f t="shared" si="85"/>
        <v>96.89999999999992</v>
      </c>
      <c r="T86" s="262">
        <f t="shared" si="85"/>
        <v>60.600000000000072</v>
      </c>
      <c r="U86" s="262">
        <f t="shared" si="85"/>
        <v>153.39999999999989</v>
      </c>
      <c r="V86" s="262">
        <f t="shared" si="85"/>
        <v>297.9000000000002</v>
      </c>
      <c r="W86" s="262">
        <f>W72-W77+IF(W83="-",0,W83)+W80</f>
        <v>73.884549562446722</v>
      </c>
      <c r="X86" s="261">
        <f>X72-X77+X83+X80</f>
        <v>169.62236627463614</v>
      </c>
      <c r="Y86" s="262">
        <f t="shared" ref="Y86:AB86" si="86">Y72-Y77+Y83+Y80</f>
        <v>208.35789265155262</v>
      </c>
      <c r="Z86" s="262">
        <f t="shared" si="86"/>
        <v>165.55861083040836</v>
      </c>
      <c r="AA86" s="262">
        <f t="shared" si="86"/>
        <v>223.75599871013637</v>
      </c>
      <c r="AB86" s="263">
        <f t="shared" si="86"/>
        <v>221.90169409374363</v>
      </c>
      <c r="AC86" s="593"/>
    </row>
    <row r="87" spans="1:38" ht="17" thickBot="1" x14ac:dyDescent="0.25">
      <c r="A87" s="955" t="s">
        <v>98</v>
      </c>
      <c r="B87" s="956"/>
      <c r="C87" s="957"/>
      <c r="D87" s="91">
        <f t="shared" ref="D87:AB87" si="87">D86/D11</f>
        <v>-0.79223504721930749</v>
      </c>
      <c r="E87" s="91">
        <f t="shared" si="87"/>
        <v>0.60255500354861613</v>
      </c>
      <c r="F87" s="91">
        <f t="shared" si="87"/>
        <v>-0.52868490732568407</v>
      </c>
      <c r="G87" s="91">
        <f t="shared" si="87"/>
        <v>-6.4295485636115132E-2</v>
      </c>
      <c r="H87" s="91">
        <f t="shared" si="87"/>
        <v>5.208333333333477E-3</v>
      </c>
      <c r="I87" s="91">
        <f t="shared" si="87"/>
        <v>-0.48784825133372856</v>
      </c>
      <c r="J87" s="91">
        <f t="shared" si="87"/>
        <v>-0.1363846509477579</v>
      </c>
      <c r="K87" s="91">
        <f t="shared" si="87"/>
        <v>0.11397393149439233</v>
      </c>
      <c r="L87" s="91">
        <f t="shared" si="87"/>
        <v>4.3745391988203312E-2</v>
      </c>
      <c r="M87" s="91">
        <f t="shared" si="87"/>
        <v>0.65298406697272471</v>
      </c>
      <c r="N87" s="91">
        <f t="shared" si="87"/>
        <v>0.14017857142857132</v>
      </c>
      <c r="O87" s="91">
        <f t="shared" si="87"/>
        <v>-7.7930306230200447E-2</v>
      </c>
      <c r="P87" s="91">
        <f t="shared" si="87"/>
        <v>0.14304753442914261</v>
      </c>
      <c r="Q87" s="91">
        <f t="shared" si="87"/>
        <v>5.5579307396322634E-3</v>
      </c>
      <c r="R87" s="91">
        <f t="shared" si="87"/>
        <v>0.30040537657350097</v>
      </c>
      <c r="S87" s="91">
        <f t="shared" si="87"/>
        <v>0.17861751152073718</v>
      </c>
      <c r="T87" s="91">
        <f t="shared" si="87"/>
        <v>9.5583596214511152E-2</v>
      </c>
      <c r="U87" s="91">
        <f t="shared" si="87"/>
        <v>0.20859396246940426</v>
      </c>
      <c r="V87" s="91">
        <f t="shared" si="87"/>
        <v>0.35426328933285789</v>
      </c>
      <c r="W87" s="454">
        <f t="shared" si="87"/>
        <v>7.6012911072476055E-2</v>
      </c>
      <c r="X87" s="480">
        <f t="shared" si="87"/>
        <v>0.17949456748638745</v>
      </c>
      <c r="Y87" s="285">
        <f t="shared" si="87"/>
        <v>0.20217457179975795</v>
      </c>
      <c r="Z87" s="285">
        <f t="shared" si="87"/>
        <v>0.14785834097406236</v>
      </c>
      <c r="AA87" s="285">
        <f t="shared" si="87"/>
        <v>0.18452590406641747</v>
      </c>
      <c r="AB87" s="286">
        <f t="shared" si="87"/>
        <v>0.16951118712030222</v>
      </c>
    </row>
    <row r="88" spans="1:38" x14ac:dyDescent="0.2">
      <c r="A88"/>
      <c r="B88"/>
      <c r="X88" s="86">
        <f>0</f>
        <v>0</v>
      </c>
      <c r="Y88" s="86">
        <f t="shared" ref="Y88:AB88" si="88">(Y86-X86)/X86</f>
        <v>0.22836331804379892</v>
      </c>
      <c r="Z88" s="86">
        <f t="shared" si="88"/>
        <v>-0.20541233776403975</v>
      </c>
      <c r="AA88" s="86">
        <f t="shared" si="88"/>
        <v>0.35152135903908432</v>
      </c>
      <c r="AB88" s="86">
        <f t="shared" si="88"/>
        <v>-8.2871727555107414E-3</v>
      </c>
    </row>
    <row r="89" spans="1:38" x14ac:dyDescent="0.2">
      <c r="A89" s="237"/>
      <c r="B89" s="237"/>
      <c r="C89" s="237"/>
      <c r="X89" s="434"/>
      <c r="AB89" s="434"/>
      <c r="AC89" s="434"/>
      <c r="AD89" s="434"/>
    </row>
    <row r="90" spans="1:38" x14ac:dyDescent="0.2">
      <c r="X90" s="434"/>
      <c r="AB90" s="434"/>
      <c r="AC90" s="434"/>
      <c r="AD90" s="434"/>
    </row>
    <row r="91" spans="1:38" x14ac:dyDescent="0.2">
      <c r="X91" s="434"/>
      <c r="AB91" s="434"/>
      <c r="AC91" s="434"/>
      <c r="AD91" s="434"/>
    </row>
    <row r="92" spans="1:38" x14ac:dyDescent="0.2">
      <c r="X92" s="434"/>
      <c r="AB92" s="434"/>
      <c r="AC92" s="434"/>
      <c r="AD92" s="434"/>
    </row>
    <row r="93" spans="1:38" x14ac:dyDescent="0.2">
      <c r="X93" s="434"/>
      <c r="AB93" s="434"/>
      <c r="AC93" s="434"/>
      <c r="AD93" s="434"/>
    </row>
    <row r="94" spans="1:38" x14ac:dyDescent="0.2">
      <c r="X94" s="434"/>
      <c r="AB94" s="434"/>
      <c r="AC94" s="434"/>
      <c r="AD94" s="434"/>
    </row>
    <row r="95" spans="1:38" x14ac:dyDescent="0.2">
      <c r="I95" s="426"/>
      <c r="X95" s="434"/>
      <c r="AB95" s="434"/>
      <c r="AC95" s="434"/>
      <c r="AD95" s="434"/>
    </row>
    <row r="96" spans="1:38" x14ac:dyDescent="0.2">
      <c r="X96" s="434"/>
      <c r="AB96" s="434"/>
      <c r="AC96" s="434"/>
      <c r="AD96" s="434"/>
    </row>
    <row r="97" spans="1:30" x14ac:dyDescent="0.2">
      <c r="X97" s="434"/>
      <c r="AB97" s="434"/>
      <c r="AC97" s="434"/>
      <c r="AD97" s="434"/>
    </row>
    <row r="98" spans="1:30" x14ac:dyDescent="0.2">
      <c r="X98" s="434"/>
      <c r="AB98" s="434"/>
      <c r="AC98" s="434"/>
      <c r="AD98" s="434"/>
    </row>
    <row r="99" spans="1:30" x14ac:dyDescent="0.2">
      <c r="X99" s="434"/>
      <c r="AB99" s="434"/>
      <c r="AC99" s="434"/>
      <c r="AD99" s="434"/>
    </row>
    <row r="100" spans="1:30" x14ac:dyDescent="0.2">
      <c r="X100" s="434"/>
      <c r="AB100" s="434"/>
      <c r="AC100" s="434"/>
      <c r="AD100" s="434"/>
    </row>
    <row r="101" spans="1:30" x14ac:dyDescent="0.2">
      <c r="X101" s="434"/>
      <c r="AB101" s="434"/>
      <c r="AC101" s="434"/>
      <c r="AD101" s="434"/>
    </row>
    <row r="102" spans="1:30" x14ac:dyDescent="0.2">
      <c r="X102" s="434"/>
      <c r="AB102" s="434"/>
      <c r="AC102" s="434"/>
      <c r="AD102" s="434"/>
    </row>
    <row r="103" spans="1:30" x14ac:dyDescent="0.2">
      <c r="X103" s="434"/>
      <c r="AB103" s="434"/>
      <c r="AC103" s="434"/>
      <c r="AD103" s="434"/>
    </row>
    <row r="104" spans="1:30" x14ac:dyDescent="0.2">
      <c r="X104" s="434"/>
      <c r="AB104" s="434"/>
      <c r="AC104" s="434"/>
      <c r="AD104" s="434"/>
    </row>
    <row r="105" spans="1:30" x14ac:dyDescent="0.2">
      <c r="X105" s="434"/>
      <c r="AB105" s="434"/>
      <c r="AC105" s="434"/>
      <c r="AD105" s="434"/>
    </row>
    <row r="106" spans="1:30" x14ac:dyDescent="0.2">
      <c r="X106" s="434"/>
      <c r="AB106" s="434"/>
      <c r="AC106" s="434"/>
      <c r="AD106" s="434"/>
    </row>
    <row r="107" spans="1:30" x14ac:dyDescent="0.2">
      <c r="X107" s="434"/>
      <c r="AB107" s="434"/>
      <c r="AC107" s="434"/>
      <c r="AD107" s="434"/>
    </row>
    <row r="108" spans="1:30" x14ac:dyDescent="0.2">
      <c r="X108" s="434"/>
      <c r="AB108" s="434"/>
      <c r="AC108" s="434"/>
      <c r="AD108" s="434"/>
    </row>
    <row r="109" spans="1:30" x14ac:dyDescent="0.2">
      <c r="Q109" s="625"/>
      <c r="R109" s="625"/>
      <c r="S109" s="625"/>
      <c r="T109" s="625"/>
      <c r="U109" s="625"/>
      <c r="V109" s="625"/>
      <c r="W109" s="625"/>
      <c r="X109" s="434"/>
      <c r="AB109" s="434"/>
      <c r="AC109" s="434"/>
      <c r="AD109" s="434"/>
    </row>
    <row r="110" spans="1:30" x14ac:dyDescent="0.2">
      <c r="Q110" s="625"/>
      <c r="R110" s="625"/>
      <c r="S110" s="625"/>
      <c r="T110" s="625"/>
      <c r="U110" s="625"/>
      <c r="V110" s="625"/>
      <c r="W110" s="625"/>
      <c r="X110" s="434"/>
      <c r="AB110" s="434"/>
      <c r="AC110" s="434"/>
      <c r="AD110" s="434"/>
    </row>
    <row r="111" spans="1:30" x14ac:dyDescent="0.2">
      <c r="Q111" s="625"/>
      <c r="R111" s="625"/>
      <c r="S111" s="625"/>
      <c r="T111" s="625"/>
      <c r="U111" s="625"/>
      <c r="V111" s="625"/>
      <c r="W111" s="625"/>
      <c r="X111" s="434"/>
      <c r="AB111" s="434"/>
      <c r="AC111" s="434"/>
      <c r="AD111" s="434"/>
    </row>
    <row r="112" spans="1:30" x14ac:dyDescent="0.2">
      <c r="A112" s="566"/>
      <c r="B112" s="566"/>
      <c r="C112" s="566"/>
      <c r="D112" s="566"/>
      <c r="E112" s="566"/>
      <c r="F112" s="566"/>
      <c r="G112" s="566"/>
      <c r="H112" s="566"/>
      <c r="I112" s="566"/>
      <c r="J112" s="566"/>
      <c r="K112" s="566"/>
      <c r="L112" s="566"/>
      <c r="M112" s="566"/>
      <c r="N112" s="566"/>
      <c r="O112" s="566"/>
      <c r="P112" s="566"/>
      <c r="Q112" s="654"/>
      <c r="R112" s="654"/>
      <c r="S112" s="654"/>
      <c r="T112" s="28"/>
      <c r="U112" s="625"/>
      <c r="V112" s="625"/>
      <c r="W112" s="625"/>
      <c r="X112" s="434"/>
      <c r="AB112" s="434"/>
      <c r="AC112" s="434"/>
      <c r="AD112" s="434"/>
    </row>
    <row r="113" spans="17:30" x14ac:dyDescent="0.2">
      <c r="Q113" s="625"/>
      <c r="R113" s="625"/>
      <c r="S113" s="625"/>
      <c r="T113" s="625"/>
      <c r="U113" s="625"/>
      <c r="V113" s="625"/>
      <c r="W113" s="625"/>
      <c r="X113" s="434"/>
      <c r="AB113" s="434"/>
      <c r="AC113" s="434"/>
      <c r="AD113" s="434"/>
    </row>
    <row r="114" spans="17:30" x14ac:dyDescent="0.2">
      <c r="Q114" s="625"/>
      <c r="R114" s="625"/>
      <c r="S114" s="625"/>
      <c r="T114" s="625"/>
      <c r="U114" s="625"/>
      <c r="V114" s="625"/>
      <c r="W114" s="625"/>
      <c r="X114" s="434"/>
      <c r="AB114" s="434"/>
      <c r="AC114" s="434"/>
      <c r="AD114" s="434"/>
    </row>
    <row r="115" spans="17:30" x14ac:dyDescent="0.2">
      <c r="Q115" s="625"/>
      <c r="R115" s="625"/>
      <c r="S115" s="625"/>
      <c r="T115" s="625"/>
      <c r="U115" s="625"/>
      <c r="V115" s="625"/>
      <c r="W115" s="625"/>
      <c r="X115" s="434"/>
      <c r="AB115" s="434"/>
      <c r="AC115" s="434"/>
      <c r="AD115" s="434"/>
    </row>
    <row r="116" spans="17:30" x14ac:dyDescent="0.2">
      <c r="Q116" s="625"/>
      <c r="R116" s="625"/>
      <c r="S116" s="625"/>
      <c r="T116" s="625"/>
      <c r="U116" s="625"/>
      <c r="V116" s="625"/>
      <c r="W116" s="625"/>
      <c r="X116" s="434"/>
      <c r="AB116" s="434"/>
      <c r="AC116" s="434"/>
      <c r="AD116" s="434"/>
    </row>
    <row r="117" spans="17:30" x14ac:dyDescent="0.2">
      <c r="Q117" s="625"/>
      <c r="R117" s="625"/>
      <c r="S117" s="625"/>
      <c r="T117" s="625"/>
      <c r="U117" s="625"/>
      <c r="V117" s="625"/>
      <c r="W117" s="625"/>
      <c r="X117" s="434"/>
      <c r="AB117" s="434"/>
      <c r="AC117" s="434"/>
      <c r="AD117" s="434"/>
    </row>
    <row r="118" spans="17:30" x14ac:dyDescent="0.2">
      <c r="Q118" s="625"/>
      <c r="R118" s="625"/>
      <c r="S118" s="625"/>
      <c r="T118" s="625"/>
      <c r="U118" s="625"/>
      <c r="V118" s="625"/>
      <c r="W118" s="625"/>
      <c r="X118" s="434"/>
      <c r="AB118" s="434"/>
      <c r="AC118" s="434"/>
      <c r="AD118" s="434"/>
    </row>
    <row r="119" spans="17:30" x14ac:dyDescent="0.2">
      <c r="Q119" s="625"/>
      <c r="R119" s="625"/>
      <c r="S119" s="625"/>
      <c r="T119" s="625"/>
      <c r="U119" s="625"/>
      <c r="V119" s="625"/>
      <c r="W119" s="625"/>
      <c r="X119" s="434"/>
      <c r="AB119" s="434"/>
      <c r="AC119" s="434"/>
      <c r="AD119" s="434"/>
    </row>
    <row r="120" spans="17:30" x14ac:dyDescent="0.2">
      <c r="X120" s="434"/>
      <c r="AB120" s="434"/>
      <c r="AC120" s="434"/>
      <c r="AD120" s="434"/>
    </row>
    <row r="121" spans="17:30" x14ac:dyDescent="0.2">
      <c r="X121" s="434"/>
      <c r="AB121" s="434"/>
      <c r="AC121" s="434"/>
      <c r="AD121" s="434"/>
    </row>
    <row r="122" spans="17:30" x14ac:dyDescent="0.2">
      <c r="X122" s="434"/>
      <c r="AB122" s="434"/>
      <c r="AC122" s="434"/>
      <c r="AD122" s="434"/>
    </row>
    <row r="123" spans="17:30" x14ac:dyDescent="0.2">
      <c r="X123" s="434"/>
      <c r="AB123" s="434"/>
      <c r="AC123" s="434"/>
      <c r="AD123" s="434"/>
    </row>
    <row r="124" spans="17:30" x14ac:dyDescent="0.2">
      <c r="X124" s="434"/>
      <c r="AB124" s="434"/>
      <c r="AC124" s="434"/>
      <c r="AD124" s="434"/>
    </row>
    <row r="125" spans="17:30" x14ac:dyDescent="0.2">
      <c r="X125" s="434"/>
      <c r="AB125" s="434"/>
      <c r="AC125" s="434"/>
      <c r="AD125" s="434"/>
    </row>
    <row r="126" spans="17:30" x14ac:dyDescent="0.2">
      <c r="X126" s="434"/>
      <c r="AB126" s="434"/>
      <c r="AC126" s="434"/>
      <c r="AD126" s="434"/>
    </row>
    <row r="127" spans="17:30" x14ac:dyDescent="0.2">
      <c r="X127" s="434"/>
      <c r="AB127" s="434"/>
      <c r="AC127" s="434"/>
      <c r="AD127" s="434"/>
    </row>
    <row r="128" spans="17:30" x14ac:dyDescent="0.2">
      <c r="X128" s="434"/>
      <c r="AB128" s="434"/>
      <c r="AC128" s="434"/>
      <c r="AD128" s="434"/>
    </row>
    <row r="129" spans="24:30" x14ac:dyDescent="0.2">
      <c r="X129" s="434"/>
      <c r="AB129" s="434"/>
      <c r="AC129" s="434"/>
      <c r="AD129" s="434"/>
    </row>
    <row r="130" spans="24:30" x14ac:dyDescent="0.2">
      <c r="X130" s="434"/>
      <c r="AB130" s="434"/>
      <c r="AC130" s="434"/>
      <c r="AD130" s="434"/>
    </row>
    <row r="131" spans="24:30" x14ac:dyDescent="0.2">
      <c r="X131" s="434"/>
      <c r="AB131" s="434"/>
      <c r="AC131" s="434"/>
      <c r="AD131" s="434"/>
    </row>
    <row r="132" spans="24:30" x14ac:dyDescent="0.2">
      <c r="X132" s="434"/>
      <c r="AB132" s="434"/>
      <c r="AC132" s="434"/>
      <c r="AD132" s="434"/>
    </row>
    <row r="133" spans="24:30" x14ac:dyDescent="0.2">
      <c r="X133" s="434"/>
      <c r="AB133" s="434"/>
      <c r="AC133" s="434"/>
      <c r="AD133" s="434"/>
    </row>
    <row r="134" spans="24:30" x14ac:dyDescent="0.2">
      <c r="X134" s="434"/>
      <c r="AB134" s="434"/>
      <c r="AC134" s="434"/>
      <c r="AD134" s="434"/>
    </row>
    <row r="135" spans="24:30" x14ac:dyDescent="0.2">
      <c r="X135" s="434"/>
      <c r="AB135" s="434"/>
      <c r="AC135" s="434"/>
      <c r="AD135" s="434"/>
    </row>
    <row r="136" spans="24:30" x14ac:dyDescent="0.2">
      <c r="X136" s="434"/>
      <c r="AB136" s="434"/>
      <c r="AC136" s="434"/>
      <c r="AD136" s="434"/>
    </row>
    <row r="137" spans="24:30" x14ac:dyDescent="0.2">
      <c r="X137" s="434"/>
      <c r="AB137" s="434"/>
      <c r="AC137" s="434"/>
      <c r="AD137" s="434"/>
    </row>
    <row r="138" spans="24:30" x14ac:dyDescent="0.2">
      <c r="X138" s="434"/>
      <c r="AB138" s="434"/>
      <c r="AC138" s="434"/>
      <c r="AD138" s="434"/>
    </row>
    <row r="139" spans="24:30" x14ac:dyDescent="0.2">
      <c r="X139" s="434"/>
      <c r="AB139" s="434"/>
      <c r="AC139" s="434"/>
      <c r="AD139" s="434"/>
    </row>
    <row r="140" spans="24:30" x14ac:dyDescent="0.2">
      <c r="X140" s="434"/>
      <c r="AB140" s="434"/>
      <c r="AC140" s="434"/>
      <c r="AD140" s="434"/>
    </row>
    <row r="141" spans="24:30" x14ac:dyDescent="0.2">
      <c r="X141" s="434"/>
      <c r="AB141" s="434"/>
      <c r="AC141" s="434"/>
      <c r="AD141" s="434"/>
    </row>
    <row r="142" spans="24:30" x14ac:dyDescent="0.2">
      <c r="X142" s="434"/>
      <c r="AB142" s="434"/>
      <c r="AC142" s="434"/>
      <c r="AD142" s="434"/>
    </row>
    <row r="143" spans="24:30" x14ac:dyDescent="0.2">
      <c r="X143" s="434"/>
      <c r="AB143" s="434"/>
      <c r="AC143" s="434"/>
      <c r="AD143" s="434"/>
    </row>
    <row r="144" spans="24:30" x14ac:dyDescent="0.2">
      <c r="X144" s="434"/>
      <c r="AB144" s="434"/>
      <c r="AC144" s="434"/>
      <c r="AD144" s="434"/>
    </row>
    <row r="145" spans="24:30" x14ac:dyDescent="0.2">
      <c r="X145" s="434"/>
      <c r="AB145" s="434"/>
      <c r="AC145" s="434"/>
      <c r="AD145" s="434"/>
    </row>
    <row r="146" spans="24:30" x14ac:dyDescent="0.2">
      <c r="X146" s="434"/>
      <c r="AB146" s="434"/>
      <c r="AC146" s="434"/>
      <c r="AD146" s="434"/>
    </row>
    <row r="147" spans="24:30" x14ac:dyDescent="0.2">
      <c r="X147" s="434"/>
      <c r="AB147" s="434"/>
      <c r="AC147" s="434"/>
      <c r="AD147" s="434"/>
    </row>
    <row r="148" spans="24:30" x14ac:dyDescent="0.2">
      <c r="X148" s="434"/>
      <c r="AB148" s="434"/>
      <c r="AC148" s="434"/>
      <c r="AD148" s="434"/>
    </row>
    <row r="149" spans="24:30" x14ac:dyDescent="0.2">
      <c r="X149" s="434"/>
      <c r="AB149" s="434"/>
      <c r="AC149" s="434"/>
      <c r="AD149" s="434"/>
    </row>
    <row r="150" spans="24:30" x14ac:dyDescent="0.2">
      <c r="X150" s="434"/>
      <c r="AB150" s="434"/>
      <c r="AC150" s="434"/>
      <c r="AD150" s="434"/>
    </row>
    <row r="151" spans="24:30" x14ac:dyDescent="0.2">
      <c r="X151" s="434"/>
      <c r="AB151" s="434"/>
      <c r="AC151" s="434"/>
      <c r="AD151" s="434"/>
    </row>
    <row r="152" spans="24:30" x14ac:dyDescent="0.2">
      <c r="X152" s="434"/>
      <c r="AB152" s="434"/>
      <c r="AC152" s="434"/>
      <c r="AD152" s="434"/>
    </row>
    <row r="153" spans="24:30" x14ac:dyDescent="0.2">
      <c r="X153" s="434"/>
      <c r="AB153" s="434"/>
      <c r="AC153" s="434"/>
      <c r="AD153" s="434"/>
    </row>
    <row r="154" spans="24:30" x14ac:dyDescent="0.2">
      <c r="X154" s="434"/>
      <c r="AB154" s="434"/>
      <c r="AC154" s="434"/>
      <c r="AD154" s="434"/>
    </row>
    <row r="155" spans="24:30" x14ac:dyDescent="0.2">
      <c r="X155" s="434"/>
      <c r="AB155" s="434"/>
      <c r="AC155" s="434"/>
      <c r="AD155" s="434"/>
    </row>
    <row r="156" spans="24:30" x14ac:dyDescent="0.2">
      <c r="X156" s="434"/>
      <c r="AB156" s="434"/>
      <c r="AC156" s="434"/>
      <c r="AD156" s="434"/>
    </row>
    <row r="157" spans="24:30" x14ac:dyDescent="0.2">
      <c r="X157" s="434"/>
      <c r="AB157" s="434"/>
      <c r="AC157" s="434"/>
      <c r="AD157" s="434"/>
    </row>
    <row r="158" spans="24:30" x14ac:dyDescent="0.2">
      <c r="X158" s="434"/>
      <c r="AB158" s="434"/>
      <c r="AC158" s="434"/>
      <c r="AD158" s="434"/>
    </row>
    <row r="159" spans="24:30" x14ac:dyDescent="0.2">
      <c r="X159" s="434"/>
      <c r="AB159" s="434"/>
      <c r="AC159" s="434"/>
      <c r="AD159" s="434"/>
    </row>
    <row r="160" spans="24:30" x14ac:dyDescent="0.2">
      <c r="X160" s="434"/>
      <c r="AB160" s="434"/>
      <c r="AC160" s="434"/>
      <c r="AD160" s="434"/>
    </row>
    <row r="161" spans="24:30" x14ac:dyDescent="0.2">
      <c r="X161" s="434"/>
      <c r="AB161" s="434"/>
      <c r="AC161" s="434"/>
      <c r="AD161" s="434"/>
    </row>
    <row r="162" spans="24:30" x14ac:dyDescent="0.2">
      <c r="X162" s="434"/>
      <c r="AB162" s="434"/>
      <c r="AC162" s="434"/>
      <c r="AD162" s="434"/>
    </row>
    <row r="163" spans="24:30" x14ac:dyDescent="0.2">
      <c r="X163" s="434"/>
      <c r="AB163" s="434"/>
      <c r="AC163" s="434"/>
      <c r="AD163" s="434"/>
    </row>
    <row r="164" spans="24:30" x14ac:dyDescent="0.2">
      <c r="X164" s="434"/>
      <c r="AB164" s="434"/>
      <c r="AC164" s="434"/>
      <c r="AD164" s="434"/>
    </row>
    <row r="165" spans="24:30" x14ac:dyDescent="0.2">
      <c r="X165" s="434"/>
      <c r="AB165" s="434"/>
      <c r="AC165" s="434"/>
      <c r="AD165" s="434"/>
    </row>
    <row r="166" spans="24:30" x14ac:dyDescent="0.2">
      <c r="X166" s="434"/>
      <c r="AB166" s="434"/>
      <c r="AC166" s="434"/>
      <c r="AD166" s="434"/>
    </row>
    <row r="167" spans="24:30" x14ac:dyDescent="0.2">
      <c r="X167" s="434"/>
      <c r="AB167" s="434"/>
      <c r="AC167" s="434"/>
      <c r="AD167" s="434"/>
    </row>
    <row r="168" spans="24:30" x14ac:dyDescent="0.2">
      <c r="X168" s="434"/>
      <c r="AB168" s="434"/>
      <c r="AC168" s="434"/>
      <c r="AD168" s="434"/>
    </row>
    <row r="169" spans="24:30" x14ac:dyDescent="0.2">
      <c r="X169" s="434"/>
      <c r="AB169" s="434"/>
      <c r="AC169" s="434"/>
      <c r="AD169" s="434"/>
    </row>
    <row r="170" spans="24:30" x14ac:dyDescent="0.2">
      <c r="X170" s="434"/>
      <c r="AB170" s="434"/>
      <c r="AC170" s="434"/>
      <c r="AD170" s="434"/>
    </row>
    <row r="171" spans="24:30" x14ac:dyDescent="0.2">
      <c r="X171" s="434"/>
      <c r="AB171" s="434"/>
      <c r="AC171" s="434"/>
      <c r="AD171" s="434"/>
    </row>
    <row r="172" spans="24:30" x14ac:dyDescent="0.2">
      <c r="X172" s="434"/>
      <c r="AB172" s="434"/>
      <c r="AC172" s="434"/>
      <c r="AD172" s="434"/>
    </row>
    <row r="173" spans="24:30" x14ac:dyDescent="0.2">
      <c r="X173" s="434"/>
      <c r="AB173" s="434"/>
      <c r="AC173" s="434"/>
      <c r="AD173" s="434"/>
    </row>
    <row r="174" spans="24:30" x14ac:dyDescent="0.2">
      <c r="X174" s="434"/>
      <c r="AB174" s="434"/>
      <c r="AC174" s="434"/>
      <c r="AD174" s="434"/>
    </row>
    <row r="175" spans="24:30" x14ac:dyDescent="0.2">
      <c r="X175" s="434"/>
      <c r="AB175" s="434"/>
      <c r="AC175" s="434"/>
      <c r="AD175" s="434"/>
    </row>
    <row r="176" spans="24:30" x14ac:dyDescent="0.2">
      <c r="X176" s="434"/>
      <c r="AB176" s="434"/>
      <c r="AC176" s="434"/>
      <c r="AD176" s="434"/>
    </row>
    <row r="177" spans="24:30" x14ac:dyDescent="0.2">
      <c r="X177" s="434"/>
      <c r="AB177" s="434"/>
      <c r="AC177" s="434"/>
      <c r="AD177" s="434"/>
    </row>
    <row r="178" spans="24:30" x14ac:dyDescent="0.2">
      <c r="X178" s="434"/>
      <c r="AB178" s="434"/>
      <c r="AC178" s="434"/>
      <c r="AD178" s="434"/>
    </row>
    <row r="179" spans="24:30" x14ac:dyDescent="0.2">
      <c r="X179" s="434"/>
      <c r="AB179" s="434"/>
      <c r="AC179" s="434"/>
      <c r="AD179" s="434"/>
    </row>
    <row r="180" spans="24:30" x14ac:dyDescent="0.2">
      <c r="X180" s="434"/>
      <c r="AB180" s="434"/>
      <c r="AC180" s="434"/>
      <c r="AD180" s="434"/>
    </row>
    <row r="181" spans="24:30" x14ac:dyDescent="0.2">
      <c r="X181" s="434"/>
      <c r="AB181" s="434"/>
      <c r="AC181" s="434"/>
      <c r="AD181" s="434"/>
    </row>
    <row r="182" spans="24:30" x14ac:dyDescent="0.2">
      <c r="X182" s="434"/>
      <c r="AB182" s="434"/>
      <c r="AC182" s="434"/>
      <c r="AD182" s="434"/>
    </row>
    <row r="183" spans="24:30" x14ac:dyDescent="0.2">
      <c r="X183" s="434"/>
      <c r="AB183" s="434"/>
      <c r="AC183" s="434"/>
      <c r="AD183" s="434"/>
    </row>
    <row r="184" spans="24:30" x14ac:dyDescent="0.2">
      <c r="X184" s="434"/>
      <c r="AB184" s="434"/>
      <c r="AC184" s="434"/>
      <c r="AD184" s="434"/>
    </row>
    <row r="185" spans="24:30" x14ac:dyDescent="0.2">
      <c r="X185" s="434"/>
      <c r="AB185" s="434"/>
      <c r="AC185" s="434"/>
      <c r="AD185" s="434"/>
    </row>
    <row r="186" spans="24:30" x14ac:dyDescent="0.2">
      <c r="X186" s="434"/>
      <c r="AB186" s="434"/>
      <c r="AC186" s="434"/>
      <c r="AD186" s="434"/>
    </row>
    <row r="187" spans="24:30" x14ac:dyDescent="0.2">
      <c r="X187" s="434"/>
      <c r="AB187" s="434"/>
      <c r="AC187" s="434"/>
      <c r="AD187" s="434"/>
    </row>
    <row r="188" spans="24:30" x14ac:dyDescent="0.2">
      <c r="X188" s="434"/>
      <c r="AB188" s="434"/>
      <c r="AC188" s="434"/>
      <c r="AD188" s="434"/>
    </row>
    <row r="189" spans="24:30" x14ac:dyDescent="0.2">
      <c r="X189" s="434"/>
      <c r="AB189" s="434"/>
      <c r="AC189" s="434"/>
      <c r="AD189" s="434"/>
    </row>
    <row r="190" spans="24:30" x14ac:dyDescent="0.2">
      <c r="X190" s="434"/>
      <c r="AB190" s="434"/>
      <c r="AC190" s="434"/>
      <c r="AD190" s="434"/>
    </row>
    <row r="191" spans="24:30" x14ac:dyDescent="0.2">
      <c r="X191" s="434"/>
      <c r="AB191" s="434"/>
      <c r="AC191" s="434"/>
      <c r="AD191" s="434"/>
    </row>
    <row r="192" spans="24:30" x14ac:dyDescent="0.2">
      <c r="X192" s="434"/>
      <c r="AB192" s="434"/>
      <c r="AC192" s="434"/>
      <c r="AD192" s="434"/>
    </row>
    <row r="193" spans="24:30" x14ac:dyDescent="0.2">
      <c r="X193" s="434"/>
      <c r="AB193" s="434"/>
      <c r="AC193" s="434"/>
      <c r="AD193" s="434"/>
    </row>
    <row r="194" spans="24:30" x14ac:dyDescent="0.2">
      <c r="X194" s="434"/>
      <c r="AB194" s="434"/>
      <c r="AC194" s="434"/>
      <c r="AD194" s="434"/>
    </row>
    <row r="195" spans="24:30" x14ac:dyDescent="0.2">
      <c r="X195" s="434"/>
      <c r="AB195" s="434"/>
      <c r="AC195" s="434"/>
      <c r="AD195" s="434"/>
    </row>
    <row r="196" spans="24:30" x14ac:dyDescent="0.2">
      <c r="X196" s="434"/>
      <c r="AB196" s="434"/>
      <c r="AC196" s="434"/>
      <c r="AD196" s="434"/>
    </row>
    <row r="197" spans="24:30" x14ac:dyDescent="0.2">
      <c r="X197" s="434"/>
      <c r="AB197" s="434"/>
      <c r="AC197" s="434"/>
      <c r="AD197" s="434"/>
    </row>
    <row r="198" spans="24:30" x14ac:dyDescent="0.2">
      <c r="X198" s="434"/>
      <c r="AB198" s="434"/>
      <c r="AC198" s="434"/>
      <c r="AD198" s="434"/>
    </row>
    <row r="199" spans="24:30" x14ac:dyDescent="0.2">
      <c r="X199" s="434"/>
      <c r="AB199" s="434"/>
      <c r="AC199" s="434"/>
      <c r="AD199" s="434"/>
    </row>
    <row r="200" spans="24:30" x14ac:dyDescent="0.2">
      <c r="X200" s="434"/>
      <c r="AB200" s="434"/>
      <c r="AC200" s="434"/>
      <c r="AD200" s="434"/>
    </row>
    <row r="201" spans="24:30" x14ac:dyDescent="0.2">
      <c r="X201" s="434"/>
      <c r="AB201" s="434"/>
      <c r="AC201" s="434"/>
      <c r="AD201" s="434"/>
    </row>
    <row r="202" spans="24:30" x14ac:dyDescent="0.2">
      <c r="X202" s="434"/>
      <c r="AB202" s="434"/>
      <c r="AC202" s="434"/>
      <c r="AD202" s="434"/>
    </row>
    <row r="203" spans="24:30" x14ac:dyDescent="0.2">
      <c r="X203" s="434"/>
      <c r="AB203" s="434"/>
      <c r="AC203" s="434"/>
      <c r="AD203" s="434"/>
    </row>
    <row r="204" spans="24:30" x14ac:dyDescent="0.2">
      <c r="X204" s="434"/>
      <c r="AB204" s="434"/>
      <c r="AC204" s="434"/>
      <c r="AD204" s="434"/>
    </row>
    <row r="205" spans="24:30" x14ac:dyDescent="0.2">
      <c r="X205" s="434"/>
      <c r="AB205" s="434"/>
      <c r="AC205" s="434"/>
      <c r="AD205" s="434"/>
    </row>
    <row r="206" spans="24:30" x14ac:dyDescent="0.2">
      <c r="X206" s="434"/>
      <c r="AB206" s="434"/>
      <c r="AC206" s="434"/>
      <c r="AD206" s="434"/>
    </row>
    <row r="207" spans="24:30" x14ac:dyDescent="0.2">
      <c r="X207" s="434"/>
      <c r="AB207" s="434"/>
      <c r="AC207" s="434"/>
      <c r="AD207" s="434"/>
    </row>
    <row r="208" spans="24:30" x14ac:dyDescent="0.2">
      <c r="X208" s="434"/>
      <c r="AB208" s="434"/>
      <c r="AC208" s="434"/>
      <c r="AD208" s="434"/>
    </row>
    <row r="209" spans="24:30" x14ac:dyDescent="0.2">
      <c r="X209" s="434"/>
      <c r="AB209" s="434"/>
      <c r="AC209" s="434"/>
      <c r="AD209" s="434"/>
    </row>
    <row r="210" spans="24:30" x14ac:dyDescent="0.2">
      <c r="X210" s="434"/>
      <c r="AB210" s="434"/>
      <c r="AC210" s="434"/>
      <c r="AD210" s="434"/>
    </row>
    <row r="211" spans="24:30" x14ac:dyDescent="0.2">
      <c r="X211" s="434"/>
      <c r="AB211" s="434"/>
      <c r="AC211" s="434"/>
      <c r="AD211" s="434"/>
    </row>
    <row r="212" spans="24:30" x14ac:dyDescent="0.2">
      <c r="X212" s="434"/>
      <c r="AB212" s="434"/>
      <c r="AC212" s="434"/>
      <c r="AD212" s="434"/>
    </row>
    <row r="213" spans="24:30" x14ac:dyDescent="0.2">
      <c r="X213" s="434"/>
      <c r="AB213" s="434"/>
      <c r="AC213" s="434"/>
      <c r="AD213" s="434"/>
    </row>
    <row r="214" spans="24:30" x14ac:dyDescent="0.2">
      <c r="X214" s="434"/>
      <c r="AB214" s="434"/>
      <c r="AC214" s="434"/>
      <c r="AD214" s="434"/>
    </row>
    <row r="215" spans="24:30" x14ac:dyDescent="0.2">
      <c r="X215" s="434"/>
      <c r="AB215" s="434"/>
      <c r="AC215" s="434"/>
      <c r="AD215" s="434"/>
    </row>
    <row r="216" spans="24:30" x14ac:dyDescent="0.2">
      <c r="X216" s="434"/>
      <c r="AB216" s="434"/>
      <c r="AC216" s="434"/>
      <c r="AD216" s="434"/>
    </row>
    <row r="217" spans="24:30" x14ac:dyDescent="0.2">
      <c r="X217" s="434"/>
      <c r="AB217" s="434"/>
      <c r="AC217" s="434"/>
      <c r="AD217" s="434"/>
    </row>
    <row r="218" spans="24:30" x14ac:dyDescent="0.2">
      <c r="X218" s="434"/>
      <c r="AB218" s="434"/>
      <c r="AC218" s="434"/>
      <c r="AD218" s="434"/>
    </row>
    <row r="219" spans="24:30" x14ac:dyDescent="0.2">
      <c r="X219" s="434"/>
      <c r="AB219" s="434"/>
      <c r="AC219" s="434"/>
      <c r="AD219" s="434"/>
    </row>
    <row r="220" spans="24:30" x14ac:dyDescent="0.2">
      <c r="X220" s="434"/>
      <c r="AB220" s="434"/>
      <c r="AC220" s="434"/>
      <c r="AD220" s="434"/>
    </row>
    <row r="221" spans="24:30" x14ac:dyDescent="0.2">
      <c r="X221" s="434"/>
      <c r="AB221" s="434"/>
      <c r="AC221" s="434"/>
      <c r="AD221" s="434"/>
    </row>
    <row r="222" spans="24:30" x14ac:dyDescent="0.2">
      <c r="X222" s="434"/>
      <c r="AB222" s="434"/>
      <c r="AC222" s="434"/>
      <c r="AD222" s="434"/>
    </row>
    <row r="223" spans="24:30" x14ac:dyDescent="0.2">
      <c r="X223" s="434"/>
      <c r="AB223" s="434"/>
      <c r="AC223" s="434"/>
      <c r="AD223" s="434"/>
    </row>
    <row r="224" spans="24:30" x14ac:dyDescent="0.2">
      <c r="X224" s="434"/>
      <c r="AB224" s="434"/>
      <c r="AC224" s="434"/>
      <c r="AD224" s="434"/>
    </row>
    <row r="225" spans="24:30" x14ac:dyDescent="0.2">
      <c r="X225" s="434"/>
      <c r="AB225" s="434"/>
      <c r="AC225" s="434"/>
      <c r="AD225" s="434"/>
    </row>
    <row r="226" spans="24:30" x14ac:dyDescent="0.2">
      <c r="X226" s="434"/>
      <c r="AB226" s="434"/>
      <c r="AC226" s="434"/>
      <c r="AD226" s="434"/>
    </row>
    <row r="227" spans="24:30" x14ac:dyDescent="0.2">
      <c r="X227" s="434"/>
      <c r="AB227" s="434"/>
      <c r="AC227" s="434"/>
      <c r="AD227" s="434"/>
    </row>
    <row r="228" spans="24:30" x14ac:dyDescent="0.2">
      <c r="X228" s="434"/>
      <c r="AB228" s="434"/>
      <c r="AC228" s="434"/>
      <c r="AD228" s="434"/>
    </row>
    <row r="229" spans="24:30" x14ac:dyDescent="0.2">
      <c r="X229" s="434"/>
      <c r="AB229" s="434"/>
      <c r="AC229" s="434"/>
      <c r="AD229" s="434"/>
    </row>
    <row r="230" spans="24:30" x14ac:dyDescent="0.2">
      <c r="X230" s="434"/>
      <c r="AB230" s="434"/>
      <c r="AC230" s="434"/>
      <c r="AD230" s="434"/>
    </row>
    <row r="231" spans="24:30" x14ac:dyDescent="0.2">
      <c r="X231" s="434"/>
      <c r="AB231" s="434"/>
      <c r="AC231" s="434"/>
      <c r="AD231" s="434"/>
    </row>
    <row r="232" spans="24:30" x14ac:dyDescent="0.2">
      <c r="X232" s="434"/>
      <c r="AB232" s="434"/>
      <c r="AC232" s="434"/>
      <c r="AD232" s="434"/>
    </row>
    <row r="233" spans="24:30" x14ac:dyDescent="0.2">
      <c r="X233" s="434"/>
      <c r="AB233" s="434"/>
      <c r="AC233" s="434"/>
      <c r="AD233" s="434"/>
    </row>
    <row r="234" spans="24:30" x14ac:dyDescent="0.2">
      <c r="X234" s="434"/>
      <c r="AB234" s="434"/>
      <c r="AC234" s="434"/>
      <c r="AD234" s="434"/>
    </row>
    <row r="235" spans="24:30" x14ac:dyDescent="0.2">
      <c r="X235" s="434"/>
      <c r="AB235" s="434"/>
      <c r="AC235" s="434"/>
      <c r="AD235" s="434"/>
    </row>
    <row r="236" spans="24:30" x14ac:dyDescent="0.2">
      <c r="X236" s="434"/>
      <c r="AB236" s="434"/>
      <c r="AC236" s="434"/>
      <c r="AD236" s="434"/>
    </row>
    <row r="237" spans="24:30" x14ac:dyDescent="0.2">
      <c r="X237" s="434"/>
      <c r="AB237" s="434"/>
      <c r="AC237" s="434"/>
      <c r="AD237" s="434"/>
    </row>
    <row r="238" spans="24:30" x14ac:dyDescent="0.2">
      <c r="X238" s="434"/>
      <c r="AB238" s="434"/>
      <c r="AC238" s="434"/>
      <c r="AD238" s="434"/>
    </row>
    <row r="239" spans="24:30" x14ac:dyDescent="0.2">
      <c r="X239" s="434"/>
      <c r="AB239" s="434"/>
      <c r="AC239" s="434"/>
      <c r="AD239" s="434"/>
    </row>
    <row r="240" spans="24:30" x14ac:dyDescent="0.2">
      <c r="X240" s="434"/>
      <c r="AB240" s="434"/>
      <c r="AC240" s="434"/>
      <c r="AD240" s="434"/>
    </row>
    <row r="241" spans="24:30" x14ac:dyDescent="0.2">
      <c r="X241" s="434"/>
      <c r="AB241" s="434"/>
      <c r="AC241" s="434"/>
      <c r="AD241" s="434"/>
    </row>
    <row r="242" spans="24:30" x14ac:dyDescent="0.2">
      <c r="X242" s="434"/>
      <c r="AB242" s="434"/>
      <c r="AC242" s="434"/>
      <c r="AD242" s="434"/>
    </row>
    <row r="243" spans="24:30" x14ac:dyDescent="0.2">
      <c r="X243" s="434"/>
      <c r="AB243" s="434"/>
      <c r="AC243" s="434"/>
      <c r="AD243" s="434"/>
    </row>
    <row r="244" spans="24:30" x14ac:dyDescent="0.2">
      <c r="X244" s="434"/>
      <c r="AB244" s="434"/>
      <c r="AC244" s="434"/>
      <c r="AD244" s="434"/>
    </row>
    <row r="245" spans="24:30" x14ac:dyDescent="0.2">
      <c r="X245" s="434"/>
      <c r="AB245" s="434"/>
      <c r="AC245" s="434"/>
      <c r="AD245" s="434"/>
    </row>
    <row r="246" spans="24:30" x14ac:dyDescent="0.2">
      <c r="X246" s="434"/>
      <c r="AB246" s="434"/>
      <c r="AC246" s="434"/>
      <c r="AD246" s="434"/>
    </row>
    <row r="247" spans="24:30" x14ac:dyDescent="0.2">
      <c r="X247" s="434"/>
      <c r="AB247" s="434"/>
      <c r="AC247" s="434"/>
      <c r="AD247" s="434"/>
    </row>
    <row r="248" spans="24:30" x14ac:dyDescent="0.2">
      <c r="X248" s="434"/>
      <c r="AB248" s="434"/>
      <c r="AC248" s="434"/>
      <c r="AD248" s="434"/>
    </row>
    <row r="249" spans="24:30" x14ac:dyDescent="0.2">
      <c r="X249" s="434"/>
      <c r="AB249" s="434"/>
      <c r="AC249" s="434"/>
      <c r="AD249" s="434"/>
    </row>
    <row r="250" spans="24:30" x14ac:dyDescent="0.2">
      <c r="X250" s="434"/>
      <c r="AB250" s="434"/>
      <c r="AC250" s="434"/>
      <c r="AD250" s="434"/>
    </row>
    <row r="251" spans="24:30" x14ac:dyDescent="0.2">
      <c r="X251" s="434"/>
      <c r="AB251" s="434"/>
      <c r="AC251" s="434"/>
      <c r="AD251" s="434"/>
    </row>
    <row r="252" spans="24:30" x14ac:dyDescent="0.2">
      <c r="X252" s="434"/>
      <c r="AB252" s="434"/>
      <c r="AC252" s="434"/>
      <c r="AD252" s="434"/>
    </row>
    <row r="253" spans="24:30" x14ac:dyDescent="0.2">
      <c r="X253" s="434"/>
      <c r="AB253" s="434"/>
      <c r="AC253" s="434"/>
      <c r="AD253" s="434"/>
    </row>
    <row r="254" spans="24:30" x14ac:dyDescent="0.2">
      <c r="X254" s="434"/>
      <c r="AB254" s="434"/>
      <c r="AC254" s="434"/>
      <c r="AD254" s="434"/>
    </row>
    <row r="255" spans="24:30" x14ac:dyDescent="0.2">
      <c r="X255" s="434"/>
      <c r="AB255" s="434"/>
      <c r="AC255" s="434"/>
      <c r="AD255" s="434"/>
    </row>
    <row r="256" spans="24:30" x14ac:dyDescent="0.2">
      <c r="X256" s="434"/>
      <c r="AB256" s="434"/>
      <c r="AC256" s="434"/>
      <c r="AD256" s="434"/>
    </row>
    <row r="257" spans="24:30" x14ac:dyDescent="0.2">
      <c r="X257" s="434"/>
      <c r="AB257" s="434"/>
      <c r="AC257" s="434"/>
      <c r="AD257" s="434"/>
    </row>
    <row r="258" spans="24:30" x14ac:dyDescent="0.2">
      <c r="X258" s="434"/>
      <c r="AB258" s="434"/>
      <c r="AC258" s="434"/>
      <c r="AD258" s="434"/>
    </row>
    <row r="259" spans="24:30" x14ac:dyDescent="0.2">
      <c r="X259" s="434"/>
      <c r="AB259" s="434"/>
      <c r="AC259" s="434"/>
      <c r="AD259" s="434"/>
    </row>
    <row r="260" spans="24:30" x14ac:dyDescent="0.2">
      <c r="X260" s="434"/>
      <c r="AB260" s="434"/>
      <c r="AC260" s="434"/>
      <c r="AD260" s="434"/>
    </row>
    <row r="261" spans="24:30" x14ac:dyDescent="0.2">
      <c r="X261" s="434"/>
      <c r="AB261" s="434"/>
      <c r="AC261" s="434"/>
      <c r="AD261" s="434"/>
    </row>
    <row r="262" spans="24:30" x14ac:dyDescent="0.2">
      <c r="X262" s="434"/>
      <c r="AB262" s="434"/>
      <c r="AC262" s="434"/>
      <c r="AD262" s="434"/>
    </row>
    <row r="263" spans="24:30" x14ac:dyDescent="0.2">
      <c r="X263" s="434"/>
      <c r="AB263" s="434"/>
      <c r="AC263" s="434"/>
      <c r="AD263" s="434"/>
    </row>
    <row r="264" spans="24:30" x14ac:dyDescent="0.2">
      <c r="X264" s="434"/>
      <c r="AB264" s="434"/>
      <c r="AC264" s="434"/>
      <c r="AD264" s="434"/>
    </row>
    <row r="265" spans="24:30" x14ac:dyDescent="0.2">
      <c r="X265" s="434"/>
      <c r="AB265" s="434"/>
      <c r="AC265" s="434"/>
      <c r="AD265" s="434"/>
    </row>
    <row r="266" spans="24:30" x14ac:dyDescent="0.2">
      <c r="X266" s="434"/>
      <c r="AB266" s="434"/>
      <c r="AC266" s="434"/>
      <c r="AD266" s="434"/>
    </row>
    <row r="267" spans="24:30" x14ac:dyDescent="0.2">
      <c r="X267" s="434"/>
      <c r="AB267" s="434"/>
      <c r="AC267" s="434"/>
      <c r="AD267" s="434"/>
    </row>
    <row r="268" spans="24:30" x14ac:dyDescent="0.2">
      <c r="X268" s="434"/>
      <c r="AB268" s="434"/>
      <c r="AC268" s="434"/>
      <c r="AD268" s="434"/>
    </row>
    <row r="269" spans="24:30" x14ac:dyDescent="0.2">
      <c r="X269" s="434"/>
      <c r="AB269" s="434"/>
      <c r="AC269" s="434"/>
      <c r="AD269" s="434"/>
    </row>
    <row r="270" spans="24:30" x14ac:dyDescent="0.2">
      <c r="X270" s="434"/>
      <c r="AB270" s="434"/>
      <c r="AC270" s="434"/>
      <c r="AD270" s="434"/>
    </row>
    <row r="271" spans="24:30" x14ac:dyDescent="0.2">
      <c r="X271" s="434"/>
      <c r="AB271" s="434"/>
      <c r="AC271" s="434"/>
      <c r="AD271" s="434"/>
    </row>
    <row r="272" spans="24:30" x14ac:dyDescent="0.2">
      <c r="X272" s="434"/>
      <c r="AB272" s="434"/>
      <c r="AC272" s="434"/>
      <c r="AD272" s="434"/>
    </row>
    <row r="273" spans="24:30" x14ac:dyDescent="0.2">
      <c r="X273" s="434"/>
      <c r="AB273" s="434"/>
      <c r="AC273" s="434"/>
      <c r="AD273" s="434"/>
    </row>
    <row r="274" spans="24:30" x14ac:dyDescent="0.2">
      <c r="X274" s="434"/>
      <c r="AB274" s="434"/>
      <c r="AC274" s="434"/>
      <c r="AD274" s="434"/>
    </row>
    <row r="275" spans="24:30" x14ac:dyDescent="0.2">
      <c r="X275" s="434"/>
      <c r="AB275" s="434"/>
      <c r="AC275" s="434"/>
      <c r="AD275" s="434"/>
    </row>
    <row r="276" spans="24:30" x14ac:dyDescent="0.2">
      <c r="X276" s="434"/>
      <c r="AB276" s="434"/>
      <c r="AC276" s="434"/>
      <c r="AD276" s="434"/>
    </row>
    <row r="277" spans="24:30" x14ac:dyDescent="0.2">
      <c r="X277" s="434"/>
      <c r="AB277" s="434"/>
      <c r="AC277" s="434"/>
      <c r="AD277" s="434"/>
    </row>
    <row r="278" spans="24:30" x14ac:dyDescent="0.2">
      <c r="X278" s="434"/>
      <c r="AB278" s="434"/>
      <c r="AC278" s="434"/>
      <c r="AD278" s="434"/>
    </row>
    <row r="279" spans="24:30" x14ac:dyDescent="0.2">
      <c r="X279" s="434"/>
      <c r="AB279" s="434"/>
      <c r="AC279" s="434"/>
      <c r="AD279" s="434"/>
    </row>
    <row r="280" spans="24:30" x14ac:dyDescent="0.2">
      <c r="X280" s="434"/>
      <c r="AB280" s="434"/>
      <c r="AC280" s="434"/>
      <c r="AD280" s="434"/>
    </row>
    <row r="281" spans="24:30" x14ac:dyDescent="0.2">
      <c r="X281" s="434"/>
      <c r="AB281" s="434"/>
      <c r="AC281" s="434"/>
      <c r="AD281" s="434"/>
    </row>
    <row r="282" spans="24:30" x14ac:dyDescent="0.2">
      <c r="X282" s="434"/>
      <c r="AB282" s="434"/>
      <c r="AC282" s="434"/>
      <c r="AD282" s="434"/>
    </row>
    <row r="283" spans="24:30" x14ac:dyDescent="0.2">
      <c r="X283" s="434"/>
      <c r="AB283" s="434"/>
      <c r="AC283" s="434"/>
      <c r="AD283" s="434"/>
    </row>
    <row r="284" spans="24:30" x14ac:dyDescent="0.2">
      <c r="X284" s="434"/>
      <c r="AB284" s="434"/>
      <c r="AC284" s="434"/>
      <c r="AD284" s="434"/>
    </row>
    <row r="285" spans="24:30" x14ac:dyDescent="0.2">
      <c r="X285" s="434"/>
      <c r="AB285" s="434"/>
      <c r="AC285" s="434"/>
      <c r="AD285" s="434"/>
    </row>
    <row r="286" spans="24:30" x14ac:dyDescent="0.2">
      <c r="X286" s="434"/>
      <c r="AB286" s="434"/>
      <c r="AC286" s="434"/>
      <c r="AD286" s="434"/>
    </row>
    <row r="287" spans="24:30" x14ac:dyDescent="0.2">
      <c r="X287" s="434"/>
      <c r="AB287" s="434"/>
      <c r="AC287" s="434"/>
      <c r="AD287" s="434"/>
    </row>
    <row r="288" spans="24:30" x14ac:dyDescent="0.2">
      <c r="X288" s="434"/>
      <c r="AB288" s="434"/>
      <c r="AC288" s="434"/>
      <c r="AD288" s="434"/>
    </row>
    <row r="289" spans="24:30" x14ac:dyDescent="0.2">
      <c r="X289" s="434"/>
      <c r="AB289" s="434"/>
      <c r="AC289" s="434"/>
      <c r="AD289" s="434"/>
    </row>
    <row r="290" spans="24:30" x14ac:dyDescent="0.2">
      <c r="X290" s="434"/>
      <c r="AB290" s="434"/>
      <c r="AC290" s="434"/>
      <c r="AD290" s="434"/>
    </row>
    <row r="291" spans="24:30" x14ac:dyDescent="0.2">
      <c r="X291" s="434"/>
      <c r="AB291" s="434"/>
      <c r="AC291" s="434"/>
      <c r="AD291" s="434"/>
    </row>
    <row r="292" spans="24:30" x14ac:dyDescent="0.2">
      <c r="X292" s="434"/>
      <c r="AB292" s="434"/>
      <c r="AC292" s="434"/>
      <c r="AD292" s="434"/>
    </row>
    <row r="293" spans="24:30" x14ac:dyDescent="0.2">
      <c r="X293" s="434"/>
      <c r="AB293" s="434"/>
      <c r="AC293" s="434"/>
      <c r="AD293" s="434"/>
    </row>
    <row r="294" spans="24:30" x14ac:dyDescent="0.2">
      <c r="X294" s="434"/>
      <c r="AB294" s="434"/>
      <c r="AC294" s="434"/>
      <c r="AD294" s="434"/>
    </row>
    <row r="295" spans="24:30" x14ac:dyDescent="0.2">
      <c r="X295" s="434"/>
      <c r="AB295" s="434"/>
      <c r="AC295" s="434"/>
      <c r="AD295" s="434"/>
    </row>
    <row r="296" spans="24:30" x14ac:dyDescent="0.2">
      <c r="X296" s="434"/>
      <c r="AB296" s="434"/>
      <c r="AC296" s="434"/>
      <c r="AD296" s="434"/>
    </row>
    <row r="297" spans="24:30" x14ac:dyDescent="0.2">
      <c r="X297" s="434"/>
      <c r="AB297" s="434"/>
      <c r="AC297" s="434"/>
      <c r="AD297" s="434"/>
    </row>
    <row r="298" spans="24:30" x14ac:dyDescent="0.2">
      <c r="X298" s="434"/>
      <c r="AB298" s="434"/>
      <c r="AC298" s="434"/>
      <c r="AD298" s="434"/>
    </row>
    <row r="299" spans="24:30" x14ac:dyDescent="0.2">
      <c r="X299" s="434"/>
      <c r="AB299" s="434"/>
      <c r="AC299" s="434"/>
      <c r="AD299" s="434"/>
    </row>
    <row r="300" spans="24:30" x14ac:dyDescent="0.2">
      <c r="X300" s="434"/>
      <c r="AB300" s="434"/>
      <c r="AC300" s="434"/>
      <c r="AD300" s="434"/>
    </row>
    <row r="301" spans="24:30" x14ac:dyDescent="0.2">
      <c r="X301" s="434"/>
      <c r="AB301" s="434"/>
      <c r="AC301" s="434"/>
      <c r="AD301" s="434"/>
    </row>
    <row r="302" spans="24:30" x14ac:dyDescent="0.2">
      <c r="X302" s="434"/>
      <c r="AB302" s="434"/>
      <c r="AC302" s="434"/>
      <c r="AD302" s="434"/>
    </row>
    <row r="303" spans="24:30" x14ac:dyDescent="0.2">
      <c r="X303" s="434"/>
      <c r="AB303" s="434"/>
      <c r="AC303" s="434"/>
      <c r="AD303" s="434"/>
    </row>
    <row r="304" spans="24:30" x14ac:dyDescent="0.2">
      <c r="X304" s="434"/>
      <c r="AB304" s="434"/>
      <c r="AC304" s="434"/>
      <c r="AD304" s="434"/>
    </row>
    <row r="305" spans="24:30" x14ac:dyDescent="0.2">
      <c r="X305" s="434"/>
      <c r="AB305" s="434"/>
      <c r="AC305" s="434"/>
      <c r="AD305" s="434"/>
    </row>
    <row r="306" spans="24:30" x14ac:dyDescent="0.2">
      <c r="X306" s="434"/>
      <c r="AB306" s="434"/>
      <c r="AC306" s="434"/>
      <c r="AD306" s="434"/>
    </row>
    <row r="307" spans="24:30" x14ac:dyDescent="0.2">
      <c r="X307" s="434"/>
      <c r="AB307" s="434"/>
      <c r="AC307" s="434"/>
      <c r="AD307" s="434"/>
    </row>
    <row r="308" spans="24:30" x14ac:dyDescent="0.2">
      <c r="X308" s="434"/>
      <c r="AB308" s="434"/>
      <c r="AC308" s="434"/>
      <c r="AD308" s="434"/>
    </row>
    <row r="309" spans="24:30" x14ac:dyDescent="0.2">
      <c r="X309" s="434"/>
      <c r="AB309" s="434"/>
      <c r="AC309" s="434"/>
      <c r="AD309" s="434"/>
    </row>
    <row r="310" spans="24:30" x14ac:dyDescent="0.2">
      <c r="X310" s="434"/>
      <c r="AB310" s="434"/>
      <c r="AC310" s="434"/>
      <c r="AD310" s="434"/>
    </row>
    <row r="311" spans="24:30" x14ac:dyDescent="0.2">
      <c r="X311" s="434"/>
      <c r="AB311" s="434"/>
      <c r="AC311" s="434"/>
      <c r="AD311" s="434"/>
    </row>
    <row r="312" spans="24:30" x14ac:dyDescent="0.2">
      <c r="X312" s="434"/>
      <c r="AB312" s="434"/>
      <c r="AC312" s="434"/>
      <c r="AD312" s="434"/>
    </row>
    <row r="313" spans="24:30" x14ac:dyDescent="0.2">
      <c r="X313" s="434"/>
      <c r="AB313" s="434"/>
      <c r="AC313" s="434"/>
      <c r="AD313" s="434"/>
    </row>
    <row r="314" spans="24:30" x14ac:dyDescent="0.2">
      <c r="X314" s="434"/>
      <c r="AB314" s="434"/>
      <c r="AC314" s="434"/>
      <c r="AD314" s="434"/>
    </row>
    <row r="315" spans="24:30" x14ac:dyDescent="0.2">
      <c r="X315" s="434"/>
      <c r="AB315" s="434"/>
      <c r="AC315" s="434"/>
      <c r="AD315" s="434"/>
    </row>
    <row r="316" spans="24:30" x14ac:dyDescent="0.2">
      <c r="X316" s="434"/>
      <c r="AB316" s="434"/>
      <c r="AC316" s="434"/>
      <c r="AD316" s="434"/>
    </row>
    <row r="317" spans="24:30" x14ac:dyDescent="0.2">
      <c r="X317" s="434"/>
      <c r="AB317" s="434"/>
      <c r="AC317" s="434"/>
      <c r="AD317" s="434"/>
    </row>
    <row r="318" spans="24:30" x14ac:dyDescent="0.2">
      <c r="X318" s="434"/>
      <c r="AB318" s="434"/>
      <c r="AC318" s="434"/>
      <c r="AD318" s="434"/>
    </row>
    <row r="319" spans="24:30" x14ac:dyDescent="0.2">
      <c r="X319" s="434"/>
      <c r="AB319" s="434"/>
      <c r="AC319" s="434"/>
      <c r="AD319" s="434"/>
    </row>
    <row r="320" spans="24:30" x14ac:dyDescent="0.2">
      <c r="X320" s="434"/>
      <c r="AB320" s="434"/>
      <c r="AC320" s="434"/>
      <c r="AD320" s="434"/>
    </row>
    <row r="321" spans="24:30" x14ac:dyDescent="0.2">
      <c r="X321" s="434"/>
      <c r="AB321" s="434"/>
      <c r="AC321" s="434"/>
      <c r="AD321" s="434"/>
    </row>
    <row r="322" spans="24:30" x14ac:dyDescent="0.2">
      <c r="X322" s="434"/>
      <c r="AB322" s="434"/>
      <c r="AC322" s="434"/>
      <c r="AD322" s="434"/>
    </row>
    <row r="323" spans="24:30" x14ac:dyDescent="0.2">
      <c r="X323" s="434"/>
      <c r="AB323" s="434"/>
      <c r="AC323" s="434"/>
      <c r="AD323" s="434"/>
    </row>
    <row r="324" spans="24:30" x14ac:dyDescent="0.2">
      <c r="X324" s="434"/>
      <c r="AB324" s="434"/>
      <c r="AC324" s="434"/>
      <c r="AD324" s="434"/>
    </row>
    <row r="325" spans="24:30" x14ac:dyDescent="0.2">
      <c r="X325" s="434"/>
      <c r="AB325" s="434"/>
      <c r="AC325" s="434"/>
      <c r="AD325" s="434"/>
    </row>
    <row r="326" spans="24:30" x14ac:dyDescent="0.2">
      <c r="X326" s="434"/>
      <c r="AB326" s="434"/>
      <c r="AC326" s="434"/>
      <c r="AD326" s="434"/>
    </row>
    <row r="327" spans="24:30" x14ac:dyDescent="0.2">
      <c r="X327" s="434"/>
      <c r="AB327" s="434"/>
      <c r="AC327" s="434"/>
      <c r="AD327" s="434"/>
    </row>
    <row r="328" spans="24:30" x14ac:dyDescent="0.2">
      <c r="X328" s="434"/>
      <c r="AB328" s="434"/>
      <c r="AC328" s="434"/>
      <c r="AD328" s="434"/>
    </row>
    <row r="329" spans="24:30" x14ac:dyDescent="0.2">
      <c r="X329" s="434"/>
      <c r="AB329" s="434"/>
      <c r="AC329" s="434"/>
      <c r="AD329" s="434"/>
    </row>
    <row r="330" spans="24:30" x14ac:dyDescent="0.2">
      <c r="X330" s="434"/>
      <c r="AB330" s="434"/>
      <c r="AC330" s="434"/>
      <c r="AD330" s="434"/>
    </row>
    <row r="331" spans="24:30" x14ac:dyDescent="0.2">
      <c r="X331" s="434"/>
      <c r="AB331" s="434"/>
      <c r="AC331" s="434"/>
      <c r="AD331" s="434"/>
    </row>
    <row r="332" spans="24:30" x14ac:dyDescent="0.2">
      <c r="X332" s="434"/>
      <c r="AB332" s="434"/>
      <c r="AC332" s="434"/>
      <c r="AD332" s="434"/>
    </row>
    <row r="333" spans="24:30" x14ac:dyDescent="0.2">
      <c r="X333" s="434"/>
      <c r="AB333" s="434"/>
      <c r="AC333" s="434"/>
      <c r="AD333" s="434"/>
    </row>
    <row r="334" spans="24:30" x14ac:dyDescent="0.2">
      <c r="X334" s="434"/>
      <c r="AB334" s="434"/>
      <c r="AC334" s="434"/>
      <c r="AD334" s="434"/>
    </row>
    <row r="335" spans="24:30" x14ac:dyDescent="0.2">
      <c r="X335" s="434"/>
      <c r="AB335" s="434"/>
      <c r="AC335" s="434"/>
      <c r="AD335" s="434"/>
    </row>
    <row r="336" spans="24:30" x14ac:dyDescent="0.2">
      <c r="X336" s="434"/>
      <c r="AB336" s="434"/>
      <c r="AC336" s="434"/>
      <c r="AD336" s="434"/>
    </row>
    <row r="337" spans="24:30" x14ac:dyDescent="0.2">
      <c r="X337" s="434"/>
      <c r="AB337" s="434"/>
      <c r="AC337" s="434"/>
      <c r="AD337" s="434"/>
    </row>
    <row r="338" spans="24:30" x14ac:dyDescent="0.2">
      <c r="X338" s="434"/>
      <c r="AB338" s="434"/>
      <c r="AC338" s="434"/>
      <c r="AD338" s="434"/>
    </row>
    <row r="339" spans="24:30" x14ac:dyDescent="0.2">
      <c r="X339" s="434"/>
      <c r="AB339" s="434"/>
      <c r="AC339" s="434"/>
      <c r="AD339" s="434"/>
    </row>
    <row r="340" spans="24:30" x14ac:dyDescent="0.2">
      <c r="X340" s="434"/>
      <c r="AB340" s="434"/>
      <c r="AC340" s="434"/>
      <c r="AD340" s="434"/>
    </row>
    <row r="341" spans="24:30" x14ac:dyDescent="0.2">
      <c r="X341" s="434"/>
      <c r="AB341" s="434"/>
      <c r="AC341" s="434"/>
      <c r="AD341" s="434"/>
    </row>
    <row r="342" spans="24:30" x14ac:dyDescent="0.2">
      <c r="X342" s="434"/>
      <c r="AB342" s="434"/>
      <c r="AC342" s="434"/>
      <c r="AD342" s="434"/>
    </row>
    <row r="343" spans="24:30" x14ac:dyDescent="0.2">
      <c r="X343" s="434"/>
      <c r="AB343" s="434"/>
      <c r="AC343" s="434"/>
      <c r="AD343" s="434"/>
    </row>
    <row r="344" spans="24:30" x14ac:dyDescent="0.2">
      <c r="X344" s="434"/>
      <c r="AB344" s="434"/>
      <c r="AC344" s="434"/>
      <c r="AD344" s="434"/>
    </row>
    <row r="345" spans="24:30" x14ac:dyDescent="0.2">
      <c r="X345" s="434"/>
      <c r="AB345" s="434"/>
      <c r="AC345" s="434"/>
      <c r="AD345" s="434"/>
    </row>
    <row r="346" spans="24:30" x14ac:dyDescent="0.2">
      <c r="X346" s="434"/>
      <c r="AB346" s="434"/>
      <c r="AC346" s="434"/>
      <c r="AD346" s="434"/>
    </row>
    <row r="347" spans="24:30" x14ac:dyDescent="0.2">
      <c r="X347" s="434"/>
      <c r="AB347" s="434"/>
      <c r="AC347" s="434"/>
      <c r="AD347" s="434"/>
    </row>
    <row r="348" spans="24:30" x14ac:dyDescent="0.2">
      <c r="X348" s="434"/>
      <c r="AB348" s="434"/>
      <c r="AC348" s="434"/>
      <c r="AD348" s="434"/>
    </row>
    <row r="349" spans="24:30" x14ac:dyDescent="0.2">
      <c r="X349" s="434"/>
      <c r="AB349" s="434"/>
      <c r="AC349" s="434"/>
      <c r="AD349" s="434"/>
    </row>
    <row r="350" spans="24:30" x14ac:dyDescent="0.2">
      <c r="X350" s="434"/>
      <c r="AB350" s="434"/>
      <c r="AC350" s="434"/>
      <c r="AD350" s="434"/>
    </row>
    <row r="351" spans="24:30" x14ac:dyDescent="0.2">
      <c r="X351" s="434"/>
      <c r="AB351" s="434"/>
      <c r="AC351" s="434"/>
      <c r="AD351" s="434"/>
    </row>
    <row r="352" spans="24:30" x14ac:dyDescent="0.2">
      <c r="X352" s="434"/>
      <c r="AB352" s="434"/>
      <c r="AC352" s="434"/>
      <c r="AD352" s="434"/>
    </row>
    <row r="353" spans="24:30" x14ac:dyDescent="0.2">
      <c r="X353" s="434"/>
      <c r="AB353" s="434"/>
      <c r="AC353" s="434"/>
      <c r="AD353" s="434"/>
    </row>
    <row r="354" spans="24:30" x14ac:dyDescent="0.2">
      <c r="X354" s="434"/>
      <c r="AB354" s="434"/>
      <c r="AC354" s="434"/>
      <c r="AD354" s="434"/>
    </row>
    <row r="355" spans="24:30" x14ac:dyDescent="0.2">
      <c r="X355" s="434"/>
      <c r="AB355" s="434"/>
      <c r="AC355" s="434"/>
      <c r="AD355" s="434"/>
    </row>
    <row r="356" spans="24:30" x14ac:dyDescent="0.2">
      <c r="X356" s="434"/>
      <c r="AB356" s="434"/>
      <c r="AC356" s="434"/>
      <c r="AD356" s="434"/>
    </row>
    <row r="357" spans="24:30" x14ac:dyDescent="0.2">
      <c r="X357" s="434"/>
      <c r="AB357" s="434"/>
      <c r="AC357" s="434"/>
      <c r="AD357" s="434"/>
    </row>
    <row r="358" spans="24:30" x14ac:dyDescent="0.2">
      <c r="X358" s="434"/>
      <c r="AB358" s="434"/>
      <c r="AC358" s="434"/>
      <c r="AD358" s="434"/>
    </row>
    <row r="359" spans="24:30" x14ac:dyDescent="0.2">
      <c r="X359" s="434"/>
      <c r="AB359" s="434"/>
      <c r="AC359" s="434"/>
      <c r="AD359" s="434"/>
    </row>
    <row r="360" spans="24:30" x14ac:dyDescent="0.2">
      <c r="X360" s="434"/>
      <c r="AB360" s="434"/>
      <c r="AC360" s="434"/>
      <c r="AD360" s="434"/>
    </row>
    <row r="361" spans="24:30" x14ac:dyDescent="0.2">
      <c r="X361" s="434"/>
      <c r="AB361" s="434"/>
      <c r="AC361" s="434"/>
      <c r="AD361" s="434"/>
    </row>
    <row r="362" spans="24:30" x14ac:dyDescent="0.2">
      <c r="X362" s="434"/>
      <c r="AB362" s="434"/>
      <c r="AC362" s="434"/>
      <c r="AD362" s="434"/>
    </row>
    <row r="363" spans="24:30" x14ac:dyDescent="0.2">
      <c r="X363" s="434"/>
      <c r="AB363" s="434"/>
      <c r="AC363" s="434"/>
      <c r="AD363" s="434"/>
    </row>
    <row r="364" spans="24:30" x14ac:dyDescent="0.2">
      <c r="X364" s="434"/>
      <c r="AB364" s="434"/>
      <c r="AC364" s="434"/>
      <c r="AD364" s="434"/>
    </row>
    <row r="365" spans="24:30" x14ac:dyDescent="0.2">
      <c r="X365" s="434"/>
      <c r="AB365" s="434"/>
      <c r="AC365" s="434"/>
      <c r="AD365" s="434"/>
    </row>
    <row r="366" spans="24:30" x14ac:dyDescent="0.2">
      <c r="X366" s="434"/>
      <c r="AB366" s="434"/>
      <c r="AC366" s="434"/>
      <c r="AD366" s="434"/>
    </row>
    <row r="367" spans="24:30" x14ac:dyDescent="0.2">
      <c r="X367" s="434"/>
      <c r="AB367" s="434"/>
      <c r="AC367" s="434"/>
      <c r="AD367" s="434"/>
    </row>
    <row r="368" spans="24:30" x14ac:dyDescent="0.2">
      <c r="X368" s="434"/>
      <c r="AB368" s="434"/>
      <c r="AC368" s="434"/>
      <c r="AD368" s="434"/>
    </row>
    <row r="369" spans="24:30" x14ac:dyDescent="0.2">
      <c r="X369" s="434"/>
      <c r="AB369" s="434"/>
      <c r="AC369" s="434"/>
      <c r="AD369" s="434"/>
    </row>
    <row r="370" spans="24:30" x14ac:dyDescent="0.2">
      <c r="X370" s="434"/>
      <c r="AB370" s="434"/>
      <c r="AC370" s="434"/>
      <c r="AD370" s="434"/>
    </row>
    <row r="371" spans="24:30" x14ac:dyDescent="0.2">
      <c r="X371" s="434"/>
      <c r="AB371" s="434"/>
      <c r="AC371" s="434"/>
      <c r="AD371" s="434"/>
    </row>
    <row r="372" spans="24:30" x14ac:dyDescent="0.2">
      <c r="X372" s="434"/>
      <c r="AB372" s="434"/>
      <c r="AC372" s="434"/>
      <c r="AD372" s="434"/>
    </row>
    <row r="373" spans="24:30" x14ac:dyDescent="0.2">
      <c r="X373" s="434"/>
      <c r="AB373" s="434"/>
      <c r="AC373" s="434"/>
      <c r="AD373" s="434"/>
    </row>
    <row r="374" spans="24:30" x14ac:dyDescent="0.2">
      <c r="X374" s="434"/>
      <c r="AB374" s="434"/>
      <c r="AC374" s="434"/>
      <c r="AD374" s="434"/>
    </row>
    <row r="375" spans="24:30" x14ac:dyDescent="0.2">
      <c r="X375" s="434"/>
      <c r="AB375" s="434"/>
      <c r="AC375" s="434"/>
      <c r="AD375" s="434"/>
    </row>
    <row r="376" spans="24:30" x14ac:dyDescent="0.2">
      <c r="X376" s="434"/>
      <c r="AB376" s="434"/>
      <c r="AC376" s="434"/>
      <c r="AD376" s="434"/>
    </row>
    <row r="377" spans="24:30" x14ac:dyDescent="0.2">
      <c r="X377" s="434"/>
      <c r="AB377" s="434"/>
      <c r="AC377" s="434"/>
      <c r="AD377" s="434"/>
    </row>
    <row r="378" spans="24:30" x14ac:dyDescent="0.2">
      <c r="X378" s="434"/>
      <c r="AB378" s="434"/>
      <c r="AC378" s="434"/>
      <c r="AD378" s="434"/>
    </row>
    <row r="379" spans="24:30" x14ac:dyDescent="0.2">
      <c r="X379" s="434"/>
      <c r="AB379" s="434"/>
      <c r="AC379" s="434"/>
      <c r="AD379" s="434"/>
    </row>
    <row r="380" spans="24:30" x14ac:dyDescent="0.2">
      <c r="X380" s="434"/>
      <c r="AB380" s="434"/>
      <c r="AC380" s="434"/>
      <c r="AD380" s="434"/>
    </row>
    <row r="381" spans="24:30" x14ac:dyDescent="0.2">
      <c r="X381" s="434"/>
      <c r="AB381" s="434"/>
      <c r="AC381" s="434"/>
      <c r="AD381" s="434"/>
    </row>
    <row r="382" spans="24:30" x14ac:dyDescent="0.2">
      <c r="X382" s="434"/>
      <c r="AB382" s="434"/>
      <c r="AC382" s="434"/>
      <c r="AD382" s="434"/>
    </row>
    <row r="383" spans="24:30" x14ac:dyDescent="0.2">
      <c r="X383" s="434"/>
      <c r="AB383" s="434"/>
      <c r="AC383" s="434"/>
      <c r="AD383" s="434"/>
    </row>
    <row r="384" spans="24:30" x14ac:dyDescent="0.2">
      <c r="X384" s="434"/>
      <c r="AB384" s="434"/>
      <c r="AC384" s="434"/>
      <c r="AD384" s="434"/>
    </row>
    <row r="385" spans="24:30" x14ac:dyDescent="0.2">
      <c r="X385" s="434"/>
      <c r="AB385" s="434"/>
      <c r="AC385" s="434"/>
      <c r="AD385" s="434"/>
    </row>
    <row r="386" spans="24:30" x14ac:dyDescent="0.2">
      <c r="X386" s="434"/>
      <c r="AB386" s="434"/>
      <c r="AC386" s="434"/>
      <c r="AD386" s="434"/>
    </row>
    <row r="387" spans="24:30" x14ac:dyDescent="0.2">
      <c r="X387" s="434"/>
      <c r="AB387" s="434"/>
      <c r="AC387" s="434"/>
      <c r="AD387" s="434"/>
    </row>
    <row r="388" spans="24:30" x14ac:dyDescent="0.2">
      <c r="X388" s="434"/>
      <c r="AB388" s="434"/>
      <c r="AC388" s="434"/>
      <c r="AD388" s="434"/>
    </row>
    <row r="389" spans="24:30" x14ac:dyDescent="0.2">
      <c r="X389" s="434"/>
      <c r="AB389" s="434"/>
      <c r="AC389" s="434"/>
      <c r="AD389" s="434"/>
    </row>
    <row r="390" spans="24:30" x14ac:dyDescent="0.2">
      <c r="X390" s="434"/>
      <c r="AB390" s="434"/>
      <c r="AC390" s="434"/>
      <c r="AD390" s="434"/>
    </row>
    <row r="391" spans="24:30" x14ac:dyDescent="0.2">
      <c r="X391" s="434"/>
      <c r="AB391" s="434"/>
      <c r="AC391" s="434"/>
      <c r="AD391" s="434"/>
    </row>
    <row r="392" spans="24:30" x14ac:dyDescent="0.2">
      <c r="X392" s="434"/>
      <c r="AB392" s="434"/>
      <c r="AC392" s="434"/>
      <c r="AD392" s="434"/>
    </row>
    <row r="393" spans="24:30" x14ac:dyDescent="0.2">
      <c r="X393" s="434"/>
      <c r="AB393" s="434"/>
      <c r="AC393" s="434"/>
      <c r="AD393" s="434"/>
    </row>
    <row r="394" spans="24:30" x14ac:dyDescent="0.2">
      <c r="X394" s="434"/>
      <c r="AB394" s="434"/>
      <c r="AC394" s="434"/>
      <c r="AD394" s="434"/>
    </row>
    <row r="395" spans="24:30" x14ac:dyDescent="0.2">
      <c r="X395" s="434"/>
      <c r="AB395" s="434"/>
      <c r="AC395" s="434"/>
      <c r="AD395" s="434"/>
    </row>
    <row r="396" spans="24:30" x14ac:dyDescent="0.2">
      <c r="X396" s="434"/>
      <c r="AB396" s="434"/>
      <c r="AC396" s="434"/>
      <c r="AD396" s="434"/>
    </row>
    <row r="397" spans="24:30" x14ac:dyDescent="0.2">
      <c r="X397" s="434"/>
      <c r="AB397" s="434"/>
      <c r="AC397" s="434"/>
      <c r="AD397" s="434"/>
    </row>
    <row r="398" spans="24:30" x14ac:dyDescent="0.2">
      <c r="X398" s="434"/>
      <c r="AB398" s="434"/>
      <c r="AC398" s="434"/>
      <c r="AD398" s="434"/>
    </row>
    <row r="399" spans="24:30" x14ac:dyDescent="0.2">
      <c r="X399" s="434"/>
      <c r="AB399" s="434"/>
      <c r="AC399" s="434"/>
      <c r="AD399" s="434"/>
    </row>
    <row r="400" spans="24:30" x14ac:dyDescent="0.2">
      <c r="X400" s="434"/>
      <c r="AB400" s="434"/>
      <c r="AC400" s="434"/>
      <c r="AD400" s="434"/>
    </row>
    <row r="401" spans="24:30" x14ac:dyDescent="0.2">
      <c r="X401" s="434"/>
      <c r="AB401" s="434"/>
      <c r="AC401" s="434"/>
      <c r="AD401" s="434"/>
    </row>
    <row r="402" spans="24:30" x14ac:dyDescent="0.2">
      <c r="X402" s="434"/>
      <c r="AB402" s="434"/>
      <c r="AC402" s="434"/>
      <c r="AD402" s="434"/>
    </row>
    <row r="403" spans="24:30" x14ac:dyDescent="0.2">
      <c r="X403" s="434"/>
      <c r="AB403" s="434"/>
      <c r="AC403" s="434"/>
      <c r="AD403" s="434"/>
    </row>
    <row r="404" spans="24:30" x14ac:dyDescent="0.2">
      <c r="X404" s="434"/>
      <c r="AB404" s="434"/>
      <c r="AC404" s="434"/>
      <c r="AD404" s="434"/>
    </row>
    <row r="405" spans="24:30" x14ac:dyDescent="0.2">
      <c r="X405" s="434"/>
      <c r="AB405" s="434"/>
      <c r="AC405" s="434"/>
      <c r="AD405" s="434"/>
    </row>
    <row r="406" spans="24:30" x14ac:dyDescent="0.2">
      <c r="X406" s="434"/>
      <c r="AB406" s="434"/>
      <c r="AC406" s="434"/>
      <c r="AD406" s="434"/>
    </row>
    <row r="407" spans="24:30" x14ac:dyDescent="0.2">
      <c r="X407" s="434"/>
      <c r="AB407" s="434"/>
      <c r="AC407" s="434"/>
      <c r="AD407" s="434"/>
    </row>
    <row r="408" spans="24:30" x14ac:dyDescent="0.2">
      <c r="X408" s="434"/>
      <c r="AB408" s="434"/>
      <c r="AC408" s="434"/>
      <c r="AD408" s="434"/>
    </row>
    <row r="409" spans="24:30" x14ac:dyDescent="0.2">
      <c r="X409" s="434"/>
      <c r="AB409" s="434"/>
      <c r="AC409" s="434"/>
      <c r="AD409" s="434"/>
    </row>
    <row r="410" spans="24:30" x14ac:dyDescent="0.2">
      <c r="X410" s="434"/>
      <c r="AB410" s="434"/>
      <c r="AC410" s="434"/>
      <c r="AD410" s="434"/>
    </row>
    <row r="411" spans="24:30" x14ac:dyDescent="0.2">
      <c r="X411" s="434"/>
      <c r="AB411" s="434"/>
      <c r="AC411" s="434"/>
      <c r="AD411" s="434"/>
    </row>
    <row r="412" spans="24:30" x14ac:dyDescent="0.2">
      <c r="X412" s="434"/>
      <c r="AB412" s="434"/>
      <c r="AC412" s="434"/>
      <c r="AD412" s="434"/>
    </row>
    <row r="413" spans="24:30" x14ac:dyDescent="0.2">
      <c r="X413" s="434"/>
      <c r="AB413" s="434"/>
      <c r="AC413" s="434"/>
      <c r="AD413" s="434"/>
    </row>
    <row r="414" spans="24:30" x14ac:dyDescent="0.2">
      <c r="X414" s="434"/>
      <c r="AB414" s="434"/>
      <c r="AC414" s="434"/>
      <c r="AD414" s="434"/>
    </row>
    <row r="415" spans="24:30" x14ac:dyDescent="0.2">
      <c r="X415" s="434"/>
      <c r="AB415" s="434"/>
      <c r="AC415" s="434"/>
      <c r="AD415" s="434"/>
    </row>
    <row r="416" spans="24:30" x14ac:dyDescent="0.2">
      <c r="X416" s="434"/>
      <c r="AB416" s="434"/>
      <c r="AC416" s="434"/>
      <c r="AD416" s="434"/>
    </row>
    <row r="417" spans="24:30" x14ac:dyDescent="0.2">
      <c r="X417" s="434"/>
      <c r="AB417" s="434"/>
      <c r="AC417" s="434"/>
      <c r="AD417" s="434"/>
    </row>
    <row r="418" spans="24:30" x14ac:dyDescent="0.2">
      <c r="X418" s="434"/>
      <c r="AB418" s="434"/>
      <c r="AC418" s="434"/>
      <c r="AD418" s="434"/>
    </row>
    <row r="419" spans="24:30" x14ac:dyDescent="0.2">
      <c r="X419" s="434"/>
      <c r="AB419" s="434"/>
      <c r="AC419" s="434"/>
      <c r="AD419" s="434"/>
    </row>
    <row r="420" spans="24:30" x14ac:dyDescent="0.2">
      <c r="X420" s="434"/>
      <c r="AB420" s="434"/>
      <c r="AC420" s="434"/>
      <c r="AD420" s="434"/>
    </row>
    <row r="421" spans="24:30" x14ac:dyDescent="0.2">
      <c r="X421" s="434"/>
      <c r="AB421" s="434"/>
      <c r="AC421" s="434"/>
      <c r="AD421" s="434"/>
    </row>
    <row r="422" spans="24:30" x14ac:dyDescent="0.2">
      <c r="X422" s="434"/>
      <c r="AB422" s="434"/>
      <c r="AC422" s="434"/>
      <c r="AD422" s="434"/>
    </row>
    <row r="423" spans="24:30" x14ac:dyDescent="0.2">
      <c r="X423" s="434"/>
      <c r="AB423" s="434"/>
      <c r="AC423" s="434"/>
      <c r="AD423" s="434"/>
    </row>
    <row r="424" spans="24:30" x14ac:dyDescent="0.2">
      <c r="X424" s="434"/>
      <c r="AB424" s="434"/>
      <c r="AC424" s="434"/>
      <c r="AD424" s="434"/>
    </row>
    <row r="425" spans="24:30" x14ac:dyDescent="0.2">
      <c r="X425" s="434"/>
      <c r="AB425" s="434"/>
      <c r="AC425" s="434"/>
      <c r="AD425" s="434"/>
    </row>
    <row r="426" spans="24:30" x14ac:dyDescent="0.2">
      <c r="X426" s="434"/>
      <c r="AB426" s="434"/>
      <c r="AC426" s="434"/>
      <c r="AD426" s="434"/>
    </row>
    <row r="427" spans="24:30" x14ac:dyDescent="0.2">
      <c r="X427" s="434"/>
      <c r="AB427" s="434"/>
      <c r="AC427" s="434"/>
      <c r="AD427" s="434"/>
    </row>
    <row r="428" spans="24:30" x14ac:dyDescent="0.2">
      <c r="X428" s="434"/>
      <c r="AB428" s="434"/>
      <c r="AC428" s="434"/>
      <c r="AD428" s="434"/>
    </row>
    <row r="429" spans="24:30" x14ac:dyDescent="0.2">
      <c r="X429" s="434"/>
      <c r="AB429" s="434"/>
      <c r="AC429" s="434"/>
      <c r="AD429" s="434"/>
    </row>
    <row r="430" spans="24:30" x14ac:dyDescent="0.2">
      <c r="X430" s="434"/>
      <c r="AB430" s="434"/>
      <c r="AC430" s="434"/>
      <c r="AD430" s="434"/>
    </row>
    <row r="431" spans="24:30" x14ac:dyDescent="0.2">
      <c r="X431" s="434"/>
      <c r="AB431" s="434"/>
      <c r="AC431" s="434"/>
      <c r="AD431" s="434"/>
    </row>
    <row r="432" spans="24:30" x14ac:dyDescent="0.2">
      <c r="X432" s="434"/>
      <c r="AB432" s="434"/>
      <c r="AC432" s="434"/>
      <c r="AD432" s="434"/>
    </row>
    <row r="433" spans="24:30" x14ac:dyDescent="0.2">
      <c r="X433" s="434"/>
      <c r="AB433" s="434"/>
      <c r="AC433" s="434"/>
      <c r="AD433" s="434"/>
    </row>
    <row r="434" spans="24:30" x14ac:dyDescent="0.2">
      <c r="X434" s="434"/>
      <c r="AB434" s="434"/>
      <c r="AC434" s="434"/>
      <c r="AD434" s="434"/>
    </row>
    <row r="435" spans="24:30" x14ac:dyDescent="0.2">
      <c r="X435" s="434"/>
      <c r="AB435" s="434"/>
      <c r="AC435" s="434"/>
      <c r="AD435" s="434"/>
    </row>
    <row r="436" spans="24:30" x14ac:dyDescent="0.2">
      <c r="X436" s="434"/>
      <c r="AB436" s="434"/>
      <c r="AC436" s="434"/>
      <c r="AD436" s="434"/>
    </row>
    <row r="437" spans="24:30" x14ac:dyDescent="0.2">
      <c r="X437" s="434"/>
      <c r="AB437" s="434"/>
      <c r="AC437" s="434"/>
      <c r="AD437" s="434"/>
    </row>
    <row r="438" spans="24:30" x14ac:dyDescent="0.2">
      <c r="X438" s="434"/>
      <c r="AB438" s="434"/>
      <c r="AC438" s="434"/>
      <c r="AD438" s="434"/>
    </row>
    <row r="439" spans="24:30" x14ac:dyDescent="0.2">
      <c r="X439" s="434"/>
      <c r="AB439" s="434"/>
      <c r="AC439" s="434"/>
      <c r="AD439" s="434"/>
    </row>
    <row r="440" spans="24:30" x14ac:dyDescent="0.2">
      <c r="X440" s="434"/>
      <c r="AB440" s="434"/>
      <c r="AC440" s="434"/>
      <c r="AD440" s="434"/>
    </row>
    <row r="441" spans="24:30" x14ac:dyDescent="0.2">
      <c r="X441" s="434"/>
      <c r="AB441" s="434"/>
      <c r="AC441" s="434"/>
      <c r="AD441" s="434"/>
    </row>
    <row r="442" spans="24:30" x14ac:dyDescent="0.2">
      <c r="X442" s="434"/>
      <c r="AB442" s="434"/>
      <c r="AC442" s="434"/>
      <c r="AD442" s="434"/>
    </row>
    <row r="443" spans="24:30" x14ac:dyDescent="0.2">
      <c r="X443" s="434"/>
      <c r="AB443" s="434"/>
      <c r="AC443" s="434"/>
      <c r="AD443" s="434"/>
    </row>
    <row r="444" spans="24:30" x14ac:dyDescent="0.2">
      <c r="X444" s="434"/>
      <c r="AB444" s="434"/>
      <c r="AC444" s="434"/>
      <c r="AD444" s="434"/>
    </row>
    <row r="445" spans="24:30" x14ac:dyDescent="0.2">
      <c r="X445" s="434"/>
      <c r="AB445" s="434"/>
      <c r="AC445" s="434"/>
      <c r="AD445" s="434"/>
    </row>
    <row r="446" spans="24:30" x14ac:dyDescent="0.2">
      <c r="X446" s="434"/>
      <c r="AB446" s="434"/>
      <c r="AC446" s="434"/>
      <c r="AD446" s="434"/>
    </row>
    <row r="447" spans="24:30" x14ac:dyDescent="0.2">
      <c r="X447" s="434"/>
      <c r="AB447" s="434"/>
      <c r="AC447" s="434"/>
      <c r="AD447" s="434"/>
    </row>
    <row r="448" spans="24:30" x14ac:dyDescent="0.2">
      <c r="X448" s="434"/>
      <c r="AB448" s="434"/>
      <c r="AC448" s="434"/>
      <c r="AD448" s="434"/>
    </row>
    <row r="449" spans="24:30" x14ac:dyDescent="0.2">
      <c r="X449" s="434"/>
      <c r="AB449" s="434"/>
      <c r="AC449" s="434"/>
      <c r="AD449" s="434"/>
    </row>
    <row r="450" spans="24:30" x14ac:dyDescent="0.2">
      <c r="X450" s="434"/>
      <c r="AB450" s="434"/>
      <c r="AC450" s="434"/>
      <c r="AD450" s="434"/>
    </row>
    <row r="451" spans="24:30" x14ac:dyDescent="0.2">
      <c r="X451" s="434"/>
      <c r="AB451" s="434"/>
      <c r="AC451" s="434"/>
      <c r="AD451" s="434"/>
    </row>
    <row r="452" spans="24:30" x14ac:dyDescent="0.2">
      <c r="X452" s="434"/>
      <c r="AB452" s="434"/>
      <c r="AC452" s="434"/>
      <c r="AD452" s="434"/>
    </row>
    <row r="453" spans="24:30" x14ac:dyDescent="0.2">
      <c r="X453" s="434"/>
      <c r="AB453" s="434"/>
      <c r="AC453" s="434"/>
      <c r="AD453" s="434"/>
    </row>
    <row r="454" spans="24:30" x14ac:dyDescent="0.2">
      <c r="X454" s="434"/>
      <c r="AB454" s="434"/>
      <c r="AC454" s="434"/>
      <c r="AD454" s="434"/>
    </row>
    <row r="455" spans="24:30" x14ac:dyDescent="0.2">
      <c r="X455" s="434"/>
      <c r="AB455" s="434"/>
      <c r="AC455" s="434"/>
      <c r="AD455" s="434"/>
    </row>
    <row r="456" spans="24:30" x14ac:dyDescent="0.2">
      <c r="X456" s="434"/>
      <c r="AB456" s="434"/>
      <c r="AC456" s="434"/>
      <c r="AD456" s="434"/>
    </row>
    <row r="457" spans="24:30" x14ac:dyDescent="0.2">
      <c r="X457" s="434"/>
      <c r="AB457" s="434"/>
      <c r="AC457" s="434"/>
      <c r="AD457" s="434"/>
    </row>
    <row r="458" spans="24:30" x14ac:dyDescent="0.2">
      <c r="X458" s="434"/>
      <c r="AB458" s="434"/>
      <c r="AC458" s="434"/>
      <c r="AD458" s="434"/>
    </row>
    <row r="459" spans="24:30" x14ac:dyDescent="0.2">
      <c r="X459" s="434"/>
      <c r="AB459" s="434"/>
      <c r="AC459" s="434"/>
      <c r="AD459" s="434"/>
    </row>
    <row r="460" spans="24:30" x14ac:dyDescent="0.2">
      <c r="X460" s="434"/>
      <c r="AB460" s="434"/>
      <c r="AC460" s="434"/>
      <c r="AD460" s="434"/>
    </row>
    <row r="461" spans="24:30" x14ac:dyDescent="0.2">
      <c r="X461" s="434"/>
      <c r="AB461" s="434"/>
      <c r="AC461" s="434"/>
      <c r="AD461" s="434"/>
    </row>
    <row r="462" spans="24:30" x14ac:dyDescent="0.2">
      <c r="X462" s="434"/>
      <c r="AB462" s="434"/>
      <c r="AC462" s="434"/>
      <c r="AD462" s="434"/>
    </row>
    <row r="463" spans="24:30" x14ac:dyDescent="0.2">
      <c r="X463" s="434"/>
      <c r="AB463" s="434"/>
      <c r="AC463" s="434"/>
      <c r="AD463" s="434"/>
    </row>
    <row r="464" spans="24:30" x14ac:dyDescent="0.2">
      <c r="X464" s="434"/>
      <c r="AB464" s="434"/>
      <c r="AC464" s="434"/>
      <c r="AD464" s="434"/>
    </row>
    <row r="465" spans="24:30" x14ac:dyDescent="0.2">
      <c r="X465" s="434"/>
      <c r="AB465" s="434"/>
      <c r="AC465" s="434"/>
      <c r="AD465" s="434"/>
    </row>
    <row r="466" spans="24:30" x14ac:dyDescent="0.2">
      <c r="X466" s="434"/>
      <c r="AB466" s="434"/>
      <c r="AC466" s="434"/>
      <c r="AD466" s="434"/>
    </row>
    <row r="467" spans="24:30" x14ac:dyDescent="0.2">
      <c r="X467" s="434"/>
      <c r="AB467" s="434"/>
      <c r="AC467" s="434"/>
      <c r="AD467" s="434"/>
    </row>
    <row r="468" spans="24:30" x14ac:dyDescent="0.2">
      <c r="X468" s="434"/>
      <c r="AB468" s="434"/>
      <c r="AC468" s="434"/>
      <c r="AD468" s="434"/>
    </row>
    <row r="469" spans="24:30" x14ac:dyDescent="0.2">
      <c r="X469" s="434"/>
      <c r="AB469" s="434"/>
      <c r="AC469" s="434"/>
      <c r="AD469" s="434"/>
    </row>
    <row r="470" spans="24:30" x14ac:dyDescent="0.2">
      <c r="X470" s="434"/>
      <c r="AB470" s="434"/>
      <c r="AC470" s="434"/>
      <c r="AD470" s="434"/>
    </row>
    <row r="471" spans="24:30" x14ac:dyDescent="0.2">
      <c r="X471" s="434"/>
      <c r="AB471" s="434"/>
      <c r="AC471" s="434"/>
      <c r="AD471" s="434"/>
    </row>
    <row r="472" spans="24:30" x14ac:dyDescent="0.2">
      <c r="X472" s="434"/>
      <c r="AB472" s="434"/>
      <c r="AC472" s="434"/>
      <c r="AD472" s="434"/>
    </row>
    <row r="473" spans="24:30" x14ac:dyDescent="0.2">
      <c r="X473" s="434"/>
      <c r="AB473" s="434"/>
      <c r="AC473" s="434"/>
      <c r="AD473" s="434"/>
    </row>
    <row r="474" spans="24:30" x14ac:dyDescent="0.2">
      <c r="X474" s="434"/>
      <c r="AB474" s="434"/>
      <c r="AC474" s="434"/>
      <c r="AD474" s="434"/>
    </row>
    <row r="475" spans="24:30" x14ac:dyDescent="0.2">
      <c r="X475" s="434"/>
      <c r="AB475" s="434"/>
      <c r="AC475" s="434"/>
      <c r="AD475" s="434"/>
    </row>
    <row r="476" spans="24:30" x14ac:dyDescent="0.2">
      <c r="X476" s="434"/>
      <c r="AB476" s="434"/>
      <c r="AC476" s="434"/>
      <c r="AD476" s="434"/>
    </row>
    <row r="477" spans="24:30" x14ac:dyDescent="0.2">
      <c r="X477" s="434"/>
      <c r="AB477" s="434"/>
      <c r="AC477" s="434"/>
      <c r="AD477" s="434"/>
    </row>
    <row r="478" spans="24:30" x14ac:dyDescent="0.2">
      <c r="X478" s="434"/>
      <c r="AB478" s="434"/>
      <c r="AC478" s="434"/>
      <c r="AD478" s="434"/>
    </row>
    <row r="479" spans="24:30" x14ac:dyDescent="0.2">
      <c r="X479" s="434"/>
      <c r="AB479" s="434"/>
      <c r="AC479" s="434"/>
      <c r="AD479" s="434"/>
    </row>
    <row r="480" spans="24:30" x14ac:dyDescent="0.2">
      <c r="X480" s="434"/>
      <c r="AB480" s="434"/>
      <c r="AC480" s="434"/>
      <c r="AD480" s="434"/>
    </row>
    <row r="481" spans="24:30" x14ac:dyDescent="0.2">
      <c r="X481" s="434"/>
      <c r="AB481" s="434"/>
      <c r="AC481" s="434"/>
      <c r="AD481" s="434"/>
    </row>
    <row r="482" spans="24:30" x14ac:dyDescent="0.2">
      <c r="X482" s="434"/>
      <c r="AB482" s="434"/>
      <c r="AC482" s="434"/>
      <c r="AD482" s="434"/>
    </row>
    <row r="483" spans="24:30" x14ac:dyDescent="0.2">
      <c r="X483" s="434"/>
      <c r="AB483" s="434"/>
      <c r="AC483" s="434"/>
      <c r="AD483" s="434"/>
    </row>
    <row r="484" spans="24:30" x14ac:dyDescent="0.2">
      <c r="X484" s="434"/>
      <c r="AB484" s="434"/>
      <c r="AC484" s="434"/>
      <c r="AD484" s="434"/>
    </row>
    <row r="485" spans="24:30" x14ac:dyDescent="0.2">
      <c r="X485" s="434"/>
      <c r="AB485" s="434"/>
      <c r="AC485" s="434"/>
      <c r="AD485" s="434"/>
    </row>
    <row r="486" spans="24:30" x14ac:dyDescent="0.2">
      <c r="X486" s="434"/>
      <c r="AB486" s="434"/>
      <c r="AC486" s="434"/>
      <c r="AD486" s="434"/>
    </row>
    <row r="487" spans="24:30" x14ac:dyDescent="0.2">
      <c r="X487" s="434"/>
      <c r="AB487" s="434"/>
      <c r="AC487" s="434"/>
      <c r="AD487" s="434"/>
    </row>
    <row r="488" spans="24:30" x14ac:dyDescent="0.2">
      <c r="X488" s="434"/>
      <c r="AB488" s="434"/>
      <c r="AC488" s="434"/>
      <c r="AD488" s="434"/>
    </row>
    <row r="489" spans="24:30" x14ac:dyDescent="0.2">
      <c r="X489" s="434"/>
      <c r="AB489" s="434"/>
      <c r="AC489" s="434"/>
      <c r="AD489" s="434"/>
    </row>
    <row r="490" spans="24:30" x14ac:dyDescent="0.2">
      <c r="X490" s="434"/>
      <c r="AB490" s="434"/>
      <c r="AC490" s="434"/>
      <c r="AD490" s="434"/>
    </row>
    <row r="491" spans="24:30" x14ac:dyDescent="0.2">
      <c r="X491" s="434"/>
      <c r="AB491" s="434"/>
      <c r="AC491" s="434"/>
      <c r="AD491" s="434"/>
    </row>
    <row r="492" spans="24:30" x14ac:dyDescent="0.2">
      <c r="X492" s="434"/>
      <c r="AB492" s="434"/>
      <c r="AC492" s="434"/>
      <c r="AD492" s="434"/>
    </row>
    <row r="493" spans="24:30" x14ac:dyDescent="0.2">
      <c r="X493" s="434"/>
      <c r="AB493" s="434"/>
      <c r="AC493" s="434"/>
      <c r="AD493" s="434"/>
    </row>
    <row r="494" spans="24:30" x14ac:dyDescent="0.2">
      <c r="X494" s="434"/>
      <c r="AB494" s="434"/>
      <c r="AC494" s="434"/>
      <c r="AD494" s="434"/>
    </row>
    <row r="495" spans="24:30" x14ac:dyDescent="0.2">
      <c r="X495" s="434"/>
      <c r="AB495" s="434"/>
      <c r="AC495" s="434"/>
      <c r="AD495" s="434"/>
    </row>
    <row r="496" spans="24:30" x14ac:dyDescent="0.2">
      <c r="X496" s="434"/>
      <c r="AB496" s="434"/>
      <c r="AC496" s="434"/>
      <c r="AD496" s="434"/>
    </row>
    <row r="497" spans="24:30" x14ac:dyDescent="0.2">
      <c r="X497" s="434"/>
      <c r="AB497" s="434"/>
      <c r="AC497" s="434"/>
      <c r="AD497" s="434"/>
    </row>
    <row r="498" spans="24:30" x14ac:dyDescent="0.2">
      <c r="X498" s="434"/>
      <c r="AB498" s="434"/>
      <c r="AC498" s="434"/>
      <c r="AD498" s="434"/>
    </row>
    <row r="499" spans="24:30" x14ac:dyDescent="0.2">
      <c r="X499" s="434"/>
      <c r="AB499" s="434"/>
      <c r="AC499" s="434"/>
      <c r="AD499" s="434"/>
    </row>
    <row r="500" spans="24:30" x14ac:dyDescent="0.2">
      <c r="X500" s="434"/>
      <c r="AB500" s="434"/>
      <c r="AC500" s="434"/>
      <c r="AD500" s="434"/>
    </row>
    <row r="501" spans="24:30" x14ac:dyDescent="0.2">
      <c r="X501" s="434"/>
      <c r="AB501" s="434"/>
      <c r="AC501" s="434"/>
      <c r="AD501" s="434"/>
    </row>
    <row r="502" spans="24:30" x14ac:dyDescent="0.2">
      <c r="X502" s="434"/>
      <c r="AB502" s="434"/>
      <c r="AC502" s="434"/>
      <c r="AD502" s="434"/>
    </row>
    <row r="503" spans="24:30" x14ac:dyDescent="0.2">
      <c r="X503" s="434"/>
      <c r="AB503" s="434"/>
      <c r="AC503" s="434"/>
      <c r="AD503" s="434"/>
    </row>
    <row r="504" spans="24:30" x14ac:dyDescent="0.2">
      <c r="X504" s="434"/>
      <c r="AB504" s="434"/>
      <c r="AC504" s="434"/>
      <c r="AD504" s="434"/>
    </row>
    <row r="505" spans="24:30" x14ac:dyDescent="0.2">
      <c r="X505" s="434"/>
      <c r="AB505" s="434"/>
      <c r="AC505" s="434"/>
      <c r="AD505" s="434"/>
    </row>
    <row r="506" spans="24:30" x14ac:dyDescent="0.2">
      <c r="X506" s="434"/>
      <c r="AB506" s="434"/>
      <c r="AC506" s="434"/>
      <c r="AD506" s="434"/>
    </row>
    <row r="507" spans="24:30" x14ac:dyDescent="0.2">
      <c r="X507" s="434"/>
      <c r="AB507" s="434"/>
      <c r="AC507" s="434"/>
      <c r="AD507" s="434"/>
    </row>
    <row r="508" spans="24:30" x14ac:dyDescent="0.2">
      <c r="X508" s="434"/>
      <c r="AB508" s="434"/>
      <c r="AC508" s="434"/>
      <c r="AD508" s="434"/>
    </row>
    <row r="509" spans="24:30" x14ac:dyDescent="0.2">
      <c r="X509" s="434"/>
      <c r="AB509" s="434"/>
      <c r="AC509" s="434"/>
      <c r="AD509" s="434"/>
    </row>
    <row r="510" spans="24:30" x14ac:dyDescent="0.2">
      <c r="X510" s="434"/>
      <c r="AB510" s="434"/>
      <c r="AC510" s="434"/>
      <c r="AD510" s="434"/>
    </row>
    <row r="511" spans="24:30" x14ac:dyDescent="0.2">
      <c r="X511" s="434"/>
      <c r="AB511" s="434"/>
      <c r="AC511" s="434"/>
      <c r="AD511" s="434"/>
    </row>
    <row r="512" spans="24:30" x14ac:dyDescent="0.2">
      <c r="X512" s="434"/>
      <c r="AB512" s="434"/>
      <c r="AC512" s="434"/>
      <c r="AD512" s="434"/>
    </row>
    <row r="513" spans="24:30" x14ac:dyDescent="0.2">
      <c r="X513" s="434"/>
      <c r="AB513" s="434"/>
      <c r="AC513" s="434"/>
      <c r="AD513" s="434"/>
    </row>
    <row r="514" spans="24:30" x14ac:dyDescent="0.2">
      <c r="X514" s="434"/>
      <c r="AB514" s="434"/>
      <c r="AC514" s="434"/>
      <c r="AD514" s="434"/>
    </row>
    <row r="515" spans="24:30" x14ac:dyDescent="0.2">
      <c r="X515" s="434"/>
      <c r="AB515" s="434"/>
      <c r="AC515" s="434"/>
      <c r="AD515" s="434"/>
    </row>
    <row r="516" spans="24:30" x14ac:dyDescent="0.2">
      <c r="X516" s="434"/>
      <c r="AB516" s="434"/>
      <c r="AC516" s="434"/>
      <c r="AD516" s="434"/>
    </row>
    <row r="517" spans="24:30" x14ac:dyDescent="0.2">
      <c r="X517" s="434"/>
      <c r="AB517" s="434"/>
      <c r="AC517" s="434"/>
      <c r="AD517" s="434"/>
    </row>
    <row r="518" spans="24:30" x14ac:dyDescent="0.2">
      <c r="X518" s="434"/>
      <c r="AB518" s="434"/>
      <c r="AC518" s="434"/>
      <c r="AD518" s="434"/>
    </row>
    <row r="519" spans="24:30" x14ac:dyDescent="0.2">
      <c r="X519" s="434"/>
      <c r="AB519" s="434"/>
      <c r="AC519" s="434"/>
      <c r="AD519" s="434"/>
    </row>
    <row r="520" spans="24:30" x14ac:dyDescent="0.2">
      <c r="X520" s="434"/>
      <c r="AB520" s="434"/>
      <c r="AC520" s="434"/>
      <c r="AD520" s="434"/>
    </row>
    <row r="521" spans="24:30" x14ac:dyDescent="0.2">
      <c r="X521" s="434"/>
      <c r="AB521" s="434"/>
      <c r="AC521" s="434"/>
      <c r="AD521" s="434"/>
    </row>
    <row r="522" spans="24:30" x14ac:dyDescent="0.2">
      <c r="X522" s="434"/>
      <c r="AB522" s="434"/>
      <c r="AC522" s="434"/>
      <c r="AD522" s="434"/>
    </row>
    <row r="523" spans="24:30" x14ac:dyDescent="0.2">
      <c r="X523" s="434"/>
      <c r="AB523" s="434"/>
      <c r="AC523" s="434"/>
      <c r="AD523" s="434"/>
    </row>
    <row r="524" spans="24:30" x14ac:dyDescent="0.2">
      <c r="X524" s="434"/>
      <c r="AB524" s="434"/>
      <c r="AC524" s="434"/>
      <c r="AD524" s="434"/>
    </row>
    <row r="525" spans="24:30" x14ac:dyDescent="0.2">
      <c r="X525" s="434"/>
      <c r="AB525" s="434"/>
      <c r="AC525" s="434"/>
      <c r="AD525" s="434"/>
    </row>
    <row r="526" spans="24:30" x14ac:dyDescent="0.2">
      <c r="X526" s="434"/>
      <c r="AB526" s="434"/>
      <c r="AC526" s="434"/>
      <c r="AD526" s="434"/>
    </row>
    <row r="527" spans="24:30" x14ac:dyDescent="0.2">
      <c r="X527" s="434"/>
      <c r="AB527" s="434"/>
      <c r="AC527" s="434"/>
      <c r="AD527" s="434"/>
    </row>
    <row r="528" spans="24:30" x14ac:dyDescent="0.2">
      <c r="X528" s="434"/>
      <c r="AB528" s="434"/>
      <c r="AC528" s="434"/>
      <c r="AD528" s="434"/>
    </row>
    <row r="529" spans="24:30" x14ac:dyDescent="0.2">
      <c r="X529" s="434"/>
      <c r="AB529" s="434"/>
      <c r="AC529" s="434"/>
      <c r="AD529" s="434"/>
    </row>
    <row r="530" spans="24:30" x14ac:dyDescent="0.2">
      <c r="X530" s="434"/>
      <c r="AB530" s="434"/>
      <c r="AC530" s="434"/>
      <c r="AD530" s="434"/>
    </row>
    <row r="531" spans="24:30" x14ac:dyDescent="0.2">
      <c r="X531" s="434"/>
      <c r="AB531" s="434"/>
      <c r="AC531" s="434"/>
      <c r="AD531" s="434"/>
    </row>
    <row r="532" spans="24:30" x14ac:dyDescent="0.2">
      <c r="X532" s="434"/>
      <c r="AB532" s="434"/>
      <c r="AC532" s="434"/>
      <c r="AD532" s="434"/>
    </row>
    <row r="533" spans="24:30" x14ac:dyDescent="0.2">
      <c r="X533" s="434"/>
      <c r="AB533" s="434"/>
      <c r="AC533" s="434"/>
      <c r="AD533" s="434"/>
    </row>
    <row r="534" spans="24:30" x14ac:dyDescent="0.2">
      <c r="X534" s="434"/>
      <c r="AB534" s="434"/>
      <c r="AC534" s="434"/>
      <c r="AD534" s="434"/>
    </row>
    <row r="535" spans="24:30" x14ac:dyDescent="0.2">
      <c r="X535" s="434"/>
      <c r="AB535" s="434"/>
      <c r="AC535" s="434"/>
      <c r="AD535" s="434"/>
    </row>
    <row r="536" spans="24:30" x14ac:dyDescent="0.2">
      <c r="X536" s="434"/>
      <c r="AB536" s="434"/>
      <c r="AC536" s="434"/>
      <c r="AD536" s="434"/>
    </row>
    <row r="537" spans="24:30" x14ac:dyDescent="0.2">
      <c r="X537" s="434"/>
      <c r="AB537" s="434"/>
      <c r="AC537" s="434"/>
      <c r="AD537" s="434"/>
    </row>
    <row r="538" spans="24:30" x14ac:dyDescent="0.2">
      <c r="X538" s="434"/>
      <c r="AB538" s="434"/>
      <c r="AC538" s="434"/>
      <c r="AD538" s="434"/>
    </row>
    <row r="539" spans="24:30" x14ac:dyDescent="0.2">
      <c r="X539" s="434"/>
      <c r="AB539" s="434"/>
      <c r="AC539" s="434"/>
      <c r="AD539" s="434"/>
    </row>
    <row r="540" spans="24:30" x14ac:dyDescent="0.2">
      <c r="X540" s="434"/>
      <c r="AB540" s="434"/>
      <c r="AC540" s="434"/>
      <c r="AD540" s="434"/>
    </row>
    <row r="541" spans="24:30" x14ac:dyDescent="0.2">
      <c r="X541" s="434"/>
      <c r="AB541" s="434"/>
      <c r="AC541" s="434"/>
      <c r="AD541" s="434"/>
    </row>
    <row r="542" spans="24:30" x14ac:dyDescent="0.2">
      <c r="X542" s="434"/>
      <c r="AB542" s="434"/>
      <c r="AC542" s="434"/>
      <c r="AD542" s="434"/>
    </row>
    <row r="543" spans="24:30" x14ac:dyDescent="0.2">
      <c r="X543" s="434"/>
      <c r="AB543" s="434"/>
      <c r="AC543" s="434"/>
      <c r="AD543" s="434"/>
    </row>
    <row r="544" spans="24:30" x14ac:dyDescent="0.2">
      <c r="X544" s="434"/>
      <c r="AB544" s="434"/>
      <c r="AC544" s="434"/>
      <c r="AD544" s="434"/>
    </row>
    <row r="545" spans="24:30" x14ac:dyDescent="0.2">
      <c r="X545" s="434"/>
      <c r="AB545" s="434"/>
      <c r="AC545" s="434"/>
      <c r="AD545" s="434"/>
    </row>
    <row r="546" spans="24:30" x14ac:dyDescent="0.2">
      <c r="X546" s="434"/>
      <c r="AB546" s="434"/>
      <c r="AC546" s="434"/>
      <c r="AD546" s="434"/>
    </row>
    <row r="547" spans="24:30" x14ac:dyDescent="0.2">
      <c r="X547" s="434"/>
      <c r="AB547" s="434"/>
      <c r="AC547" s="434"/>
      <c r="AD547" s="434"/>
    </row>
    <row r="548" spans="24:30" x14ac:dyDescent="0.2">
      <c r="X548" s="434"/>
      <c r="AB548" s="434"/>
      <c r="AC548" s="434"/>
      <c r="AD548" s="434"/>
    </row>
    <row r="549" spans="24:30" x14ac:dyDescent="0.2">
      <c r="X549" s="434"/>
      <c r="AB549" s="434"/>
      <c r="AC549" s="434"/>
      <c r="AD549" s="434"/>
    </row>
    <row r="550" spans="24:30" x14ac:dyDescent="0.2">
      <c r="X550" s="434"/>
      <c r="AB550" s="434"/>
      <c r="AC550" s="434"/>
      <c r="AD550" s="434"/>
    </row>
    <row r="551" spans="24:30" x14ac:dyDescent="0.2">
      <c r="X551" s="434"/>
      <c r="AB551" s="434"/>
      <c r="AC551" s="434"/>
      <c r="AD551" s="434"/>
    </row>
    <row r="552" spans="24:30" x14ac:dyDescent="0.2">
      <c r="X552" s="434"/>
      <c r="AB552" s="434"/>
      <c r="AC552" s="434"/>
      <c r="AD552" s="434"/>
    </row>
    <row r="553" spans="24:30" x14ac:dyDescent="0.2">
      <c r="X553" s="434"/>
      <c r="AB553" s="434"/>
      <c r="AC553" s="434"/>
      <c r="AD553" s="434"/>
    </row>
    <row r="554" spans="24:30" x14ac:dyDescent="0.2">
      <c r="X554" s="434"/>
      <c r="AB554" s="434"/>
      <c r="AC554" s="434"/>
      <c r="AD554" s="434"/>
    </row>
    <row r="555" spans="24:30" x14ac:dyDescent="0.2">
      <c r="X555" s="434"/>
      <c r="AB555" s="434"/>
      <c r="AC555" s="434"/>
      <c r="AD555" s="434"/>
    </row>
    <row r="556" spans="24:30" x14ac:dyDescent="0.2">
      <c r="X556" s="434"/>
      <c r="AB556" s="434"/>
      <c r="AC556" s="434"/>
      <c r="AD556" s="434"/>
    </row>
    <row r="557" spans="24:30" x14ac:dyDescent="0.2">
      <c r="X557" s="434"/>
      <c r="AB557" s="434"/>
      <c r="AC557" s="434"/>
      <c r="AD557" s="434"/>
    </row>
    <row r="558" spans="24:30" x14ac:dyDescent="0.2">
      <c r="X558" s="434"/>
      <c r="AB558" s="434"/>
      <c r="AC558" s="434"/>
      <c r="AD558" s="434"/>
    </row>
    <row r="559" spans="24:30" x14ac:dyDescent="0.2">
      <c r="X559" s="434"/>
      <c r="AB559" s="434"/>
      <c r="AC559" s="434"/>
      <c r="AD559" s="434"/>
    </row>
    <row r="560" spans="24:30" x14ac:dyDescent="0.2">
      <c r="X560" s="434"/>
      <c r="AB560" s="434"/>
      <c r="AC560" s="434"/>
      <c r="AD560" s="434"/>
    </row>
    <row r="561" spans="24:30" x14ac:dyDescent="0.2">
      <c r="X561" s="434"/>
      <c r="AB561" s="434"/>
      <c r="AC561" s="434"/>
      <c r="AD561" s="434"/>
    </row>
    <row r="562" spans="24:30" x14ac:dyDescent="0.2">
      <c r="X562" s="434"/>
      <c r="AB562" s="434"/>
      <c r="AC562" s="434"/>
      <c r="AD562" s="434"/>
    </row>
    <row r="563" spans="24:30" x14ac:dyDescent="0.2">
      <c r="X563" s="434"/>
      <c r="AB563" s="434"/>
      <c r="AC563" s="434"/>
      <c r="AD563" s="434"/>
    </row>
    <row r="564" spans="24:30" x14ac:dyDescent="0.2">
      <c r="X564" s="434"/>
      <c r="AB564" s="434"/>
      <c r="AC564" s="434"/>
      <c r="AD564" s="434"/>
    </row>
    <row r="565" spans="24:30" x14ac:dyDescent="0.2">
      <c r="X565" s="434"/>
      <c r="AB565" s="434"/>
      <c r="AC565" s="434"/>
      <c r="AD565" s="434"/>
    </row>
    <row r="566" spans="24:30" x14ac:dyDescent="0.2">
      <c r="X566" s="434"/>
      <c r="AB566" s="434"/>
      <c r="AC566" s="434"/>
      <c r="AD566" s="434"/>
    </row>
    <row r="567" spans="24:30" x14ac:dyDescent="0.2">
      <c r="X567" s="434"/>
      <c r="AB567" s="434"/>
      <c r="AC567" s="434"/>
      <c r="AD567" s="434"/>
    </row>
    <row r="568" spans="24:30" x14ac:dyDescent="0.2">
      <c r="X568" s="434"/>
      <c r="AB568" s="434"/>
      <c r="AC568" s="434"/>
      <c r="AD568" s="434"/>
    </row>
    <row r="569" spans="24:30" x14ac:dyDescent="0.2">
      <c r="X569" s="434"/>
      <c r="AB569" s="434"/>
      <c r="AC569" s="434"/>
      <c r="AD569" s="434"/>
    </row>
    <row r="570" spans="24:30" x14ac:dyDescent="0.2">
      <c r="X570" s="434"/>
      <c r="AB570" s="434"/>
      <c r="AC570" s="434"/>
      <c r="AD570" s="434"/>
    </row>
    <row r="571" spans="24:30" x14ac:dyDescent="0.2">
      <c r="X571" s="434"/>
      <c r="AB571" s="434"/>
      <c r="AC571" s="434"/>
      <c r="AD571" s="434"/>
    </row>
    <row r="572" spans="24:30" x14ac:dyDescent="0.2">
      <c r="X572" s="434"/>
      <c r="AB572" s="434"/>
      <c r="AC572" s="434"/>
      <c r="AD572" s="434"/>
    </row>
    <row r="573" spans="24:30" x14ac:dyDescent="0.2">
      <c r="X573" s="434"/>
      <c r="AB573" s="434"/>
      <c r="AC573" s="434"/>
      <c r="AD573" s="434"/>
    </row>
    <row r="574" spans="24:30" x14ac:dyDescent="0.2">
      <c r="X574" s="434"/>
      <c r="AB574" s="434"/>
      <c r="AC574" s="434"/>
      <c r="AD574" s="434"/>
    </row>
    <row r="575" spans="24:30" x14ac:dyDescent="0.2">
      <c r="X575" s="434"/>
      <c r="AB575" s="434"/>
      <c r="AC575" s="434"/>
      <c r="AD575" s="434"/>
    </row>
    <row r="576" spans="24:30" x14ac:dyDescent="0.2">
      <c r="X576" s="434"/>
      <c r="AB576" s="434"/>
      <c r="AC576" s="434"/>
      <c r="AD576" s="434"/>
    </row>
    <row r="577" spans="24:30" x14ac:dyDescent="0.2">
      <c r="X577" s="434"/>
      <c r="AB577" s="434"/>
      <c r="AC577" s="434"/>
      <c r="AD577" s="434"/>
    </row>
    <row r="578" spans="24:30" x14ac:dyDescent="0.2">
      <c r="X578" s="434"/>
      <c r="AB578" s="434"/>
      <c r="AC578" s="434"/>
      <c r="AD578" s="434"/>
    </row>
    <row r="579" spans="24:30" x14ac:dyDescent="0.2">
      <c r="X579" s="434"/>
      <c r="AB579" s="434"/>
      <c r="AC579" s="434"/>
      <c r="AD579" s="434"/>
    </row>
    <row r="580" spans="24:30" x14ac:dyDescent="0.2">
      <c r="X580" s="434"/>
      <c r="AB580" s="434"/>
      <c r="AC580" s="434"/>
      <c r="AD580" s="434"/>
    </row>
    <row r="581" spans="24:30" x14ac:dyDescent="0.2">
      <c r="X581" s="434"/>
      <c r="AB581" s="434"/>
      <c r="AC581" s="434"/>
      <c r="AD581" s="434"/>
    </row>
    <row r="582" spans="24:30" x14ac:dyDescent="0.2">
      <c r="X582" s="434"/>
      <c r="AB582" s="434"/>
      <c r="AC582" s="434"/>
      <c r="AD582" s="434"/>
    </row>
    <row r="583" spans="24:30" x14ac:dyDescent="0.2">
      <c r="X583" s="434"/>
      <c r="AB583" s="434"/>
      <c r="AC583" s="434"/>
      <c r="AD583" s="434"/>
    </row>
    <row r="584" spans="24:30" x14ac:dyDescent="0.2">
      <c r="X584" s="434"/>
      <c r="AB584" s="434"/>
      <c r="AC584" s="434"/>
      <c r="AD584" s="434"/>
    </row>
    <row r="585" spans="24:30" x14ac:dyDescent="0.2">
      <c r="X585" s="434"/>
      <c r="AB585" s="434"/>
      <c r="AC585" s="434"/>
      <c r="AD585" s="434"/>
    </row>
    <row r="586" spans="24:30" x14ac:dyDescent="0.2">
      <c r="X586" s="434"/>
      <c r="AB586" s="434"/>
      <c r="AC586" s="434"/>
      <c r="AD586" s="434"/>
    </row>
    <row r="587" spans="24:30" x14ac:dyDescent="0.2">
      <c r="X587" s="434"/>
      <c r="AB587" s="434"/>
      <c r="AC587" s="434"/>
      <c r="AD587" s="434"/>
    </row>
    <row r="588" spans="24:30" x14ac:dyDescent="0.2">
      <c r="X588" s="434"/>
      <c r="AB588" s="434"/>
      <c r="AC588" s="434"/>
      <c r="AD588" s="434"/>
    </row>
    <row r="589" spans="24:30" x14ac:dyDescent="0.2">
      <c r="X589" s="434"/>
      <c r="AB589" s="434"/>
      <c r="AC589" s="434"/>
      <c r="AD589" s="434"/>
    </row>
    <row r="590" spans="24:30" x14ac:dyDescent="0.2">
      <c r="X590" s="434"/>
      <c r="AB590" s="434"/>
      <c r="AC590" s="434"/>
      <c r="AD590" s="434"/>
    </row>
    <row r="591" spans="24:30" x14ac:dyDescent="0.2">
      <c r="X591" s="434"/>
      <c r="AB591" s="434"/>
      <c r="AC591" s="434"/>
      <c r="AD591" s="434"/>
    </row>
    <row r="592" spans="24:30" x14ac:dyDescent="0.2">
      <c r="X592" s="434"/>
      <c r="AB592" s="434"/>
      <c r="AC592" s="434"/>
      <c r="AD592" s="434"/>
    </row>
    <row r="593" spans="24:30" x14ac:dyDescent="0.2">
      <c r="X593" s="434"/>
      <c r="AB593" s="434"/>
      <c r="AC593" s="434"/>
      <c r="AD593" s="434"/>
    </row>
    <row r="594" spans="24:30" x14ac:dyDescent="0.2">
      <c r="X594" s="434"/>
      <c r="AB594" s="434"/>
      <c r="AC594" s="434"/>
      <c r="AD594" s="434"/>
    </row>
    <row r="595" spans="24:30" x14ac:dyDescent="0.2">
      <c r="X595" s="434"/>
      <c r="AB595" s="434"/>
      <c r="AC595" s="434"/>
      <c r="AD595" s="434"/>
    </row>
    <row r="596" spans="24:30" x14ac:dyDescent="0.2">
      <c r="X596" s="434"/>
      <c r="AB596" s="434"/>
      <c r="AC596" s="434"/>
      <c r="AD596" s="434"/>
    </row>
    <row r="597" spans="24:30" x14ac:dyDescent="0.2">
      <c r="X597" s="434"/>
      <c r="AB597" s="434"/>
      <c r="AC597" s="434"/>
      <c r="AD597" s="434"/>
    </row>
    <row r="598" spans="24:30" x14ac:dyDescent="0.2">
      <c r="X598" s="434"/>
      <c r="AB598" s="434"/>
      <c r="AC598" s="434"/>
      <c r="AD598" s="434"/>
    </row>
    <row r="599" spans="24:30" x14ac:dyDescent="0.2">
      <c r="X599" s="434"/>
      <c r="AB599" s="434"/>
      <c r="AC599" s="434"/>
      <c r="AD599" s="434"/>
    </row>
    <row r="600" spans="24:30" x14ac:dyDescent="0.2">
      <c r="X600" s="434"/>
      <c r="AB600" s="434"/>
      <c r="AC600" s="434"/>
      <c r="AD600" s="434"/>
    </row>
    <row r="601" spans="24:30" x14ac:dyDescent="0.2">
      <c r="X601" s="434"/>
      <c r="AB601" s="434"/>
      <c r="AC601" s="434"/>
      <c r="AD601" s="434"/>
    </row>
    <row r="602" spans="24:30" x14ac:dyDescent="0.2">
      <c r="X602" s="434"/>
      <c r="AB602" s="434"/>
      <c r="AC602" s="434"/>
      <c r="AD602" s="434"/>
    </row>
    <row r="603" spans="24:30" x14ac:dyDescent="0.2">
      <c r="X603" s="434"/>
      <c r="AB603" s="434"/>
      <c r="AC603" s="434"/>
      <c r="AD603" s="434"/>
    </row>
    <row r="604" spans="24:30" x14ac:dyDescent="0.2">
      <c r="X604" s="434"/>
      <c r="AB604" s="434"/>
      <c r="AC604" s="434"/>
      <c r="AD604" s="434"/>
    </row>
    <row r="605" spans="24:30" x14ac:dyDescent="0.2">
      <c r="X605" s="434"/>
      <c r="AB605" s="434"/>
      <c r="AC605" s="434"/>
      <c r="AD605" s="434"/>
    </row>
    <row r="606" spans="24:30" x14ac:dyDescent="0.2">
      <c r="X606" s="434"/>
      <c r="AB606" s="434"/>
      <c r="AC606" s="434"/>
      <c r="AD606" s="434"/>
    </row>
    <row r="607" spans="24:30" x14ac:dyDescent="0.2">
      <c r="X607" s="434"/>
      <c r="AB607" s="434"/>
      <c r="AC607" s="434"/>
      <c r="AD607" s="434"/>
    </row>
    <row r="608" spans="24:30" x14ac:dyDescent="0.2">
      <c r="X608" s="434"/>
      <c r="AB608" s="434"/>
      <c r="AC608" s="434"/>
      <c r="AD608" s="434"/>
    </row>
    <row r="609" spans="24:30" x14ac:dyDescent="0.2">
      <c r="X609" s="434"/>
      <c r="AB609" s="434"/>
      <c r="AC609" s="434"/>
      <c r="AD609" s="434"/>
    </row>
    <row r="610" spans="24:30" x14ac:dyDescent="0.2">
      <c r="X610" s="434"/>
      <c r="AB610" s="434"/>
      <c r="AC610" s="434"/>
      <c r="AD610" s="434"/>
    </row>
    <row r="611" spans="24:30" x14ac:dyDescent="0.2">
      <c r="X611" s="434"/>
      <c r="AB611" s="434"/>
      <c r="AC611" s="434"/>
      <c r="AD611" s="434"/>
    </row>
    <row r="612" spans="24:30" x14ac:dyDescent="0.2">
      <c r="X612" s="434"/>
      <c r="AB612" s="434"/>
      <c r="AC612" s="434"/>
      <c r="AD612" s="434"/>
    </row>
    <row r="613" spans="24:30" x14ac:dyDescent="0.2">
      <c r="X613" s="434"/>
      <c r="AB613" s="434"/>
      <c r="AC613" s="434"/>
      <c r="AD613" s="434"/>
    </row>
    <row r="614" spans="24:30" x14ac:dyDescent="0.2">
      <c r="X614" s="434"/>
      <c r="AB614" s="434"/>
      <c r="AC614" s="434"/>
      <c r="AD614" s="434"/>
    </row>
    <row r="615" spans="24:30" x14ac:dyDescent="0.2">
      <c r="X615" s="434"/>
      <c r="AB615" s="434"/>
      <c r="AC615" s="434"/>
      <c r="AD615" s="434"/>
    </row>
    <row r="616" spans="24:30" x14ac:dyDescent="0.2">
      <c r="X616" s="434"/>
      <c r="AB616" s="434"/>
      <c r="AC616" s="434"/>
      <c r="AD616" s="434"/>
    </row>
    <row r="617" spans="24:30" x14ac:dyDescent="0.2">
      <c r="X617" s="434"/>
      <c r="AB617" s="434"/>
      <c r="AC617" s="434"/>
      <c r="AD617" s="434"/>
    </row>
    <row r="618" spans="24:30" x14ac:dyDescent="0.2">
      <c r="X618" s="434"/>
      <c r="AB618" s="434"/>
      <c r="AC618" s="434"/>
      <c r="AD618" s="434"/>
    </row>
    <row r="619" spans="24:30" x14ac:dyDescent="0.2">
      <c r="X619" s="434"/>
      <c r="AB619" s="434"/>
      <c r="AC619" s="434"/>
      <c r="AD619" s="434"/>
    </row>
    <row r="620" spans="24:30" x14ac:dyDescent="0.2">
      <c r="X620" s="434"/>
      <c r="AB620" s="434"/>
      <c r="AC620" s="434"/>
      <c r="AD620" s="434"/>
    </row>
    <row r="621" spans="24:30" x14ac:dyDescent="0.2">
      <c r="X621" s="434"/>
      <c r="AB621" s="434"/>
      <c r="AC621" s="434"/>
      <c r="AD621" s="434"/>
    </row>
    <row r="622" spans="24:30" x14ac:dyDescent="0.2">
      <c r="X622" s="434"/>
      <c r="AB622" s="434"/>
      <c r="AC622" s="434"/>
      <c r="AD622" s="434"/>
    </row>
    <row r="623" spans="24:30" x14ac:dyDescent="0.2">
      <c r="X623" s="434"/>
      <c r="AB623" s="434"/>
      <c r="AC623" s="434"/>
      <c r="AD623" s="434"/>
    </row>
    <row r="624" spans="24:30" x14ac:dyDescent="0.2">
      <c r="X624" s="434"/>
      <c r="AB624" s="434"/>
      <c r="AC624" s="434"/>
      <c r="AD624" s="434"/>
    </row>
    <row r="625" spans="24:30" x14ac:dyDescent="0.2">
      <c r="X625" s="434"/>
      <c r="AB625" s="434"/>
      <c r="AC625" s="434"/>
      <c r="AD625" s="434"/>
    </row>
    <row r="626" spans="24:30" x14ac:dyDescent="0.2">
      <c r="X626" s="434"/>
      <c r="AB626" s="434"/>
      <c r="AC626" s="434"/>
      <c r="AD626" s="434"/>
    </row>
    <row r="627" spans="24:30" x14ac:dyDescent="0.2">
      <c r="X627" s="434"/>
      <c r="AB627" s="434"/>
      <c r="AC627" s="434"/>
      <c r="AD627" s="434"/>
    </row>
    <row r="628" spans="24:30" x14ac:dyDescent="0.2">
      <c r="X628" s="434"/>
      <c r="AB628" s="434"/>
      <c r="AC628" s="434"/>
      <c r="AD628" s="434"/>
    </row>
    <row r="629" spans="24:30" x14ac:dyDescent="0.2">
      <c r="X629" s="434"/>
      <c r="AB629" s="434"/>
      <c r="AC629" s="434"/>
      <c r="AD629" s="434"/>
    </row>
    <row r="630" spans="24:30" x14ac:dyDescent="0.2">
      <c r="X630" s="434"/>
      <c r="AB630" s="434"/>
      <c r="AC630" s="434"/>
      <c r="AD630" s="434"/>
    </row>
    <row r="631" spans="24:30" x14ac:dyDescent="0.2">
      <c r="X631" s="434"/>
      <c r="AB631" s="434"/>
      <c r="AC631" s="434"/>
      <c r="AD631" s="434"/>
    </row>
    <row r="632" spans="24:30" x14ac:dyDescent="0.2">
      <c r="X632" s="434"/>
      <c r="AB632" s="434"/>
      <c r="AC632" s="434"/>
      <c r="AD632" s="434"/>
    </row>
    <row r="633" spans="24:30" x14ac:dyDescent="0.2">
      <c r="X633" s="434"/>
      <c r="AB633" s="434"/>
      <c r="AC633" s="434"/>
      <c r="AD633" s="434"/>
    </row>
    <row r="634" spans="24:30" x14ac:dyDescent="0.2">
      <c r="X634" s="434"/>
      <c r="AB634" s="434"/>
      <c r="AC634" s="434"/>
      <c r="AD634" s="434"/>
    </row>
    <row r="635" spans="24:30" x14ac:dyDescent="0.2">
      <c r="X635" s="434"/>
      <c r="AB635" s="434"/>
      <c r="AC635" s="434"/>
      <c r="AD635" s="434"/>
    </row>
    <row r="636" spans="24:30" x14ac:dyDescent="0.2">
      <c r="X636" s="434"/>
      <c r="AB636" s="434"/>
      <c r="AC636" s="434"/>
      <c r="AD636" s="434"/>
    </row>
    <row r="637" spans="24:30" x14ac:dyDescent="0.2">
      <c r="X637" s="434"/>
      <c r="AB637" s="434"/>
      <c r="AC637" s="434"/>
      <c r="AD637" s="434"/>
    </row>
    <row r="638" spans="24:30" x14ac:dyDescent="0.2">
      <c r="X638" s="434"/>
      <c r="AB638" s="434"/>
      <c r="AC638" s="434"/>
      <c r="AD638" s="434"/>
    </row>
    <row r="639" spans="24:30" x14ac:dyDescent="0.2">
      <c r="X639" s="434"/>
      <c r="AB639" s="434"/>
      <c r="AC639" s="434"/>
      <c r="AD639" s="434"/>
    </row>
    <row r="640" spans="24:30" x14ac:dyDescent="0.2">
      <c r="X640" s="434"/>
      <c r="AB640" s="434"/>
      <c r="AC640" s="434"/>
      <c r="AD640" s="434"/>
    </row>
    <row r="641" spans="24:30" x14ac:dyDescent="0.2">
      <c r="X641" s="434"/>
      <c r="AB641" s="434"/>
      <c r="AC641" s="434"/>
      <c r="AD641" s="434"/>
    </row>
    <row r="642" spans="24:30" x14ac:dyDescent="0.2">
      <c r="X642" s="434"/>
      <c r="AB642" s="434"/>
      <c r="AC642" s="434"/>
      <c r="AD642" s="434"/>
    </row>
    <row r="643" spans="24:30" x14ac:dyDescent="0.2">
      <c r="X643" s="434"/>
      <c r="AB643" s="434"/>
      <c r="AC643" s="434"/>
      <c r="AD643" s="434"/>
    </row>
    <row r="644" spans="24:30" x14ac:dyDescent="0.2">
      <c r="X644" s="434"/>
      <c r="AB644" s="434"/>
      <c r="AC644" s="434"/>
      <c r="AD644" s="434"/>
    </row>
    <row r="645" spans="24:30" x14ac:dyDescent="0.2">
      <c r="X645" s="434"/>
      <c r="AB645" s="434"/>
      <c r="AC645" s="434"/>
      <c r="AD645" s="434"/>
    </row>
    <row r="646" spans="24:30" x14ac:dyDescent="0.2">
      <c r="X646" s="434"/>
      <c r="AB646" s="434"/>
      <c r="AC646" s="434"/>
      <c r="AD646" s="434"/>
    </row>
    <row r="647" spans="24:30" x14ac:dyDescent="0.2">
      <c r="X647" s="434"/>
      <c r="AB647" s="434"/>
      <c r="AC647" s="434"/>
      <c r="AD647" s="434"/>
    </row>
    <row r="648" spans="24:30" x14ac:dyDescent="0.2">
      <c r="X648" s="434"/>
      <c r="AB648" s="434"/>
      <c r="AC648" s="434"/>
      <c r="AD648" s="434"/>
    </row>
    <row r="649" spans="24:30" x14ac:dyDescent="0.2">
      <c r="X649" s="434"/>
      <c r="AB649" s="434"/>
      <c r="AC649" s="434"/>
      <c r="AD649" s="434"/>
    </row>
    <row r="650" spans="24:30" x14ac:dyDescent="0.2">
      <c r="X650" s="434"/>
      <c r="AB650" s="434"/>
      <c r="AC650" s="434"/>
      <c r="AD650" s="434"/>
    </row>
    <row r="651" spans="24:30" x14ac:dyDescent="0.2">
      <c r="X651" s="434"/>
      <c r="AB651" s="434"/>
      <c r="AC651" s="434"/>
      <c r="AD651" s="434"/>
    </row>
    <row r="652" spans="24:30" x14ac:dyDescent="0.2">
      <c r="X652" s="434"/>
      <c r="AB652" s="434"/>
      <c r="AC652" s="434"/>
      <c r="AD652" s="434"/>
    </row>
    <row r="653" spans="24:30" x14ac:dyDescent="0.2">
      <c r="X653" s="434"/>
      <c r="AB653" s="434"/>
      <c r="AC653" s="434"/>
      <c r="AD653" s="434"/>
    </row>
    <row r="654" spans="24:30" x14ac:dyDescent="0.2">
      <c r="X654" s="434"/>
      <c r="AB654" s="434"/>
      <c r="AC654" s="434"/>
      <c r="AD654" s="434"/>
    </row>
    <row r="655" spans="24:30" x14ac:dyDescent="0.2">
      <c r="X655" s="434"/>
      <c r="AB655" s="434"/>
      <c r="AC655" s="434"/>
      <c r="AD655" s="434"/>
    </row>
    <row r="656" spans="24:30" x14ac:dyDescent="0.2">
      <c r="X656" s="434"/>
      <c r="AB656" s="434"/>
      <c r="AC656" s="434"/>
      <c r="AD656" s="434"/>
    </row>
    <row r="657" spans="24:30" x14ac:dyDescent="0.2">
      <c r="X657" s="434"/>
      <c r="AB657" s="434"/>
      <c r="AC657" s="434"/>
      <c r="AD657" s="434"/>
    </row>
    <row r="658" spans="24:30" x14ac:dyDescent="0.2">
      <c r="X658" s="434"/>
      <c r="AB658" s="434"/>
      <c r="AC658" s="434"/>
      <c r="AD658" s="434"/>
    </row>
    <row r="659" spans="24:30" x14ac:dyDescent="0.2">
      <c r="X659" s="434"/>
      <c r="AB659" s="434"/>
      <c r="AC659" s="434"/>
      <c r="AD659" s="434"/>
    </row>
    <row r="660" spans="24:30" x14ac:dyDescent="0.2">
      <c r="X660" s="434"/>
      <c r="AB660" s="434"/>
      <c r="AC660" s="434"/>
      <c r="AD660" s="434"/>
    </row>
    <row r="661" spans="24:30" x14ac:dyDescent="0.2">
      <c r="X661" s="434"/>
      <c r="AB661" s="434"/>
      <c r="AC661" s="434"/>
      <c r="AD661" s="434"/>
    </row>
    <row r="662" spans="24:30" x14ac:dyDescent="0.2">
      <c r="X662" s="434"/>
      <c r="AB662" s="434"/>
      <c r="AC662" s="434"/>
      <c r="AD662" s="434"/>
    </row>
    <row r="663" spans="24:30" x14ac:dyDescent="0.2">
      <c r="X663" s="434"/>
      <c r="AB663" s="434"/>
      <c r="AC663" s="434"/>
      <c r="AD663" s="434"/>
    </row>
    <row r="664" spans="24:30" x14ac:dyDescent="0.2">
      <c r="X664" s="434"/>
      <c r="AB664" s="434"/>
      <c r="AC664" s="434"/>
      <c r="AD664" s="434"/>
    </row>
    <row r="665" spans="24:30" x14ac:dyDescent="0.2">
      <c r="X665" s="434"/>
      <c r="AB665" s="434"/>
      <c r="AC665" s="434"/>
      <c r="AD665" s="434"/>
    </row>
    <row r="666" spans="24:30" x14ac:dyDescent="0.2">
      <c r="X666" s="434"/>
      <c r="AB666" s="434"/>
      <c r="AC666" s="434"/>
      <c r="AD666" s="434"/>
    </row>
    <row r="667" spans="24:30" x14ac:dyDescent="0.2">
      <c r="X667" s="434"/>
      <c r="AB667" s="434"/>
      <c r="AC667" s="434"/>
      <c r="AD667" s="434"/>
    </row>
    <row r="668" spans="24:30" x14ac:dyDescent="0.2">
      <c r="X668" s="434"/>
      <c r="AB668" s="434"/>
      <c r="AC668" s="434"/>
      <c r="AD668" s="434"/>
    </row>
    <row r="669" spans="24:30" x14ac:dyDescent="0.2">
      <c r="X669" s="434"/>
      <c r="AB669" s="434"/>
      <c r="AC669" s="434"/>
      <c r="AD669" s="434"/>
    </row>
    <row r="670" spans="24:30" x14ac:dyDescent="0.2">
      <c r="X670" s="434"/>
      <c r="AB670" s="434"/>
      <c r="AC670" s="434"/>
      <c r="AD670" s="434"/>
    </row>
    <row r="671" spans="24:30" x14ac:dyDescent="0.2">
      <c r="X671" s="434"/>
      <c r="AB671" s="434"/>
      <c r="AC671" s="434"/>
      <c r="AD671" s="434"/>
    </row>
    <row r="672" spans="24:30" x14ac:dyDescent="0.2">
      <c r="X672" s="434"/>
      <c r="AB672" s="434"/>
      <c r="AC672" s="434"/>
      <c r="AD672" s="434"/>
    </row>
    <row r="673" spans="24:30" x14ac:dyDescent="0.2">
      <c r="X673" s="434"/>
      <c r="AB673" s="434"/>
      <c r="AC673" s="434"/>
      <c r="AD673" s="434"/>
    </row>
    <row r="674" spans="24:30" x14ac:dyDescent="0.2">
      <c r="X674" s="434"/>
      <c r="AB674" s="434"/>
      <c r="AC674" s="434"/>
      <c r="AD674" s="434"/>
    </row>
    <row r="675" spans="24:30" x14ac:dyDescent="0.2">
      <c r="X675" s="434"/>
      <c r="AB675" s="434"/>
      <c r="AC675" s="434"/>
      <c r="AD675" s="434"/>
    </row>
    <row r="676" spans="24:30" x14ac:dyDescent="0.2">
      <c r="X676" s="434"/>
      <c r="AB676" s="434"/>
      <c r="AC676" s="434"/>
      <c r="AD676" s="434"/>
    </row>
    <row r="677" spans="24:30" x14ac:dyDescent="0.2">
      <c r="X677" s="434"/>
      <c r="AB677" s="434"/>
      <c r="AC677" s="434"/>
      <c r="AD677" s="434"/>
    </row>
    <row r="678" spans="24:30" x14ac:dyDescent="0.2">
      <c r="X678" s="434"/>
      <c r="AB678" s="434"/>
      <c r="AC678" s="434"/>
      <c r="AD678" s="434"/>
    </row>
    <row r="679" spans="24:30" x14ac:dyDescent="0.2">
      <c r="X679" s="434"/>
      <c r="AB679" s="434"/>
      <c r="AC679" s="434"/>
      <c r="AD679" s="434"/>
    </row>
    <row r="680" spans="24:30" x14ac:dyDescent="0.2">
      <c r="X680" s="434"/>
      <c r="AB680" s="434"/>
      <c r="AC680" s="434"/>
      <c r="AD680" s="434"/>
    </row>
    <row r="681" spans="24:30" x14ac:dyDescent="0.2">
      <c r="X681" s="434"/>
      <c r="AB681" s="434"/>
      <c r="AC681" s="434"/>
      <c r="AD681" s="434"/>
    </row>
    <row r="682" spans="24:30" x14ac:dyDescent="0.2">
      <c r="X682" s="434"/>
      <c r="AB682" s="434"/>
      <c r="AC682" s="434"/>
      <c r="AD682" s="434"/>
    </row>
    <row r="683" spans="24:30" x14ac:dyDescent="0.2">
      <c r="X683" s="434"/>
      <c r="AB683" s="434"/>
      <c r="AC683" s="434"/>
      <c r="AD683" s="434"/>
    </row>
    <row r="684" spans="24:30" x14ac:dyDescent="0.2">
      <c r="X684" s="434"/>
      <c r="AB684" s="434"/>
      <c r="AC684" s="434"/>
      <c r="AD684" s="434"/>
    </row>
    <row r="685" spans="24:30" x14ac:dyDescent="0.2">
      <c r="X685" s="434"/>
      <c r="AB685" s="434"/>
      <c r="AC685" s="434"/>
      <c r="AD685" s="434"/>
    </row>
    <row r="686" spans="24:30" x14ac:dyDescent="0.2">
      <c r="X686" s="434"/>
      <c r="AB686" s="434"/>
      <c r="AC686" s="434"/>
      <c r="AD686" s="434"/>
    </row>
    <row r="687" spans="24:30" x14ac:dyDescent="0.2">
      <c r="X687" s="434"/>
      <c r="AB687" s="434"/>
      <c r="AC687" s="434"/>
      <c r="AD687" s="434"/>
    </row>
    <row r="688" spans="24:30" x14ac:dyDescent="0.2">
      <c r="X688" s="434"/>
      <c r="AB688" s="434"/>
      <c r="AC688" s="434"/>
      <c r="AD688" s="434"/>
    </row>
    <row r="689" spans="24:30" x14ac:dyDescent="0.2">
      <c r="X689" s="434"/>
      <c r="AB689" s="434"/>
      <c r="AC689" s="434"/>
      <c r="AD689" s="434"/>
    </row>
    <row r="690" spans="24:30" x14ac:dyDescent="0.2">
      <c r="X690" s="434"/>
      <c r="AB690" s="434"/>
      <c r="AC690" s="434"/>
      <c r="AD690" s="434"/>
    </row>
    <row r="691" spans="24:30" x14ac:dyDescent="0.2">
      <c r="X691" s="434"/>
      <c r="AB691" s="434"/>
      <c r="AC691" s="434"/>
      <c r="AD691" s="434"/>
    </row>
    <row r="692" spans="24:30" x14ac:dyDescent="0.2">
      <c r="X692" s="434"/>
      <c r="AB692" s="434"/>
      <c r="AC692" s="434"/>
      <c r="AD692" s="434"/>
    </row>
    <row r="693" spans="24:30" x14ac:dyDescent="0.2">
      <c r="X693" s="434"/>
      <c r="AB693" s="434"/>
      <c r="AC693" s="434"/>
      <c r="AD693" s="434"/>
    </row>
    <row r="694" spans="24:30" x14ac:dyDescent="0.2">
      <c r="X694" s="434"/>
      <c r="AB694" s="434"/>
      <c r="AC694" s="434"/>
      <c r="AD694" s="434"/>
    </row>
    <row r="695" spans="24:30" x14ac:dyDescent="0.2">
      <c r="X695" s="434"/>
      <c r="AB695" s="434"/>
      <c r="AC695" s="434"/>
      <c r="AD695" s="434"/>
    </row>
    <row r="696" spans="24:30" x14ac:dyDescent="0.2">
      <c r="X696" s="434"/>
      <c r="AB696" s="434"/>
      <c r="AC696" s="434"/>
      <c r="AD696" s="434"/>
    </row>
    <row r="697" spans="24:30" x14ac:dyDescent="0.2">
      <c r="X697" s="434"/>
      <c r="AB697" s="434"/>
      <c r="AC697" s="434"/>
      <c r="AD697" s="434"/>
    </row>
    <row r="698" spans="24:30" x14ac:dyDescent="0.2">
      <c r="X698" s="434"/>
      <c r="AB698" s="434"/>
      <c r="AC698" s="434"/>
      <c r="AD698" s="434"/>
    </row>
    <row r="699" spans="24:30" x14ac:dyDescent="0.2">
      <c r="X699" s="434"/>
      <c r="AB699" s="434"/>
      <c r="AC699" s="434"/>
      <c r="AD699" s="434"/>
    </row>
    <row r="700" spans="24:30" x14ac:dyDescent="0.2">
      <c r="X700" s="434"/>
      <c r="AB700" s="434"/>
      <c r="AC700" s="434"/>
      <c r="AD700" s="434"/>
    </row>
    <row r="701" spans="24:30" x14ac:dyDescent="0.2">
      <c r="X701" s="434"/>
      <c r="AB701" s="434"/>
      <c r="AC701" s="434"/>
      <c r="AD701" s="434"/>
    </row>
    <row r="702" spans="24:30" x14ac:dyDescent="0.2">
      <c r="X702" s="434"/>
      <c r="AB702" s="434"/>
      <c r="AC702" s="434"/>
      <c r="AD702" s="434"/>
    </row>
    <row r="703" spans="24:30" x14ac:dyDescent="0.2">
      <c r="X703" s="434"/>
      <c r="AB703" s="434"/>
      <c r="AC703" s="434"/>
      <c r="AD703" s="434"/>
    </row>
    <row r="704" spans="24:30" x14ac:dyDescent="0.2">
      <c r="X704" s="434"/>
      <c r="AB704" s="434"/>
      <c r="AC704" s="434"/>
      <c r="AD704" s="434"/>
    </row>
    <row r="705" spans="24:30" x14ac:dyDescent="0.2">
      <c r="X705" s="434"/>
      <c r="AB705" s="434"/>
      <c r="AC705" s="434"/>
      <c r="AD705" s="434"/>
    </row>
    <row r="706" spans="24:30" x14ac:dyDescent="0.2">
      <c r="X706" s="434"/>
      <c r="AB706" s="434"/>
      <c r="AC706" s="434"/>
      <c r="AD706" s="434"/>
    </row>
    <row r="707" spans="24:30" x14ac:dyDescent="0.2">
      <c r="X707" s="434"/>
      <c r="AB707" s="434"/>
      <c r="AC707" s="434"/>
      <c r="AD707" s="434"/>
    </row>
    <row r="708" spans="24:30" x14ac:dyDescent="0.2">
      <c r="X708" s="434"/>
      <c r="AB708" s="434"/>
      <c r="AC708" s="434"/>
      <c r="AD708" s="434"/>
    </row>
    <row r="709" spans="24:30" x14ac:dyDescent="0.2">
      <c r="X709" s="434"/>
      <c r="AB709" s="434"/>
      <c r="AC709" s="434"/>
      <c r="AD709" s="434"/>
    </row>
    <row r="710" spans="24:30" x14ac:dyDescent="0.2">
      <c r="X710" s="434"/>
      <c r="AB710" s="434"/>
      <c r="AC710" s="434"/>
      <c r="AD710" s="434"/>
    </row>
    <row r="711" spans="24:30" x14ac:dyDescent="0.2">
      <c r="X711" s="434"/>
      <c r="AB711" s="434"/>
      <c r="AC711" s="434"/>
      <c r="AD711" s="434"/>
    </row>
    <row r="712" spans="24:30" x14ac:dyDescent="0.2">
      <c r="X712" s="434"/>
      <c r="AB712" s="434"/>
      <c r="AC712" s="434"/>
      <c r="AD712" s="434"/>
    </row>
    <row r="713" spans="24:30" x14ac:dyDescent="0.2">
      <c r="X713" s="434"/>
      <c r="AB713" s="434"/>
      <c r="AC713" s="434"/>
      <c r="AD713" s="434"/>
    </row>
    <row r="714" spans="24:30" x14ac:dyDescent="0.2">
      <c r="X714" s="434"/>
      <c r="AB714" s="434"/>
      <c r="AC714" s="434"/>
      <c r="AD714" s="434"/>
    </row>
    <row r="715" spans="24:30" x14ac:dyDescent="0.2">
      <c r="X715" s="434"/>
      <c r="AB715" s="434"/>
      <c r="AC715" s="434"/>
      <c r="AD715" s="434"/>
    </row>
    <row r="716" spans="24:30" x14ac:dyDescent="0.2">
      <c r="X716" s="434"/>
      <c r="AB716" s="434"/>
      <c r="AC716" s="434"/>
      <c r="AD716" s="434"/>
    </row>
    <row r="717" spans="24:30" x14ac:dyDescent="0.2">
      <c r="X717" s="434"/>
      <c r="AB717" s="434"/>
      <c r="AC717" s="434"/>
      <c r="AD717" s="434"/>
    </row>
    <row r="718" spans="24:30" x14ac:dyDescent="0.2">
      <c r="X718" s="434"/>
      <c r="AB718" s="434"/>
      <c r="AC718" s="434"/>
      <c r="AD718" s="434"/>
    </row>
    <row r="719" spans="24:30" x14ac:dyDescent="0.2">
      <c r="X719" s="434"/>
      <c r="AB719" s="434"/>
      <c r="AC719" s="434"/>
      <c r="AD719" s="434"/>
    </row>
    <row r="720" spans="24:30" x14ac:dyDescent="0.2">
      <c r="X720" s="434"/>
      <c r="AB720" s="434"/>
      <c r="AC720" s="434"/>
      <c r="AD720" s="434"/>
    </row>
    <row r="721" spans="24:30" x14ac:dyDescent="0.2">
      <c r="X721" s="434"/>
      <c r="AB721" s="434"/>
      <c r="AC721" s="434"/>
      <c r="AD721" s="434"/>
    </row>
    <row r="722" spans="24:30" x14ac:dyDescent="0.2">
      <c r="X722" s="434"/>
      <c r="AB722" s="434"/>
      <c r="AC722" s="434"/>
      <c r="AD722" s="434"/>
    </row>
    <row r="723" spans="24:30" x14ac:dyDescent="0.2">
      <c r="X723" s="434"/>
      <c r="AB723" s="434"/>
      <c r="AC723" s="434"/>
      <c r="AD723" s="434"/>
    </row>
    <row r="724" spans="24:30" x14ac:dyDescent="0.2">
      <c r="X724" s="434"/>
      <c r="AB724" s="434"/>
      <c r="AC724" s="434"/>
      <c r="AD724" s="434"/>
    </row>
    <row r="725" spans="24:30" x14ac:dyDescent="0.2">
      <c r="X725" s="434"/>
      <c r="AB725" s="434"/>
      <c r="AC725" s="434"/>
      <c r="AD725" s="434"/>
    </row>
    <row r="726" spans="24:30" x14ac:dyDescent="0.2">
      <c r="X726" s="434"/>
      <c r="AB726" s="434"/>
      <c r="AC726" s="434"/>
      <c r="AD726" s="434"/>
    </row>
    <row r="727" spans="24:30" x14ac:dyDescent="0.2">
      <c r="X727" s="434"/>
      <c r="AB727" s="434"/>
      <c r="AC727" s="434"/>
      <c r="AD727" s="434"/>
    </row>
    <row r="728" spans="24:30" x14ac:dyDescent="0.2">
      <c r="X728" s="434"/>
      <c r="AB728" s="434"/>
      <c r="AC728" s="434"/>
      <c r="AD728" s="434"/>
    </row>
    <row r="729" spans="24:30" x14ac:dyDescent="0.2">
      <c r="X729" s="434"/>
      <c r="AB729" s="434"/>
      <c r="AC729" s="434"/>
      <c r="AD729" s="434"/>
    </row>
    <row r="730" spans="24:30" x14ac:dyDescent="0.2">
      <c r="X730" s="434"/>
      <c r="AB730" s="434"/>
      <c r="AC730" s="434"/>
      <c r="AD730" s="434"/>
    </row>
    <row r="731" spans="24:30" x14ac:dyDescent="0.2">
      <c r="X731" s="434"/>
      <c r="AB731" s="434"/>
      <c r="AC731" s="434"/>
      <c r="AD731" s="434"/>
    </row>
    <row r="732" spans="24:30" x14ac:dyDescent="0.2">
      <c r="X732" s="434"/>
      <c r="AB732" s="434"/>
      <c r="AC732" s="434"/>
      <c r="AD732" s="434"/>
    </row>
    <row r="733" spans="24:30" x14ac:dyDescent="0.2">
      <c r="X733" s="434"/>
      <c r="AB733" s="434"/>
      <c r="AC733" s="434"/>
      <c r="AD733" s="434"/>
    </row>
    <row r="734" spans="24:30" x14ac:dyDescent="0.2">
      <c r="X734" s="434"/>
      <c r="AB734" s="434"/>
      <c r="AC734" s="434"/>
      <c r="AD734" s="434"/>
    </row>
    <row r="735" spans="24:30" x14ac:dyDescent="0.2">
      <c r="X735" s="434"/>
      <c r="AB735" s="434"/>
      <c r="AC735" s="434"/>
      <c r="AD735" s="434"/>
    </row>
    <row r="736" spans="24:30" x14ac:dyDescent="0.2">
      <c r="X736" s="434"/>
      <c r="AB736" s="434"/>
      <c r="AC736" s="434"/>
      <c r="AD736" s="434"/>
    </row>
    <row r="737" spans="24:30" x14ac:dyDescent="0.2">
      <c r="X737" s="434"/>
      <c r="AB737" s="434"/>
      <c r="AC737" s="434"/>
      <c r="AD737" s="434"/>
    </row>
    <row r="738" spans="24:30" x14ac:dyDescent="0.2">
      <c r="X738" s="434"/>
      <c r="AB738" s="434"/>
      <c r="AC738" s="434"/>
      <c r="AD738" s="434"/>
    </row>
    <row r="739" spans="24:30" x14ac:dyDescent="0.2">
      <c r="X739" s="434"/>
      <c r="AB739" s="434"/>
      <c r="AC739" s="434"/>
      <c r="AD739" s="434"/>
    </row>
    <row r="740" spans="24:30" x14ac:dyDescent="0.2">
      <c r="X740" s="434"/>
      <c r="AB740" s="434"/>
      <c r="AC740" s="434"/>
      <c r="AD740" s="434"/>
    </row>
    <row r="741" spans="24:30" x14ac:dyDescent="0.2">
      <c r="X741" s="434"/>
      <c r="AB741" s="434"/>
      <c r="AC741" s="434"/>
      <c r="AD741" s="434"/>
    </row>
    <row r="742" spans="24:30" x14ac:dyDescent="0.2">
      <c r="X742" s="434"/>
      <c r="AB742" s="434"/>
      <c r="AC742" s="434"/>
      <c r="AD742" s="434"/>
    </row>
    <row r="743" spans="24:30" x14ac:dyDescent="0.2">
      <c r="X743" s="434"/>
      <c r="AB743" s="434"/>
      <c r="AC743" s="434"/>
      <c r="AD743" s="434"/>
    </row>
    <row r="744" spans="24:30" x14ac:dyDescent="0.2">
      <c r="X744" s="434"/>
      <c r="AB744" s="434"/>
      <c r="AC744" s="434"/>
      <c r="AD744" s="434"/>
    </row>
    <row r="745" spans="24:30" x14ac:dyDescent="0.2">
      <c r="X745" s="434"/>
      <c r="AB745" s="434"/>
      <c r="AC745" s="434"/>
      <c r="AD745" s="434"/>
    </row>
    <row r="746" spans="24:30" x14ac:dyDescent="0.2">
      <c r="X746" s="434"/>
      <c r="AB746" s="434"/>
      <c r="AC746" s="434"/>
      <c r="AD746" s="434"/>
    </row>
    <row r="747" spans="24:30" x14ac:dyDescent="0.2">
      <c r="X747" s="434"/>
      <c r="AB747" s="434"/>
      <c r="AC747" s="434"/>
      <c r="AD747" s="434"/>
    </row>
    <row r="748" spans="24:30" x14ac:dyDescent="0.2">
      <c r="X748" s="434"/>
      <c r="AB748" s="434"/>
      <c r="AC748" s="434"/>
      <c r="AD748" s="434"/>
    </row>
    <row r="749" spans="24:30" x14ac:dyDescent="0.2">
      <c r="X749" s="434"/>
      <c r="AB749" s="434"/>
      <c r="AC749" s="434"/>
      <c r="AD749" s="434"/>
    </row>
    <row r="750" spans="24:30" x14ac:dyDescent="0.2">
      <c r="X750" s="434"/>
      <c r="AB750" s="434"/>
      <c r="AC750" s="434"/>
      <c r="AD750" s="434"/>
    </row>
    <row r="751" spans="24:30" x14ac:dyDescent="0.2">
      <c r="X751" s="434"/>
      <c r="AB751" s="434"/>
      <c r="AC751" s="434"/>
      <c r="AD751" s="434"/>
    </row>
    <row r="752" spans="24:30" x14ac:dyDescent="0.2">
      <c r="X752" s="434"/>
      <c r="AB752" s="434"/>
      <c r="AC752" s="434"/>
      <c r="AD752" s="434"/>
    </row>
    <row r="753" spans="24:30" x14ac:dyDescent="0.2">
      <c r="X753" s="434"/>
      <c r="AB753" s="434"/>
      <c r="AC753" s="434"/>
      <c r="AD753" s="434"/>
    </row>
    <row r="754" spans="24:30" x14ac:dyDescent="0.2">
      <c r="X754" s="434"/>
      <c r="AB754" s="434"/>
      <c r="AC754" s="434"/>
      <c r="AD754" s="434"/>
    </row>
    <row r="755" spans="24:30" x14ac:dyDescent="0.2">
      <c r="X755" s="434"/>
      <c r="AB755" s="434"/>
      <c r="AC755" s="434"/>
      <c r="AD755" s="434"/>
    </row>
    <row r="756" spans="24:30" x14ac:dyDescent="0.2">
      <c r="X756" s="434"/>
      <c r="AB756" s="434"/>
      <c r="AC756" s="434"/>
      <c r="AD756" s="434"/>
    </row>
    <row r="757" spans="24:30" x14ac:dyDescent="0.2">
      <c r="X757" s="434"/>
      <c r="AB757" s="434"/>
      <c r="AC757" s="434"/>
      <c r="AD757" s="434"/>
    </row>
    <row r="758" spans="24:30" x14ac:dyDescent="0.2">
      <c r="X758" s="434"/>
      <c r="AB758" s="434"/>
      <c r="AC758" s="434"/>
      <c r="AD758" s="434"/>
    </row>
    <row r="759" spans="24:30" x14ac:dyDescent="0.2">
      <c r="X759" s="434"/>
      <c r="AB759" s="434"/>
      <c r="AC759" s="434"/>
      <c r="AD759" s="434"/>
    </row>
    <row r="760" spans="24:30" x14ac:dyDescent="0.2">
      <c r="X760" s="434"/>
      <c r="AB760" s="434"/>
      <c r="AC760" s="434"/>
      <c r="AD760" s="434"/>
    </row>
    <row r="761" spans="24:30" x14ac:dyDescent="0.2">
      <c r="X761" s="434"/>
      <c r="AB761" s="434"/>
      <c r="AC761" s="434"/>
      <c r="AD761" s="434"/>
    </row>
    <row r="762" spans="24:30" x14ac:dyDescent="0.2">
      <c r="X762" s="434"/>
      <c r="AB762" s="434"/>
      <c r="AC762" s="434"/>
      <c r="AD762" s="434"/>
    </row>
    <row r="763" spans="24:30" x14ac:dyDescent="0.2">
      <c r="X763" s="434"/>
      <c r="AB763" s="434"/>
      <c r="AC763" s="434"/>
      <c r="AD763" s="434"/>
    </row>
    <row r="764" spans="24:30" x14ac:dyDescent="0.2">
      <c r="X764" s="434"/>
      <c r="AB764" s="434"/>
      <c r="AC764" s="434"/>
      <c r="AD764" s="434"/>
    </row>
    <row r="765" spans="24:30" x14ac:dyDescent="0.2">
      <c r="X765" s="434"/>
      <c r="AB765" s="434"/>
      <c r="AC765" s="434"/>
      <c r="AD765" s="434"/>
    </row>
    <row r="766" spans="24:30" x14ac:dyDescent="0.2">
      <c r="X766" s="434"/>
      <c r="AB766" s="434"/>
      <c r="AC766" s="434"/>
      <c r="AD766" s="434"/>
    </row>
    <row r="767" spans="24:30" x14ac:dyDescent="0.2">
      <c r="X767" s="434"/>
      <c r="AB767" s="434"/>
      <c r="AC767" s="434"/>
      <c r="AD767" s="434"/>
    </row>
    <row r="768" spans="24:30" x14ac:dyDescent="0.2">
      <c r="X768" s="434"/>
      <c r="AB768" s="434"/>
      <c r="AC768" s="434"/>
      <c r="AD768" s="434"/>
    </row>
    <row r="769" spans="24:30" x14ac:dyDescent="0.2">
      <c r="X769" s="434"/>
      <c r="AB769" s="434"/>
      <c r="AC769" s="434"/>
      <c r="AD769" s="434"/>
    </row>
    <row r="770" spans="24:30" x14ac:dyDescent="0.2">
      <c r="X770" s="434"/>
      <c r="AB770" s="434"/>
      <c r="AC770" s="434"/>
      <c r="AD770" s="434"/>
    </row>
    <row r="771" spans="24:30" x14ac:dyDescent="0.2">
      <c r="X771" s="434"/>
      <c r="AB771" s="434"/>
      <c r="AC771" s="434"/>
      <c r="AD771" s="434"/>
    </row>
    <row r="772" spans="24:30" x14ac:dyDescent="0.2">
      <c r="X772" s="434"/>
      <c r="AB772" s="434"/>
      <c r="AC772" s="434"/>
      <c r="AD772" s="434"/>
    </row>
    <row r="773" spans="24:30" x14ac:dyDescent="0.2">
      <c r="X773" s="434"/>
      <c r="AB773" s="434"/>
      <c r="AC773" s="434"/>
      <c r="AD773" s="434"/>
    </row>
    <row r="774" spans="24:30" x14ac:dyDescent="0.2">
      <c r="X774" s="434"/>
      <c r="AB774" s="434"/>
      <c r="AC774" s="434"/>
      <c r="AD774" s="434"/>
    </row>
    <row r="775" spans="24:30" x14ac:dyDescent="0.2">
      <c r="X775" s="434"/>
      <c r="AB775" s="434"/>
      <c r="AC775" s="434"/>
      <c r="AD775" s="434"/>
    </row>
    <row r="776" spans="24:30" x14ac:dyDescent="0.2">
      <c r="X776" s="434"/>
      <c r="AB776" s="434"/>
      <c r="AC776" s="434"/>
      <c r="AD776" s="434"/>
    </row>
    <row r="777" spans="24:30" x14ac:dyDescent="0.2">
      <c r="X777" s="434"/>
      <c r="AB777" s="434"/>
      <c r="AC777" s="434"/>
      <c r="AD777" s="434"/>
    </row>
    <row r="778" spans="24:30" x14ac:dyDescent="0.2">
      <c r="X778" s="434"/>
      <c r="AB778" s="434"/>
      <c r="AC778" s="434"/>
      <c r="AD778" s="434"/>
    </row>
    <row r="779" spans="24:30" x14ac:dyDescent="0.2">
      <c r="X779" s="434"/>
      <c r="AB779" s="434"/>
      <c r="AC779" s="434"/>
      <c r="AD779" s="434"/>
    </row>
    <row r="780" spans="24:30" x14ac:dyDescent="0.2">
      <c r="X780" s="434"/>
      <c r="AB780" s="434"/>
      <c r="AC780" s="434"/>
      <c r="AD780" s="434"/>
    </row>
    <row r="781" spans="24:30" x14ac:dyDescent="0.2">
      <c r="X781" s="434"/>
      <c r="AB781" s="434"/>
      <c r="AC781" s="434"/>
      <c r="AD781" s="434"/>
    </row>
    <row r="782" spans="24:30" x14ac:dyDescent="0.2">
      <c r="X782" s="434"/>
      <c r="AB782" s="434"/>
      <c r="AC782" s="434"/>
      <c r="AD782" s="434"/>
    </row>
    <row r="783" spans="24:30" x14ac:dyDescent="0.2">
      <c r="X783" s="434"/>
      <c r="AB783" s="434"/>
      <c r="AC783" s="434"/>
      <c r="AD783" s="434"/>
    </row>
    <row r="784" spans="24:30" x14ac:dyDescent="0.2">
      <c r="X784" s="434"/>
      <c r="AB784" s="434"/>
      <c r="AC784" s="434"/>
      <c r="AD784" s="434"/>
    </row>
    <row r="785" spans="24:30" x14ac:dyDescent="0.2">
      <c r="X785" s="434"/>
      <c r="AB785" s="434"/>
      <c r="AC785" s="434"/>
      <c r="AD785" s="434"/>
    </row>
    <row r="786" spans="24:30" x14ac:dyDescent="0.2">
      <c r="X786" s="434"/>
      <c r="AB786" s="434"/>
      <c r="AC786" s="434"/>
      <c r="AD786" s="434"/>
    </row>
    <row r="787" spans="24:30" x14ac:dyDescent="0.2">
      <c r="X787" s="434"/>
      <c r="AB787" s="434"/>
      <c r="AC787" s="434"/>
      <c r="AD787" s="434"/>
    </row>
    <row r="788" spans="24:30" x14ac:dyDescent="0.2">
      <c r="X788" s="434"/>
      <c r="AB788" s="434"/>
      <c r="AC788" s="434"/>
      <c r="AD788" s="434"/>
    </row>
    <row r="789" spans="24:30" x14ac:dyDescent="0.2">
      <c r="X789" s="434"/>
      <c r="AB789" s="434"/>
      <c r="AC789" s="434"/>
      <c r="AD789" s="434"/>
    </row>
    <row r="790" spans="24:30" x14ac:dyDescent="0.2">
      <c r="X790" s="434"/>
      <c r="AB790" s="434"/>
      <c r="AC790" s="434"/>
      <c r="AD790" s="434"/>
    </row>
    <row r="791" spans="24:30" x14ac:dyDescent="0.2">
      <c r="X791" s="434"/>
      <c r="AB791" s="434"/>
      <c r="AC791" s="434"/>
      <c r="AD791" s="434"/>
    </row>
    <row r="792" spans="24:30" x14ac:dyDescent="0.2">
      <c r="X792" s="434"/>
      <c r="AB792" s="434"/>
      <c r="AC792" s="434"/>
      <c r="AD792" s="434"/>
    </row>
    <row r="793" spans="24:30" x14ac:dyDescent="0.2">
      <c r="X793" s="434"/>
      <c r="AB793" s="434"/>
      <c r="AC793" s="434"/>
      <c r="AD793" s="434"/>
    </row>
    <row r="794" spans="24:30" x14ac:dyDescent="0.2">
      <c r="X794" s="434"/>
      <c r="AB794" s="434"/>
      <c r="AC794" s="434"/>
      <c r="AD794" s="434"/>
    </row>
    <row r="795" spans="24:30" x14ac:dyDescent="0.2">
      <c r="X795" s="434"/>
      <c r="AB795" s="434"/>
      <c r="AC795" s="434"/>
      <c r="AD795" s="434"/>
    </row>
    <row r="796" spans="24:30" x14ac:dyDescent="0.2">
      <c r="X796" s="434"/>
      <c r="AB796" s="434"/>
      <c r="AC796" s="434"/>
      <c r="AD796" s="434"/>
    </row>
    <row r="797" spans="24:30" x14ac:dyDescent="0.2">
      <c r="X797" s="434"/>
      <c r="AB797" s="434"/>
      <c r="AC797" s="434"/>
      <c r="AD797" s="434"/>
    </row>
    <row r="798" spans="24:30" x14ac:dyDescent="0.2">
      <c r="X798" s="434"/>
      <c r="AB798" s="434"/>
      <c r="AC798" s="434"/>
      <c r="AD798" s="434"/>
    </row>
    <row r="799" spans="24:30" x14ac:dyDescent="0.2">
      <c r="X799" s="434"/>
      <c r="AB799" s="434"/>
      <c r="AC799" s="434"/>
      <c r="AD799" s="434"/>
    </row>
    <row r="800" spans="24:30" x14ac:dyDescent="0.2">
      <c r="X800" s="434"/>
      <c r="AB800" s="434"/>
      <c r="AC800" s="434"/>
      <c r="AD800" s="434"/>
    </row>
    <row r="801" spans="24:30" x14ac:dyDescent="0.2">
      <c r="X801" s="434"/>
      <c r="AB801" s="434"/>
      <c r="AC801" s="434"/>
      <c r="AD801" s="434"/>
    </row>
    <row r="802" spans="24:30" x14ac:dyDescent="0.2">
      <c r="X802" s="434"/>
      <c r="AB802" s="434"/>
      <c r="AC802" s="434"/>
      <c r="AD802" s="434"/>
    </row>
    <row r="803" spans="24:30" x14ac:dyDescent="0.2">
      <c r="X803" s="434"/>
      <c r="AB803" s="434"/>
      <c r="AC803" s="434"/>
      <c r="AD803" s="434"/>
    </row>
    <row r="804" spans="24:30" x14ac:dyDescent="0.2">
      <c r="X804" s="434"/>
      <c r="AB804" s="434"/>
      <c r="AC804" s="434"/>
      <c r="AD804" s="434"/>
    </row>
    <row r="805" spans="24:30" x14ac:dyDescent="0.2">
      <c r="X805" s="434"/>
      <c r="AB805" s="434"/>
      <c r="AC805" s="434"/>
      <c r="AD805" s="434"/>
    </row>
    <row r="806" spans="24:30" x14ac:dyDescent="0.2">
      <c r="X806" s="434"/>
      <c r="AB806" s="434"/>
      <c r="AC806" s="434"/>
      <c r="AD806" s="434"/>
    </row>
    <row r="807" spans="24:30" x14ac:dyDescent="0.2">
      <c r="X807" s="434"/>
      <c r="AB807" s="434"/>
      <c r="AC807" s="434"/>
      <c r="AD807" s="434"/>
    </row>
    <row r="808" spans="24:30" x14ac:dyDescent="0.2">
      <c r="X808" s="434"/>
      <c r="AB808" s="434"/>
      <c r="AC808" s="434"/>
      <c r="AD808" s="434"/>
    </row>
    <row r="809" spans="24:30" x14ac:dyDescent="0.2">
      <c r="X809" s="434"/>
      <c r="AB809" s="434"/>
      <c r="AC809" s="434"/>
      <c r="AD809" s="434"/>
    </row>
    <row r="810" spans="24:30" x14ac:dyDescent="0.2">
      <c r="X810" s="434"/>
      <c r="AB810" s="434"/>
      <c r="AC810" s="434"/>
      <c r="AD810" s="434"/>
    </row>
    <row r="811" spans="24:30" x14ac:dyDescent="0.2">
      <c r="X811" s="434"/>
      <c r="AB811" s="434"/>
      <c r="AC811" s="434"/>
      <c r="AD811" s="434"/>
    </row>
    <row r="812" spans="24:30" x14ac:dyDescent="0.2">
      <c r="X812" s="434"/>
      <c r="AB812" s="434"/>
      <c r="AC812" s="434"/>
      <c r="AD812" s="434"/>
    </row>
    <row r="813" spans="24:30" x14ac:dyDescent="0.2">
      <c r="X813" s="434"/>
      <c r="AB813" s="434"/>
      <c r="AC813" s="434"/>
      <c r="AD813" s="434"/>
    </row>
    <row r="814" spans="24:30" x14ac:dyDescent="0.2">
      <c r="X814" s="434"/>
      <c r="AB814" s="434"/>
      <c r="AC814" s="434"/>
      <c r="AD814" s="434"/>
    </row>
    <row r="815" spans="24:30" x14ac:dyDescent="0.2">
      <c r="X815" s="434"/>
      <c r="AB815" s="434"/>
      <c r="AC815" s="434"/>
      <c r="AD815" s="434"/>
    </row>
    <row r="816" spans="24:30" x14ac:dyDescent="0.2">
      <c r="X816" s="434"/>
      <c r="AB816" s="434"/>
      <c r="AC816" s="434"/>
      <c r="AD816" s="434"/>
    </row>
    <row r="817" spans="24:30" x14ac:dyDescent="0.2">
      <c r="X817" s="434"/>
      <c r="AB817" s="434"/>
      <c r="AC817" s="434"/>
      <c r="AD817" s="434"/>
    </row>
    <row r="818" spans="24:30" x14ac:dyDescent="0.2">
      <c r="X818" s="434"/>
      <c r="AB818" s="434"/>
      <c r="AC818" s="434"/>
      <c r="AD818" s="434"/>
    </row>
    <row r="819" spans="24:30" x14ac:dyDescent="0.2">
      <c r="X819" s="434"/>
      <c r="AB819" s="434"/>
      <c r="AC819" s="434"/>
      <c r="AD819" s="434"/>
    </row>
    <row r="820" spans="24:30" x14ac:dyDescent="0.2">
      <c r="X820" s="434"/>
      <c r="AB820" s="434"/>
      <c r="AC820" s="434"/>
      <c r="AD820" s="434"/>
    </row>
    <row r="821" spans="24:30" x14ac:dyDescent="0.2">
      <c r="X821" s="434"/>
      <c r="AB821" s="434"/>
      <c r="AC821" s="434"/>
      <c r="AD821" s="434"/>
    </row>
    <row r="822" spans="24:30" x14ac:dyDescent="0.2">
      <c r="X822" s="434"/>
      <c r="AB822" s="434"/>
      <c r="AC822" s="434"/>
      <c r="AD822" s="434"/>
    </row>
    <row r="823" spans="24:30" x14ac:dyDescent="0.2">
      <c r="X823" s="434"/>
      <c r="AB823" s="434"/>
      <c r="AC823" s="434"/>
      <c r="AD823" s="434"/>
    </row>
    <row r="824" spans="24:30" x14ac:dyDescent="0.2">
      <c r="X824" s="434"/>
      <c r="AB824" s="434"/>
      <c r="AC824" s="434"/>
      <c r="AD824" s="434"/>
    </row>
    <row r="825" spans="24:30" x14ac:dyDescent="0.2">
      <c r="X825" s="434"/>
      <c r="AB825" s="434"/>
      <c r="AC825" s="434"/>
      <c r="AD825" s="434"/>
    </row>
    <row r="826" spans="24:30" x14ac:dyDescent="0.2">
      <c r="X826" s="434"/>
      <c r="AB826" s="434"/>
      <c r="AC826" s="434"/>
      <c r="AD826" s="434"/>
    </row>
    <row r="827" spans="24:30" x14ac:dyDescent="0.2">
      <c r="X827" s="434"/>
      <c r="AB827" s="434"/>
      <c r="AC827" s="434"/>
      <c r="AD827" s="434"/>
    </row>
    <row r="828" spans="24:30" x14ac:dyDescent="0.2">
      <c r="X828" s="434"/>
      <c r="AB828" s="434"/>
      <c r="AC828" s="434"/>
      <c r="AD828" s="434"/>
    </row>
    <row r="829" spans="24:30" x14ac:dyDescent="0.2">
      <c r="X829" s="434"/>
      <c r="AB829" s="434"/>
      <c r="AC829" s="434"/>
      <c r="AD829" s="434"/>
    </row>
    <row r="830" spans="24:30" x14ac:dyDescent="0.2">
      <c r="X830" s="434"/>
      <c r="AB830" s="434"/>
      <c r="AC830" s="434"/>
      <c r="AD830" s="434"/>
    </row>
    <row r="831" spans="24:30" x14ac:dyDescent="0.2">
      <c r="X831" s="434"/>
      <c r="AB831" s="434"/>
      <c r="AC831" s="434"/>
      <c r="AD831" s="434"/>
    </row>
    <row r="832" spans="24:30" x14ac:dyDescent="0.2">
      <c r="X832" s="434"/>
      <c r="AB832" s="434"/>
      <c r="AC832" s="434"/>
      <c r="AD832" s="434"/>
    </row>
    <row r="833" spans="24:30" x14ac:dyDescent="0.2">
      <c r="X833" s="434"/>
      <c r="AB833" s="434"/>
      <c r="AC833" s="434"/>
      <c r="AD833" s="434"/>
    </row>
    <row r="834" spans="24:30" x14ac:dyDescent="0.2">
      <c r="X834" s="434"/>
      <c r="AB834" s="434"/>
      <c r="AC834" s="434"/>
      <c r="AD834" s="434"/>
    </row>
    <row r="835" spans="24:30" x14ac:dyDescent="0.2">
      <c r="X835" s="434"/>
      <c r="AB835" s="434"/>
      <c r="AC835" s="434"/>
      <c r="AD835" s="434"/>
    </row>
    <row r="836" spans="24:30" x14ac:dyDescent="0.2">
      <c r="X836" s="434"/>
      <c r="AB836" s="434"/>
      <c r="AC836" s="434"/>
      <c r="AD836" s="434"/>
    </row>
    <row r="837" spans="24:30" x14ac:dyDescent="0.2">
      <c r="X837" s="434"/>
      <c r="AB837" s="434"/>
      <c r="AC837" s="434"/>
      <c r="AD837" s="434"/>
    </row>
    <row r="838" spans="24:30" x14ac:dyDescent="0.2">
      <c r="X838" s="434"/>
      <c r="AB838" s="434"/>
      <c r="AC838" s="434"/>
      <c r="AD838" s="434"/>
    </row>
    <row r="839" spans="24:30" x14ac:dyDescent="0.2">
      <c r="X839" s="434"/>
      <c r="AB839" s="434"/>
      <c r="AC839" s="434"/>
      <c r="AD839" s="434"/>
    </row>
    <row r="840" spans="24:30" x14ac:dyDescent="0.2">
      <c r="X840" s="434"/>
      <c r="AB840" s="434"/>
      <c r="AC840" s="434"/>
      <c r="AD840" s="434"/>
    </row>
    <row r="841" spans="24:30" x14ac:dyDescent="0.2">
      <c r="X841" s="434"/>
      <c r="AB841" s="434"/>
      <c r="AC841" s="434"/>
      <c r="AD841" s="434"/>
    </row>
    <row r="842" spans="24:30" x14ac:dyDescent="0.2">
      <c r="X842" s="434"/>
      <c r="AB842" s="434"/>
      <c r="AC842" s="434"/>
      <c r="AD842" s="434"/>
    </row>
    <row r="843" spans="24:30" x14ac:dyDescent="0.2">
      <c r="X843" s="434"/>
      <c r="AB843" s="434"/>
      <c r="AC843" s="434"/>
      <c r="AD843" s="434"/>
    </row>
    <row r="844" spans="24:30" x14ac:dyDescent="0.2">
      <c r="X844" s="434"/>
      <c r="AB844" s="434"/>
      <c r="AC844" s="434"/>
      <c r="AD844" s="434"/>
    </row>
    <row r="845" spans="24:30" x14ac:dyDescent="0.2">
      <c r="X845" s="434"/>
      <c r="AB845" s="434"/>
      <c r="AC845" s="434"/>
      <c r="AD845" s="434"/>
    </row>
    <row r="846" spans="24:30" x14ac:dyDescent="0.2">
      <c r="AC846" s="434"/>
      <c r="AD846" s="434"/>
    </row>
  </sheetData>
  <mergeCells count="90">
    <mergeCell ref="A64:C64"/>
    <mergeCell ref="AC33:AG33"/>
    <mergeCell ref="AH33:AL33"/>
    <mergeCell ref="A63:C63"/>
    <mergeCell ref="A58:C58"/>
    <mergeCell ref="A59:C59"/>
    <mergeCell ref="A60:C60"/>
    <mergeCell ref="A61:C61"/>
    <mergeCell ref="A62:C62"/>
    <mergeCell ref="A55:C55"/>
    <mergeCell ref="X3:AB3"/>
    <mergeCell ref="AM32:AW32"/>
    <mergeCell ref="AC32:AG32"/>
    <mergeCell ref="AH32:AL32"/>
    <mergeCell ref="AC30:AG30"/>
    <mergeCell ref="AH30:AL30"/>
    <mergeCell ref="AC31:AG31"/>
    <mergeCell ref="AH31:AL31"/>
    <mergeCell ref="A32:C32"/>
    <mergeCell ref="A33:C33"/>
    <mergeCell ref="AH25:AL25"/>
    <mergeCell ref="AH26:AL26"/>
    <mergeCell ref="AH27:AL27"/>
    <mergeCell ref="AH28:AL28"/>
    <mergeCell ref="A28:C28"/>
    <mergeCell ref="A29:C29"/>
    <mergeCell ref="A21:C21"/>
    <mergeCell ref="AH29:AL29"/>
    <mergeCell ref="AC2:AD2"/>
    <mergeCell ref="AC25:AG25"/>
    <mergeCell ref="AC3:AD3"/>
    <mergeCell ref="AC4:AD4"/>
    <mergeCell ref="AC28:AG28"/>
    <mergeCell ref="AC29:AG29"/>
    <mergeCell ref="AC27:AG27"/>
    <mergeCell ref="AC26:AG26"/>
    <mergeCell ref="A24:C24"/>
    <mergeCell ref="A22:C22"/>
    <mergeCell ref="A9:C9"/>
    <mergeCell ref="A26:C26"/>
    <mergeCell ref="A27:C27"/>
    <mergeCell ref="A4:C4"/>
    <mergeCell ref="A18:C18"/>
    <mergeCell ref="A19:C19"/>
    <mergeCell ref="A20:C20"/>
    <mergeCell ref="A1:C1"/>
    <mergeCell ref="A2:C2"/>
    <mergeCell ref="A3:C3"/>
    <mergeCell ref="A5:C5"/>
    <mergeCell ref="A6:C6"/>
    <mergeCell ref="A10:C10"/>
    <mergeCell ref="A11:C11"/>
    <mergeCell ref="A85:C85"/>
    <mergeCell ref="A79:C79"/>
    <mergeCell ref="A80:C80"/>
    <mergeCell ref="A81:C81"/>
    <mergeCell ref="A82:C82"/>
    <mergeCell ref="A83:C83"/>
    <mergeCell ref="D3:V3"/>
    <mergeCell ref="A70:C70"/>
    <mergeCell ref="A17:C17"/>
    <mergeCell ref="A30:C30"/>
    <mergeCell ref="A31:C31"/>
    <mergeCell ref="A23:C23"/>
    <mergeCell ref="A25:C25"/>
    <mergeCell ref="A56:C56"/>
    <mergeCell ref="A12:C12"/>
    <mergeCell ref="A13:C13"/>
    <mergeCell ref="A14:C14"/>
    <mergeCell ref="A15:C15"/>
    <mergeCell ref="A16:C16"/>
    <mergeCell ref="A57:C57"/>
    <mergeCell ref="A7:C7"/>
    <mergeCell ref="A8:C8"/>
    <mergeCell ref="A87:C87"/>
    <mergeCell ref="A86:C86"/>
    <mergeCell ref="A65:C65"/>
    <mergeCell ref="A71:C71"/>
    <mergeCell ref="A72:C72"/>
    <mergeCell ref="A66:C66"/>
    <mergeCell ref="A67:C67"/>
    <mergeCell ref="A68:C68"/>
    <mergeCell ref="A69:C69"/>
    <mergeCell ref="A73:C73"/>
    <mergeCell ref="A74:C74"/>
    <mergeCell ref="A75:C75"/>
    <mergeCell ref="A76:C76"/>
    <mergeCell ref="A77:C77"/>
    <mergeCell ref="A78:C78"/>
    <mergeCell ref="A84:C84"/>
  </mergeCells>
  <phoneticPr fontId="48" type="noConversion"/>
  <pageMargins left="0.7" right="0.7" top="0.75" bottom="0.75" header="0.3" footer="0.3"/>
  <ignoredErrors>
    <ignoredError sqref="H27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5FC48-EC4C-2B4E-B5BB-B062EEDE8067}">
  <dimension ref="A1:AF28"/>
  <sheetViews>
    <sheetView zoomScale="137" zoomScaleNormal="100" workbookViewId="0">
      <selection activeCell="AC6" sqref="AC6"/>
    </sheetView>
  </sheetViews>
  <sheetFormatPr baseColWidth="10" defaultRowHeight="16" x14ac:dyDescent="0.2"/>
  <cols>
    <col min="3" max="3" width="21.83203125" customWidth="1"/>
    <col min="24" max="24" width="16.6640625" bestFit="1" customWidth="1"/>
    <col min="25" max="28" width="11.6640625" bestFit="1" customWidth="1"/>
    <col min="29" max="29" width="35.5" customWidth="1"/>
    <col min="30" max="30" width="19.1640625" customWidth="1"/>
  </cols>
  <sheetData>
    <row r="1" spans="1:32" x14ac:dyDescent="0.2">
      <c r="A1" s="1082" t="s">
        <v>126</v>
      </c>
      <c r="B1" s="1083"/>
      <c r="C1" s="1083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146"/>
      <c r="X1" s="146"/>
      <c r="Y1" s="146"/>
      <c r="Z1" s="146"/>
      <c r="AA1" s="146"/>
      <c r="AB1" s="437"/>
    </row>
    <row r="2" spans="1:32" ht="17" thickBot="1" x14ac:dyDescent="0.25">
      <c r="A2" s="1084" t="s">
        <v>152</v>
      </c>
      <c r="B2" s="1085"/>
      <c r="C2" s="1085"/>
      <c r="D2" s="192">
        <v>2000</v>
      </c>
      <c r="E2" s="192">
        <v>2001</v>
      </c>
      <c r="F2" s="192">
        <v>2002</v>
      </c>
      <c r="G2" s="192">
        <v>2003</v>
      </c>
      <c r="H2" s="192">
        <v>2004</v>
      </c>
      <c r="I2" s="192">
        <v>2005</v>
      </c>
      <c r="J2" s="192">
        <v>2006</v>
      </c>
      <c r="K2" s="192">
        <v>2007</v>
      </c>
      <c r="L2" s="192">
        <v>2008</v>
      </c>
      <c r="M2" s="192">
        <v>2009</v>
      </c>
      <c r="N2" s="192">
        <v>2010</v>
      </c>
      <c r="O2" s="192">
        <v>2011</v>
      </c>
      <c r="P2" s="192">
        <v>2012</v>
      </c>
      <c r="Q2" s="192">
        <v>2013</v>
      </c>
      <c r="R2" s="192">
        <v>2014</v>
      </c>
      <c r="S2" s="192">
        <v>2015</v>
      </c>
      <c r="T2" s="192">
        <v>2016</v>
      </c>
      <c r="U2" s="192">
        <v>2017</v>
      </c>
      <c r="V2" s="192">
        <v>2018</v>
      </c>
      <c r="W2" s="192">
        <v>2019</v>
      </c>
      <c r="X2" s="192">
        <v>2020</v>
      </c>
      <c r="Y2" s="192">
        <v>2021</v>
      </c>
      <c r="Z2" s="192">
        <v>2022</v>
      </c>
      <c r="AA2" s="192">
        <v>2023</v>
      </c>
      <c r="AB2" s="192">
        <v>2024</v>
      </c>
    </row>
    <row r="3" spans="1:32" ht="17" thickBot="1" x14ac:dyDescent="0.25">
      <c r="A3" s="1086" t="s">
        <v>232</v>
      </c>
      <c r="B3" s="1087"/>
      <c r="C3" s="1087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1074" t="s">
        <v>150</v>
      </c>
      <c r="AD3" s="1075"/>
      <c r="AE3" s="1042">
        <f>AVERAGE(Q5:W5)</f>
        <v>0.19923607593141418</v>
      </c>
      <c r="AF3" s="1076"/>
    </row>
    <row r="4" spans="1:32" ht="17" thickBot="1" x14ac:dyDescent="0.25">
      <c r="A4" s="942" t="s">
        <v>123</v>
      </c>
      <c r="B4" s="943"/>
      <c r="C4" s="943"/>
      <c r="D4" s="601">
        <v>11.6</v>
      </c>
      <c r="E4" s="602">
        <v>17.5</v>
      </c>
      <c r="F4" s="602">
        <v>20.8</v>
      </c>
      <c r="G4" s="602">
        <v>21.1</v>
      </c>
      <c r="H4" s="602">
        <v>24.5</v>
      </c>
      <c r="I4" s="602">
        <v>22.8</v>
      </c>
      <c r="J4" s="602">
        <v>27.1</v>
      </c>
      <c r="K4" s="602">
        <v>37</v>
      </c>
      <c r="L4" s="602">
        <v>35</v>
      </c>
      <c r="M4" s="602">
        <v>39.5</v>
      </c>
      <c r="N4" s="602">
        <v>40.5</v>
      </c>
      <c r="O4" s="602">
        <v>41.2</v>
      </c>
      <c r="P4" s="602">
        <v>47.3</v>
      </c>
      <c r="Q4" s="602">
        <v>50.4</v>
      </c>
      <c r="R4" s="602">
        <v>54.1</v>
      </c>
      <c r="S4" s="602">
        <v>59.8</v>
      </c>
      <c r="T4" s="602">
        <v>62.6</v>
      </c>
      <c r="U4" s="602">
        <v>66.3</v>
      </c>
      <c r="V4" s="602">
        <v>71.2</v>
      </c>
      <c r="W4" s="603">
        <v>140.30000000000001</v>
      </c>
      <c r="X4" s="550">
        <f t="shared" ref="X4:AB4" si="0">W4*(1+X5)</f>
        <v>168.25282145317743</v>
      </c>
      <c r="Y4" s="550">
        <f t="shared" si="0"/>
        <v>201.77485336389736</v>
      </c>
      <c r="Z4" s="550">
        <f t="shared" si="0"/>
        <v>241.97568336975678</v>
      </c>
      <c r="AA4" s="550">
        <f t="shared" si="0"/>
        <v>290.1859689951695</v>
      </c>
      <c r="AB4" s="551">
        <f t="shared" si="0"/>
        <v>348.0014827481221</v>
      </c>
      <c r="AC4" s="1075" t="s">
        <v>151</v>
      </c>
      <c r="AD4" s="1075"/>
      <c r="AE4" s="1077">
        <f>'Restructuration cap'!AH31</f>
        <v>4.5903382472336374E-3</v>
      </c>
      <c r="AF4" s="1078"/>
    </row>
    <row r="5" spans="1:32" s="145" customFormat="1" x14ac:dyDescent="0.2">
      <c r="A5" s="1079" t="s">
        <v>149</v>
      </c>
      <c r="B5" s="1031"/>
      <c r="C5" s="1031"/>
      <c r="D5" s="211">
        <f>0</f>
        <v>0</v>
      </c>
      <c r="E5" s="86">
        <f>(E4-D4)/D4</f>
        <v>0.50862068965517249</v>
      </c>
      <c r="F5" s="86">
        <f t="shared" ref="F5:W5" si="1">(F4-E4)/E4</f>
        <v>0.18857142857142861</v>
      </c>
      <c r="G5" s="86">
        <f t="shared" si="1"/>
        <v>1.4423076923076957E-2</v>
      </c>
      <c r="H5" s="86">
        <f t="shared" si="1"/>
        <v>0.16113744075829375</v>
      </c>
      <c r="I5" s="86">
        <f t="shared" si="1"/>
        <v>-6.9387755102040788E-2</v>
      </c>
      <c r="J5" s="86">
        <f t="shared" si="1"/>
        <v>0.18859649122807021</v>
      </c>
      <c r="K5" s="86">
        <f t="shared" si="1"/>
        <v>0.3653136531365313</v>
      </c>
      <c r="L5" s="86">
        <f t="shared" si="1"/>
        <v>-5.4054054054054057E-2</v>
      </c>
      <c r="M5" s="86">
        <f t="shared" si="1"/>
        <v>0.12857142857142856</v>
      </c>
      <c r="N5" s="86">
        <f t="shared" si="1"/>
        <v>2.5316455696202531E-2</v>
      </c>
      <c r="O5" s="86">
        <f t="shared" si="1"/>
        <v>1.7283950617284022E-2</v>
      </c>
      <c r="P5" s="86">
        <f t="shared" si="1"/>
        <v>0.14805825242718432</v>
      </c>
      <c r="Q5" s="86">
        <f t="shared" si="1"/>
        <v>6.5539112050739992E-2</v>
      </c>
      <c r="R5" s="86">
        <f t="shared" si="1"/>
        <v>7.3412698412698471E-2</v>
      </c>
      <c r="S5" s="86">
        <f t="shared" si="1"/>
        <v>0.10536044362292044</v>
      </c>
      <c r="T5" s="86">
        <f t="shared" si="1"/>
        <v>4.6822742474916461E-2</v>
      </c>
      <c r="U5" s="86">
        <f t="shared" si="1"/>
        <v>5.9105431309904082E-2</v>
      </c>
      <c r="V5" s="86">
        <f t="shared" si="1"/>
        <v>7.3906485671191638E-2</v>
      </c>
      <c r="W5" s="90">
        <f t="shared" si="1"/>
        <v>0.97050561797752821</v>
      </c>
      <c r="X5" s="180">
        <f t="shared" ref="X5:AB5" si="2">$AE$3</f>
        <v>0.19923607593141418</v>
      </c>
      <c r="Y5" s="180">
        <f t="shared" si="2"/>
        <v>0.19923607593141418</v>
      </c>
      <c r="Z5" s="180">
        <f t="shared" si="2"/>
        <v>0.19923607593141418</v>
      </c>
      <c r="AA5" s="180">
        <f t="shared" si="2"/>
        <v>0.19923607593141418</v>
      </c>
      <c r="AB5" s="210">
        <f t="shared" si="2"/>
        <v>0.19923607593141418</v>
      </c>
    </row>
    <row r="6" spans="1:32" x14ac:dyDescent="0.2">
      <c r="A6" s="1002" t="s">
        <v>11</v>
      </c>
      <c r="B6" s="1003"/>
      <c r="C6" s="1003"/>
      <c r="D6" s="606">
        <v>0.5</v>
      </c>
      <c r="E6" s="607">
        <v>0.6</v>
      </c>
      <c r="F6" s="607">
        <v>1.2</v>
      </c>
      <c r="G6" s="607">
        <v>1.7</v>
      </c>
      <c r="H6" s="607">
        <v>1.7</v>
      </c>
      <c r="I6" s="4">
        <f>0</f>
        <v>0</v>
      </c>
      <c r="J6" s="4">
        <f>0</f>
        <v>0</v>
      </c>
      <c r="K6" s="607">
        <v>16</v>
      </c>
      <c r="L6" s="607">
        <v>23.9</v>
      </c>
      <c r="M6" s="607">
        <v>30.1</v>
      </c>
      <c r="N6" s="4">
        <f>0</f>
        <v>0</v>
      </c>
      <c r="O6" s="4">
        <f>0</f>
        <v>0</v>
      </c>
      <c r="P6" s="4">
        <f>0</f>
        <v>0</v>
      </c>
      <c r="Q6" s="4">
        <f>0</f>
        <v>0</v>
      </c>
      <c r="R6" s="4">
        <f>0</f>
        <v>0</v>
      </c>
      <c r="S6" s="4">
        <f>0</f>
        <v>0</v>
      </c>
      <c r="T6" s="4">
        <f>0</f>
        <v>0</v>
      </c>
      <c r="U6" s="4">
        <f>0</f>
        <v>0</v>
      </c>
      <c r="V6" s="607">
        <v>4</v>
      </c>
      <c r="W6" s="120">
        <v>4.3</v>
      </c>
      <c r="X6" s="552">
        <f t="shared" ref="X6:AB6" si="3">W6*(1+X7)</f>
        <v>4.3197384544631046</v>
      </c>
      <c r="Y6" s="552">
        <f t="shared" si="3"/>
        <v>4.3395675151086728</v>
      </c>
      <c r="Z6" s="552">
        <f t="shared" si="3"/>
        <v>4.3594875978497285</v>
      </c>
      <c r="AA6" s="552">
        <f t="shared" si="3"/>
        <v>4.3794991205084788</v>
      </c>
      <c r="AB6" s="553">
        <f t="shared" si="3"/>
        <v>4.3996025028250747</v>
      </c>
    </row>
    <row r="7" spans="1:32" s="145" customFormat="1" x14ac:dyDescent="0.2">
      <c r="A7" s="1090" t="s">
        <v>281</v>
      </c>
      <c r="B7" s="1091"/>
      <c r="C7" s="1091"/>
      <c r="D7" s="211">
        <f>0</f>
        <v>0</v>
      </c>
      <c r="E7" s="86">
        <f>(E6-D6)/D6</f>
        <v>0.19999999999999996</v>
      </c>
      <c r="F7" s="86">
        <f t="shared" ref="F7:N7" si="4">(F6-E6)/E6</f>
        <v>1</v>
      </c>
      <c r="G7" s="86">
        <f t="shared" si="4"/>
        <v>0.41666666666666669</v>
      </c>
      <c r="H7" s="86">
        <f t="shared" si="4"/>
        <v>0</v>
      </c>
      <c r="I7" s="86">
        <f t="shared" si="4"/>
        <v>-1</v>
      </c>
      <c r="J7" s="86">
        <f>0</f>
        <v>0</v>
      </c>
      <c r="K7" s="86">
        <f>0</f>
        <v>0</v>
      </c>
      <c r="L7" s="86">
        <f t="shared" si="4"/>
        <v>0.49374999999999991</v>
      </c>
      <c r="M7" s="86">
        <f t="shared" si="4"/>
        <v>0.25941422594142272</v>
      </c>
      <c r="N7" s="86">
        <f t="shared" si="4"/>
        <v>-1</v>
      </c>
      <c r="O7" s="86">
        <f>0</f>
        <v>0</v>
      </c>
      <c r="P7" s="86">
        <f>0</f>
        <v>0</v>
      </c>
      <c r="Q7" s="86">
        <f>0</f>
        <v>0</v>
      </c>
      <c r="R7" s="86">
        <f>0</f>
        <v>0</v>
      </c>
      <c r="S7" s="86">
        <f>0</f>
        <v>0</v>
      </c>
      <c r="T7" s="86">
        <f>0</f>
        <v>0</v>
      </c>
      <c r="U7" s="86">
        <f>0</f>
        <v>0</v>
      </c>
      <c r="V7" s="86">
        <f>0</f>
        <v>0</v>
      </c>
      <c r="W7" s="210">
        <f>(W6-V6)/V6</f>
        <v>7.4999999999999956E-2</v>
      </c>
      <c r="X7" s="180">
        <f t="shared" ref="X7:AB7" si="5">$AE$4</f>
        <v>4.5903382472336374E-3</v>
      </c>
      <c r="Y7" s="180">
        <f t="shared" si="5"/>
        <v>4.5903382472336374E-3</v>
      </c>
      <c r="Z7" s="180">
        <f t="shared" si="5"/>
        <v>4.5903382472336374E-3</v>
      </c>
      <c r="AA7" s="180">
        <f t="shared" si="5"/>
        <v>4.5903382472336374E-3</v>
      </c>
      <c r="AB7" s="210">
        <f t="shared" si="5"/>
        <v>4.5903382472336374E-3</v>
      </c>
    </row>
    <row r="8" spans="1:32" s="1" customFormat="1" x14ac:dyDescent="0.2">
      <c r="A8" s="1088" t="s">
        <v>103</v>
      </c>
      <c r="B8" s="1089"/>
      <c r="C8" s="1089"/>
      <c r="D8" s="211">
        <f>0</f>
        <v>0</v>
      </c>
      <c r="E8" s="745">
        <f>E4-D4+E6</f>
        <v>6.5</v>
      </c>
      <c r="F8" s="608">
        <f t="shared" ref="F8:V8" si="6">F4-E4+F6</f>
        <v>4.5000000000000009</v>
      </c>
      <c r="G8" s="608">
        <f t="shared" si="6"/>
        <v>2.0000000000000009</v>
      </c>
      <c r="H8" s="608">
        <f t="shared" si="6"/>
        <v>5.0999999999999988</v>
      </c>
      <c r="I8" s="608">
        <f t="shared" si="6"/>
        <v>-1.6999999999999993</v>
      </c>
      <c r="J8" s="608">
        <f t="shared" si="6"/>
        <v>4.3000000000000007</v>
      </c>
      <c r="K8" s="608">
        <f t="shared" si="6"/>
        <v>25.9</v>
      </c>
      <c r="L8" s="608">
        <f t="shared" si="6"/>
        <v>21.9</v>
      </c>
      <c r="M8" s="608">
        <f t="shared" si="6"/>
        <v>34.6</v>
      </c>
      <c r="N8" s="608">
        <f t="shared" si="6"/>
        <v>1</v>
      </c>
      <c r="O8" s="608">
        <f t="shared" si="6"/>
        <v>0.70000000000000284</v>
      </c>
      <c r="P8" s="608">
        <f t="shared" si="6"/>
        <v>6.0999999999999943</v>
      </c>
      <c r="Q8" s="608">
        <f t="shared" si="6"/>
        <v>3.1000000000000014</v>
      </c>
      <c r="R8" s="608">
        <f t="shared" si="6"/>
        <v>3.7000000000000028</v>
      </c>
      <c r="S8" s="608">
        <f t="shared" si="6"/>
        <v>5.6999999999999957</v>
      </c>
      <c r="T8" s="608">
        <f t="shared" si="6"/>
        <v>2.8000000000000043</v>
      </c>
      <c r="U8" s="608">
        <f t="shared" si="6"/>
        <v>3.6999999999999957</v>
      </c>
      <c r="V8" s="608">
        <f t="shared" si="6"/>
        <v>8.9000000000000057</v>
      </c>
      <c r="W8" s="746">
        <f>W4-V4+W6</f>
        <v>73.400000000000006</v>
      </c>
      <c r="X8" s="554">
        <f t="shared" ref="X8" si="7">X4-W4+X6</f>
        <v>32.272559907640527</v>
      </c>
      <c r="Y8" s="554">
        <f t="shared" ref="Y8" si="8">Y4-X4+Y6</f>
        <v>37.861599425828601</v>
      </c>
      <c r="Z8" s="554">
        <f t="shared" ref="Z8" si="9">Z4-Y4+Z6</f>
        <v>44.560317603709144</v>
      </c>
      <c r="AA8" s="554">
        <f t="shared" ref="AA8:AB8" si="10">AA4-Z4+AA6</f>
        <v>52.5897847459212</v>
      </c>
      <c r="AB8" s="555">
        <f t="shared" si="10"/>
        <v>62.215116255777673</v>
      </c>
    </row>
    <row r="9" spans="1:32" x14ac:dyDescent="0.2">
      <c r="A9" s="1079" t="s">
        <v>124</v>
      </c>
      <c r="B9" s="1031"/>
      <c r="C9" s="1031"/>
      <c r="D9" s="211">
        <f>0</f>
        <v>0</v>
      </c>
      <c r="E9" s="86">
        <f>E8/'Restructuration cap'!D6</f>
        <v>6.8205666316894023E-2</v>
      </c>
      <c r="F9" s="86">
        <f>F8/'Restructuration cap'!E6</f>
        <v>3.1937544357700499E-2</v>
      </c>
      <c r="G9" s="86">
        <f>G8/'Restructuration cap'!F6</f>
        <v>1.7652250661959409E-2</v>
      </c>
      <c r="H9" s="86">
        <f>H8/'Restructuration cap'!G6</f>
        <v>3.4883720930232551E-2</v>
      </c>
      <c r="I9" s="86">
        <f>I8/'Restructuration cap'!H6</f>
        <v>-1.1067708333333329E-2</v>
      </c>
      <c r="J9" s="86">
        <f>J8/'Restructuration cap'!I6</f>
        <v>2.5489033787788981E-2</v>
      </c>
      <c r="K9" s="86">
        <f>K8/'Restructuration cap'!J6</f>
        <v>0.11974110032362459</v>
      </c>
      <c r="L9" s="86">
        <f>L8/'Restructuration cap'!K6</f>
        <v>6.6383752652318884E-2</v>
      </c>
      <c r="M9" s="86">
        <f>M8/'Restructuration cap'!L6</f>
        <v>8.5033177684934888E-2</v>
      </c>
      <c r="N9" s="86">
        <f>N8/'Restructuration cap'!M6</f>
        <v>2.7005130974885228E-3</v>
      </c>
      <c r="O9" s="86">
        <f>O8/'Restructuration cap'!N6</f>
        <v>1.5625000000000064E-3</v>
      </c>
      <c r="P9" s="86">
        <f>P8/'Restructuration cap'!O6</f>
        <v>1.2882787750791963E-2</v>
      </c>
      <c r="Q9" s="86">
        <f>Q8/'Restructuration cap'!P6</f>
        <v>6.8858285206574886E-3</v>
      </c>
      <c r="R9" s="86">
        <f>R8/'Restructuration cap'!Q6</f>
        <v>7.9093629756306176E-3</v>
      </c>
      <c r="S9" s="86">
        <f>S8/'Restructuration cap'!R6</f>
        <v>1.2161297205035195E-2</v>
      </c>
      <c r="T9" s="86">
        <f>T8/'Restructuration cap'!S6</f>
        <v>5.161290322580653E-3</v>
      </c>
      <c r="U9" s="86">
        <f>U8/'Restructuration cap'!T6</f>
        <v>5.835962145110403E-3</v>
      </c>
      <c r="V9" s="86">
        <f>V8/'Restructuration cap'!U6</f>
        <v>1.2102257274952415E-2</v>
      </c>
      <c r="W9" s="90">
        <f>W8/'Restructuration cap'!V6</f>
        <v>8.728743013437984E-2</v>
      </c>
      <c r="X9" s="86">
        <f>X8/'Restructuration cap'!W6</f>
        <v>3.320222212720219E-2</v>
      </c>
      <c r="Y9" s="86">
        <f>Y8/'Restructuration cap'!X6</f>
        <v>4.0065184577596405E-2</v>
      </c>
      <c r="Z9" s="86">
        <f>Z8/'Restructuration cap'!Y6</f>
        <v>4.3237925936682679E-2</v>
      </c>
      <c r="AA9" s="86">
        <f>AA8/'Restructuration cap'!Z6</f>
        <v>4.6967284188438978E-2</v>
      </c>
      <c r="AB9" s="90">
        <f>AB8/'Restructuration cap'!AA6</f>
        <v>5.1307230375381985E-2</v>
      </c>
    </row>
    <row r="10" spans="1:32" ht="17" thickBot="1" x14ac:dyDescent="0.25">
      <c r="A10" s="1080" t="s">
        <v>125</v>
      </c>
      <c r="B10" s="1081"/>
      <c r="C10" s="1081"/>
      <c r="D10" s="212">
        <f>0</f>
        <v>0</v>
      </c>
      <c r="E10" s="213">
        <f>0</f>
        <v>0</v>
      </c>
      <c r="F10" s="91">
        <f t="shared" ref="F10:W10" si="11">(F8-E8)/ABS(E8)</f>
        <v>-0.30769230769230754</v>
      </c>
      <c r="G10" s="91">
        <f t="shared" si="11"/>
        <v>-0.55555555555555547</v>
      </c>
      <c r="H10" s="91">
        <f t="shared" si="11"/>
        <v>1.5499999999999983</v>
      </c>
      <c r="I10" s="91">
        <f t="shared" si="11"/>
        <v>-1.3333333333333333</v>
      </c>
      <c r="J10" s="91">
        <f t="shared" si="11"/>
        <v>3.529411764705884</v>
      </c>
      <c r="K10" s="91">
        <f t="shared" si="11"/>
        <v>5.0232558139534866</v>
      </c>
      <c r="L10" s="91">
        <f t="shared" si="11"/>
        <v>-0.15444015444015444</v>
      </c>
      <c r="M10" s="91">
        <f t="shared" si="11"/>
        <v>0.57990867579908689</v>
      </c>
      <c r="N10" s="91">
        <f t="shared" si="11"/>
        <v>-0.97109826589595372</v>
      </c>
      <c r="O10" s="91">
        <f t="shared" si="11"/>
        <v>-0.29999999999999716</v>
      </c>
      <c r="P10" s="91">
        <f t="shared" si="11"/>
        <v>7.7142857142856709</v>
      </c>
      <c r="Q10" s="91">
        <f t="shared" si="11"/>
        <v>-0.49180327868852386</v>
      </c>
      <c r="R10" s="91">
        <f t="shared" si="11"/>
        <v>0.19354838709677458</v>
      </c>
      <c r="S10" s="91">
        <f t="shared" si="11"/>
        <v>0.54054054054053824</v>
      </c>
      <c r="T10" s="91">
        <f t="shared" si="11"/>
        <v>-0.50877192982456032</v>
      </c>
      <c r="U10" s="91">
        <f t="shared" si="11"/>
        <v>0.3214285714285679</v>
      </c>
      <c r="V10" s="91">
        <f t="shared" si="11"/>
        <v>1.4054054054054097</v>
      </c>
      <c r="W10" s="92">
        <f t="shared" si="11"/>
        <v>7.2471910112359508</v>
      </c>
      <c r="X10" s="91">
        <f>(X8-W8)/ABS(W8)</f>
        <v>-0.56031934730734978</v>
      </c>
      <c r="Y10" s="91">
        <f t="shared" ref="Y10:AB10" si="12">(Y8-X8)/ABS(X8)</f>
        <v>0.17318240431447363</v>
      </c>
      <c r="Z10" s="91">
        <f t="shared" si="12"/>
        <v>0.17692644472147631</v>
      </c>
      <c r="AA10" s="91">
        <f t="shared" si="12"/>
        <v>0.18019322065028759</v>
      </c>
      <c r="AB10" s="92">
        <f t="shared" si="12"/>
        <v>0.18302663827889126</v>
      </c>
    </row>
    <row r="11" spans="1:32" x14ac:dyDescent="0.2">
      <c r="A11" s="48"/>
      <c r="B11" s="48"/>
      <c r="C11" s="48"/>
    </row>
    <row r="12" spans="1:32" x14ac:dyDescent="0.2">
      <c r="A12" s="48"/>
      <c r="B12" s="48"/>
      <c r="C12" s="48"/>
    </row>
    <row r="13" spans="1:32" x14ac:dyDescent="0.2">
      <c r="A13" s="48"/>
      <c r="B13" s="48"/>
      <c r="C13" s="48"/>
    </row>
    <row r="14" spans="1:32" x14ac:dyDescent="0.2">
      <c r="A14" s="48"/>
      <c r="B14" s="48"/>
      <c r="C14" s="48"/>
    </row>
    <row r="15" spans="1:32" x14ac:dyDescent="0.2">
      <c r="A15" s="48"/>
      <c r="B15" s="48"/>
      <c r="C15" s="48"/>
    </row>
    <row r="16" spans="1:32" x14ac:dyDescent="0.2">
      <c r="A16" s="48"/>
      <c r="B16" s="48"/>
      <c r="C16" s="48"/>
    </row>
    <row r="17" spans="1:3" x14ac:dyDescent="0.2">
      <c r="A17" s="48"/>
      <c r="B17" s="48"/>
      <c r="C17" s="48"/>
    </row>
    <row r="18" spans="1:3" x14ac:dyDescent="0.2">
      <c r="A18" s="48"/>
      <c r="B18" s="48"/>
      <c r="C18" s="48"/>
    </row>
    <row r="19" spans="1:3" x14ac:dyDescent="0.2">
      <c r="A19" s="48"/>
      <c r="B19" s="48"/>
      <c r="C19" s="48"/>
    </row>
    <row r="20" spans="1:3" x14ac:dyDescent="0.2">
      <c r="A20" s="48"/>
      <c r="B20" s="48"/>
      <c r="C20" s="48"/>
    </row>
    <row r="21" spans="1:3" x14ac:dyDescent="0.2">
      <c r="A21" s="48"/>
      <c r="B21" s="48"/>
      <c r="C21" s="48"/>
    </row>
    <row r="22" spans="1:3" x14ac:dyDescent="0.2">
      <c r="A22" s="48"/>
      <c r="B22" s="48"/>
      <c r="C22" s="48"/>
    </row>
    <row r="23" spans="1:3" x14ac:dyDescent="0.2">
      <c r="A23" s="48"/>
      <c r="B23" s="48"/>
      <c r="C23" s="48"/>
    </row>
    <row r="24" spans="1:3" x14ac:dyDescent="0.2">
      <c r="A24" s="48"/>
      <c r="B24" s="48"/>
      <c r="C24" s="48"/>
    </row>
    <row r="25" spans="1:3" x14ac:dyDescent="0.2">
      <c r="A25" s="48"/>
      <c r="B25" s="48"/>
      <c r="C25" s="48"/>
    </row>
    <row r="26" spans="1:3" x14ac:dyDescent="0.2">
      <c r="A26" s="48"/>
      <c r="B26" s="48"/>
      <c r="C26" s="48"/>
    </row>
    <row r="27" spans="1:3" x14ac:dyDescent="0.2">
      <c r="A27" s="48"/>
      <c r="B27" s="48"/>
      <c r="C27" s="48"/>
    </row>
    <row r="28" spans="1:3" x14ac:dyDescent="0.2">
      <c r="A28" s="48"/>
      <c r="B28" s="48"/>
      <c r="C28" s="48"/>
    </row>
  </sheetData>
  <mergeCells count="14">
    <mergeCell ref="A10:C10"/>
    <mergeCell ref="A1:C1"/>
    <mergeCell ref="A2:C2"/>
    <mergeCell ref="A3:C3"/>
    <mergeCell ref="A4:C4"/>
    <mergeCell ref="A6:C6"/>
    <mergeCell ref="A8:C8"/>
    <mergeCell ref="A5:C5"/>
    <mergeCell ref="A7:C7"/>
    <mergeCell ref="AC3:AD3"/>
    <mergeCell ref="AE3:AF3"/>
    <mergeCell ref="AC4:AD4"/>
    <mergeCell ref="AE4:AF4"/>
    <mergeCell ref="A9:C9"/>
  </mergeCells>
  <pageMargins left="0.7" right="0.7" top="0.75" bottom="0.75" header="0.3" footer="0.3"/>
  <ignoredErrors>
    <ignoredError sqref="X5:AA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B05F-387B-3A4B-9EA8-5C72A6FAC525}">
  <dimension ref="A1:AI722"/>
  <sheetViews>
    <sheetView zoomScale="125" workbookViewId="0">
      <selection activeCell="N43" sqref="N43"/>
    </sheetView>
  </sheetViews>
  <sheetFormatPr baseColWidth="10" defaultColWidth="6.1640625" defaultRowHeight="13" x14ac:dyDescent="0.15"/>
  <cols>
    <col min="1" max="1" width="33.5" style="126" bestFit="1" customWidth="1"/>
    <col min="2" max="2" width="14.83203125" style="126" bestFit="1" customWidth="1"/>
    <col min="3" max="3" width="9.5" style="126" bestFit="1" customWidth="1"/>
    <col min="4" max="4" width="15" style="126" bestFit="1" customWidth="1"/>
    <col min="5" max="5" width="19.33203125" style="126" customWidth="1"/>
    <col min="6" max="6" width="12.83203125" style="126" bestFit="1" customWidth="1"/>
    <col min="7" max="7" width="24.5" style="126" customWidth="1"/>
    <col min="8" max="8" width="14" style="126" bestFit="1" customWidth="1"/>
    <col min="9" max="10" width="14.1640625" style="126" bestFit="1" customWidth="1"/>
    <col min="11" max="11" width="15.1640625" style="126" bestFit="1" customWidth="1"/>
    <col min="12" max="12" width="11.33203125" style="126" bestFit="1" customWidth="1"/>
    <col min="13" max="13" width="12.5" style="126" bestFit="1" customWidth="1"/>
    <col min="14" max="14" width="9.33203125" style="126" customWidth="1"/>
    <col min="15" max="15" width="10.1640625" style="126" customWidth="1"/>
    <col min="16" max="17" width="8.6640625" style="126" bestFit="1" customWidth="1"/>
    <col min="18" max="18" width="10.6640625" style="126" bestFit="1" customWidth="1"/>
    <col min="19" max="19" width="6.6640625" style="126" bestFit="1" customWidth="1"/>
    <col min="20" max="20" width="7.33203125" style="126" bestFit="1" customWidth="1"/>
    <col min="21" max="21" width="17.1640625" style="126" bestFit="1" customWidth="1"/>
    <col min="22" max="22" width="6.1640625" style="126"/>
    <col min="23" max="23" width="26.1640625" style="126" bestFit="1" customWidth="1"/>
    <col min="24" max="33" width="9.1640625" style="126" bestFit="1" customWidth="1"/>
    <col min="34" max="34" width="10.1640625" style="126" bestFit="1" customWidth="1"/>
    <col min="35" max="256" width="6.1640625" style="126"/>
    <col min="257" max="257" width="33.5" style="126" bestFit="1" customWidth="1"/>
    <col min="258" max="258" width="12" style="126" bestFit="1" customWidth="1"/>
    <col min="259" max="259" width="9.33203125" style="126" bestFit="1" customWidth="1"/>
    <col min="260" max="260" width="12" style="126" bestFit="1" customWidth="1"/>
    <col min="261" max="268" width="10.83203125" style="126" bestFit="1" customWidth="1"/>
    <col min="269" max="269" width="12" style="126" bestFit="1" customWidth="1"/>
    <col min="270" max="270" width="7.5" style="126" customWidth="1"/>
    <col min="271" max="271" width="7.1640625" style="126" customWidth="1"/>
    <col min="272" max="272" width="6.1640625" style="126"/>
    <col min="273" max="273" width="7.6640625" style="126" bestFit="1" customWidth="1"/>
    <col min="274" max="274" width="10.1640625" style="126" bestFit="1" customWidth="1"/>
    <col min="275" max="275" width="6.6640625" style="126" bestFit="1" customWidth="1"/>
    <col min="276" max="276" width="7.1640625" style="126" bestFit="1" customWidth="1"/>
    <col min="277" max="277" width="17.1640625" style="126" bestFit="1" customWidth="1"/>
    <col min="278" max="278" width="6.1640625" style="126"/>
    <col min="279" max="279" width="26.1640625" style="126" bestFit="1" customWidth="1"/>
    <col min="280" max="289" width="9.1640625" style="126" bestFit="1" customWidth="1"/>
    <col min="290" max="290" width="10.1640625" style="126" bestFit="1" customWidth="1"/>
    <col min="291" max="512" width="6.1640625" style="126"/>
    <col min="513" max="513" width="33.5" style="126" bestFit="1" customWidth="1"/>
    <col min="514" max="514" width="12" style="126" bestFit="1" customWidth="1"/>
    <col min="515" max="515" width="9.33203125" style="126" bestFit="1" customWidth="1"/>
    <col min="516" max="516" width="12" style="126" bestFit="1" customWidth="1"/>
    <col min="517" max="524" width="10.83203125" style="126" bestFit="1" customWidth="1"/>
    <col min="525" max="525" width="12" style="126" bestFit="1" customWidth="1"/>
    <col min="526" max="526" width="7.5" style="126" customWidth="1"/>
    <col min="527" max="527" width="7.1640625" style="126" customWidth="1"/>
    <col min="528" max="528" width="6.1640625" style="126"/>
    <col min="529" max="529" width="7.6640625" style="126" bestFit="1" customWidth="1"/>
    <col min="530" max="530" width="10.1640625" style="126" bestFit="1" customWidth="1"/>
    <col min="531" max="531" width="6.6640625" style="126" bestFit="1" customWidth="1"/>
    <col min="532" max="532" width="7.1640625" style="126" bestFit="1" customWidth="1"/>
    <col min="533" max="533" width="17.1640625" style="126" bestFit="1" customWidth="1"/>
    <col min="534" max="534" width="6.1640625" style="126"/>
    <col min="535" max="535" width="26.1640625" style="126" bestFit="1" customWidth="1"/>
    <col min="536" max="545" width="9.1640625" style="126" bestFit="1" customWidth="1"/>
    <col min="546" max="546" width="10.1640625" style="126" bestFit="1" customWidth="1"/>
    <col min="547" max="768" width="6.1640625" style="126"/>
    <col min="769" max="769" width="33.5" style="126" bestFit="1" customWidth="1"/>
    <col min="770" max="770" width="12" style="126" bestFit="1" customWidth="1"/>
    <col min="771" max="771" width="9.33203125" style="126" bestFit="1" customWidth="1"/>
    <col min="772" max="772" width="12" style="126" bestFit="1" customWidth="1"/>
    <col min="773" max="780" width="10.83203125" style="126" bestFit="1" customWidth="1"/>
    <col min="781" max="781" width="12" style="126" bestFit="1" customWidth="1"/>
    <col min="782" max="782" width="7.5" style="126" customWidth="1"/>
    <col min="783" max="783" width="7.1640625" style="126" customWidth="1"/>
    <col min="784" max="784" width="6.1640625" style="126"/>
    <col min="785" max="785" width="7.6640625" style="126" bestFit="1" customWidth="1"/>
    <col min="786" max="786" width="10.1640625" style="126" bestFit="1" customWidth="1"/>
    <col min="787" max="787" width="6.6640625" style="126" bestFit="1" customWidth="1"/>
    <col min="788" max="788" width="7.1640625" style="126" bestFit="1" customWidth="1"/>
    <col min="789" max="789" width="17.1640625" style="126" bestFit="1" customWidth="1"/>
    <col min="790" max="790" width="6.1640625" style="126"/>
    <col min="791" max="791" width="26.1640625" style="126" bestFit="1" customWidth="1"/>
    <col min="792" max="801" width="9.1640625" style="126" bestFit="1" customWidth="1"/>
    <col min="802" max="802" width="10.1640625" style="126" bestFit="1" customWidth="1"/>
    <col min="803" max="1024" width="6.1640625" style="126"/>
    <col min="1025" max="1025" width="33.5" style="126" bestFit="1" customWidth="1"/>
    <col min="1026" max="1026" width="12" style="126" bestFit="1" customWidth="1"/>
    <col min="1027" max="1027" width="9.33203125" style="126" bestFit="1" customWidth="1"/>
    <col min="1028" max="1028" width="12" style="126" bestFit="1" customWidth="1"/>
    <col min="1029" max="1036" width="10.83203125" style="126" bestFit="1" customWidth="1"/>
    <col min="1037" max="1037" width="12" style="126" bestFit="1" customWidth="1"/>
    <col min="1038" max="1038" width="7.5" style="126" customWidth="1"/>
    <col min="1039" max="1039" width="7.1640625" style="126" customWidth="1"/>
    <col min="1040" max="1040" width="6.1640625" style="126"/>
    <col min="1041" max="1041" width="7.6640625" style="126" bestFit="1" customWidth="1"/>
    <col min="1042" max="1042" width="10.1640625" style="126" bestFit="1" customWidth="1"/>
    <col min="1043" max="1043" width="6.6640625" style="126" bestFit="1" customWidth="1"/>
    <col min="1044" max="1044" width="7.1640625" style="126" bestFit="1" customWidth="1"/>
    <col min="1045" max="1045" width="17.1640625" style="126" bestFit="1" customWidth="1"/>
    <col min="1046" max="1046" width="6.1640625" style="126"/>
    <col min="1047" max="1047" width="26.1640625" style="126" bestFit="1" customWidth="1"/>
    <col min="1048" max="1057" width="9.1640625" style="126" bestFit="1" customWidth="1"/>
    <col min="1058" max="1058" width="10.1640625" style="126" bestFit="1" customWidth="1"/>
    <col min="1059" max="1280" width="6.1640625" style="126"/>
    <col min="1281" max="1281" width="33.5" style="126" bestFit="1" customWidth="1"/>
    <col min="1282" max="1282" width="12" style="126" bestFit="1" customWidth="1"/>
    <col min="1283" max="1283" width="9.33203125" style="126" bestFit="1" customWidth="1"/>
    <col min="1284" max="1284" width="12" style="126" bestFit="1" customWidth="1"/>
    <col min="1285" max="1292" width="10.83203125" style="126" bestFit="1" customWidth="1"/>
    <col min="1293" max="1293" width="12" style="126" bestFit="1" customWidth="1"/>
    <col min="1294" max="1294" width="7.5" style="126" customWidth="1"/>
    <col min="1295" max="1295" width="7.1640625" style="126" customWidth="1"/>
    <col min="1296" max="1296" width="6.1640625" style="126"/>
    <col min="1297" max="1297" width="7.6640625" style="126" bestFit="1" customWidth="1"/>
    <col min="1298" max="1298" width="10.1640625" style="126" bestFit="1" customWidth="1"/>
    <col min="1299" max="1299" width="6.6640625" style="126" bestFit="1" customWidth="1"/>
    <col min="1300" max="1300" width="7.1640625" style="126" bestFit="1" customWidth="1"/>
    <col min="1301" max="1301" width="17.1640625" style="126" bestFit="1" customWidth="1"/>
    <col min="1302" max="1302" width="6.1640625" style="126"/>
    <col min="1303" max="1303" width="26.1640625" style="126" bestFit="1" customWidth="1"/>
    <col min="1304" max="1313" width="9.1640625" style="126" bestFit="1" customWidth="1"/>
    <col min="1314" max="1314" width="10.1640625" style="126" bestFit="1" customWidth="1"/>
    <col min="1315" max="1536" width="6.1640625" style="126"/>
    <col min="1537" max="1537" width="33.5" style="126" bestFit="1" customWidth="1"/>
    <col min="1538" max="1538" width="12" style="126" bestFit="1" customWidth="1"/>
    <col min="1539" max="1539" width="9.33203125" style="126" bestFit="1" customWidth="1"/>
    <col min="1540" max="1540" width="12" style="126" bestFit="1" customWidth="1"/>
    <col min="1541" max="1548" width="10.83203125" style="126" bestFit="1" customWidth="1"/>
    <col min="1549" max="1549" width="12" style="126" bestFit="1" customWidth="1"/>
    <col min="1550" max="1550" width="7.5" style="126" customWidth="1"/>
    <col min="1551" max="1551" width="7.1640625" style="126" customWidth="1"/>
    <col min="1552" max="1552" width="6.1640625" style="126"/>
    <col min="1553" max="1553" width="7.6640625" style="126" bestFit="1" customWidth="1"/>
    <col min="1554" max="1554" width="10.1640625" style="126" bestFit="1" customWidth="1"/>
    <col min="1555" max="1555" width="6.6640625" style="126" bestFit="1" customWidth="1"/>
    <col min="1556" max="1556" width="7.1640625" style="126" bestFit="1" customWidth="1"/>
    <col min="1557" max="1557" width="17.1640625" style="126" bestFit="1" customWidth="1"/>
    <col min="1558" max="1558" width="6.1640625" style="126"/>
    <col min="1559" max="1559" width="26.1640625" style="126" bestFit="1" customWidth="1"/>
    <col min="1560" max="1569" width="9.1640625" style="126" bestFit="1" customWidth="1"/>
    <col min="1570" max="1570" width="10.1640625" style="126" bestFit="1" customWidth="1"/>
    <col min="1571" max="1792" width="6.1640625" style="126"/>
    <col min="1793" max="1793" width="33.5" style="126" bestFit="1" customWidth="1"/>
    <col min="1794" max="1794" width="12" style="126" bestFit="1" customWidth="1"/>
    <col min="1795" max="1795" width="9.33203125" style="126" bestFit="1" customWidth="1"/>
    <col min="1796" max="1796" width="12" style="126" bestFit="1" customWidth="1"/>
    <col min="1797" max="1804" width="10.83203125" style="126" bestFit="1" customWidth="1"/>
    <col min="1805" max="1805" width="12" style="126" bestFit="1" customWidth="1"/>
    <col min="1806" max="1806" width="7.5" style="126" customWidth="1"/>
    <col min="1807" max="1807" width="7.1640625" style="126" customWidth="1"/>
    <col min="1808" max="1808" width="6.1640625" style="126"/>
    <col min="1809" max="1809" width="7.6640625" style="126" bestFit="1" customWidth="1"/>
    <col min="1810" max="1810" width="10.1640625" style="126" bestFit="1" customWidth="1"/>
    <col min="1811" max="1811" width="6.6640625" style="126" bestFit="1" customWidth="1"/>
    <col min="1812" max="1812" width="7.1640625" style="126" bestFit="1" customWidth="1"/>
    <col min="1813" max="1813" width="17.1640625" style="126" bestFit="1" customWidth="1"/>
    <col min="1814" max="1814" width="6.1640625" style="126"/>
    <col min="1815" max="1815" width="26.1640625" style="126" bestFit="1" customWidth="1"/>
    <col min="1816" max="1825" width="9.1640625" style="126" bestFit="1" customWidth="1"/>
    <col min="1826" max="1826" width="10.1640625" style="126" bestFit="1" customWidth="1"/>
    <col min="1827" max="2048" width="6.1640625" style="126"/>
    <col min="2049" max="2049" width="33.5" style="126" bestFit="1" customWidth="1"/>
    <col min="2050" max="2050" width="12" style="126" bestFit="1" customWidth="1"/>
    <col min="2051" max="2051" width="9.33203125" style="126" bestFit="1" customWidth="1"/>
    <col min="2052" max="2052" width="12" style="126" bestFit="1" customWidth="1"/>
    <col min="2053" max="2060" width="10.83203125" style="126" bestFit="1" customWidth="1"/>
    <col min="2061" max="2061" width="12" style="126" bestFit="1" customWidth="1"/>
    <col min="2062" max="2062" width="7.5" style="126" customWidth="1"/>
    <col min="2063" max="2063" width="7.1640625" style="126" customWidth="1"/>
    <col min="2064" max="2064" width="6.1640625" style="126"/>
    <col min="2065" max="2065" width="7.6640625" style="126" bestFit="1" customWidth="1"/>
    <col min="2066" max="2066" width="10.1640625" style="126" bestFit="1" customWidth="1"/>
    <col min="2067" max="2067" width="6.6640625" style="126" bestFit="1" customWidth="1"/>
    <col min="2068" max="2068" width="7.1640625" style="126" bestFit="1" customWidth="1"/>
    <col min="2069" max="2069" width="17.1640625" style="126" bestFit="1" customWidth="1"/>
    <col min="2070" max="2070" width="6.1640625" style="126"/>
    <col min="2071" max="2071" width="26.1640625" style="126" bestFit="1" customWidth="1"/>
    <col min="2072" max="2081" width="9.1640625" style="126" bestFit="1" customWidth="1"/>
    <col min="2082" max="2082" width="10.1640625" style="126" bestFit="1" customWidth="1"/>
    <col min="2083" max="2304" width="6.1640625" style="126"/>
    <col min="2305" max="2305" width="33.5" style="126" bestFit="1" customWidth="1"/>
    <col min="2306" max="2306" width="12" style="126" bestFit="1" customWidth="1"/>
    <col min="2307" max="2307" width="9.33203125" style="126" bestFit="1" customWidth="1"/>
    <col min="2308" max="2308" width="12" style="126" bestFit="1" customWidth="1"/>
    <col min="2309" max="2316" width="10.83203125" style="126" bestFit="1" customWidth="1"/>
    <col min="2317" max="2317" width="12" style="126" bestFit="1" customWidth="1"/>
    <col min="2318" max="2318" width="7.5" style="126" customWidth="1"/>
    <col min="2319" max="2319" width="7.1640625" style="126" customWidth="1"/>
    <col min="2320" max="2320" width="6.1640625" style="126"/>
    <col min="2321" max="2321" width="7.6640625" style="126" bestFit="1" customWidth="1"/>
    <col min="2322" max="2322" width="10.1640625" style="126" bestFit="1" customWidth="1"/>
    <col min="2323" max="2323" width="6.6640625" style="126" bestFit="1" customWidth="1"/>
    <col min="2324" max="2324" width="7.1640625" style="126" bestFit="1" customWidth="1"/>
    <col min="2325" max="2325" width="17.1640625" style="126" bestFit="1" customWidth="1"/>
    <col min="2326" max="2326" width="6.1640625" style="126"/>
    <col min="2327" max="2327" width="26.1640625" style="126" bestFit="1" customWidth="1"/>
    <col min="2328" max="2337" width="9.1640625" style="126" bestFit="1" customWidth="1"/>
    <col min="2338" max="2338" width="10.1640625" style="126" bestFit="1" customWidth="1"/>
    <col min="2339" max="2560" width="6.1640625" style="126"/>
    <col min="2561" max="2561" width="33.5" style="126" bestFit="1" customWidth="1"/>
    <col min="2562" max="2562" width="12" style="126" bestFit="1" customWidth="1"/>
    <col min="2563" max="2563" width="9.33203125" style="126" bestFit="1" customWidth="1"/>
    <col min="2564" max="2564" width="12" style="126" bestFit="1" customWidth="1"/>
    <col min="2565" max="2572" width="10.83203125" style="126" bestFit="1" customWidth="1"/>
    <col min="2573" max="2573" width="12" style="126" bestFit="1" customWidth="1"/>
    <col min="2574" max="2574" width="7.5" style="126" customWidth="1"/>
    <col min="2575" max="2575" width="7.1640625" style="126" customWidth="1"/>
    <col min="2576" max="2576" width="6.1640625" style="126"/>
    <col min="2577" max="2577" width="7.6640625" style="126" bestFit="1" customWidth="1"/>
    <col min="2578" max="2578" width="10.1640625" style="126" bestFit="1" customWidth="1"/>
    <col min="2579" max="2579" width="6.6640625" style="126" bestFit="1" customWidth="1"/>
    <col min="2580" max="2580" width="7.1640625" style="126" bestFit="1" customWidth="1"/>
    <col min="2581" max="2581" width="17.1640625" style="126" bestFit="1" customWidth="1"/>
    <col min="2582" max="2582" width="6.1640625" style="126"/>
    <col min="2583" max="2583" width="26.1640625" style="126" bestFit="1" customWidth="1"/>
    <col min="2584" max="2593" width="9.1640625" style="126" bestFit="1" customWidth="1"/>
    <col min="2594" max="2594" width="10.1640625" style="126" bestFit="1" customWidth="1"/>
    <col min="2595" max="2816" width="6.1640625" style="126"/>
    <col min="2817" max="2817" width="33.5" style="126" bestFit="1" customWidth="1"/>
    <col min="2818" max="2818" width="12" style="126" bestFit="1" customWidth="1"/>
    <col min="2819" max="2819" width="9.33203125" style="126" bestFit="1" customWidth="1"/>
    <col min="2820" max="2820" width="12" style="126" bestFit="1" customWidth="1"/>
    <col min="2821" max="2828" width="10.83203125" style="126" bestFit="1" customWidth="1"/>
    <col min="2829" max="2829" width="12" style="126" bestFit="1" customWidth="1"/>
    <col min="2830" max="2830" width="7.5" style="126" customWidth="1"/>
    <col min="2831" max="2831" width="7.1640625" style="126" customWidth="1"/>
    <col min="2832" max="2832" width="6.1640625" style="126"/>
    <col min="2833" max="2833" width="7.6640625" style="126" bestFit="1" customWidth="1"/>
    <col min="2834" max="2834" width="10.1640625" style="126" bestFit="1" customWidth="1"/>
    <col min="2835" max="2835" width="6.6640625" style="126" bestFit="1" customWidth="1"/>
    <col min="2836" max="2836" width="7.1640625" style="126" bestFit="1" customWidth="1"/>
    <col min="2837" max="2837" width="17.1640625" style="126" bestFit="1" customWidth="1"/>
    <col min="2838" max="2838" width="6.1640625" style="126"/>
    <col min="2839" max="2839" width="26.1640625" style="126" bestFit="1" customWidth="1"/>
    <col min="2840" max="2849" width="9.1640625" style="126" bestFit="1" customWidth="1"/>
    <col min="2850" max="2850" width="10.1640625" style="126" bestFit="1" customWidth="1"/>
    <col min="2851" max="3072" width="6.1640625" style="126"/>
    <col min="3073" max="3073" width="33.5" style="126" bestFit="1" customWidth="1"/>
    <col min="3074" max="3074" width="12" style="126" bestFit="1" customWidth="1"/>
    <col min="3075" max="3075" width="9.33203125" style="126" bestFit="1" customWidth="1"/>
    <col min="3076" max="3076" width="12" style="126" bestFit="1" customWidth="1"/>
    <col min="3077" max="3084" width="10.83203125" style="126" bestFit="1" customWidth="1"/>
    <col min="3085" max="3085" width="12" style="126" bestFit="1" customWidth="1"/>
    <col min="3086" max="3086" width="7.5" style="126" customWidth="1"/>
    <col min="3087" max="3087" width="7.1640625" style="126" customWidth="1"/>
    <col min="3088" max="3088" width="6.1640625" style="126"/>
    <col min="3089" max="3089" width="7.6640625" style="126" bestFit="1" customWidth="1"/>
    <col min="3090" max="3090" width="10.1640625" style="126" bestFit="1" customWidth="1"/>
    <col min="3091" max="3091" width="6.6640625" style="126" bestFit="1" customWidth="1"/>
    <col min="3092" max="3092" width="7.1640625" style="126" bestFit="1" customWidth="1"/>
    <col min="3093" max="3093" width="17.1640625" style="126" bestFit="1" customWidth="1"/>
    <col min="3094" max="3094" width="6.1640625" style="126"/>
    <col min="3095" max="3095" width="26.1640625" style="126" bestFit="1" customWidth="1"/>
    <col min="3096" max="3105" width="9.1640625" style="126" bestFit="1" customWidth="1"/>
    <col min="3106" max="3106" width="10.1640625" style="126" bestFit="1" customWidth="1"/>
    <col min="3107" max="3328" width="6.1640625" style="126"/>
    <col min="3329" max="3329" width="33.5" style="126" bestFit="1" customWidth="1"/>
    <col min="3330" max="3330" width="12" style="126" bestFit="1" customWidth="1"/>
    <col min="3331" max="3331" width="9.33203125" style="126" bestFit="1" customWidth="1"/>
    <col min="3332" max="3332" width="12" style="126" bestFit="1" customWidth="1"/>
    <col min="3333" max="3340" width="10.83203125" style="126" bestFit="1" customWidth="1"/>
    <col min="3341" max="3341" width="12" style="126" bestFit="1" customWidth="1"/>
    <col min="3342" max="3342" width="7.5" style="126" customWidth="1"/>
    <col min="3343" max="3343" width="7.1640625" style="126" customWidth="1"/>
    <col min="3344" max="3344" width="6.1640625" style="126"/>
    <col min="3345" max="3345" width="7.6640625" style="126" bestFit="1" customWidth="1"/>
    <col min="3346" max="3346" width="10.1640625" style="126" bestFit="1" customWidth="1"/>
    <col min="3347" max="3347" width="6.6640625" style="126" bestFit="1" customWidth="1"/>
    <col min="3348" max="3348" width="7.1640625" style="126" bestFit="1" customWidth="1"/>
    <col min="3349" max="3349" width="17.1640625" style="126" bestFit="1" customWidth="1"/>
    <col min="3350" max="3350" width="6.1640625" style="126"/>
    <col min="3351" max="3351" width="26.1640625" style="126" bestFit="1" customWidth="1"/>
    <col min="3352" max="3361" width="9.1640625" style="126" bestFit="1" customWidth="1"/>
    <col min="3362" max="3362" width="10.1640625" style="126" bestFit="1" customWidth="1"/>
    <col min="3363" max="3584" width="6.1640625" style="126"/>
    <col min="3585" max="3585" width="33.5" style="126" bestFit="1" customWidth="1"/>
    <col min="3586" max="3586" width="12" style="126" bestFit="1" customWidth="1"/>
    <col min="3587" max="3587" width="9.33203125" style="126" bestFit="1" customWidth="1"/>
    <col min="3588" max="3588" width="12" style="126" bestFit="1" customWidth="1"/>
    <col min="3589" max="3596" width="10.83203125" style="126" bestFit="1" customWidth="1"/>
    <col min="3597" max="3597" width="12" style="126" bestFit="1" customWidth="1"/>
    <col min="3598" max="3598" width="7.5" style="126" customWidth="1"/>
    <col min="3599" max="3599" width="7.1640625" style="126" customWidth="1"/>
    <col min="3600" max="3600" width="6.1640625" style="126"/>
    <col min="3601" max="3601" width="7.6640625" style="126" bestFit="1" customWidth="1"/>
    <col min="3602" max="3602" width="10.1640625" style="126" bestFit="1" customWidth="1"/>
    <col min="3603" max="3603" width="6.6640625" style="126" bestFit="1" customWidth="1"/>
    <col min="3604" max="3604" width="7.1640625" style="126" bestFit="1" customWidth="1"/>
    <col min="3605" max="3605" width="17.1640625" style="126" bestFit="1" customWidth="1"/>
    <col min="3606" max="3606" width="6.1640625" style="126"/>
    <col min="3607" max="3607" width="26.1640625" style="126" bestFit="1" customWidth="1"/>
    <col min="3608" max="3617" width="9.1640625" style="126" bestFit="1" customWidth="1"/>
    <col min="3618" max="3618" width="10.1640625" style="126" bestFit="1" customWidth="1"/>
    <col min="3619" max="3840" width="6.1640625" style="126"/>
    <col min="3841" max="3841" width="33.5" style="126" bestFit="1" customWidth="1"/>
    <col min="3842" max="3842" width="12" style="126" bestFit="1" customWidth="1"/>
    <col min="3843" max="3843" width="9.33203125" style="126" bestFit="1" customWidth="1"/>
    <col min="3844" max="3844" width="12" style="126" bestFit="1" customWidth="1"/>
    <col min="3845" max="3852" width="10.83203125" style="126" bestFit="1" customWidth="1"/>
    <col min="3853" max="3853" width="12" style="126" bestFit="1" customWidth="1"/>
    <col min="3854" max="3854" width="7.5" style="126" customWidth="1"/>
    <col min="3855" max="3855" width="7.1640625" style="126" customWidth="1"/>
    <col min="3856" max="3856" width="6.1640625" style="126"/>
    <col min="3857" max="3857" width="7.6640625" style="126" bestFit="1" customWidth="1"/>
    <col min="3858" max="3858" width="10.1640625" style="126" bestFit="1" customWidth="1"/>
    <col min="3859" max="3859" width="6.6640625" style="126" bestFit="1" customWidth="1"/>
    <col min="3860" max="3860" width="7.1640625" style="126" bestFit="1" customWidth="1"/>
    <col min="3861" max="3861" width="17.1640625" style="126" bestFit="1" customWidth="1"/>
    <col min="3862" max="3862" width="6.1640625" style="126"/>
    <col min="3863" max="3863" width="26.1640625" style="126" bestFit="1" customWidth="1"/>
    <col min="3864" max="3873" width="9.1640625" style="126" bestFit="1" customWidth="1"/>
    <col min="3874" max="3874" width="10.1640625" style="126" bestFit="1" customWidth="1"/>
    <col min="3875" max="4096" width="6.1640625" style="126"/>
    <col min="4097" max="4097" width="33.5" style="126" bestFit="1" customWidth="1"/>
    <col min="4098" max="4098" width="12" style="126" bestFit="1" customWidth="1"/>
    <col min="4099" max="4099" width="9.33203125" style="126" bestFit="1" customWidth="1"/>
    <col min="4100" max="4100" width="12" style="126" bestFit="1" customWidth="1"/>
    <col min="4101" max="4108" width="10.83203125" style="126" bestFit="1" customWidth="1"/>
    <col min="4109" max="4109" width="12" style="126" bestFit="1" customWidth="1"/>
    <col min="4110" max="4110" width="7.5" style="126" customWidth="1"/>
    <col min="4111" max="4111" width="7.1640625" style="126" customWidth="1"/>
    <col min="4112" max="4112" width="6.1640625" style="126"/>
    <col min="4113" max="4113" width="7.6640625" style="126" bestFit="1" customWidth="1"/>
    <col min="4114" max="4114" width="10.1640625" style="126" bestFit="1" customWidth="1"/>
    <col min="4115" max="4115" width="6.6640625" style="126" bestFit="1" customWidth="1"/>
    <col min="4116" max="4116" width="7.1640625" style="126" bestFit="1" customWidth="1"/>
    <col min="4117" max="4117" width="17.1640625" style="126" bestFit="1" customWidth="1"/>
    <col min="4118" max="4118" width="6.1640625" style="126"/>
    <col min="4119" max="4119" width="26.1640625" style="126" bestFit="1" customWidth="1"/>
    <col min="4120" max="4129" width="9.1640625" style="126" bestFit="1" customWidth="1"/>
    <col min="4130" max="4130" width="10.1640625" style="126" bestFit="1" customWidth="1"/>
    <col min="4131" max="4352" width="6.1640625" style="126"/>
    <col min="4353" max="4353" width="33.5" style="126" bestFit="1" customWidth="1"/>
    <col min="4354" max="4354" width="12" style="126" bestFit="1" customWidth="1"/>
    <col min="4355" max="4355" width="9.33203125" style="126" bestFit="1" customWidth="1"/>
    <col min="4356" max="4356" width="12" style="126" bestFit="1" customWidth="1"/>
    <col min="4357" max="4364" width="10.83203125" style="126" bestFit="1" customWidth="1"/>
    <col min="4365" max="4365" width="12" style="126" bestFit="1" customWidth="1"/>
    <col min="4366" max="4366" width="7.5" style="126" customWidth="1"/>
    <col min="4367" max="4367" width="7.1640625" style="126" customWidth="1"/>
    <col min="4368" max="4368" width="6.1640625" style="126"/>
    <col min="4369" max="4369" width="7.6640625" style="126" bestFit="1" customWidth="1"/>
    <col min="4370" max="4370" width="10.1640625" style="126" bestFit="1" customWidth="1"/>
    <col min="4371" max="4371" width="6.6640625" style="126" bestFit="1" customWidth="1"/>
    <col min="4372" max="4372" width="7.1640625" style="126" bestFit="1" customWidth="1"/>
    <col min="4373" max="4373" width="17.1640625" style="126" bestFit="1" customWidth="1"/>
    <col min="4374" max="4374" width="6.1640625" style="126"/>
    <col min="4375" max="4375" width="26.1640625" style="126" bestFit="1" customWidth="1"/>
    <col min="4376" max="4385" width="9.1640625" style="126" bestFit="1" customWidth="1"/>
    <col min="4386" max="4386" width="10.1640625" style="126" bestFit="1" customWidth="1"/>
    <col min="4387" max="4608" width="6.1640625" style="126"/>
    <col min="4609" max="4609" width="33.5" style="126" bestFit="1" customWidth="1"/>
    <col min="4610" max="4610" width="12" style="126" bestFit="1" customWidth="1"/>
    <col min="4611" max="4611" width="9.33203125" style="126" bestFit="1" customWidth="1"/>
    <col min="4612" max="4612" width="12" style="126" bestFit="1" customWidth="1"/>
    <col min="4613" max="4620" width="10.83203125" style="126" bestFit="1" customWidth="1"/>
    <col min="4621" max="4621" width="12" style="126" bestFit="1" customWidth="1"/>
    <col min="4622" max="4622" width="7.5" style="126" customWidth="1"/>
    <col min="4623" max="4623" width="7.1640625" style="126" customWidth="1"/>
    <col min="4624" max="4624" width="6.1640625" style="126"/>
    <col min="4625" max="4625" width="7.6640625" style="126" bestFit="1" customWidth="1"/>
    <col min="4626" max="4626" width="10.1640625" style="126" bestFit="1" customWidth="1"/>
    <col min="4627" max="4627" width="6.6640625" style="126" bestFit="1" customWidth="1"/>
    <col min="4628" max="4628" width="7.1640625" style="126" bestFit="1" customWidth="1"/>
    <col min="4629" max="4629" width="17.1640625" style="126" bestFit="1" customWidth="1"/>
    <col min="4630" max="4630" width="6.1640625" style="126"/>
    <col min="4631" max="4631" width="26.1640625" style="126" bestFit="1" customWidth="1"/>
    <col min="4632" max="4641" width="9.1640625" style="126" bestFit="1" customWidth="1"/>
    <col min="4642" max="4642" width="10.1640625" style="126" bestFit="1" customWidth="1"/>
    <col min="4643" max="4864" width="6.1640625" style="126"/>
    <col min="4865" max="4865" width="33.5" style="126" bestFit="1" customWidth="1"/>
    <col min="4866" max="4866" width="12" style="126" bestFit="1" customWidth="1"/>
    <col min="4867" max="4867" width="9.33203125" style="126" bestFit="1" customWidth="1"/>
    <col min="4868" max="4868" width="12" style="126" bestFit="1" customWidth="1"/>
    <col min="4869" max="4876" width="10.83203125" style="126" bestFit="1" customWidth="1"/>
    <col min="4877" max="4877" width="12" style="126" bestFit="1" customWidth="1"/>
    <col min="4878" max="4878" width="7.5" style="126" customWidth="1"/>
    <col min="4879" max="4879" width="7.1640625" style="126" customWidth="1"/>
    <col min="4880" max="4880" width="6.1640625" style="126"/>
    <col min="4881" max="4881" width="7.6640625" style="126" bestFit="1" customWidth="1"/>
    <col min="4882" max="4882" width="10.1640625" style="126" bestFit="1" customWidth="1"/>
    <col min="4883" max="4883" width="6.6640625" style="126" bestFit="1" customWidth="1"/>
    <col min="4884" max="4884" width="7.1640625" style="126" bestFit="1" customWidth="1"/>
    <col min="4885" max="4885" width="17.1640625" style="126" bestFit="1" customWidth="1"/>
    <col min="4886" max="4886" width="6.1640625" style="126"/>
    <col min="4887" max="4887" width="26.1640625" style="126" bestFit="1" customWidth="1"/>
    <col min="4888" max="4897" width="9.1640625" style="126" bestFit="1" customWidth="1"/>
    <col min="4898" max="4898" width="10.1640625" style="126" bestFit="1" customWidth="1"/>
    <col min="4899" max="5120" width="6.1640625" style="126"/>
    <col min="5121" max="5121" width="33.5" style="126" bestFit="1" customWidth="1"/>
    <col min="5122" max="5122" width="12" style="126" bestFit="1" customWidth="1"/>
    <col min="5123" max="5123" width="9.33203125" style="126" bestFit="1" customWidth="1"/>
    <col min="5124" max="5124" width="12" style="126" bestFit="1" customWidth="1"/>
    <col min="5125" max="5132" width="10.83203125" style="126" bestFit="1" customWidth="1"/>
    <col min="5133" max="5133" width="12" style="126" bestFit="1" customWidth="1"/>
    <col min="5134" max="5134" width="7.5" style="126" customWidth="1"/>
    <col min="5135" max="5135" width="7.1640625" style="126" customWidth="1"/>
    <col min="5136" max="5136" width="6.1640625" style="126"/>
    <col min="5137" max="5137" width="7.6640625" style="126" bestFit="1" customWidth="1"/>
    <col min="5138" max="5138" width="10.1640625" style="126" bestFit="1" customWidth="1"/>
    <col min="5139" max="5139" width="6.6640625" style="126" bestFit="1" customWidth="1"/>
    <col min="5140" max="5140" width="7.1640625" style="126" bestFit="1" customWidth="1"/>
    <col min="5141" max="5141" width="17.1640625" style="126" bestFit="1" customWidth="1"/>
    <col min="5142" max="5142" width="6.1640625" style="126"/>
    <col min="5143" max="5143" width="26.1640625" style="126" bestFit="1" customWidth="1"/>
    <col min="5144" max="5153" width="9.1640625" style="126" bestFit="1" customWidth="1"/>
    <col min="5154" max="5154" width="10.1640625" style="126" bestFit="1" customWidth="1"/>
    <col min="5155" max="5376" width="6.1640625" style="126"/>
    <col min="5377" max="5377" width="33.5" style="126" bestFit="1" customWidth="1"/>
    <col min="5378" max="5378" width="12" style="126" bestFit="1" customWidth="1"/>
    <col min="5379" max="5379" width="9.33203125" style="126" bestFit="1" customWidth="1"/>
    <col min="5380" max="5380" width="12" style="126" bestFit="1" customWidth="1"/>
    <col min="5381" max="5388" width="10.83203125" style="126" bestFit="1" customWidth="1"/>
    <col min="5389" max="5389" width="12" style="126" bestFit="1" customWidth="1"/>
    <col min="5390" max="5390" width="7.5" style="126" customWidth="1"/>
    <col min="5391" max="5391" width="7.1640625" style="126" customWidth="1"/>
    <col min="5392" max="5392" width="6.1640625" style="126"/>
    <col min="5393" max="5393" width="7.6640625" style="126" bestFit="1" customWidth="1"/>
    <col min="5394" max="5394" width="10.1640625" style="126" bestFit="1" customWidth="1"/>
    <col min="5395" max="5395" width="6.6640625" style="126" bestFit="1" customWidth="1"/>
    <col min="5396" max="5396" width="7.1640625" style="126" bestFit="1" customWidth="1"/>
    <col min="5397" max="5397" width="17.1640625" style="126" bestFit="1" customWidth="1"/>
    <col min="5398" max="5398" width="6.1640625" style="126"/>
    <col min="5399" max="5399" width="26.1640625" style="126" bestFit="1" customWidth="1"/>
    <col min="5400" max="5409" width="9.1640625" style="126" bestFit="1" customWidth="1"/>
    <col min="5410" max="5410" width="10.1640625" style="126" bestFit="1" customWidth="1"/>
    <col min="5411" max="5632" width="6.1640625" style="126"/>
    <col min="5633" max="5633" width="33.5" style="126" bestFit="1" customWidth="1"/>
    <col min="5634" max="5634" width="12" style="126" bestFit="1" customWidth="1"/>
    <col min="5635" max="5635" width="9.33203125" style="126" bestFit="1" customWidth="1"/>
    <col min="5636" max="5636" width="12" style="126" bestFit="1" customWidth="1"/>
    <col min="5637" max="5644" width="10.83203125" style="126" bestFit="1" customWidth="1"/>
    <col min="5645" max="5645" width="12" style="126" bestFit="1" customWidth="1"/>
    <col min="5646" max="5646" width="7.5" style="126" customWidth="1"/>
    <col min="5647" max="5647" width="7.1640625" style="126" customWidth="1"/>
    <col min="5648" max="5648" width="6.1640625" style="126"/>
    <col min="5649" max="5649" width="7.6640625" style="126" bestFit="1" customWidth="1"/>
    <col min="5650" max="5650" width="10.1640625" style="126" bestFit="1" customWidth="1"/>
    <col min="5651" max="5651" width="6.6640625" style="126" bestFit="1" customWidth="1"/>
    <col min="5652" max="5652" width="7.1640625" style="126" bestFit="1" customWidth="1"/>
    <col min="5653" max="5653" width="17.1640625" style="126" bestFit="1" customWidth="1"/>
    <col min="5654" max="5654" width="6.1640625" style="126"/>
    <col min="5655" max="5655" width="26.1640625" style="126" bestFit="1" customWidth="1"/>
    <col min="5656" max="5665" width="9.1640625" style="126" bestFit="1" customWidth="1"/>
    <col min="5666" max="5666" width="10.1640625" style="126" bestFit="1" customWidth="1"/>
    <col min="5667" max="5888" width="6.1640625" style="126"/>
    <col min="5889" max="5889" width="33.5" style="126" bestFit="1" customWidth="1"/>
    <col min="5890" max="5890" width="12" style="126" bestFit="1" customWidth="1"/>
    <col min="5891" max="5891" width="9.33203125" style="126" bestFit="1" customWidth="1"/>
    <col min="5892" max="5892" width="12" style="126" bestFit="1" customWidth="1"/>
    <col min="5893" max="5900" width="10.83203125" style="126" bestFit="1" customWidth="1"/>
    <col min="5901" max="5901" width="12" style="126" bestFit="1" customWidth="1"/>
    <col min="5902" max="5902" width="7.5" style="126" customWidth="1"/>
    <col min="5903" max="5903" width="7.1640625" style="126" customWidth="1"/>
    <col min="5904" max="5904" width="6.1640625" style="126"/>
    <col min="5905" max="5905" width="7.6640625" style="126" bestFit="1" customWidth="1"/>
    <col min="5906" max="5906" width="10.1640625" style="126" bestFit="1" customWidth="1"/>
    <col min="5907" max="5907" width="6.6640625" style="126" bestFit="1" customWidth="1"/>
    <col min="5908" max="5908" width="7.1640625" style="126" bestFit="1" customWidth="1"/>
    <col min="5909" max="5909" width="17.1640625" style="126" bestFit="1" customWidth="1"/>
    <col min="5910" max="5910" width="6.1640625" style="126"/>
    <col min="5911" max="5911" width="26.1640625" style="126" bestFit="1" customWidth="1"/>
    <col min="5912" max="5921" width="9.1640625" style="126" bestFit="1" customWidth="1"/>
    <col min="5922" max="5922" width="10.1640625" style="126" bestFit="1" customWidth="1"/>
    <col min="5923" max="6144" width="6.1640625" style="126"/>
    <col min="6145" max="6145" width="33.5" style="126" bestFit="1" customWidth="1"/>
    <col min="6146" max="6146" width="12" style="126" bestFit="1" customWidth="1"/>
    <col min="6147" max="6147" width="9.33203125" style="126" bestFit="1" customWidth="1"/>
    <col min="6148" max="6148" width="12" style="126" bestFit="1" customWidth="1"/>
    <col min="6149" max="6156" width="10.83203125" style="126" bestFit="1" customWidth="1"/>
    <col min="6157" max="6157" width="12" style="126" bestFit="1" customWidth="1"/>
    <col min="6158" max="6158" width="7.5" style="126" customWidth="1"/>
    <col min="6159" max="6159" width="7.1640625" style="126" customWidth="1"/>
    <col min="6160" max="6160" width="6.1640625" style="126"/>
    <col min="6161" max="6161" width="7.6640625" style="126" bestFit="1" customWidth="1"/>
    <col min="6162" max="6162" width="10.1640625" style="126" bestFit="1" customWidth="1"/>
    <col min="6163" max="6163" width="6.6640625" style="126" bestFit="1" customWidth="1"/>
    <col min="6164" max="6164" width="7.1640625" style="126" bestFit="1" customWidth="1"/>
    <col min="6165" max="6165" width="17.1640625" style="126" bestFit="1" customWidth="1"/>
    <col min="6166" max="6166" width="6.1640625" style="126"/>
    <col min="6167" max="6167" width="26.1640625" style="126" bestFit="1" customWidth="1"/>
    <col min="6168" max="6177" width="9.1640625" style="126" bestFit="1" customWidth="1"/>
    <col min="6178" max="6178" width="10.1640625" style="126" bestFit="1" customWidth="1"/>
    <col min="6179" max="6400" width="6.1640625" style="126"/>
    <col min="6401" max="6401" width="33.5" style="126" bestFit="1" customWidth="1"/>
    <col min="6402" max="6402" width="12" style="126" bestFit="1" customWidth="1"/>
    <col min="6403" max="6403" width="9.33203125" style="126" bestFit="1" customWidth="1"/>
    <col min="6404" max="6404" width="12" style="126" bestFit="1" customWidth="1"/>
    <col min="6405" max="6412" width="10.83203125" style="126" bestFit="1" customWidth="1"/>
    <col min="6413" max="6413" width="12" style="126" bestFit="1" customWidth="1"/>
    <col min="6414" max="6414" width="7.5" style="126" customWidth="1"/>
    <col min="6415" max="6415" width="7.1640625" style="126" customWidth="1"/>
    <col min="6416" max="6416" width="6.1640625" style="126"/>
    <col min="6417" max="6417" width="7.6640625" style="126" bestFit="1" customWidth="1"/>
    <col min="6418" max="6418" width="10.1640625" style="126" bestFit="1" customWidth="1"/>
    <col min="6419" max="6419" width="6.6640625" style="126" bestFit="1" customWidth="1"/>
    <col min="6420" max="6420" width="7.1640625" style="126" bestFit="1" customWidth="1"/>
    <col min="6421" max="6421" width="17.1640625" style="126" bestFit="1" customWidth="1"/>
    <col min="6422" max="6422" width="6.1640625" style="126"/>
    <col min="6423" max="6423" width="26.1640625" style="126" bestFit="1" customWidth="1"/>
    <col min="6424" max="6433" width="9.1640625" style="126" bestFit="1" customWidth="1"/>
    <col min="6434" max="6434" width="10.1640625" style="126" bestFit="1" customWidth="1"/>
    <col min="6435" max="6656" width="6.1640625" style="126"/>
    <col min="6657" max="6657" width="33.5" style="126" bestFit="1" customWidth="1"/>
    <col min="6658" max="6658" width="12" style="126" bestFit="1" customWidth="1"/>
    <col min="6659" max="6659" width="9.33203125" style="126" bestFit="1" customWidth="1"/>
    <col min="6660" max="6660" width="12" style="126" bestFit="1" customWidth="1"/>
    <col min="6661" max="6668" width="10.83203125" style="126" bestFit="1" customWidth="1"/>
    <col min="6669" max="6669" width="12" style="126" bestFit="1" customWidth="1"/>
    <col min="6670" max="6670" width="7.5" style="126" customWidth="1"/>
    <col min="6671" max="6671" width="7.1640625" style="126" customWidth="1"/>
    <col min="6672" max="6672" width="6.1640625" style="126"/>
    <col min="6673" max="6673" width="7.6640625" style="126" bestFit="1" customWidth="1"/>
    <col min="6674" max="6674" width="10.1640625" style="126" bestFit="1" customWidth="1"/>
    <col min="6675" max="6675" width="6.6640625" style="126" bestFit="1" customWidth="1"/>
    <col min="6676" max="6676" width="7.1640625" style="126" bestFit="1" customWidth="1"/>
    <col min="6677" max="6677" width="17.1640625" style="126" bestFit="1" customWidth="1"/>
    <col min="6678" max="6678" width="6.1640625" style="126"/>
    <col min="6679" max="6679" width="26.1640625" style="126" bestFit="1" customWidth="1"/>
    <col min="6680" max="6689" width="9.1640625" style="126" bestFit="1" customWidth="1"/>
    <col min="6690" max="6690" width="10.1640625" style="126" bestFit="1" customWidth="1"/>
    <col min="6691" max="6912" width="6.1640625" style="126"/>
    <col min="6913" max="6913" width="33.5" style="126" bestFit="1" customWidth="1"/>
    <col min="6914" max="6914" width="12" style="126" bestFit="1" customWidth="1"/>
    <col min="6915" max="6915" width="9.33203125" style="126" bestFit="1" customWidth="1"/>
    <col min="6916" max="6916" width="12" style="126" bestFit="1" customWidth="1"/>
    <col min="6917" max="6924" width="10.83203125" style="126" bestFit="1" customWidth="1"/>
    <col min="6925" max="6925" width="12" style="126" bestFit="1" customWidth="1"/>
    <col min="6926" max="6926" width="7.5" style="126" customWidth="1"/>
    <col min="6927" max="6927" width="7.1640625" style="126" customWidth="1"/>
    <col min="6928" max="6928" width="6.1640625" style="126"/>
    <col min="6929" max="6929" width="7.6640625" style="126" bestFit="1" customWidth="1"/>
    <col min="6930" max="6930" width="10.1640625" style="126" bestFit="1" customWidth="1"/>
    <col min="6931" max="6931" width="6.6640625" style="126" bestFit="1" customWidth="1"/>
    <col min="6932" max="6932" width="7.1640625" style="126" bestFit="1" customWidth="1"/>
    <col min="6933" max="6933" width="17.1640625" style="126" bestFit="1" customWidth="1"/>
    <col min="6934" max="6934" width="6.1640625" style="126"/>
    <col min="6935" max="6935" width="26.1640625" style="126" bestFit="1" customWidth="1"/>
    <col min="6936" max="6945" width="9.1640625" style="126" bestFit="1" customWidth="1"/>
    <col min="6946" max="6946" width="10.1640625" style="126" bestFit="1" customWidth="1"/>
    <col min="6947" max="7168" width="6.1640625" style="126"/>
    <col min="7169" max="7169" width="33.5" style="126" bestFit="1" customWidth="1"/>
    <col min="7170" max="7170" width="12" style="126" bestFit="1" customWidth="1"/>
    <col min="7171" max="7171" width="9.33203125" style="126" bestFit="1" customWidth="1"/>
    <col min="7172" max="7172" width="12" style="126" bestFit="1" customWidth="1"/>
    <col min="7173" max="7180" width="10.83203125" style="126" bestFit="1" customWidth="1"/>
    <col min="7181" max="7181" width="12" style="126" bestFit="1" customWidth="1"/>
    <col min="7182" max="7182" width="7.5" style="126" customWidth="1"/>
    <col min="7183" max="7183" width="7.1640625" style="126" customWidth="1"/>
    <col min="7184" max="7184" width="6.1640625" style="126"/>
    <col min="7185" max="7185" width="7.6640625" style="126" bestFit="1" customWidth="1"/>
    <col min="7186" max="7186" width="10.1640625" style="126" bestFit="1" customWidth="1"/>
    <col min="7187" max="7187" width="6.6640625" style="126" bestFit="1" customWidth="1"/>
    <col min="7188" max="7188" width="7.1640625" style="126" bestFit="1" customWidth="1"/>
    <col min="7189" max="7189" width="17.1640625" style="126" bestFit="1" customWidth="1"/>
    <col min="7190" max="7190" width="6.1640625" style="126"/>
    <col min="7191" max="7191" width="26.1640625" style="126" bestFit="1" customWidth="1"/>
    <col min="7192" max="7201" width="9.1640625" style="126" bestFit="1" customWidth="1"/>
    <col min="7202" max="7202" width="10.1640625" style="126" bestFit="1" customWidth="1"/>
    <col min="7203" max="7424" width="6.1640625" style="126"/>
    <col min="7425" max="7425" width="33.5" style="126" bestFit="1" customWidth="1"/>
    <col min="7426" max="7426" width="12" style="126" bestFit="1" customWidth="1"/>
    <col min="7427" max="7427" width="9.33203125" style="126" bestFit="1" customWidth="1"/>
    <col min="7428" max="7428" width="12" style="126" bestFit="1" customWidth="1"/>
    <col min="7429" max="7436" width="10.83203125" style="126" bestFit="1" customWidth="1"/>
    <col min="7437" max="7437" width="12" style="126" bestFit="1" customWidth="1"/>
    <col min="7438" max="7438" width="7.5" style="126" customWidth="1"/>
    <col min="7439" max="7439" width="7.1640625" style="126" customWidth="1"/>
    <col min="7440" max="7440" width="6.1640625" style="126"/>
    <col min="7441" max="7441" width="7.6640625" style="126" bestFit="1" customWidth="1"/>
    <col min="7442" max="7442" width="10.1640625" style="126" bestFit="1" customWidth="1"/>
    <col min="7443" max="7443" width="6.6640625" style="126" bestFit="1" customWidth="1"/>
    <col min="7444" max="7444" width="7.1640625" style="126" bestFit="1" customWidth="1"/>
    <col min="7445" max="7445" width="17.1640625" style="126" bestFit="1" customWidth="1"/>
    <col min="7446" max="7446" width="6.1640625" style="126"/>
    <col min="7447" max="7447" width="26.1640625" style="126" bestFit="1" customWidth="1"/>
    <col min="7448" max="7457" width="9.1640625" style="126" bestFit="1" customWidth="1"/>
    <col min="7458" max="7458" width="10.1640625" style="126" bestFit="1" customWidth="1"/>
    <col min="7459" max="7680" width="6.1640625" style="126"/>
    <col min="7681" max="7681" width="33.5" style="126" bestFit="1" customWidth="1"/>
    <col min="7682" max="7682" width="12" style="126" bestFit="1" customWidth="1"/>
    <col min="7683" max="7683" width="9.33203125" style="126" bestFit="1" customWidth="1"/>
    <col min="7684" max="7684" width="12" style="126" bestFit="1" customWidth="1"/>
    <col min="7685" max="7692" width="10.83203125" style="126" bestFit="1" customWidth="1"/>
    <col min="7693" max="7693" width="12" style="126" bestFit="1" customWidth="1"/>
    <col min="7694" max="7694" width="7.5" style="126" customWidth="1"/>
    <col min="7695" max="7695" width="7.1640625" style="126" customWidth="1"/>
    <col min="7696" max="7696" width="6.1640625" style="126"/>
    <col min="7697" max="7697" width="7.6640625" style="126" bestFit="1" customWidth="1"/>
    <col min="7698" max="7698" width="10.1640625" style="126" bestFit="1" customWidth="1"/>
    <col min="7699" max="7699" width="6.6640625" style="126" bestFit="1" customWidth="1"/>
    <col min="7700" max="7700" width="7.1640625" style="126" bestFit="1" customWidth="1"/>
    <col min="7701" max="7701" width="17.1640625" style="126" bestFit="1" customWidth="1"/>
    <col min="7702" max="7702" width="6.1640625" style="126"/>
    <col min="7703" max="7703" width="26.1640625" style="126" bestFit="1" customWidth="1"/>
    <col min="7704" max="7713" width="9.1640625" style="126" bestFit="1" customWidth="1"/>
    <col min="7714" max="7714" width="10.1640625" style="126" bestFit="1" customWidth="1"/>
    <col min="7715" max="7936" width="6.1640625" style="126"/>
    <col min="7937" max="7937" width="33.5" style="126" bestFit="1" customWidth="1"/>
    <col min="7938" max="7938" width="12" style="126" bestFit="1" customWidth="1"/>
    <col min="7939" max="7939" width="9.33203125" style="126" bestFit="1" customWidth="1"/>
    <col min="7940" max="7940" width="12" style="126" bestFit="1" customWidth="1"/>
    <col min="7941" max="7948" width="10.83203125" style="126" bestFit="1" customWidth="1"/>
    <col min="7949" max="7949" width="12" style="126" bestFit="1" customWidth="1"/>
    <col min="7950" max="7950" width="7.5" style="126" customWidth="1"/>
    <col min="7951" max="7951" width="7.1640625" style="126" customWidth="1"/>
    <col min="7952" max="7952" width="6.1640625" style="126"/>
    <col min="7953" max="7953" width="7.6640625" style="126" bestFit="1" customWidth="1"/>
    <col min="7954" max="7954" width="10.1640625" style="126" bestFit="1" customWidth="1"/>
    <col min="7955" max="7955" width="6.6640625" style="126" bestFit="1" customWidth="1"/>
    <col min="7956" max="7956" width="7.1640625" style="126" bestFit="1" customWidth="1"/>
    <col min="7957" max="7957" width="17.1640625" style="126" bestFit="1" customWidth="1"/>
    <col min="7958" max="7958" width="6.1640625" style="126"/>
    <col min="7959" max="7959" width="26.1640625" style="126" bestFit="1" customWidth="1"/>
    <col min="7960" max="7969" width="9.1640625" style="126" bestFit="1" customWidth="1"/>
    <col min="7970" max="7970" width="10.1640625" style="126" bestFit="1" customWidth="1"/>
    <col min="7971" max="8192" width="6.1640625" style="126"/>
    <col min="8193" max="8193" width="33.5" style="126" bestFit="1" customWidth="1"/>
    <col min="8194" max="8194" width="12" style="126" bestFit="1" customWidth="1"/>
    <col min="8195" max="8195" width="9.33203125" style="126" bestFit="1" customWidth="1"/>
    <col min="8196" max="8196" width="12" style="126" bestFit="1" customWidth="1"/>
    <col min="8197" max="8204" width="10.83203125" style="126" bestFit="1" customWidth="1"/>
    <col min="8205" max="8205" width="12" style="126" bestFit="1" customWidth="1"/>
    <col min="8206" max="8206" width="7.5" style="126" customWidth="1"/>
    <col min="8207" max="8207" width="7.1640625" style="126" customWidth="1"/>
    <col min="8208" max="8208" width="6.1640625" style="126"/>
    <col min="8209" max="8209" width="7.6640625" style="126" bestFit="1" customWidth="1"/>
    <col min="8210" max="8210" width="10.1640625" style="126" bestFit="1" customWidth="1"/>
    <col min="8211" max="8211" width="6.6640625" style="126" bestFit="1" customWidth="1"/>
    <col min="8212" max="8212" width="7.1640625" style="126" bestFit="1" customWidth="1"/>
    <col min="8213" max="8213" width="17.1640625" style="126" bestFit="1" customWidth="1"/>
    <col min="8214" max="8214" width="6.1640625" style="126"/>
    <col min="8215" max="8215" width="26.1640625" style="126" bestFit="1" customWidth="1"/>
    <col min="8216" max="8225" width="9.1640625" style="126" bestFit="1" customWidth="1"/>
    <col min="8226" max="8226" width="10.1640625" style="126" bestFit="1" customWidth="1"/>
    <col min="8227" max="8448" width="6.1640625" style="126"/>
    <col min="8449" max="8449" width="33.5" style="126" bestFit="1" customWidth="1"/>
    <col min="8450" max="8450" width="12" style="126" bestFit="1" customWidth="1"/>
    <col min="8451" max="8451" width="9.33203125" style="126" bestFit="1" customWidth="1"/>
    <col min="8452" max="8452" width="12" style="126" bestFit="1" customWidth="1"/>
    <col min="8453" max="8460" width="10.83203125" style="126" bestFit="1" customWidth="1"/>
    <col min="8461" max="8461" width="12" style="126" bestFit="1" customWidth="1"/>
    <col min="8462" max="8462" width="7.5" style="126" customWidth="1"/>
    <col min="8463" max="8463" width="7.1640625" style="126" customWidth="1"/>
    <col min="8464" max="8464" width="6.1640625" style="126"/>
    <col min="8465" max="8465" width="7.6640625" style="126" bestFit="1" customWidth="1"/>
    <col min="8466" max="8466" width="10.1640625" style="126" bestFit="1" customWidth="1"/>
    <col min="8467" max="8467" width="6.6640625" style="126" bestFit="1" customWidth="1"/>
    <col min="8468" max="8468" width="7.1640625" style="126" bestFit="1" customWidth="1"/>
    <col min="8469" max="8469" width="17.1640625" style="126" bestFit="1" customWidth="1"/>
    <col min="8470" max="8470" width="6.1640625" style="126"/>
    <col min="8471" max="8471" width="26.1640625" style="126" bestFit="1" customWidth="1"/>
    <col min="8472" max="8481" width="9.1640625" style="126" bestFit="1" customWidth="1"/>
    <col min="8482" max="8482" width="10.1640625" style="126" bestFit="1" customWidth="1"/>
    <col min="8483" max="8704" width="6.1640625" style="126"/>
    <col min="8705" max="8705" width="33.5" style="126" bestFit="1" customWidth="1"/>
    <col min="8706" max="8706" width="12" style="126" bestFit="1" customWidth="1"/>
    <col min="8707" max="8707" width="9.33203125" style="126" bestFit="1" customWidth="1"/>
    <col min="8708" max="8708" width="12" style="126" bestFit="1" customWidth="1"/>
    <col min="8709" max="8716" width="10.83203125" style="126" bestFit="1" customWidth="1"/>
    <col min="8717" max="8717" width="12" style="126" bestFit="1" customWidth="1"/>
    <col min="8718" max="8718" width="7.5" style="126" customWidth="1"/>
    <col min="8719" max="8719" width="7.1640625" style="126" customWidth="1"/>
    <col min="8720" max="8720" width="6.1640625" style="126"/>
    <col min="8721" max="8721" width="7.6640625" style="126" bestFit="1" customWidth="1"/>
    <col min="8722" max="8722" width="10.1640625" style="126" bestFit="1" customWidth="1"/>
    <col min="8723" max="8723" width="6.6640625" style="126" bestFit="1" customWidth="1"/>
    <col min="8724" max="8724" width="7.1640625" style="126" bestFit="1" customWidth="1"/>
    <col min="8725" max="8725" width="17.1640625" style="126" bestFit="1" customWidth="1"/>
    <col min="8726" max="8726" width="6.1640625" style="126"/>
    <col min="8727" max="8727" width="26.1640625" style="126" bestFit="1" customWidth="1"/>
    <col min="8728" max="8737" width="9.1640625" style="126" bestFit="1" customWidth="1"/>
    <col min="8738" max="8738" width="10.1640625" style="126" bestFit="1" customWidth="1"/>
    <col min="8739" max="8960" width="6.1640625" style="126"/>
    <col min="8961" max="8961" width="33.5" style="126" bestFit="1" customWidth="1"/>
    <col min="8962" max="8962" width="12" style="126" bestFit="1" customWidth="1"/>
    <col min="8963" max="8963" width="9.33203125" style="126" bestFit="1" customWidth="1"/>
    <col min="8964" max="8964" width="12" style="126" bestFit="1" customWidth="1"/>
    <col min="8965" max="8972" width="10.83203125" style="126" bestFit="1" customWidth="1"/>
    <col min="8973" max="8973" width="12" style="126" bestFit="1" customWidth="1"/>
    <col min="8974" max="8974" width="7.5" style="126" customWidth="1"/>
    <col min="8975" max="8975" width="7.1640625" style="126" customWidth="1"/>
    <col min="8976" max="8976" width="6.1640625" style="126"/>
    <col min="8977" max="8977" width="7.6640625" style="126" bestFit="1" customWidth="1"/>
    <col min="8978" max="8978" width="10.1640625" style="126" bestFit="1" customWidth="1"/>
    <col min="8979" max="8979" width="6.6640625" style="126" bestFit="1" customWidth="1"/>
    <col min="8980" max="8980" width="7.1640625" style="126" bestFit="1" customWidth="1"/>
    <col min="8981" max="8981" width="17.1640625" style="126" bestFit="1" customWidth="1"/>
    <col min="8982" max="8982" width="6.1640625" style="126"/>
    <col min="8983" max="8983" width="26.1640625" style="126" bestFit="1" customWidth="1"/>
    <col min="8984" max="8993" width="9.1640625" style="126" bestFit="1" customWidth="1"/>
    <col min="8994" max="8994" width="10.1640625" style="126" bestFit="1" customWidth="1"/>
    <col min="8995" max="9216" width="6.1640625" style="126"/>
    <col min="9217" max="9217" width="33.5" style="126" bestFit="1" customWidth="1"/>
    <col min="9218" max="9218" width="12" style="126" bestFit="1" customWidth="1"/>
    <col min="9219" max="9219" width="9.33203125" style="126" bestFit="1" customWidth="1"/>
    <col min="9220" max="9220" width="12" style="126" bestFit="1" customWidth="1"/>
    <col min="9221" max="9228" width="10.83203125" style="126" bestFit="1" customWidth="1"/>
    <col min="9229" max="9229" width="12" style="126" bestFit="1" customWidth="1"/>
    <col min="9230" max="9230" width="7.5" style="126" customWidth="1"/>
    <col min="9231" max="9231" width="7.1640625" style="126" customWidth="1"/>
    <col min="9232" max="9232" width="6.1640625" style="126"/>
    <col min="9233" max="9233" width="7.6640625" style="126" bestFit="1" customWidth="1"/>
    <col min="9234" max="9234" width="10.1640625" style="126" bestFit="1" customWidth="1"/>
    <col min="9235" max="9235" width="6.6640625" style="126" bestFit="1" customWidth="1"/>
    <col min="9236" max="9236" width="7.1640625" style="126" bestFit="1" customWidth="1"/>
    <col min="9237" max="9237" width="17.1640625" style="126" bestFit="1" customWidth="1"/>
    <col min="9238" max="9238" width="6.1640625" style="126"/>
    <col min="9239" max="9239" width="26.1640625" style="126" bestFit="1" customWidth="1"/>
    <col min="9240" max="9249" width="9.1640625" style="126" bestFit="1" customWidth="1"/>
    <col min="9250" max="9250" width="10.1640625" style="126" bestFit="1" customWidth="1"/>
    <col min="9251" max="9472" width="6.1640625" style="126"/>
    <col min="9473" max="9473" width="33.5" style="126" bestFit="1" customWidth="1"/>
    <col min="9474" max="9474" width="12" style="126" bestFit="1" customWidth="1"/>
    <col min="9475" max="9475" width="9.33203125" style="126" bestFit="1" customWidth="1"/>
    <col min="9476" max="9476" width="12" style="126" bestFit="1" customWidth="1"/>
    <col min="9477" max="9484" width="10.83203125" style="126" bestFit="1" customWidth="1"/>
    <col min="9485" max="9485" width="12" style="126" bestFit="1" customWidth="1"/>
    <col min="9486" max="9486" width="7.5" style="126" customWidth="1"/>
    <col min="9487" max="9487" width="7.1640625" style="126" customWidth="1"/>
    <col min="9488" max="9488" width="6.1640625" style="126"/>
    <col min="9489" max="9489" width="7.6640625" style="126" bestFit="1" customWidth="1"/>
    <col min="9490" max="9490" width="10.1640625" style="126" bestFit="1" customWidth="1"/>
    <col min="9491" max="9491" width="6.6640625" style="126" bestFit="1" customWidth="1"/>
    <col min="9492" max="9492" width="7.1640625" style="126" bestFit="1" customWidth="1"/>
    <col min="9493" max="9493" width="17.1640625" style="126" bestFit="1" customWidth="1"/>
    <col min="9494" max="9494" width="6.1640625" style="126"/>
    <col min="9495" max="9495" width="26.1640625" style="126" bestFit="1" customWidth="1"/>
    <col min="9496" max="9505" width="9.1640625" style="126" bestFit="1" customWidth="1"/>
    <col min="9506" max="9506" width="10.1640625" style="126" bestFit="1" customWidth="1"/>
    <col min="9507" max="9728" width="6.1640625" style="126"/>
    <col min="9729" max="9729" width="33.5" style="126" bestFit="1" customWidth="1"/>
    <col min="9730" max="9730" width="12" style="126" bestFit="1" customWidth="1"/>
    <col min="9731" max="9731" width="9.33203125" style="126" bestFit="1" customWidth="1"/>
    <col min="9732" max="9732" width="12" style="126" bestFit="1" customWidth="1"/>
    <col min="9733" max="9740" width="10.83203125" style="126" bestFit="1" customWidth="1"/>
    <col min="9741" max="9741" width="12" style="126" bestFit="1" customWidth="1"/>
    <col min="9742" max="9742" width="7.5" style="126" customWidth="1"/>
    <col min="9743" max="9743" width="7.1640625" style="126" customWidth="1"/>
    <col min="9744" max="9744" width="6.1640625" style="126"/>
    <col min="9745" max="9745" width="7.6640625" style="126" bestFit="1" customWidth="1"/>
    <col min="9746" max="9746" width="10.1640625" style="126" bestFit="1" customWidth="1"/>
    <col min="9747" max="9747" width="6.6640625" style="126" bestFit="1" customWidth="1"/>
    <col min="9748" max="9748" width="7.1640625" style="126" bestFit="1" customWidth="1"/>
    <col min="9749" max="9749" width="17.1640625" style="126" bestFit="1" customWidth="1"/>
    <col min="9750" max="9750" width="6.1640625" style="126"/>
    <col min="9751" max="9751" width="26.1640625" style="126" bestFit="1" customWidth="1"/>
    <col min="9752" max="9761" width="9.1640625" style="126" bestFit="1" customWidth="1"/>
    <col min="9762" max="9762" width="10.1640625" style="126" bestFit="1" customWidth="1"/>
    <col min="9763" max="9984" width="6.1640625" style="126"/>
    <col min="9985" max="9985" width="33.5" style="126" bestFit="1" customWidth="1"/>
    <col min="9986" max="9986" width="12" style="126" bestFit="1" customWidth="1"/>
    <col min="9987" max="9987" width="9.33203125" style="126" bestFit="1" customWidth="1"/>
    <col min="9988" max="9988" width="12" style="126" bestFit="1" customWidth="1"/>
    <col min="9989" max="9996" width="10.83203125" style="126" bestFit="1" customWidth="1"/>
    <col min="9997" max="9997" width="12" style="126" bestFit="1" customWidth="1"/>
    <col min="9998" max="9998" width="7.5" style="126" customWidth="1"/>
    <col min="9999" max="9999" width="7.1640625" style="126" customWidth="1"/>
    <col min="10000" max="10000" width="6.1640625" style="126"/>
    <col min="10001" max="10001" width="7.6640625" style="126" bestFit="1" customWidth="1"/>
    <col min="10002" max="10002" width="10.1640625" style="126" bestFit="1" customWidth="1"/>
    <col min="10003" max="10003" width="6.6640625" style="126" bestFit="1" customWidth="1"/>
    <col min="10004" max="10004" width="7.1640625" style="126" bestFit="1" customWidth="1"/>
    <col min="10005" max="10005" width="17.1640625" style="126" bestFit="1" customWidth="1"/>
    <col min="10006" max="10006" width="6.1640625" style="126"/>
    <col min="10007" max="10007" width="26.1640625" style="126" bestFit="1" customWidth="1"/>
    <col min="10008" max="10017" width="9.1640625" style="126" bestFit="1" customWidth="1"/>
    <col min="10018" max="10018" width="10.1640625" style="126" bestFit="1" customWidth="1"/>
    <col min="10019" max="10240" width="6.1640625" style="126"/>
    <col min="10241" max="10241" width="33.5" style="126" bestFit="1" customWidth="1"/>
    <col min="10242" max="10242" width="12" style="126" bestFit="1" customWidth="1"/>
    <col min="10243" max="10243" width="9.33203125" style="126" bestFit="1" customWidth="1"/>
    <col min="10244" max="10244" width="12" style="126" bestFit="1" customWidth="1"/>
    <col min="10245" max="10252" width="10.83203125" style="126" bestFit="1" customWidth="1"/>
    <col min="10253" max="10253" width="12" style="126" bestFit="1" customWidth="1"/>
    <col min="10254" max="10254" width="7.5" style="126" customWidth="1"/>
    <col min="10255" max="10255" width="7.1640625" style="126" customWidth="1"/>
    <col min="10256" max="10256" width="6.1640625" style="126"/>
    <col min="10257" max="10257" width="7.6640625" style="126" bestFit="1" customWidth="1"/>
    <col min="10258" max="10258" width="10.1640625" style="126" bestFit="1" customWidth="1"/>
    <col min="10259" max="10259" width="6.6640625" style="126" bestFit="1" customWidth="1"/>
    <col min="10260" max="10260" width="7.1640625" style="126" bestFit="1" customWidth="1"/>
    <col min="10261" max="10261" width="17.1640625" style="126" bestFit="1" customWidth="1"/>
    <col min="10262" max="10262" width="6.1640625" style="126"/>
    <col min="10263" max="10263" width="26.1640625" style="126" bestFit="1" customWidth="1"/>
    <col min="10264" max="10273" width="9.1640625" style="126" bestFit="1" customWidth="1"/>
    <col min="10274" max="10274" width="10.1640625" style="126" bestFit="1" customWidth="1"/>
    <col min="10275" max="10496" width="6.1640625" style="126"/>
    <col min="10497" max="10497" width="33.5" style="126" bestFit="1" customWidth="1"/>
    <col min="10498" max="10498" width="12" style="126" bestFit="1" customWidth="1"/>
    <col min="10499" max="10499" width="9.33203125" style="126" bestFit="1" customWidth="1"/>
    <col min="10500" max="10500" width="12" style="126" bestFit="1" customWidth="1"/>
    <col min="10501" max="10508" width="10.83203125" style="126" bestFit="1" customWidth="1"/>
    <col min="10509" max="10509" width="12" style="126" bestFit="1" customWidth="1"/>
    <col min="10510" max="10510" width="7.5" style="126" customWidth="1"/>
    <col min="10511" max="10511" width="7.1640625" style="126" customWidth="1"/>
    <col min="10512" max="10512" width="6.1640625" style="126"/>
    <col min="10513" max="10513" width="7.6640625" style="126" bestFit="1" customWidth="1"/>
    <col min="10514" max="10514" width="10.1640625" style="126" bestFit="1" customWidth="1"/>
    <col min="10515" max="10515" width="6.6640625" style="126" bestFit="1" customWidth="1"/>
    <col min="10516" max="10516" width="7.1640625" style="126" bestFit="1" customWidth="1"/>
    <col min="10517" max="10517" width="17.1640625" style="126" bestFit="1" customWidth="1"/>
    <col min="10518" max="10518" width="6.1640625" style="126"/>
    <col min="10519" max="10519" width="26.1640625" style="126" bestFit="1" customWidth="1"/>
    <col min="10520" max="10529" width="9.1640625" style="126" bestFit="1" customWidth="1"/>
    <col min="10530" max="10530" width="10.1640625" style="126" bestFit="1" customWidth="1"/>
    <col min="10531" max="10752" width="6.1640625" style="126"/>
    <col min="10753" max="10753" width="33.5" style="126" bestFit="1" customWidth="1"/>
    <col min="10754" max="10754" width="12" style="126" bestFit="1" customWidth="1"/>
    <col min="10755" max="10755" width="9.33203125" style="126" bestFit="1" customWidth="1"/>
    <col min="10756" max="10756" width="12" style="126" bestFit="1" customWidth="1"/>
    <col min="10757" max="10764" width="10.83203125" style="126" bestFit="1" customWidth="1"/>
    <col min="10765" max="10765" width="12" style="126" bestFit="1" customWidth="1"/>
    <col min="10766" max="10766" width="7.5" style="126" customWidth="1"/>
    <col min="10767" max="10767" width="7.1640625" style="126" customWidth="1"/>
    <col min="10768" max="10768" width="6.1640625" style="126"/>
    <col min="10769" max="10769" width="7.6640625" style="126" bestFit="1" customWidth="1"/>
    <col min="10770" max="10770" width="10.1640625" style="126" bestFit="1" customWidth="1"/>
    <col min="10771" max="10771" width="6.6640625" style="126" bestFit="1" customWidth="1"/>
    <col min="10772" max="10772" width="7.1640625" style="126" bestFit="1" customWidth="1"/>
    <col min="10773" max="10773" width="17.1640625" style="126" bestFit="1" customWidth="1"/>
    <col min="10774" max="10774" width="6.1640625" style="126"/>
    <col min="10775" max="10775" width="26.1640625" style="126" bestFit="1" customWidth="1"/>
    <col min="10776" max="10785" width="9.1640625" style="126" bestFit="1" customWidth="1"/>
    <col min="10786" max="10786" width="10.1640625" style="126" bestFit="1" customWidth="1"/>
    <col min="10787" max="11008" width="6.1640625" style="126"/>
    <col min="11009" max="11009" width="33.5" style="126" bestFit="1" customWidth="1"/>
    <col min="11010" max="11010" width="12" style="126" bestFit="1" customWidth="1"/>
    <col min="11011" max="11011" width="9.33203125" style="126" bestFit="1" customWidth="1"/>
    <col min="11012" max="11012" width="12" style="126" bestFit="1" customWidth="1"/>
    <col min="11013" max="11020" width="10.83203125" style="126" bestFit="1" customWidth="1"/>
    <col min="11021" max="11021" width="12" style="126" bestFit="1" customWidth="1"/>
    <col min="11022" max="11022" width="7.5" style="126" customWidth="1"/>
    <col min="11023" max="11023" width="7.1640625" style="126" customWidth="1"/>
    <col min="11024" max="11024" width="6.1640625" style="126"/>
    <col min="11025" max="11025" width="7.6640625" style="126" bestFit="1" customWidth="1"/>
    <col min="11026" max="11026" width="10.1640625" style="126" bestFit="1" customWidth="1"/>
    <col min="11027" max="11027" width="6.6640625" style="126" bestFit="1" customWidth="1"/>
    <col min="11028" max="11028" width="7.1640625" style="126" bestFit="1" customWidth="1"/>
    <col min="11029" max="11029" width="17.1640625" style="126" bestFit="1" customWidth="1"/>
    <col min="11030" max="11030" width="6.1640625" style="126"/>
    <col min="11031" max="11031" width="26.1640625" style="126" bestFit="1" customWidth="1"/>
    <col min="11032" max="11041" width="9.1640625" style="126" bestFit="1" customWidth="1"/>
    <col min="11042" max="11042" width="10.1640625" style="126" bestFit="1" customWidth="1"/>
    <col min="11043" max="11264" width="6.1640625" style="126"/>
    <col min="11265" max="11265" width="33.5" style="126" bestFit="1" customWidth="1"/>
    <col min="11266" max="11266" width="12" style="126" bestFit="1" customWidth="1"/>
    <col min="11267" max="11267" width="9.33203125" style="126" bestFit="1" customWidth="1"/>
    <col min="11268" max="11268" width="12" style="126" bestFit="1" customWidth="1"/>
    <col min="11269" max="11276" width="10.83203125" style="126" bestFit="1" customWidth="1"/>
    <col min="11277" max="11277" width="12" style="126" bestFit="1" customWidth="1"/>
    <col min="11278" max="11278" width="7.5" style="126" customWidth="1"/>
    <col min="11279" max="11279" width="7.1640625" style="126" customWidth="1"/>
    <col min="11280" max="11280" width="6.1640625" style="126"/>
    <col min="11281" max="11281" width="7.6640625" style="126" bestFit="1" customWidth="1"/>
    <col min="11282" max="11282" width="10.1640625" style="126" bestFit="1" customWidth="1"/>
    <col min="11283" max="11283" width="6.6640625" style="126" bestFit="1" customWidth="1"/>
    <col min="11284" max="11284" width="7.1640625" style="126" bestFit="1" customWidth="1"/>
    <col min="11285" max="11285" width="17.1640625" style="126" bestFit="1" customWidth="1"/>
    <col min="11286" max="11286" width="6.1640625" style="126"/>
    <col min="11287" max="11287" width="26.1640625" style="126" bestFit="1" customWidth="1"/>
    <col min="11288" max="11297" width="9.1640625" style="126" bestFit="1" customWidth="1"/>
    <col min="11298" max="11298" width="10.1640625" style="126" bestFit="1" customWidth="1"/>
    <col min="11299" max="11520" width="6.1640625" style="126"/>
    <col min="11521" max="11521" width="33.5" style="126" bestFit="1" customWidth="1"/>
    <col min="11522" max="11522" width="12" style="126" bestFit="1" customWidth="1"/>
    <col min="11523" max="11523" width="9.33203125" style="126" bestFit="1" customWidth="1"/>
    <col min="11524" max="11524" width="12" style="126" bestFit="1" customWidth="1"/>
    <col min="11525" max="11532" width="10.83203125" style="126" bestFit="1" customWidth="1"/>
    <col min="11533" max="11533" width="12" style="126" bestFit="1" customWidth="1"/>
    <col min="11534" max="11534" width="7.5" style="126" customWidth="1"/>
    <col min="11535" max="11535" width="7.1640625" style="126" customWidth="1"/>
    <col min="11536" max="11536" width="6.1640625" style="126"/>
    <col min="11537" max="11537" width="7.6640625" style="126" bestFit="1" customWidth="1"/>
    <col min="11538" max="11538" width="10.1640625" style="126" bestFit="1" customWidth="1"/>
    <col min="11539" max="11539" width="6.6640625" style="126" bestFit="1" customWidth="1"/>
    <col min="11540" max="11540" width="7.1640625" style="126" bestFit="1" customWidth="1"/>
    <col min="11541" max="11541" width="17.1640625" style="126" bestFit="1" customWidth="1"/>
    <col min="11542" max="11542" width="6.1640625" style="126"/>
    <col min="11543" max="11543" width="26.1640625" style="126" bestFit="1" customWidth="1"/>
    <col min="11544" max="11553" width="9.1640625" style="126" bestFit="1" customWidth="1"/>
    <col min="11554" max="11554" width="10.1640625" style="126" bestFit="1" customWidth="1"/>
    <col min="11555" max="11776" width="6.1640625" style="126"/>
    <col min="11777" max="11777" width="33.5" style="126" bestFit="1" customWidth="1"/>
    <col min="11778" max="11778" width="12" style="126" bestFit="1" customWidth="1"/>
    <col min="11779" max="11779" width="9.33203125" style="126" bestFit="1" customWidth="1"/>
    <col min="11780" max="11780" width="12" style="126" bestFit="1" customWidth="1"/>
    <col min="11781" max="11788" width="10.83203125" style="126" bestFit="1" customWidth="1"/>
    <col min="11789" max="11789" width="12" style="126" bestFit="1" customWidth="1"/>
    <col min="11790" max="11790" width="7.5" style="126" customWidth="1"/>
    <col min="11791" max="11791" width="7.1640625" style="126" customWidth="1"/>
    <col min="11792" max="11792" width="6.1640625" style="126"/>
    <col min="11793" max="11793" width="7.6640625" style="126" bestFit="1" customWidth="1"/>
    <col min="11794" max="11794" width="10.1640625" style="126" bestFit="1" customWidth="1"/>
    <col min="11795" max="11795" width="6.6640625" style="126" bestFit="1" customWidth="1"/>
    <col min="11796" max="11796" width="7.1640625" style="126" bestFit="1" customWidth="1"/>
    <col min="11797" max="11797" width="17.1640625" style="126" bestFit="1" customWidth="1"/>
    <col min="11798" max="11798" width="6.1640625" style="126"/>
    <col min="11799" max="11799" width="26.1640625" style="126" bestFit="1" customWidth="1"/>
    <col min="11800" max="11809" width="9.1640625" style="126" bestFit="1" customWidth="1"/>
    <col min="11810" max="11810" width="10.1640625" style="126" bestFit="1" customWidth="1"/>
    <col min="11811" max="12032" width="6.1640625" style="126"/>
    <col min="12033" max="12033" width="33.5" style="126" bestFit="1" customWidth="1"/>
    <col min="12034" max="12034" width="12" style="126" bestFit="1" customWidth="1"/>
    <col min="12035" max="12035" width="9.33203125" style="126" bestFit="1" customWidth="1"/>
    <col min="12036" max="12036" width="12" style="126" bestFit="1" customWidth="1"/>
    <col min="12037" max="12044" width="10.83203125" style="126" bestFit="1" customWidth="1"/>
    <col min="12045" max="12045" width="12" style="126" bestFit="1" customWidth="1"/>
    <col min="12046" max="12046" width="7.5" style="126" customWidth="1"/>
    <col min="12047" max="12047" width="7.1640625" style="126" customWidth="1"/>
    <col min="12048" max="12048" width="6.1640625" style="126"/>
    <col min="12049" max="12049" width="7.6640625" style="126" bestFit="1" customWidth="1"/>
    <col min="12050" max="12050" width="10.1640625" style="126" bestFit="1" customWidth="1"/>
    <col min="12051" max="12051" width="6.6640625" style="126" bestFit="1" customWidth="1"/>
    <col min="12052" max="12052" width="7.1640625" style="126" bestFit="1" customWidth="1"/>
    <col min="12053" max="12053" width="17.1640625" style="126" bestFit="1" customWidth="1"/>
    <col min="12054" max="12054" width="6.1640625" style="126"/>
    <col min="12055" max="12055" width="26.1640625" style="126" bestFit="1" customWidth="1"/>
    <col min="12056" max="12065" width="9.1640625" style="126" bestFit="1" customWidth="1"/>
    <col min="12066" max="12066" width="10.1640625" style="126" bestFit="1" customWidth="1"/>
    <col min="12067" max="12288" width="6.1640625" style="126"/>
    <col min="12289" max="12289" width="33.5" style="126" bestFit="1" customWidth="1"/>
    <col min="12290" max="12290" width="12" style="126" bestFit="1" customWidth="1"/>
    <col min="12291" max="12291" width="9.33203125" style="126" bestFit="1" customWidth="1"/>
    <col min="12292" max="12292" width="12" style="126" bestFit="1" customWidth="1"/>
    <col min="12293" max="12300" width="10.83203125" style="126" bestFit="1" customWidth="1"/>
    <col min="12301" max="12301" width="12" style="126" bestFit="1" customWidth="1"/>
    <col min="12302" max="12302" width="7.5" style="126" customWidth="1"/>
    <col min="12303" max="12303" width="7.1640625" style="126" customWidth="1"/>
    <col min="12304" max="12304" width="6.1640625" style="126"/>
    <col min="12305" max="12305" width="7.6640625" style="126" bestFit="1" customWidth="1"/>
    <col min="12306" max="12306" width="10.1640625" style="126" bestFit="1" customWidth="1"/>
    <col min="12307" max="12307" width="6.6640625" style="126" bestFit="1" customWidth="1"/>
    <col min="12308" max="12308" width="7.1640625" style="126" bestFit="1" customWidth="1"/>
    <col min="12309" max="12309" width="17.1640625" style="126" bestFit="1" customWidth="1"/>
    <col min="12310" max="12310" width="6.1640625" style="126"/>
    <col min="12311" max="12311" width="26.1640625" style="126" bestFit="1" customWidth="1"/>
    <col min="12312" max="12321" width="9.1640625" style="126" bestFit="1" customWidth="1"/>
    <col min="12322" max="12322" width="10.1640625" style="126" bestFit="1" customWidth="1"/>
    <col min="12323" max="12544" width="6.1640625" style="126"/>
    <col min="12545" max="12545" width="33.5" style="126" bestFit="1" customWidth="1"/>
    <col min="12546" max="12546" width="12" style="126" bestFit="1" customWidth="1"/>
    <col min="12547" max="12547" width="9.33203125" style="126" bestFit="1" customWidth="1"/>
    <col min="12548" max="12548" width="12" style="126" bestFit="1" customWidth="1"/>
    <col min="12549" max="12556" width="10.83203125" style="126" bestFit="1" customWidth="1"/>
    <col min="12557" max="12557" width="12" style="126" bestFit="1" customWidth="1"/>
    <col min="12558" max="12558" width="7.5" style="126" customWidth="1"/>
    <col min="12559" max="12559" width="7.1640625" style="126" customWidth="1"/>
    <col min="12560" max="12560" width="6.1640625" style="126"/>
    <col min="12561" max="12561" width="7.6640625" style="126" bestFit="1" customWidth="1"/>
    <col min="12562" max="12562" width="10.1640625" style="126" bestFit="1" customWidth="1"/>
    <col min="12563" max="12563" width="6.6640625" style="126" bestFit="1" customWidth="1"/>
    <col min="12564" max="12564" width="7.1640625" style="126" bestFit="1" customWidth="1"/>
    <col min="12565" max="12565" width="17.1640625" style="126" bestFit="1" customWidth="1"/>
    <col min="12566" max="12566" width="6.1640625" style="126"/>
    <col min="12567" max="12567" width="26.1640625" style="126" bestFit="1" customWidth="1"/>
    <col min="12568" max="12577" width="9.1640625" style="126" bestFit="1" customWidth="1"/>
    <col min="12578" max="12578" width="10.1640625" style="126" bestFit="1" customWidth="1"/>
    <col min="12579" max="12800" width="6.1640625" style="126"/>
    <col min="12801" max="12801" width="33.5" style="126" bestFit="1" customWidth="1"/>
    <col min="12802" max="12802" width="12" style="126" bestFit="1" customWidth="1"/>
    <col min="12803" max="12803" width="9.33203125" style="126" bestFit="1" customWidth="1"/>
    <col min="12804" max="12804" width="12" style="126" bestFit="1" customWidth="1"/>
    <col min="12805" max="12812" width="10.83203125" style="126" bestFit="1" customWidth="1"/>
    <col min="12813" max="12813" width="12" style="126" bestFit="1" customWidth="1"/>
    <col min="12814" max="12814" width="7.5" style="126" customWidth="1"/>
    <col min="12815" max="12815" width="7.1640625" style="126" customWidth="1"/>
    <col min="12816" max="12816" width="6.1640625" style="126"/>
    <col min="12817" max="12817" width="7.6640625" style="126" bestFit="1" customWidth="1"/>
    <col min="12818" max="12818" width="10.1640625" style="126" bestFit="1" customWidth="1"/>
    <col min="12819" max="12819" width="6.6640625" style="126" bestFit="1" customWidth="1"/>
    <col min="12820" max="12820" width="7.1640625" style="126" bestFit="1" customWidth="1"/>
    <col min="12821" max="12821" width="17.1640625" style="126" bestFit="1" customWidth="1"/>
    <col min="12822" max="12822" width="6.1640625" style="126"/>
    <col min="12823" max="12823" width="26.1640625" style="126" bestFit="1" customWidth="1"/>
    <col min="12824" max="12833" width="9.1640625" style="126" bestFit="1" customWidth="1"/>
    <col min="12834" max="12834" width="10.1640625" style="126" bestFit="1" customWidth="1"/>
    <col min="12835" max="13056" width="6.1640625" style="126"/>
    <col min="13057" max="13057" width="33.5" style="126" bestFit="1" customWidth="1"/>
    <col min="13058" max="13058" width="12" style="126" bestFit="1" customWidth="1"/>
    <col min="13059" max="13059" width="9.33203125" style="126" bestFit="1" customWidth="1"/>
    <col min="13060" max="13060" width="12" style="126" bestFit="1" customWidth="1"/>
    <col min="13061" max="13068" width="10.83203125" style="126" bestFit="1" customWidth="1"/>
    <col min="13069" max="13069" width="12" style="126" bestFit="1" customWidth="1"/>
    <col min="13070" max="13070" width="7.5" style="126" customWidth="1"/>
    <col min="13071" max="13071" width="7.1640625" style="126" customWidth="1"/>
    <col min="13072" max="13072" width="6.1640625" style="126"/>
    <col min="13073" max="13073" width="7.6640625" style="126" bestFit="1" customWidth="1"/>
    <col min="13074" max="13074" width="10.1640625" style="126" bestFit="1" customWidth="1"/>
    <col min="13075" max="13075" width="6.6640625" style="126" bestFit="1" customWidth="1"/>
    <col min="13076" max="13076" width="7.1640625" style="126" bestFit="1" customWidth="1"/>
    <col min="13077" max="13077" width="17.1640625" style="126" bestFit="1" customWidth="1"/>
    <col min="13078" max="13078" width="6.1640625" style="126"/>
    <col min="13079" max="13079" width="26.1640625" style="126" bestFit="1" customWidth="1"/>
    <col min="13080" max="13089" width="9.1640625" style="126" bestFit="1" customWidth="1"/>
    <col min="13090" max="13090" width="10.1640625" style="126" bestFit="1" customWidth="1"/>
    <col min="13091" max="13312" width="6.1640625" style="126"/>
    <col min="13313" max="13313" width="33.5" style="126" bestFit="1" customWidth="1"/>
    <col min="13314" max="13314" width="12" style="126" bestFit="1" customWidth="1"/>
    <col min="13315" max="13315" width="9.33203125" style="126" bestFit="1" customWidth="1"/>
    <col min="13316" max="13316" width="12" style="126" bestFit="1" customWidth="1"/>
    <col min="13317" max="13324" width="10.83203125" style="126" bestFit="1" customWidth="1"/>
    <col min="13325" max="13325" width="12" style="126" bestFit="1" customWidth="1"/>
    <col min="13326" max="13326" width="7.5" style="126" customWidth="1"/>
    <col min="13327" max="13327" width="7.1640625" style="126" customWidth="1"/>
    <col min="13328" max="13328" width="6.1640625" style="126"/>
    <col min="13329" max="13329" width="7.6640625" style="126" bestFit="1" customWidth="1"/>
    <col min="13330" max="13330" width="10.1640625" style="126" bestFit="1" customWidth="1"/>
    <col min="13331" max="13331" width="6.6640625" style="126" bestFit="1" customWidth="1"/>
    <col min="13332" max="13332" width="7.1640625" style="126" bestFit="1" customWidth="1"/>
    <col min="13333" max="13333" width="17.1640625" style="126" bestFit="1" customWidth="1"/>
    <col min="13334" max="13334" width="6.1640625" style="126"/>
    <col min="13335" max="13335" width="26.1640625" style="126" bestFit="1" customWidth="1"/>
    <col min="13336" max="13345" width="9.1640625" style="126" bestFit="1" customWidth="1"/>
    <col min="13346" max="13346" width="10.1640625" style="126" bestFit="1" customWidth="1"/>
    <col min="13347" max="13568" width="6.1640625" style="126"/>
    <col min="13569" max="13569" width="33.5" style="126" bestFit="1" customWidth="1"/>
    <col min="13570" max="13570" width="12" style="126" bestFit="1" customWidth="1"/>
    <col min="13571" max="13571" width="9.33203125" style="126" bestFit="1" customWidth="1"/>
    <col min="13572" max="13572" width="12" style="126" bestFit="1" customWidth="1"/>
    <col min="13573" max="13580" width="10.83203125" style="126" bestFit="1" customWidth="1"/>
    <col min="13581" max="13581" width="12" style="126" bestFit="1" customWidth="1"/>
    <col min="13582" max="13582" width="7.5" style="126" customWidth="1"/>
    <col min="13583" max="13583" width="7.1640625" style="126" customWidth="1"/>
    <col min="13584" max="13584" width="6.1640625" style="126"/>
    <col min="13585" max="13585" width="7.6640625" style="126" bestFit="1" customWidth="1"/>
    <col min="13586" max="13586" width="10.1640625" style="126" bestFit="1" customWidth="1"/>
    <col min="13587" max="13587" width="6.6640625" style="126" bestFit="1" customWidth="1"/>
    <col min="13588" max="13588" width="7.1640625" style="126" bestFit="1" customWidth="1"/>
    <col min="13589" max="13589" width="17.1640625" style="126" bestFit="1" customWidth="1"/>
    <col min="13590" max="13590" width="6.1640625" style="126"/>
    <col min="13591" max="13591" width="26.1640625" style="126" bestFit="1" customWidth="1"/>
    <col min="13592" max="13601" width="9.1640625" style="126" bestFit="1" customWidth="1"/>
    <col min="13602" max="13602" width="10.1640625" style="126" bestFit="1" customWidth="1"/>
    <col min="13603" max="13824" width="6.1640625" style="126"/>
    <col min="13825" max="13825" width="33.5" style="126" bestFit="1" customWidth="1"/>
    <col min="13826" max="13826" width="12" style="126" bestFit="1" customWidth="1"/>
    <col min="13827" max="13827" width="9.33203125" style="126" bestFit="1" customWidth="1"/>
    <col min="13828" max="13828" width="12" style="126" bestFit="1" customWidth="1"/>
    <col min="13829" max="13836" width="10.83203125" style="126" bestFit="1" customWidth="1"/>
    <col min="13837" max="13837" width="12" style="126" bestFit="1" customWidth="1"/>
    <col min="13838" max="13838" width="7.5" style="126" customWidth="1"/>
    <col min="13839" max="13839" width="7.1640625" style="126" customWidth="1"/>
    <col min="13840" max="13840" width="6.1640625" style="126"/>
    <col min="13841" max="13841" width="7.6640625" style="126" bestFit="1" customWidth="1"/>
    <col min="13842" max="13842" width="10.1640625" style="126" bestFit="1" customWidth="1"/>
    <col min="13843" max="13843" width="6.6640625" style="126" bestFit="1" customWidth="1"/>
    <col min="13844" max="13844" width="7.1640625" style="126" bestFit="1" customWidth="1"/>
    <col min="13845" max="13845" width="17.1640625" style="126" bestFit="1" customWidth="1"/>
    <col min="13846" max="13846" width="6.1640625" style="126"/>
    <col min="13847" max="13847" width="26.1640625" style="126" bestFit="1" customWidth="1"/>
    <col min="13848" max="13857" width="9.1640625" style="126" bestFit="1" customWidth="1"/>
    <col min="13858" max="13858" width="10.1640625" style="126" bestFit="1" customWidth="1"/>
    <col min="13859" max="14080" width="6.1640625" style="126"/>
    <col min="14081" max="14081" width="33.5" style="126" bestFit="1" customWidth="1"/>
    <col min="14082" max="14082" width="12" style="126" bestFit="1" customWidth="1"/>
    <col min="14083" max="14083" width="9.33203125" style="126" bestFit="1" customWidth="1"/>
    <col min="14084" max="14084" width="12" style="126" bestFit="1" customWidth="1"/>
    <col min="14085" max="14092" width="10.83203125" style="126" bestFit="1" customWidth="1"/>
    <col min="14093" max="14093" width="12" style="126" bestFit="1" customWidth="1"/>
    <col min="14094" max="14094" width="7.5" style="126" customWidth="1"/>
    <col min="14095" max="14095" width="7.1640625" style="126" customWidth="1"/>
    <col min="14096" max="14096" width="6.1640625" style="126"/>
    <col min="14097" max="14097" width="7.6640625" style="126" bestFit="1" customWidth="1"/>
    <col min="14098" max="14098" width="10.1640625" style="126" bestFit="1" customWidth="1"/>
    <col min="14099" max="14099" width="6.6640625" style="126" bestFit="1" customWidth="1"/>
    <col min="14100" max="14100" width="7.1640625" style="126" bestFit="1" customWidth="1"/>
    <col min="14101" max="14101" width="17.1640625" style="126" bestFit="1" customWidth="1"/>
    <col min="14102" max="14102" width="6.1640625" style="126"/>
    <col min="14103" max="14103" width="26.1640625" style="126" bestFit="1" customWidth="1"/>
    <col min="14104" max="14113" width="9.1640625" style="126" bestFit="1" customWidth="1"/>
    <col min="14114" max="14114" width="10.1640625" style="126" bestFit="1" customWidth="1"/>
    <col min="14115" max="14336" width="6.1640625" style="126"/>
    <col min="14337" max="14337" width="33.5" style="126" bestFit="1" customWidth="1"/>
    <col min="14338" max="14338" width="12" style="126" bestFit="1" customWidth="1"/>
    <col min="14339" max="14339" width="9.33203125" style="126" bestFit="1" customWidth="1"/>
    <col min="14340" max="14340" width="12" style="126" bestFit="1" customWidth="1"/>
    <col min="14341" max="14348" width="10.83203125" style="126" bestFit="1" customWidth="1"/>
    <col min="14349" max="14349" width="12" style="126" bestFit="1" customWidth="1"/>
    <col min="14350" max="14350" width="7.5" style="126" customWidth="1"/>
    <col min="14351" max="14351" width="7.1640625" style="126" customWidth="1"/>
    <col min="14352" max="14352" width="6.1640625" style="126"/>
    <col min="14353" max="14353" width="7.6640625" style="126" bestFit="1" customWidth="1"/>
    <col min="14354" max="14354" width="10.1640625" style="126" bestFit="1" customWidth="1"/>
    <col min="14355" max="14355" width="6.6640625" style="126" bestFit="1" customWidth="1"/>
    <col min="14356" max="14356" width="7.1640625" style="126" bestFit="1" customWidth="1"/>
    <col min="14357" max="14357" width="17.1640625" style="126" bestFit="1" customWidth="1"/>
    <col min="14358" max="14358" width="6.1640625" style="126"/>
    <col min="14359" max="14359" width="26.1640625" style="126" bestFit="1" customWidth="1"/>
    <col min="14360" max="14369" width="9.1640625" style="126" bestFit="1" customWidth="1"/>
    <col min="14370" max="14370" width="10.1640625" style="126" bestFit="1" customWidth="1"/>
    <col min="14371" max="14592" width="6.1640625" style="126"/>
    <col min="14593" max="14593" width="33.5" style="126" bestFit="1" customWidth="1"/>
    <col min="14594" max="14594" width="12" style="126" bestFit="1" customWidth="1"/>
    <col min="14595" max="14595" width="9.33203125" style="126" bestFit="1" customWidth="1"/>
    <col min="14596" max="14596" width="12" style="126" bestFit="1" customWidth="1"/>
    <col min="14597" max="14604" width="10.83203125" style="126" bestFit="1" customWidth="1"/>
    <col min="14605" max="14605" width="12" style="126" bestFit="1" customWidth="1"/>
    <col min="14606" max="14606" width="7.5" style="126" customWidth="1"/>
    <col min="14607" max="14607" width="7.1640625" style="126" customWidth="1"/>
    <col min="14608" max="14608" width="6.1640625" style="126"/>
    <col min="14609" max="14609" width="7.6640625" style="126" bestFit="1" customWidth="1"/>
    <col min="14610" max="14610" width="10.1640625" style="126" bestFit="1" customWidth="1"/>
    <col min="14611" max="14611" width="6.6640625" style="126" bestFit="1" customWidth="1"/>
    <col min="14612" max="14612" width="7.1640625" style="126" bestFit="1" customWidth="1"/>
    <col min="14613" max="14613" width="17.1640625" style="126" bestFit="1" customWidth="1"/>
    <col min="14614" max="14614" width="6.1640625" style="126"/>
    <col min="14615" max="14615" width="26.1640625" style="126" bestFit="1" customWidth="1"/>
    <col min="14616" max="14625" width="9.1640625" style="126" bestFit="1" customWidth="1"/>
    <col min="14626" max="14626" width="10.1640625" style="126" bestFit="1" customWidth="1"/>
    <col min="14627" max="14848" width="6.1640625" style="126"/>
    <col min="14849" max="14849" width="33.5" style="126" bestFit="1" customWidth="1"/>
    <col min="14850" max="14850" width="12" style="126" bestFit="1" customWidth="1"/>
    <col min="14851" max="14851" width="9.33203125" style="126" bestFit="1" customWidth="1"/>
    <col min="14852" max="14852" width="12" style="126" bestFit="1" customWidth="1"/>
    <col min="14853" max="14860" width="10.83203125" style="126" bestFit="1" customWidth="1"/>
    <col min="14861" max="14861" width="12" style="126" bestFit="1" customWidth="1"/>
    <col min="14862" max="14862" width="7.5" style="126" customWidth="1"/>
    <col min="14863" max="14863" width="7.1640625" style="126" customWidth="1"/>
    <col min="14864" max="14864" width="6.1640625" style="126"/>
    <col min="14865" max="14865" width="7.6640625" style="126" bestFit="1" customWidth="1"/>
    <col min="14866" max="14866" width="10.1640625" style="126" bestFit="1" customWidth="1"/>
    <col min="14867" max="14867" width="6.6640625" style="126" bestFit="1" customWidth="1"/>
    <col min="14868" max="14868" width="7.1640625" style="126" bestFit="1" customWidth="1"/>
    <col min="14869" max="14869" width="17.1640625" style="126" bestFit="1" customWidth="1"/>
    <col min="14870" max="14870" width="6.1640625" style="126"/>
    <col min="14871" max="14871" width="26.1640625" style="126" bestFit="1" customWidth="1"/>
    <col min="14872" max="14881" width="9.1640625" style="126" bestFit="1" customWidth="1"/>
    <col min="14882" max="14882" width="10.1640625" style="126" bestFit="1" customWidth="1"/>
    <col min="14883" max="15104" width="6.1640625" style="126"/>
    <col min="15105" max="15105" width="33.5" style="126" bestFit="1" customWidth="1"/>
    <col min="15106" max="15106" width="12" style="126" bestFit="1" customWidth="1"/>
    <col min="15107" max="15107" width="9.33203125" style="126" bestFit="1" customWidth="1"/>
    <col min="15108" max="15108" width="12" style="126" bestFit="1" customWidth="1"/>
    <col min="15109" max="15116" width="10.83203125" style="126" bestFit="1" customWidth="1"/>
    <col min="15117" max="15117" width="12" style="126" bestFit="1" customWidth="1"/>
    <col min="15118" max="15118" width="7.5" style="126" customWidth="1"/>
    <col min="15119" max="15119" width="7.1640625" style="126" customWidth="1"/>
    <col min="15120" max="15120" width="6.1640625" style="126"/>
    <col min="15121" max="15121" width="7.6640625" style="126" bestFit="1" customWidth="1"/>
    <col min="15122" max="15122" width="10.1640625" style="126" bestFit="1" customWidth="1"/>
    <col min="15123" max="15123" width="6.6640625" style="126" bestFit="1" customWidth="1"/>
    <col min="15124" max="15124" width="7.1640625" style="126" bestFit="1" customWidth="1"/>
    <col min="15125" max="15125" width="17.1640625" style="126" bestFit="1" customWidth="1"/>
    <col min="15126" max="15126" width="6.1640625" style="126"/>
    <col min="15127" max="15127" width="26.1640625" style="126" bestFit="1" customWidth="1"/>
    <col min="15128" max="15137" width="9.1640625" style="126" bestFit="1" customWidth="1"/>
    <col min="15138" max="15138" width="10.1640625" style="126" bestFit="1" customWidth="1"/>
    <col min="15139" max="15360" width="6.1640625" style="126"/>
    <col min="15361" max="15361" width="33.5" style="126" bestFit="1" customWidth="1"/>
    <col min="15362" max="15362" width="12" style="126" bestFit="1" customWidth="1"/>
    <col min="15363" max="15363" width="9.33203125" style="126" bestFit="1" customWidth="1"/>
    <col min="15364" max="15364" width="12" style="126" bestFit="1" customWidth="1"/>
    <col min="15365" max="15372" width="10.83203125" style="126" bestFit="1" customWidth="1"/>
    <col min="15373" max="15373" width="12" style="126" bestFit="1" customWidth="1"/>
    <col min="15374" max="15374" width="7.5" style="126" customWidth="1"/>
    <col min="15375" max="15375" width="7.1640625" style="126" customWidth="1"/>
    <col min="15376" max="15376" width="6.1640625" style="126"/>
    <col min="15377" max="15377" width="7.6640625" style="126" bestFit="1" customWidth="1"/>
    <col min="15378" max="15378" width="10.1640625" style="126" bestFit="1" customWidth="1"/>
    <col min="15379" max="15379" width="6.6640625" style="126" bestFit="1" customWidth="1"/>
    <col min="15380" max="15380" width="7.1640625" style="126" bestFit="1" customWidth="1"/>
    <col min="15381" max="15381" width="17.1640625" style="126" bestFit="1" customWidth="1"/>
    <col min="15382" max="15382" width="6.1640625" style="126"/>
    <col min="15383" max="15383" width="26.1640625" style="126" bestFit="1" customWidth="1"/>
    <col min="15384" max="15393" width="9.1640625" style="126" bestFit="1" customWidth="1"/>
    <col min="15394" max="15394" width="10.1640625" style="126" bestFit="1" customWidth="1"/>
    <col min="15395" max="15616" width="6.1640625" style="126"/>
    <col min="15617" max="15617" width="33.5" style="126" bestFit="1" customWidth="1"/>
    <col min="15618" max="15618" width="12" style="126" bestFit="1" customWidth="1"/>
    <col min="15619" max="15619" width="9.33203125" style="126" bestFit="1" customWidth="1"/>
    <col min="15620" max="15620" width="12" style="126" bestFit="1" customWidth="1"/>
    <col min="15621" max="15628" width="10.83203125" style="126" bestFit="1" customWidth="1"/>
    <col min="15629" max="15629" width="12" style="126" bestFit="1" customWidth="1"/>
    <col min="15630" max="15630" width="7.5" style="126" customWidth="1"/>
    <col min="15631" max="15631" width="7.1640625" style="126" customWidth="1"/>
    <col min="15632" max="15632" width="6.1640625" style="126"/>
    <col min="15633" max="15633" width="7.6640625" style="126" bestFit="1" customWidth="1"/>
    <col min="15634" max="15634" width="10.1640625" style="126" bestFit="1" customWidth="1"/>
    <col min="15635" max="15635" width="6.6640625" style="126" bestFit="1" customWidth="1"/>
    <col min="15636" max="15636" width="7.1640625" style="126" bestFit="1" customWidth="1"/>
    <col min="15637" max="15637" width="17.1640625" style="126" bestFit="1" customWidth="1"/>
    <col min="15638" max="15638" width="6.1640625" style="126"/>
    <col min="15639" max="15639" width="26.1640625" style="126" bestFit="1" customWidth="1"/>
    <col min="15640" max="15649" width="9.1640625" style="126" bestFit="1" customWidth="1"/>
    <col min="15650" max="15650" width="10.1640625" style="126" bestFit="1" customWidth="1"/>
    <col min="15651" max="15872" width="6.1640625" style="126"/>
    <col min="15873" max="15873" width="33.5" style="126" bestFit="1" customWidth="1"/>
    <col min="15874" max="15874" width="12" style="126" bestFit="1" customWidth="1"/>
    <col min="15875" max="15875" width="9.33203125" style="126" bestFit="1" customWidth="1"/>
    <col min="15876" max="15876" width="12" style="126" bestFit="1" customWidth="1"/>
    <col min="15877" max="15884" width="10.83203125" style="126" bestFit="1" customWidth="1"/>
    <col min="15885" max="15885" width="12" style="126" bestFit="1" customWidth="1"/>
    <col min="15886" max="15886" width="7.5" style="126" customWidth="1"/>
    <col min="15887" max="15887" width="7.1640625" style="126" customWidth="1"/>
    <col min="15888" max="15888" width="6.1640625" style="126"/>
    <col min="15889" max="15889" width="7.6640625" style="126" bestFit="1" customWidth="1"/>
    <col min="15890" max="15890" width="10.1640625" style="126" bestFit="1" customWidth="1"/>
    <col min="15891" max="15891" width="6.6640625" style="126" bestFit="1" customWidth="1"/>
    <col min="15892" max="15892" width="7.1640625" style="126" bestFit="1" customWidth="1"/>
    <col min="15893" max="15893" width="17.1640625" style="126" bestFit="1" customWidth="1"/>
    <col min="15894" max="15894" width="6.1640625" style="126"/>
    <col min="15895" max="15895" width="26.1640625" style="126" bestFit="1" customWidth="1"/>
    <col min="15896" max="15905" width="9.1640625" style="126" bestFit="1" customWidth="1"/>
    <col min="15906" max="15906" width="10.1640625" style="126" bestFit="1" customWidth="1"/>
    <col min="15907" max="16128" width="6.1640625" style="126"/>
    <col min="16129" max="16129" width="33.5" style="126" bestFit="1" customWidth="1"/>
    <col min="16130" max="16130" width="12" style="126" bestFit="1" customWidth="1"/>
    <col min="16131" max="16131" width="9.33203125" style="126" bestFit="1" customWidth="1"/>
    <col min="16132" max="16132" width="12" style="126" bestFit="1" customWidth="1"/>
    <col min="16133" max="16140" width="10.83203125" style="126" bestFit="1" customWidth="1"/>
    <col min="16141" max="16141" width="12" style="126" bestFit="1" customWidth="1"/>
    <col min="16142" max="16142" width="7.5" style="126" customWidth="1"/>
    <col min="16143" max="16143" width="7.1640625" style="126" customWidth="1"/>
    <col min="16144" max="16144" width="6.1640625" style="126"/>
    <col min="16145" max="16145" width="7.6640625" style="126" bestFit="1" customWidth="1"/>
    <col min="16146" max="16146" width="10.1640625" style="126" bestFit="1" customWidth="1"/>
    <col min="16147" max="16147" width="6.6640625" style="126" bestFit="1" customWidth="1"/>
    <col min="16148" max="16148" width="7.1640625" style="126" bestFit="1" customWidth="1"/>
    <col min="16149" max="16149" width="17.1640625" style="126" bestFit="1" customWidth="1"/>
    <col min="16150" max="16150" width="6.1640625" style="126"/>
    <col min="16151" max="16151" width="26.1640625" style="126" bestFit="1" customWidth="1"/>
    <col min="16152" max="16161" width="9.1640625" style="126" bestFit="1" customWidth="1"/>
    <col min="16162" max="16162" width="10.1640625" style="126" bestFit="1" customWidth="1"/>
    <col min="16163" max="16384" width="6.1640625" style="126"/>
  </cols>
  <sheetData>
    <row r="1" spans="1:34" ht="14" thickBot="1" x14ac:dyDescent="0.2">
      <c r="A1" s="1092" t="s">
        <v>57</v>
      </c>
      <c r="B1" s="1093"/>
      <c r="C1" s="158" t="s">
        <v>58</v>
      </c>
      <c r="D1" s="158" t="s">
        <v>59</v>
      </c>
      <c r="E1" s="159" t="s">
        <v>60</v>
      </c>
      <c r="F1" s="157"/>
      <c r="G1" s="160" t="s">
        <v>56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2"/>
      <c r="S1" s="176"/>
      <c r="T1" s="176"/>
    </row>
    <row r="2" spans="1:34" x14ac:dyDescent="0.15">
      <c r="A2" s="59" t="s">
        <v>72</v>
      </c>
      <c r="B2" s="52" t="s">
        <v>73</v>
      </c>
      <c r="C2" s="54"/>
      <c r="D2" s="54"/>
      <c r="E2" s="89"/>
      <c r="F2" s="157"/>
      <c r="G2" s="163" t="s">
        <v>128</v>
      </c>
      <c r="H2" s="168" t="s">
        <v>61</v>
      </c>
      <c r="I2" s="168" t="s">
        <v>62</v>
      </c>
      <c r="J2" s="168" t="s">
        <v>63</v>
      </c>
      <c r="K2" s="168" t="s">
        <v>64</v>
      </c>
      <c r="L2" s="168" t="s">
        <v>65</v>
      </c>
      <c r="M2" s="168" t="s">
        <v>66</v>
      </c>
      <c r="N2" s="168" t="s">
        <v>67</v>
      </c>
      <c r="O2" s="168" t="s">
        <v>68</v>
      </c>
      <c r="P2" s="168" t="s">
        <v>69</v>
      </c>
      <c r="Q2" s="168" t="s">
        <v>70</v>
      </c>
      <c r="R2" s="169" t="s">
        <v>71</v>
      </c>
      <c r="S2" s="176"/>
      <c r="T2" s="176"/>
      <c r="W2" s="127"/>
    </row>
    <row r="3" spans="1:34" x14ac:dyDescent="0.15">
      <c r="A3" s="59">
        <v>-100000</v>
      </c>
      <c r="B3" s="52">
        <v>0.19999900000000001</v>
      </c>
      <c r="C3" s="52" t="s">
        <v>75</v>
      </c>
      <c r="D3" s="62">
        <v>0.12</v>
      </c>
      <c r="E3" s="63">
        <v>0.9</v>
      </c>
      <c r="F3" s="157"/>
      <c r="G3" s="164" t="s">
        <v>74</v>
      </c>
      <c r="H3" s="130"/>
      <c r="I3" s="60">
        <f>MAX(MIN('Restructuration cap'!$X$31/H7,100000),-100000)</f>
        <v>25.854983699007029</v>
      </c>
      <c r="J3" s="60">
        <f>MAX(MIN('Restructuration cap'!$X$31/I7,100000),-100000)</f>
        <v>14.719887852714963</v>
      </c>
      <c r="K3" s="60">
        <f>MAX(MIN('Restructuration cap'!$X$31/J7,100000),-100000)</f>
        <v>14.719887852714963</v>
      </c>
      <c r="L3" s="60">
        <f>MAX(MIN('Restructuration cap'!$X$31/K7,100000),-100000)</f>
        <v>14.719887852714963</v>
      </c>
      <c r="M3" s="60">
        <f>MAX(MIN('Restructuration cap'!$X$31/L7,100000),-100000)</f>
        <v>14.719887852714963</v>
      </c>
      <c r="N3" s="60">
        <f>MAX(MIN('Restructuration cap'!$X$31/M7,100000),-100000)</f>
        <v>14.719887852714963</v>
      </c>
      <c r="O3" s="60">
        <f>MAX(MIN('Restructuration cap'!$X$31/N7,100000),-100000)</f>
        <v>14.719887852714963</v>
      </c>
      <c r="P3" s="60">
        <f>MAX(MIN('Restructuration cap'!$X$31/O7,100000),-100000)</f>
        <v>14.719887852714963</v>
      </c>
      <c r="Q3" s="60">
        <f>MAX(MIN('Restructuration cap'!$X$31/P7,100000),-100000)</f>
        <v>14.719887852714963</v>
      </c>
      <c r="R3" s="61">
        <f>MAX(MIN('Restructuration cap'!$X$31/Q7,100000),-100000)</f>
        <v>14.719887852714963</v>
      </c>
      <c r="S3" s="411"/>
      <c r="T3" s="411"/>
      <c r="U3" s="128"/>
      <c r="W3" s="127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</row>
    <row r="4" spans="1:34" x14ac:dyDescent="0.15">
      <c r="A4" s="59">
        <v>0.2</v>
      </c>
      <c r="B4" s="52">
        <v>0.64999899999999999</v>
      </c>
      <c r="C4" s="52" t="s">
        <v>77</v>
      </c>
      <c r="D4" s="62">
        <v>0.105</v>
      </c>
      <c r="E4" s="63">
        <v>0.3</v>
      </c>
      <c r="F4" s="157"/>
      <c r="G4" s="164" t="s">
        <v>76</v>
      </c>
      <c r="H4" s="130"/>
      <c r="I4" s="64" t="str">
        <f>VLOOKUP(I3,$A$2:$E$17,3)</f>
        <v>AAA</v>
      </c>
      <c r="J4" s="64" t="str">
        <f t="shared" ref="J4:R4" si="0">VLOOKUP(J3,$A$2:$E$17,3)</f>
        <v>AAA</v>
      </c>
      <c r="K4" s="64" t="str">
        <f t="shared" si="0"/>
        <v>AAA</v>
      </c>
      <c r="L4" s="64" t="str">
        <f t="shared" si="0"/>
        <v>AAA</v>
      </c>
      <c r="M4" s="64" t="str">
        <f t="shared" si="0"/>
        <v>AAA</v>
      </c>
      <c r="N4" s="64" t="str">
        <f t="shared" si="0"/>
        <v>AAA</v>
      </c>
      <c r="O4" s="64" t="str">
        <f t="shared" si="0"/>
        <v>AAA</v>
      </c>
      <c r="P4" s="64" t="str">
        <f t="shared" si="0"/>
        <v>AAA</v>
      </c>
      <c r="Q4" s="64" t="str">
        <f t="shared" si="0"/>
        <v>AAA</v>
      </c>
      <c r="R4" s="65" t="str">
        <f t="shared" si="0"/>
        <v>AAA</v>
      </c>
      <c r="S4" s="176"/>
      <c r="T4" s="176"/>
      <c r="W4" s="129"/>
      <c r="X4" s="130"/>
      <c r="Y4" s="60"/>
      <c r="Z4" s="60"/>
      <c r="AA4" s="60"/>
      <c r="AB4" s="60"/>
      <c r="AC4" s="60"/>
      <c r="AD4" s="60"/>
      <c r="AE4" s="60"/>
      <c r="AF4" s="60"/>
      <c r="AG4" s="60"/>
      <c r="AH4" s="60"/>
    </row>
    <row r="5" spans="1:34" x14ac:dyDescent="0.15">
      <c r="A5" s="59">
        <v>0.65</v>
      </c>
      <c r="B5" s="52">
        <v>0.79999900000000002</v>
      </c>
      <c r="C5" s="52" t="s">
        <v>79</v>
      </c>
      <c r="D5" s="62">
        <v>9.5000000000000001E-2</v>
      </c>
      <c r="E5" s="63">
        <v>0.2</v>
      </c>
      <c r="F5" s="157"/>
      <c r="G5" s="164" t="s">
        <v>78</v>
      </c>
      <c r="H5" s="130"/>
      <c r="I5" s="56">
        <f>VLOOKUP(I3,$A$2:$E$17,4)</f>
        <v>6.4999999999999997E-3</v>
      </c>
      <c r="J5" s="56">
        <f t="shared" ref="J5:R5" si="1">VLOOKUP(J3,$A$2:$E$17,4)</f>
        <v>6.4999999999999997E-3</v>
      </c>
      <c r="K5" s="56">
        <f t="shared" si="1"/>
        <v>6.4999999999999997E-3</v>
      </c>
      <c r="L5" s="56">
        <f t="shared" si="1"/>
        <v>6.4999999999999997E-3</v>
      </c>
      <c r="M5" s="56">
        <f t="shared" si="1"/>
        <v>6.4999999999999997E-3</v>
      </c>
      <c r="N5" s="56">
        <f t="shared" si="1"/>
        <v>6.4999999999999997E-3</v>
      </c>
      <c r="O5" s="56">
        <f t="shared" si="1"/>
        <v>6.4999999999999997E-3</v>
      </c>
      <c r="P5" s="56">
        <f t="shared" si="1"/>
        <v>6.4999999999999997E-3</v>
      </c>
      <c r="Q5" s="56">
        <f t="shared" si="1"/>
        <v>6.4999999999999997E-3</v>
      </c>
      <c r="R5" s="66">
        <f t="shared" si="1"/>
        <v>6.4999999999999997E-3</v>
      </c>
      <c r="S5" s="412"/>
      <c r="T5" s="413"/>
      <c r="U5" s="131"/>
      <c r="W5" s="129"/>
      <c r="X5" s="130"/>
      <c r="Y5" s="64"/>
      <c r="Z5" s="64"/>
      <c r="AA5" s="64"/>
      <c r="AB5" s="64"/>
      <c r="AC5" s="64"/>
      <c r="AD5" s="64"/>
      <c r="AE5" s="64"/>
      <c r="AF5" s="64"/>
      <c r="AG5" s="64"/>
      <c r="AH5" s="64"/>
    </row>
    <row r="6" spans="1:34" x14ac:dyDescent="0.15">
      <c r="A6" s="59">
        <v>0.8</v>
      </c>
      <c r="B6" s="52">
        <v>1.2499990000000001</v>
      </c>
      <c r="C6" s="52" t="s">
        <v>81</v>
      </c>
      <c r="D6" s="62">
        <v>8.7499999999999994E-2</v>
      </c>
      <c r="E6" s="63">
        <v>9.9000000000000005E-2</v>
      </c>
      <c r="F6" s="157"/>
      <c r="G6" s="164" t="s">
        <v>80</v>
      </c>
      <c r="H6" s="130"/>
      <c r="I6" s="56">
        <f>I5+(Rates!$O$21)</f>
        <v>1.5092586212404092E-2</v>
      </c>
      <c r="J6" s="56">
        <f>J5+(Rates!$O$21)</f>
        <v>1.5092586212404092E-2</v>
      </c>
      <c r="K6" s="56">
        <f>K5+(Rates!$O$21)</f>
        <v>1.5092586212404092E-2</v>
      </c>
      <c r="L6" s="56">
        <f>L5+(Rates!$O$21)</f>
        <v>1.5092586212404092E-2</v>
      </c>
      <c r="M6" s="56">
        <f>M5+(Rates!$O$21)</f>
        <v>1.5092586212404092E-2</v>
      </c>
      <c r="N6" s="56">
        <f>N5+(Rates!$O$21)</f>
        <v>1.5092586212404092E-2</v>
      </c>
      <c r="O6" s="56">
        <f>O5+(Rates!$O$21)</f>
        <v>1.5092586212404092E-2</v>
      </c>
      <c r="P6" s="56">
        <f>P5+(Rates!$O$21)</f>
        <v>1.5092586212404092E-2</v>
      </c>
      <c r="Q6" s="56">
        <f>Q5+(Rates!$O$21)</f>
        <v>1.5092586212404092E-2</v>
      </c>
      <c r="R6" s="66">
        <f>R5+(Rates!$O$21)</f>
        <v>1.5092586212404092E-2</v>
      </c>
      <c r="S6" s="412"/>
      <c r="T6" s="413"/>
      <c r="U6" s="131"/>
      <c r="W6" s="129"/>
      <c r="X6" s="130"/>
      <c r="Y6" s="56"/>
      <c r="Z6" s="56"/>
      <c r="AA6" s="56"/>
      <c r="AB6" s="56"/>
      <c r="AC6" s="56"/>
      <c r="AD6" s="56"/>
      <c r="AE6" s="56"/>
      <c r="AF6" s="56"/>
      <c r="AG6" s="56"/>
      <c r="AH6" s="56"/>
    </row>
    <row r="7" spans="1:34" x14ac:dyDescent="0.15">
      <c r="A7" s="59">
        <v>1.25</v>
      </c>
      <c r="B7" s="52">
        <v>1.4999990000000001</v>
      </c>
      <c r="C7" s="52" t="s">
        <v>82</v>
      </c>
      <c r="D7" s="62">
        <v>6.7500000000000004E-2</v>
      </c>
      <c r="E7" s="63">
        <v>7.0000000000000007E-2</v>
      </c>
      <c r="F7" s="157"/>
      <c r="G7" s="164" t="s">
        <v>145</v>
      </c>
      <c r="H7" s="150">
        <f>'Leverage and Restructuration'!$C$17*(Rates!O21)</f>
        <v>8.592584132998228</v>
      </c>
      <c r="I7" s="150">
        <f>'Leverage and Restructuration'!$C$17*I6</f>
        <v>15.092582559998229</v>
      </c>
      <c r="J7" s="150">
        <f>'Leverage and Restructuration'!$C$17*J6</f>
        <v>15.092582559998229</v>
      </c>
      <c r="K7" s="150">
        <f>'Leverage and Restructuration'!$C$17*K6</f>
        <v>15.092582559998229</v>
      </c>
      <c r="L7" s="150">
        <f>'Leverage and Restructuration'!$C$17*L6</f>
        <v>15.092582559998229</v>
      </c>
      <c r="M7" s="150">
        <f>'Leverage and Restructuration'!$C$17*M6</f>
        <v>15.092582559998229</v>
      </c>
      <c r="N7" s="150">
        <f>'Leverage and Restructuration'!$C$17*N6</f>
        <v>15.092582559998229</v>
      </c>
      <c r="O7" s="150">
        <f>'Leverage and Restructuration'!$C$17*O6</f>
        <v>15.092582559998229</v>
      </c>
      <c r="P7" s="150">
        <f>'Leverage and Restructuration'!$C$17*P6</f>
        <v>15.092582559998229</v>
      </c>
      <c r="Q7" s="150">
        <f>'Leverage and Restructuration'!$C$17*Q6</f>
        <v>15.092582559998229</v>
      </c>
      <c r="R7" s="151">
        <f>'Leverage and Restructuration'!$C$17*R6</f>
        <v>15.092582559998229</v>
      </c>
      <c r="S7" s="412"/>
      <c r="T7" s="413"/>
      <c r="U7" s="131"/>
      <c r="W7" s="129"/>
      <c r="X7" s="130"/>
      <c r="Y7" s="56"/>
      <c r="Z7" s="56"/>
      <c r="AA7" s="56"/>
      <c r="AB7" s="56"/>
      <c r="AC7" s="56"/>
      <c r="AD7" s="56"/>
      <c r="AE7" s="56"/>
      <c r="AF7" s="56"/>
      <c r="AG7" s="56"/>
      <c r="AH7" s="56"/>
    </row>
    <row r="8" spans="1:34" ht="13" customHeight="1" x14ac:dyDescent="0.15">
      <c r="A8" s="59">
        <v>1.5</v>
      </c>
      <c r="B8" s="52">
        <v>1.7499990000000001</v>
      </c>
      <c r="C8" s="52" t="s">
        <v>84</v>
      </c>
      <c r="D8" s="62">
        <v>0.06</v>
      </c>
      <c r="E8" s="63">
        <v>5.1999999999999998E-2</v>
      </c>
      <c r="F8" s="157"/>
      <c r="G8" s="164" t="s">
        <v>83</v>
      </c>
      <c r="H8" s="67"/>
      <c r="I8" s="56">
        <f>VLOOKUP(I3,$A$2:$E$17,5)</f>
        <v>1E-4</v>
      </c>
      <c r="J8" s="56">
        <f t="shared" ref="J8:R8" si="2">VLOOKUP(J3,$A$2:$E$17,5)</f>
        <v>1E-4</v>
      </c>
      <c r="K8" s="56">
        <f t="shared" si="2"/>
        <v>1E-4</v>
      </c>
      <c r="L8" s="56">
        <f t="shared" si="2"/>
        <v>1E-4</v>
      </c>
      <c r="M8" s="56">
        <f t="shared" si="2"/>
        <v>1E-4</v>
      </c>
      <c r="N8" s="56">
        <f t="shared" si="2"/>
        <v>1E-4</v>
      </c>
      <c r="O8" s="56">
        <f t="shared" si="2"/>
        <v>1E-4</v>
      </c>
      <c r="P8" s="56">
        <f t="shared" si="2"/>
        <v>1E-4</v>
      </c>
      <c r="Q8" s="56">
        <f t="shared" si="2"/>
        <v>1E-4</v>
      </c>
      <c r="R8" s="66">
        <f t="shared" si="2"/>
        <v>1E-4</v>
      </c>
      <c r="S8" s="412"/>
      <c r="T8" s="413"/>
      <c r="U8" s="131"/>
      <c r="W8" s="129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</row>
    <row r="9" spans="1:34" ht="13" customHeight="1" thickBot="1" x14ac:dyDescent="0.2">
      <c r="A9" s="59">
        <v>1.75</v>
      </c>
      <c r="B9" s="52">
        <v>1.9999990000000001</v>
      </c>
      <c r="C9" s="52" t="s">
        <v>85</v>
      </c>
      <c r="D9" s="62">
        <v>5.5E-2</v>
      </c>
      <c r="E9" s="63">
        <v>0.03</v>
      </c>
      <c r="F9" s="157"/>
      <c r="G9" s="165" t="s">
        <v>55</v>
      </c>
      <c r="H9" s="68"/>
      <c r="I9" s="69">
        <f>(1-I8+I8*$B$23)*(1+I6) -1</f>
        <v>1.503371084240368E-2</v>
      </c>
      <c r="J9" s="69">
        <f t="shared" ref="J9:R9" si="3">(1-J8+J8*$B$23)*(1+J6) -1</f>
        <v>1.503371084240368E-2</v>
      </c>
      <c r="K9" s="69">
        <f t="shared" si="3"/>
        <v>1.503371084240368E-2</v>
      </c>
      <c r="L9" s="69">
        <f t="shared" si="3"/>
        <v>1.503371084240368E-2</v>
      </c>
      <c r="M9" s="69">
        <f t="shared" si="3"/>
        <v>1.503371084240368E-2</v>
      </c>
      <c r="N9" s="69">
        <f t="shared" si="3"/>
        <v>1.503371084240368E-2</v>
      </c>
      <c r="O9" s="69">
        <f t="shared" si="3"/>
        <v>1.503371084240368E-2</v>
      </c>
      <c r="P9" s="69">
        <f t="shared" si="3"/>
        <v>1.503371084240368E-2</v>
      </c>
      <c r="Q9" s="69">
        <f t="shared" si="3"/>
        <v>1.503371084240368E-2</v>
      </c>
      <c r="R9" s="70">
        <f t="shared" si="3"/>
        <v>1.503371084240368E-2</v>
      </c>
      <c r="S9" s="412"/>
      <c r="T9" s="413"/>
      <c r="U9" s="131"/>
      <c r="W9" s="129"/>
      <c r="X9" s="67"/>
      <c r="Y9" s="56"/>
      <c r="Z9" s="56"/>
      <c r="AA9" s="56"/>
      <c r="AB9" s="56"/>
      <c r="AC9" s="56"/>
      <c r="AD9" s="56"/>
      <c r="AE9" s="56"/>
      <c r="AF9" s="56"/>
      <c r="AG9" s="56"/>
      <c r="AH9" s="56"/>
    </row>
    <row r="10" spans="1:34" x14ac:dyDescent="0.15">
      <c r="A10" s="59">
        <v>2</v>
      </c>
      <c r="B10" s="52">
        <v>2.2499999000000002</v>
      </c>
      <c r="C10" s="52" t="s">
        <v>86</v>
      </c>
      <c r="D10" s="62">
        <v>4.7500000000000001E-2</v>
      </c>
      <c r="E10" s="63">
        <v>2.1000000000000001E-2</v>
      </c>
      <c r="F10" s="157"/>
      <c r="G10" s="170"/>
      <c r="H10" s="171"/>
      <c r="I10" s="172"/>
      <c r="J10" s="172"/>
      <c r="K10" s="172"/>
      <c r="L10" s="172"/>
      <c r="M10" s="172"/>
      <c r="N10" s="172"/>
      <c r="O10" s="172"/>
      <c r="P10" s="172"/>
      <c r="Q10" s="172"/>
      <c r="R10" s="173"/>
      <c r="S10" s="412"/>
      <c r="T10" s="413"/>
      <c r="U10" s="131"/>
      <c r="W10" s="129"/>
      <c r="X10" s="130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</row>
    <row r="11" spans="1:34" ht="14" thickBot="1" x14ac:dyDescent="0.2">
      <c r="A11" s="59">
        <v>2.25</v>
      </c>
      <c r="B11" s="52">
        <v>2.4999899999999999</v>
      </c>
      <c r="C11" s="52" t="s">
        <v>87</v>
      </c>
      <c r="D11" s="62">
        <v>3.7499999999999999E-2</v>
      </c>
      <c r="E11" s="63">
        <v>0.01</v>
      </c>
      <c r="F11" s="157"/>
      <c r="G11" s="174"/>
      <c r="H11" s="175"/>
      <c r="I11" s="176"/>
      <c r="J11" s="176"/>
      <c r="K11" s="176"/>
      <c r="L11" s="176"/>
      <c r="M11" s="176"/>
      <c r="N11" s="176"/>
      <c r="O11" s="176"/>
      <c r="P11" s="176"/>
      <c r="Q11" s="176"/>
      <c r="R11" s="177"/>
      <c r="S11" s="412"/>
      <c r="T11" s="413"/>
      <c r="U11" s="131"/>
      <c r="W11" s="129"/>
      <c r="X11" s="130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</row>
    <row r="12" spans="1:34" x14ac:dyDescent="0.15">
      <c r="A12" s="59">
        <v>2.5</v>
      </c>
      <c r="B12" s="52">
        <v>2.9999989999999999</v>
      </c>
      <c r="C12" s="52" t="s">
        <v>88</v>
      </c>
      <c r="D12" s="62">
        <v>2.5000000000000001E-2</v>
      </c>
      <c r="E12" s="63">
        <v>4.0000000000000001E-3</v>
      </c>
      <c r="F12" s="157"/>
      <c r="G12" s="160" t="s">
        <v>129</v>
      </c>
      <c r="H12" s="166" t="s">
        <v>61</v>
      </c>
      <c r="I12" s="166" t="s">
        <v>62</v>
      </c>
      <c r="J12" s="166" t="s">
        <v>63</v>
      </c>
      <c r="K12" s="166" t="s">
        <v>64</v>
      </c>
      <c r="L12" s="166" t="s">
        <v>65</v>
      </c>
      <c r="M12" s="166" t="s">
        <v>66</v>
      </c>
      <c r="N12" s="166" t="s">
        <v>67</v>
      </c>
      <c r="O12" s="166" t="s">
        <v>68</v>
      </c>
      <c r="P12" s="166" t="s">
        <v>69</v>
      </c>
      <c r="Q12" s="166" t="s">
        <v>70</v>
      </c>
      <c r="R12" s="167" t="s">
        <v>71</v>
      </c>
      <c r="S12" s="412"/>
      <c r="T12" s="413"/>
      <c r="U12" s="131"/>
      <c r="X12" s="133"/>
    </row>
    <row r="13" spans="1:34" x14ac:dyDescent="0.15">
      <c r="A13" s="59">
        <v>3</v>
      </c>
      <c r="B13" s="52">
        <v>4.2499989999999999</v>
      </c>
      <c r="C13" s="52" t="s">
        <v>89</v>
      </c>
      <c r="D13" s="62">
        <v>1.6500000000000001E-2</v>
      </c>
      <c r="E13" s="63">
        <v>3.0000000000000001E-3</v>
      </c>
      <c r="F13" s="157"/>
      <c r="G13" s="164" t="s">
        <v>74</v>
      </c>
      <c r="H13" s="130"/>
      <c r="I13" s="60">
        <f>MAX(MIN('Restructuration cap'!$Y$31/H17,100000),-100000)</f>
        <v>26.197617946398999</v>
      </c>
      <c r="J13" s="60">
        <f>MAX(MIN('Restructuration cap'!$Y$31/I17,100000),-100000)</f>
        <v>14.691005730707847</v>
      </c>
      <c r="K13" s="60">
        <f>MAX(MIN('Restructuration cap'!$Y$31/J17,100000),-100000)</f>
        <v>14.691005730707847</v>
      </c>
      <c r="L13" s="60">
        <f>MAX(MIN('Restructuration cap'!$Y$31/K17,100000),-100000)</f>
        <v>14.691005730707847</v>
      </c>
      <c r="M13" s="60">
        <f>MAX(MIN('Restructuration cap'!$Y$31/L17,100000),-100000)</f>
        <v>14.691005730707847</v>
      </c>
      <c r="N13" s="60">
        <f>MAX(MIN('Restructuration cap'!$Y$31/M17,100000),-100000)</f>
        <v>14.691005730707847</v>
      </c>
      <c r="O13" s="60">
        <f>MAX(MIN('Restructuration cap'!$Y$31/N17,100000),-100000)</f>
        <v>14.691005730707847</v>
      </c>
      <c r="P13" s="60">
        <f>MAX(MIN('Restructuration cap'!$Y$31/O17,100000),-100000)</f>
        <v>14.691005730707847</v>
      </c>
      <c r="Q13" s="60">
        <f>MAX(MIN('Restructuration cap'!$Y$31/P17,100000),-100000)</f>
        <v>14.691005730707847</v>
      </c>
      <c r="R13" s="61">
        <f>MAX(MIN('Restructuration cap'!$Y$31/Q17,100000),-100000)</f>
        <v>14.691005730707847</v>
      </c>
      <c r="S13" s="412"/>
      <c r="T13" s="413"/>
      <c r="U13" s="131"/>
      <c r="W13" s="127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</row>
    <row r="14" spans="1:34" x14ac:dyDescent="0.15">
      <c r="A14" s="59">
        <v>4.25</v>
      </c>
      <c r="B14" s="52">
        <v>5.4999989999999999</v>
      </c>
      <c r="C14" s="52" t="s">
        <v>90</v>
      </c>
      <c r="D14" s="62">
        <v>1.4E-2</v>
      </c>
      <c r="E14" s="63">
        <v>2E-3</v>
      </c>
      <c r="F14" s="157"/>
      <c r="G14" s="164" t="s">
        <v>76</v>
      </c>
      <c r="H14" s="130"/>
      <c r="I14" s="64" t="str">
        <f>VLOOKUP(I13,$A$2:$E$17,3)</f>
        <v>AAA</v>
      </c>
      <c r="J14" s="64" t="str">
        <f t="shared" ref="J14:R14" si="4">VLOOKUP(J13,$A$2:$E$17,3)</f>
        <v>AAA</v>
      </c>
      <c r="K14" s="64" t="str">
        <f t="shared" si="4"/>
        <v>AAA</v>
      </c>
      <c r="L14" s="64" t="str">
        <f t="shared" si="4"/>
        <v>AAA</v>
      </c>
      <c r="M14" s="64" t="str">
        <f t="shared" si="4"/>
        <v>AAA</v>
      </c>
      <c r="N14" s="64" t="str">
        <f t="shared" si="4"/>
        <v>AAA</v>
      </c>
      <c r="O14" s="64" t="str">
        <f t="shared" si="4"/>
        <v>AAA</v>
      </c>
      <c r="P14" s="64" t="str">
        <f t="shared" si="4"/>
        <v>AAA</v>
      </c>
      <c r="Q14" s="64" t="str">
        <f t="shared" si="4"/>
        <v>AAA</v>
      </c>
      <c r="R14" s="65" t="str">
        <f t="shared" si="4"/>
        <v>AAA</v>
      </c>
      <c r="S14" s="412"/>
      <c r="T14" s="413"/>
      <c r="U14" s="131"/>
      <c r="W14" s="129"/>
      <c r="X14" s="130"/>
      <c r="Y14" s="60"/>
      <c r="Z14" s="60"/>
      <c r="AA14" s="60"/>
      <c r="AB14" s="60"/>
      <c r="AC14" s="60"/>
      <c r="AD14" s="60"/>
      <c r="AE14" s="60"/>
      <c r="AF14" s="60"/>
      <c r="AG14" s="60"/>
      <c r="AH14" s="60"/>
    </row>
    <row r="15" spans="1:34" x14ac:dyDescent="0.15">
      <c r="A15" s="59">
        <v>5.5</v>
      </c>
      <c r="B15" s="52">
        <v>6.4999989999999999</v>
      </c>
      <c r="C15" s="52" t="s">
        <v>91</v>
      </c>
      <c r="D15" s="62">
        <v>1.2999999999999999E-2</v>
      </c>
      <c r="E15" s="63">
        <v>1.5E-3</v>
      </c>
      <c r="F15" s="157"/>
      <c r="G15" s="164" t="s">
        <v>78</v>
      </c>
      <c r="H15" s="130"/>
      <c r="I15" s="56">
        <f>VLOOKUP(I13,$A$2:$E$17,4)</f>
        <v>6.4999999999999997E-3</v>
      </c>
      <c r="J15" s="56">
        <f t="shared" ref="J15:R15" si="5">VLOOKUP(J13,$A$2:$E$17,4)</f>
        <v>6.4999999999999997E-3</v>
      </c>
      <c r="K15" s="56">
        <f t="shared" si="5"/>
        <v>6.4999999999999997E-3</v>
      </c>
      <c r="L15" s="56">
        <f t="shared" si="5"/>
        <v>6.4999999999999997E-3</v>
      </c>
      <c r="M15" s="56">
        <f t="shared" si="5"/>
        <v>6.4999999999999997E-3</v>
      </c>
      <c r="N15" s="56">
        <f t="shared" si="5"/>
        <v>6.4999999999999997E-3</v>
      </c>
      <c r="O15" s="56">
        <f t="shared" si="5"/>
        <v>6.4999999999999997E-3</v>
      </c>
      <c r="P15" s="56">
        <f t="shared" si="5"/>
        <v>6.4999999999999997E-3</v>
      </c>
      <c r="Q15" s="56">
        <f t="shared" si="5"/>
        <v>6.4999999999999997E-3</v>
      </c>
      <c r="R15" s="66">
        <f t="shared" si="5"/>
        <v>6.4999999999999997E-3</v>
      </c>
      <c r="S15" s="412"/>
      <c r="T15" s="413"/>
      <c r="U15" s="131"/>
      <c r="W15" s="129"/>
      <c r="X15" s="130"/>
      <c r="Y15" s="64"/>
      <c r="Z15" s="64"/>
      <c r="AA15" s="64"/>
      <c r="AB15" s="64"/>
      <c r="AC15" s="64"/>
      <c r="AD15" s="64"/>
      <c r="AE15" s="64"/>
      <c r="AF15" s="64"/>
      <c r="AG15" s="64"/>
      <c r="AH15" s="64"/>
    </row>
    <row r="16" spans="1:34" x14ac:dyDescent="0.15">
      <c r="A16" s="59">
        <v>6.5</v>
      </c>
      <c r="B16" s="52">
        <v>8.4999990000000007</v>
      </c>
      <c r="C16" s="52" t="s">
        <v>92</v>
      </c>
      <c r="D16" s="62">
        <v>1.15E-2</v>
      </c>
      <c r="E16" s="66">
        <v>5.0000000000000001E-4</v>
      </c>
      <c r="F16" s="157"/>
      <c r="G16" s="164" t="s">
        <v>80</v>
      </c>
      <c r="H16" s="130"/>
      <c r="I16" s="56">
        <f>I15+Rates!$H$4</f>
        <v>1.4798840306739683E-2</v>
      </c>
      <c r="J16" s="56">
        <f>J15+Rates!$H$4</f>
        <v>1.4798840306739683E-2</v>
      </c>
      <c r="K16" s="56">
        <f>K15+Rates!$H$4</f>
        <v>1.4798840306739683E-2</v>
      </c>
      <c r="L16" s="56">
        <f>L15+Rates!$H$4</f>
        <v>1.4798840306739683E-2</v>
      </c>
      <c r="M16" s="56">
        <f>M15+Rates!$H$4</f>
        <v>1.4798840306739683E-2</v>
      </c>
      <c r="N16" s="56">
        <f>N15+Rates!$H$4</f>
        <v>1.4798840306739683E-2</v>
      </c>
      <c r="O16" s="56">
        <f>O15+Rates!$H$4</f>
        <v>1.4798840306739683E-2</v>
      </c>
      <c r="P16" s="56">
        <f>P15+Rates!$H$4</f>
        <v>1.4798840306739683E-2</v>
      </c>
      <c r="Q16" s="56">
        <f>Q15+Rates!$H$4</f>
        <v>1.4798840306739683E-2</v>
      </c>
      <c r="R16" s="66">
        <f>R15+Rates!$H$4</f>
        <v>1.4798840306739683E-2</v>
      </c>
      <c r="S16" s="412"/>
      <c r="T16" s="413"/>
      <c r="U16" s="131"/>
      <c r="W16" s="129"/>
      <c r="X16" s="130"/>
      <c r="Y16" s="56"/>
      <c r="Z16" s="56"/>
      <c r="AA16" s="56"/>
      <c r="AB16" s="56"/>
      <c r="AC16" s="56"/>
      <c r="AD16" s="56"/>
      <c r="AE16" s="56"/>
      <c r="AF16" s="56"/>
      <c r="AG16" s="56"/>
      <c r="AH16" s="56"/>
    </row>
    <row r="17" spans="1:35" ht="14" thickBot="1" x14ac:dyDescent="0.2">
      <c r="A17" s="71">
        <v>8.5</v>
      </c>
      <c r="B17" s="72">
        <v>100000</v>
      </c>
      <c r="C17" s="72" t="s">
        <v>93</v>
      </c>
      <c r="D17" s="73">
        <v>6.4999999999999997E-3</v>
      </c>
      <c r="E17" s="74">
        <v>1E-4</v>
      </c>
      <c r="F17" s="157"/>
      <c r="G17" s="164" t="s">
        <v>146</v>
      </c>
      <c r="H17" s="150">
        <f>'Leverage and Restructuration'!D17*Rates!$H$4</f>
        <v>8.947625925439997</v>
      </c>
      <c r="I17" s="150">
        <f>I16*'Leverage and Restructuration'!$D$17</f>
        <v>15.955782049148898</v>
      </c>
      <c r="J17" s="150">
        <f>J16*'Leverage and Restructuration'!$D$17</f>
        <v>15.955782049148898</v>
      </c>
      <c r="K17" s="150">
        <f>K16*'Leverage and Restructuration'!$D$17</f>
        <v>15.955782049148898</v>
      </c>
      <c r="L17" s="150">
        <f>L16*'Leverage and Restructuration'!$D$17</f>
        <v>15.955782049148898</v>
      </c>
      <c r="M17" s="150">
        <f>M16*'Leverage and Restructuration'!$D$17</f>
        <v>15.955782049148898</v>
      </c>
      <c r="N17" s="150">
        <f>N16*'Leverage and Restructuration'!$D$17</f>
        <v>15.955782049148898</v>
      </c>
      <c r="O17" s="150">
        <f>O16*'Leverage and Restructuration'!$D$17</f>
        <v>15.955782049148898</v>
      </c>
      <c r="P17" s="150">
        <f>P16*'Leverage and Restructuration'!$D$17</f>
        <v>15.955782049148898</v>
      </c>
      <c r="Q17" s="150">
        <f>Q16*'Leverage and Restructuration'!$D$17</f>
        <v>15.955782049148898</v>
      </c>
      <c r="R17" s="151">
        <f>R16*'Leverage and Restructuration'!$D$17</f>
        <v>15.955782049148898</v>
      </c>
      <c r="S17" s="412"/>
      <c r="T17" s="413"/>
      <c r="U17" s="131"/>
      <c r="W17" s="129"/>
      <c r="X17" s="130"/>
      <c r="Y17" s="56"/>
      <c r="Z17" s="56"/>
      <c r="AA17" s="56"/>
      <c r="AB17" s="56"/>
      <c r="AC17" s="56"/>
      <c r="AD17" s="56"/>
      <c r="AE17" s="56"/>
      <c r="AF17" s="56"/>
      <c r="AG17" s="56"/>
      <c r="AH17" s="56"/>
    </row>
    <row r="18" spans="1:35" x14ac:dyDescent="0.15">
      <c r="A18" s="50"/>
      <c r="B18" s="50"/>
      <c r="C18" s="50"/>
      <c r="D18" s="50"/>
      <c r="E18" s="50"/>
      <c r="F18" s="157"/>
      <c r="G18" s="164" t="s">
        <v>83</v>
      </c>
      <c r="H18" s="67"/>
      <c r="I18" s="56">
        <f>VLOOKUP(I13,$A$2:$E$17,5)</f>
        <v>1E-4</v>
      </c>
      <c r="J18" s="56">
        <f t="shared" ref="J18:R18" si="6">VLOOKUP(J13,$A$2:$E$17,5)</f>
        <v>1E-4</v>
      </c>
      <c r="K18" s="56">
        <f t="shared" si="6"/>
        <v>1E-4</v>
      </c>
      <c r="L18" s="56">
        <f t="shared" si="6"/>
        <v>1E-4</v>
      </c>
      <c r="M18" s="56">
        <f t="shared" si="6"/>
        <v>1E-4</v>
      </c>
      <c r="N18" s="56">
        <f t="shared" si="6"/>
        <v>1E-4</v>
      </c>
      <c r="O18" s="56">
        <f t="shared" si="6"/>
        <v>1E-4</v>
      </c>
      <c r="P18" s="56">
        <f t="shared" si="6"/>
        <v>1E-4</v>
      </c>
      <c r="Q18" s="56">
        <f t="shared" si="6"/>
        <v>1E-4</v>
      </c>
      <c r="R18" s="66">
        <f t="shared" si="6"/>
        <v>1E-4</v>
      </c>
      <c r="S18" s="412"/>
      <c r="T18" s="413"/>
      <c r="U18" s="56"/>
      <c r="W18" s="129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</row>
    <row r="19" spans="1:35" ht="14" thickBot="1" x14ac:dyDescent="0.2">
      <c r="A19" s="50"/>
      <c r="B19" s="50"/>
      <c r="C19" s="50"/>
      <c r="D19" s="50"/>
      <c r="E19" s="50"/>
      <c r="F19" s="157"/>
      <c r="G19" s="165" t="s">
        <v>55</v>
      </c>
      <c r="H19" s="68"/>
      <c r="I19" s="69">
        <f>(1-I18+$B$23*I18)*(1+I16)-1</f>
        <v>1.4739981974001726E-2</v>
      </c>
      <c r="J19" s="69">
        <f t="shared" ref="J19:R19" si="7">(1-J18+$B$23*J18)*(1+J16)-1</f>
        <v>1.4739981974001726E-2</v>
      </c>
      <c r="K19" s="69">
        <f t="shared" si="7"/>
        <v>1.4739981974001726E-2</v>
      </c>
      <c r="L19" s="69">
        <f t="shared" si="7"/>
        <v>1.4739981974001726E-2</v>
      </c>
      <c r="M19" s="69">
        <f t="shared" si="7"/>
        <v>1.4739981974001726E-2</v>
      </c>
      <c r="N19" s="69">
        <f t="shared" si="7"/>
        <v>1.4739981974001726E-2</v>
      </c>
      <c r="O19" s="69">
        <f t="shared" si="7"/>
        <v>1.4739981974001726E-2</v>
      </c>
      <c r="P19" s="69">
        <f t="shared" si="7"/>
        <v>1.4739981974001726E-2</v>
      </c>
      <c r="Q19" s="69">
        <f t="shared" si="7"/>
        <v>1.4739981974001726E-2</v>
      </c>
      <c r="R19" s="70">
        <f t="shared" si="7"/>
        <v>1.4739981974001726E-2</v>
      </c>
      <c r="S19" s="412"/>
      <c r="T19" s="413"/>
      <c r="U19" s="56"/>
      <c r="W19" s="129"/>
      <c r="X19" s="67"/>
      <c r="Y19" s="56"/>
      <c r="Z19" s="56"/>
      <c r="AA19" s="56"/>
      <c r="AB19" s="56"/>
      <c r="AC19" s="56"/>
      <c r="AD19" s="56"/>
      <c r="AE19" s="56"/>
      <c r="AF19" s="56"/>
      <c r="AG19" s="56"/>
      <c r="AH19" s="56"/>
    </row>
    <row r="20" spans="1:35" x14ac:dyDescent="0.15">
      <c r="A20" s="50"/>
      <c r="B20" s="50"/>
      <c r="C20" s="50"/>
      <c r="D20" s="50"/>
      <c r="E20" s="50"/>
      <c r="F20" s="157"/>
      <c r="G20" s="170"/>
      <c r="H20" s="171"/>
      <c r="I20" s="172"/>
      <c r="J20" s="172"/>
      <c r="K20" s="172"/>
      <c r="L20" s="172"/>
      <c r="M20" s="172"/>
      <c r="N20" s="172"/>
      <c r="O20" s="172"/>
      <c r="P20" s="172"/>
      <c r="Q20" s="172"/>
      <c r="R20" s="173"/>
      <c r="S20" s="178"/>
      <c r="T20" s="178"/>
      <c r="U20" s="129"/>
      <c r="W20" s="129"/>
      <c r="X20" s="130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</row>
    <row r="21" spans="1:35" ht="14" thickBot="1" x14ac:dyDescent="0.2">
      <c r="A21" s="50"/>
      <c r="B21" s="50"/>
      <c r="C21" s="50"/>
      <c r="D21" s="50"/>
      <c r="E21" s="50"/>
      <c r="F21" s="156"/>
      <c r="G21" s="174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7"/>
      <c r="S21" s="178"/>
      <c r="T21" s="178"/>
      <c r="U21" s="129"/>
      <c r="V21" s="129"/>
      <c r="X21" s="133"/>
      <c r="AI21" s="129"/>
    </row>
    <row r="22" spans="1:35" ht="14" thickBot="1" x14ac:dyDescent="0.2">
      <c r="A22" s="50"/>
      <c r="B22" s="50"/>
      <c r="C22" s="50"/>
      <c r="D22" s="50"/>
      <c r="E22" s="50"/>
      <c r="F22" s="156"/>
      <c r="G22" s="160" t="s">
        <v>130</v>
      </c>
      <c r="H22" s="166" t="s">
        <v>61</v>
      </c>
      <c r="I22" s="166" t="s">
        <v>62</v>
      </c>
      <c r="J22" s="166" t="s">
        <v>63</v>
      </c>
      <c r="K22" s="166" t="s">
        <v>64</v>
      </c>
      <c r="L22" s="166" t="s">
        <v>65</v>
      </c>
      <c r="M22" s="166" t="s">
        <v>66</v>
      </c>
      <c r="N22" s="166" t="s">
        <v>67</v>
      </c>
      <c r="O22" s="166" t="s">
        <v>68</v>
      </c>
      <c r="P22" s="166" t="s">
        <v>69</v>
      </c>
      <c r="Q22" s="166" t="s">
        <v>70</v>
      </c>
      <c r="R22" s="167" t="s">
        <v>71</v>
      </c>
      <c r="S22" s="178"/>
      <c r="T22" s="178"/>
      <c r="U22" s="129"/>
      <c r="V22" s="129"/>
      <c r="AI22" s="129"/>
    </row>
    <row r="23" spans="1:35" ht="14" thickBot="1" x14ac:dyDescent="0.2">
      <c r="A23" s="153" t="s">
        <v>143</v>
      </c>
      <c r="B23" s="152">
        <f>42%</f>
        <v>0.42</v>
      </c>
      <c r="C23" s="50"/>
      <c r="D23" s="50"/>
      <c r="E23" s="50"/>
      <c r="F23" s="156"/>
      <c r="G23" s="164" t="s">
        <v>74</v>
      </c>
      <c r="H23" s="130"/>
      <c r="I23" s="60">
        <f>MAX(MIN('Restructuration cap'!$Z$31/H27,100000),-100000)</f>
        <v>28.968376498345691</v>
      </c>
      <c r="J23" s="60">
        <f>MAX(MIN('Restructuration cap'!$Z$31/I27,100000),-100000)</f>
        <v>15.834518609066414</v>
      </c>
      <c r="K23" s="60">
        <f>MAX(MIN('Restructuration cap'!$Z$31/J27,100000),-100000)</f>
        <v>15.834518609066414</v>
      </c>
      <c r="L23" s="60">
        <f>MAX(MIN('Restructuration cap'!$Z$31/K27,100000),-100000)</f>
        <v>15.834518609066414</v>
      </c>
      <c r="M23" s="60">
        <f>MAX(MIN('Restructuration cap'!$Z$31/L27,100000),-100000)</f>
        <v>15.834518609066414</v>
      </c>
      <c r="N23" s="60">
        <f>MAX(MIN('Restructuration cap'!$Z$31/M27,100000),-100000)</f>
        <v>15.834518609066414</v>
      </c>
      <c r="O23" s="60">
        <f>MAX(MIN('Restructuration cap'!$Z$31/N27,100000),-100000)</f>
        <v>15.834518609066414</v>
      </c>
      <c r="P23" s="60">
        <f>MAX(MIN('Restructuration cap'!$Z$31/O27,100000),-100000)</f>
        <v>15.834518609066414</v>
      </c>
      <c r="Q23" s="60">
        <f>MAX(MIN('Restructuration cap'!$Z$31/P27,100000),-100000)</f>
        <v>15.834518609066414</v>
      </c>
      <c r="R23" s="61">
        <f>MAX(MIN('Restructuration cap'!$Z$31/Q27,100000),-100000)</f>
        <v>15.834518609066414</v>
      </c>
      <c r="S23" s="178"/>
      <c r="T23" s="178"/>
      <c r="U23" s="129"/>
      <c r="V23" s="129"/>
      <c r="W23" s="127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</row>
    <row r="24" spans="1:35" ht="14" thickBot="1" x14ac:dyDescent="0.2">
      <c r="A24" s="154" t="s">
        <v>144</v>
      </c>
      <c r="B24" s="155">
        <f>25%</f>
        <v>0.25</v>
      </c>
      <c r="C24" s="50"/>
      <c r="D24" s="50"/>
      <c r="E24" s="50"/>
      <c r="F24" s="156"/>
      <c r="G24" s="164" t="s">
        <v>76</v>
      </c>
      <c r="H24" s="130"/>
      <c r="I24" s="64" t="str">
        <f>VLOOKUP(I23,$A$2:$E$17,3)</f>
        <v>AAA</v>
      </c>
      <c r="J24" s="64" t="str">
        <f t="shared" ref="J24:R24" si="8">VLOOKUP(J23,$A$2:$E$17,3)</f>
        <v>AAA</v>
      </c>
      <c r="K24" s="64" t="str">
        <f t="shared" si="8"/>
        <v>AAA</v>
      </c>
      <c r="L24" s="64" t="str">
        <f t="shared" si="8"/>
        <v>AAA</v>
      </c>
      <c r="M24" s="64" t="str">
        <f t="shared" si="8"/>
        <v>AAA</v>
      </c>
      <c r="N24" s="64" t="str">
        <f t="shared" si="8"/>
        <v>AAA</v>
      </c>
      <c r="O24" s="64" t="str">
        <f t="shared" si="8"/>
        <v>AAA</v>
      </c>
      <c r="P24" s="64" t="str">
        <f t="shared" si="8"/>
        <v>AAA</v>
      </c>
      <c r="Q24" s="64" t="str">
        <f t="shared" si="8"/>
        <v>AAA</v>
      </c>
      <c r="R24" s="65" t="str">
        <f t="shared" si="8"/>
        <v>AAA</v>
      </c>
      <c r="S24" s="178"/>
      <c r="T24" s="178"/>
      <c r="U24" s="129"/>
      <c r="V24" s="129"/>
      <c r="W24" s="129"/>
      <c r="X24" s="13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129"/>
    </row>
    <row r="25" spans="1:35" x14ac:dyDescent="0.15">
      <c r="A25" s="50"/>
      <c r="B25" s="50"/>
      <c r="C25" s="50"/>
      <c r="D25" s="50"/>
      <c r="E25" s="50"/>
      <c r="F25" s="156"/>
      <c r="G25" s="164" t="s">
        <v>78</v>
      </c>
      <c r="H25" s="130"/>
      <c r="I25" s="56">
        <f>VLOOKUP(I23,$A$2:$E$17,4)</f>
        <v>6.4999999999999997E-3</v>
      </c>
      <c r="J25" s="56">
        <f t="shared" ref="J25:R25" si="9">VLOOKUP(J23,$A$2:$E$17,4)</f>
        <v>6.4999999999999997E-3</v>
      </c>
      <c r="K25" s="56">
        <f t="shared" si="9"/>
        <v>6.4999999999999997E-3</v>
      </c>
      <c r="L25" s="56">
        <f t="shared" si="9"/>
        <v>6.4999999999999997E-3</v>
      </c>
      <c r="M25" s="56">
        <f t="shared" si="9"/>
        <v>6.4999999999999997E-3</v>
      </c>
      <c r="N25" s="56">
        <f t="shared" si="9"/>
        <v>6.4999999999999997E-3</v>
      </c>
      <c r="O25" s="56">
        <f t="shared" si="9"/>
        <v>6.4999999999999997E-3</v>
      </c>
      <c r="P25" s="56">
        <f t="shared" si="9"/>
        <v>6.4999999999999997E-3</v>
      </c>
      <c r="Q25" s="56">
        <f t="shared" si="9"/>
        <v>6.4999999999999997E-3</v>
      </c>
      <c r="R25" s="66">
        <f t="shared" si="9"/>
        <v>6.4999999999999997E-3</v>
      </c>
      <c r="S25" s="178"/>
      <c r="T25" s="178"/>
      <c r="U25" s="129"/>
      <c r="V25" s="129"/>
      <c r="W25" s="129"/>
      <c r="X25" s="130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129"/>
    </row>
    <row r="26" spans="1:35" x14ac:dyDescent="0.15">
      <c r="A26" s="50"/>
      <c r="B26" s="50"/>
      <c r="C26" s="50"/>
      <c r="D26" s="50"/>
      <c r="E26" s="50"/>
      <c r="F26" s="156"/>
      <c r="G26" s="164" t="s">
        <v>80</v>
      </c>
      <c r="H26" s="130"/>
      <c r="I26" s="56">
        <f>I25+Rates!$N$4</f>
        <v>1.4336568038622179E-2</v>
      </c>
      <c r="J26" s="56">
        <f>J25+Rates!$N$4</f>
        <v>1.4336568038622179E-2</v>
      </c>
      <c r="K26" s="56">
        <f>K25+Rates!$N$4</f>
        <v>1.4336568038622179E-2</v>
      </c>
      <c r="L26" s="56">
        <f>L25+Rates!$N$4</f>
        <v>1.4336568038622179E-2</v>
      </c>
      <c r="M26" s="56">
        <f>M25+Rates!$N$4</f>
        <v>1.4336568038622179E-2</v>
      </c>
      <c r="N26" s="56">
        <f>N25+Rates!$N$4</f>
        <v>1.4336568038622179E-2</v>
      </c>
      <c r="O26" s="56">
        <f>O25+Rates!$N$4</f>
        <v>1.4336568038622179E-2</v>
      </c>
      <c r="P26" s="56">
        <f>P25+Rates!$N$4</f>
        <v>1.4336568038622179E-2</v>
      </c>
      <c r="Q26" s="56">
        <f>Q25+Rates!$N$4</f>
        <v>1.4336568038622179E-2</v>
      </c>
      <c r="R26" s="66">
        <f>R25+Rates!$N$4</f>
        <v>1.4336568038622179E-2</v>
      </c>
      <c r="S26" s="178"/>
      <c r="T26" s="178"/>
      <c r="U26" s="129"/>
      <c r="V26" s="129"/>
      <c r="W26" s="129"/>
      <c r="X26" s="130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129"/>
    </row>
    <row r="27" spans="1:35" x14ac:dyDescent="0.15">
      <c r="A27" s="50"/>
      <c r="B27" s="50"/>
      <c r="C27" s="50"/>
      <c r="D27" s="50"/>
      <c r="E27" s="50"/>
      <c r="F27" s="156"/>
      <c r="G27" s="164" t="s">
        <v>146</v>
      </c>
      <c r="H27" s="150">
        <f>'Leverage and Restructuration'!$E$17*Rates!$N$4</f>
        <v>9.0618622543600473</v>
      </c>
      <c r="I27" s="150">
        <f>I26*'Leverage and Restructuration'!$E$17</f>
        <v>16.578176074777851</v>
      </c>
      <c r="J27" s="150">
        <f>J26*'Leverage and Restructuration'!$E$17</f>
        <v>16.578176074777851</v>
      </c>
      <c r="K27" s="150">
        <f>K26*'Leverage and Restructuration'!$E$17</f>
        <v>16.578176074777851</v>
      </c>
      <c r="L27" s="150">
        <f>L26*'Leverage and Restructuration'!$E$17</f>
        <v>16.578176074777851</v>
      </c>
      <c r="M27" s="150">
        <f>M26*'Leverage and Restructuration'!$E$17</f>
        <v>16.578176074777851</v>
      </c>
      <c r="N27" s="150">
        <f>N26*'Leverage and Restructuration'!$E$17</f>
        <v>16.578176074777851</v>
      </c>
      <c r="O27" s="150">
        <f>O26*'Leverage and Restructuration'!$E$17</f>
        <v>16.578176074777851</v>
      </c>
      <c r="P27" s="150">
        <f>P26*'Leverage and Restructuration'!$E$17</f>
        <v>16.578176074777851</v>
      </c>
      <c r="Q27" s="150">
        <f>Q26*'Leverage and Restructuration'!$E$17</f>
        <v>16.578176074777851</v>
      </c>
      <c r="R27" s="151">
        <f>R26*'Leverage and Restructuration'!$E$17</f>
        <v>16.578176074777851</v>
      </c>
      <c r="S27" s="178"/>
      <c r="T27" s="178"/>
      <c r="U27" s="129"/>
      <c r="V27" s="129"/>
      <c r="W27" s="129"/>
      <c r="X27" s="130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129"/>
    </row>
    <row r="28" spans="1:35" x14ac:dyDescent="0.15">
      <c r="A28" s="50"/>
      <c r="B28" s="50"/>
      <c r="C28" s="50"/>
      <c r="D28" s="50"/>
      <c r="E28" s="50"/>
      <c r="F28" s="156"/>
      <c r="G28" s="164" t="s">
        <v>83</v>
      </c>
      <c r="H28" s="67"/>
      <c r="I28" s="56">
        <f>VLOOKUP(I23,$A$2:$E$17,5)</f>
        <v>1E-4</v>
      </c>
      <c r="J28" s="56">
        <f t="shared" ref="J28:R28" si="10">VLOOKUP(J23,$A$2:$E$17,5)</f>
        <v>1E-4</v>
      </c>
      <c r="K28" s="56">
        <f t="shared" si="10"/>
        <v>1E-4</v>
      </c>
      <c r="L28" s="56">
        <f t="shared" si="10"/>
        <v>1E-4</v>
      </c>
      <c r="M28" s="56">
        <f t="shared" si="10"/>
        <v>1E-4</v>
      </c>
      <c r="N28" s="56">
        <f t="shared" si="10"/>
        <v>1E-4</v>
      </c>
      <c r="O28" s="56">
        <f t="shared" si="10"/>
        <v>1E-4</v>
      </c>
      <c r="P28" s="56">
        <f t="shared" si="10"/>
        <v>1E-4</v>
      </c>
      <c r="Q28" s="56">
        <f t="shared" si="10"/>
        <v>1E-4</v>
      </c>
      <c r="R28" s="66">
        <f t="shared" si="10"/>
        <v>1E-4</v>
      </c>
      <c r="S28" s="178"/>
      <c r="T28" s="178"/>
      <c r="U28" s="129"/>
      <c r="V28" s="129"/>
      <c r="W28" s="129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129"/>
    </row>
    <row r="29" spans="1:35" ht="14" thickBot="1" x14ac:dyDescent="0.2">
      <c r="A29" s="50"/>
      <c r="B29" s="50"/>
      <c r="C29" s="50"/>
      <c r="D29" s="50"/>
      <c r="E29" s="50"/>
      <c r="F29" s="156"/>
      <c r="G29" s="165" t="s">
        <v>55</v>
      </c>
      <c r="H29" s="68"/>
      <c r="I29" s="69">
        <f>(1-I28+I28*$B$23)*(1+I26)-1</f>
        <v>1.4277736517676054E-2</v>
      </c>
      <c r="J29" s="69">
        <f t="shared" ref="J29:R29" si="11">(1-J28+J28*$B$23)*(1+J26)-1</f>
        <v>1.4277736517676054E-2</v>
      </c>
      <c r="K29" s="69">
        <f t="shared" si="11"/>
        <v>1.4277736517676054E-2</v>
      </c>
      <c r="L29" s="69">
        <f t="shared" si="11"/>
        <v>1.4277736517676054E-2</v>
      </c>
      <c r="M29" s="69">
        <f t="shared" si="11"/>
        <v>1.4277736517676054E-2</v>
      </c>
      <c r="N29" s="69">
        <f t="shared" si="11"/>
        <v>1.4277736517676054E-2</v>
      </c>
      <c r="O29" s="69">
        <f t="shared" si="11"/>
        <v>1.4277736517676054E-2</v>
      </c>
      <c r="P29" s="69">
        <f t="shared" si="11"/>
        <v>1.4277736517676054E-2</v>
      </c>
      <c r="Q29" s="69">
        <f t="shared" si="11"/>
        <v>1.4277736517676054E-2</v>
      </c>
      <c r="R29" s="70">
        <f t="shared" si="11"/>
        <v>1.4277736517676054E-2</v>
      </c>
      <c r="S29" s="178"/>
      <c r="T29" s="178"/>
      <c r="U29" s="129"/>
      <c r="V29" s="129"/>
      <c r="W29" s="129"/>
      <c r="X29" s="67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129"/>
    </row>
    <row r="30" spans="1:35" x14ac:dyDescent="0.15">
      <c r="A30" s="50"/>
      <c r="B30" s="50"/>
      <c r="C30" s="50"/>
      <c r="D30" s="50"/>
      <c r="E30" s="50"/>
      <c r="F30" s="156"/>
      <c r="G30" s="170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9"/>
      <c r="S30" s="178"/>
      <c r="T30" s="178"/>
      <c r="U30" s="129"/>
      <c r="V30" s="129"/>
      <c r="W30" s="129"/>
      <c r="X30" s="130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29"/>
    </row>
    <row r="31" spans="1:35" ht="14" thickBot="1" x14ac:dyDescent="0.2">
      <c r="A31" s="50"/>
      <c r="B31" s="50"/>
      <c r="C31" s="50"/>
      <c r="D31" s="50"/>
      <c r="E31" s="50"/>
      <c r="F31" s="156"/>
      <c r="G31" s="170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9"/>
      <c r="S31" s="178"/>
      <c r="T31" s="178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</row>
    <row r="32" spans="1:35" x14ac:dyDescent="0.15">
      <c r="A32" s="50"/>
      <c r="B32" s="50"/>
      <c r="C32" s="50"/>
      <c r="D32" s="50"/>
      <c r="E32" s="50"/>
      <c r="F32" s="156"/>
      <c r="G32" s="160" t="s">
        <v>142</v>
      </c>
      <c r="H32" s="166" t="s">
        <v>61</v>
      </c>
      <c r="I32" s="166" t="s">
        <v>62</v>
      </c>
      <c r="J32" s="166" t="s">
        <v>63</v>
      </c>
      <c r="K32" s="166" t="s">
        <v>64</v>
      </c>
      <c r="L32" s="166" t="s">
        <v>65</v>
      </c>
      <c r="M32" s="166" t="s">
        <v>66</v>
      </c>
      <c r="N32" s="166" t="s">
        <v>67</v>
      </c>
      <c r="O32" s="166" t="s">
        <v>68</v>
      </c>
      <c r="P32" s="166" t="s">
        <v>69</v>
      </c>
      <c r="Q32" s="166" t="s">
        <v>70</v>
      </c>
      <c r="R32" s="167" t="s">
        <v>71</v>
      </c>
      <c r="S32" s="178"/>
      <c r="T32" s="178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</row>
    <row r="33" spans="1:35" x14ac:dyDescent="0.15">
      <c r="A33" s="50"/>
      <c r="B33" s="50"/>
      <c r="C33" s="50"/>
      <c r="D33" s="50"/>
      <c r="E33" s="50"/>
      <c r="F33" s="156"/>
      <c r="G33" s="164" t="s">
        <v>74</v>
      </c>
      <c r="H33" s="130"/>
      <c r="I33" s="60">
        <f>MAX(MIN('Restructuration cap'!$AA$31/H37,100000),-100000)</f>
        <v>31.879533726598833</v>
      </c>
      <c r="J33" s="60">
        <f>MAX(MIN('Restructuration cap'!$AA$31/I37,100000),-100000)</f>
        <v>17.004290923854899</v>
      </c>
      <c r="K33" s="60">
        <f>MAX(MIN('Restructuration cap'!$AA$31/J37,100000),-100000)</f>
        <v>17.004290923854899</v>
      </c>
      <c r="L33" s="60">
        <f>MAX(MIN('Restructuration cap'!$AA$31/K37,100000),-100000)</f>
        <v>17.004290923854899</v>
      </c>
      <c r="M33" s="60">
        <f>MAX(MIN('Restructuration cap'!$AA$31/L37,100000),-100000)</f>
        <v>17.004290923854899</v>
      </c>
      <c r="N33" s="60">
        <f>MAX(MIN('Restructuration cap'!$AA$31/M37,100000),-100000)</f>
        <v>17.004290923854899</v>
      </c>
      <c r="O33" s="60">
        <f>MAX(MIN('Restructuration cap'!$AA$31/N37,100000),-100000)</f>
        <v>17.004290923854899</v>
      </c>
      <c r="P33" s="60">
        <f>MAX(MIN('Restructuration cap'!$AA$31/O37,100000),-100000)</f>
        <v>17.004290923854899</v>
      </c>
      <c r="Q33" s="60">
        <f>MAX(MIN('Restructuration cap'!$AA$31/P37,100000),-100000)</f>
        <v>17.004290923854899</v>
      </c>
      <c r="R33" s="61">
        <f>MAX(MIN('Restructuration cap'!$AA$31/Q37,100000),-100000)</f>
        <v>17.004290923854899</v>
      </c>
      <c r="S33" s="178"/>
      <c r="T33" s="178"/>
      <c r="U33" s="129"/>
      <c r="V33" s="129"/>
      <c r="W33" s="127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</row>
    <row r="34" spans="1:35" x14ac:dyDescent="0.15">
      <c r="A34" s="50"/>
      <c r="B34" s="50"/>
      <c r="C34" s="50"/>
      <c r="D34" s="50"/>
      <c r="E34" s="50"/>
      <c r="F34" s="156"/>
      <c r="G34" s="164" t="s">
        <v>76</v>
      </c>
      <c r="H34" s="130"/>
      <c r="I34" s="64" t="str">
        <f>VLOOKUP(I33,$A$2:$E$17,3)</f>
        <v>AAA</v>
      </c>
      <c r="J34" s="64" t="str">
        <f t="shared" ref="J34:R34" si="12">VLOOKUP(J33,$A$2:$E$17,3)</f>
        <v>AAA</v>
      </c>
      <c r="K34" s="64" t="str">
        <f t="shared" si="12"/>
        <v>AAA</v>
      </c>
      <c r="L34" s="64" t="str">
        <f t="shared" si="12"/>
        <v>AAA</v>
      </c>
      <c r="M34" s="64" t="str">
        <f t="shared" si="12"/>
        <v>AAA</v>
      </c>
      <c r="N34" s="64" t="str">
        <f t="shared" si="12"/>
        <v>AAA</v>
      </c>
      <c r="O34" s="64" t="str">
        <f t="shared" si="12"/>
        <v>AAA</v>
      </c>
      <c r="P34" s="64" t="str">
        <f t="shared" si="12"/>
        <v>AAA</v>
      </c>
      <c r="Q34" s="64" t="str">
        <f t="shared" si="12"/>
        <v>AAA</v>
      </c>
      <c r="R34" s="65" t="str">
        <f t="shared" si="12"/>
        <v>AAA</v>
      </c>
      <c r="S34" s="178"/>
      <c r="T34" s="178"/>
      <c r="U34" s="129"/>
      <c r="V34" s="129"/>
      <c r="W34" s="129"/>
      <c r="X34" s="13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129"/>
    </row>
    <row r="35" spans="1:35" x14ac:dyDescent="0.15">
      <c r="A35" s="50"/>
      <c r="B35" s="50"/>
      <c r="C35" s="50"/>
      <c r="D35" s="50"/>
      <c r="E35" s="50"/>
      <c r="F35" s="156"/>
      <c r="G35" s="164" t="s">
        <v>78</v>
      </c>
      <c r="H35" s="130"/>
      <c r="I35" s="56">
        <f>VLOOKUP(I33,$A$2:$E$17,4)</f>
        <v>6.4999999999999997E-3</v>
      </c>
      <c r="J35" s="56">
        <f t="shared" ref="J35:R35" si="13">VLOOKUP(J33,$A$2:$E$17,4)</f>
        <v>6.4999999999999997E-3</v>
      </c>
      <c r="K35" s="56">
        <f t="shared" si="13"/>
        <v>6.4999999999999997E-3</v>
      </c>
      <c r="L35" s="56">
        <f t="shared" si="13"/>
        <v>6.4999999999999997E-3</v>
      </c>
      <c r="M35" s="56">
        <f t="shared" si="13"/>
        <v>6.4999999999999997E-3</v>
      </c>
      <c r="N35" s="56">
        <f t="shared" si="13"/>
        <v>6.4999999999999997E-3</v>
      </c>
      <c r="O35" s="56">
        <f t="shared" si="13"/>
        <v>6.4999999999999997E-3</v>
      </c>
      <c r="P35" s="56">
        <f t="shared" si="13"/>
        <v>6.4999999999999997E-3</v>
      </c>
      <c r="Q35" s="56">
        <f t="shared" si="13"/>
        <v>6.4999999999999997E-3</v>
      </c>
      <c r="R35" s="66">
        <f t="shared" si="13"/>
        <v>6.4999999999999997E-3</v>
      </c>
      <c r="S35" s="178"/>
      <c r="T35" s="178"/>
      <c r="U35" s="129"/>
      <c r="V35" s="129"/>
      <c r="W35" s="129"/>
      <c r="X35" s="130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129"/>
    </row>
    <row r="36" spans="1:35" x14ac:dyDescent="0.15">
      <c r="A36" s="50"/>
      <c r="B36" s="50"/>
      <c r="C36" s="50"/>
      <c r="D36" s="50"/>
      <c r="E36" s="50"/>
      <c r="F36" s="156"/>
      <c r="G36" s="164" t="s">
        <v>80</v>
      </c>
      <c r="H36" s="130"/>
      <c r="I36" s="56">
        <f>I35+Rates!$T$4</f>
        <v>1.3930325169863346E-2</v>
      </c>
      <c r="J36" s="56">
        <f>J35+Rates!$T$4</f>
        <v>1.3930325169863346E-2</v>
      </c>
      <c r="K36" s="56">
        <f>K35+Rates!$T$4</f>
        <v>1.3930325169863346E-2</v>
      </c>
      <c r="L36" s="56">
        <f>L35+Rates!$T$4</f>
        <v>1.3930325169863346E-2</v>
      </c>
      <c r="M36" s="56">
        <f>M35+Rates!$T$4</f>
        <v>1.3930325169863346E-2</v>
      </c>
      <c r="N36" s="56">
        <f>N35+Rates!$T$4</f>
        <v>1.3930325169863346E-2</v>
      </c>
      <c r="O36" s="56">
        <f>O35+Rates!$T$4</f>
        <v>1.3930325169863346E-2</v>
      </c>
      <c r="P36" s="56">
        <f>P35+Rates!$T$4</f>
        <v>1.3930325169863346E-2</v>
      </c>
      <c r="Q36" s="56">
        <f>Q35+Rates!$T$4</f>
        <v>1.3930325169863346E-2</v>
      </c>
      <c r="R36" s="66">
        <f>R35+Rates!$T$4</f>
        <v>1.3930325169863346E-2</v>
      </c>
      <c r="S36" s="178"/>
      <c r="T36" s="178"/>
      <c r="U36" s="129"/>
      <c r="V36" s="129"/>
      <c r="W36" s="129"/>
      <c r="X36" s="130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129"/>
    </row>
    <row r="37" spans="1:35" x14ac:dyDescent="0.15">
      <c r="A37" s="50"/>
      <c r="B37" s="50"/>
      <c r="C37" s="50"/>
      <c r="D37" s="50"/>
      <c r="E37" s="50"/>
      <c r="F37" s="156"/>
      <c r="G37" s="164" t="s">
        <v>146</v>
      </c>
      <c r="H37" s="150">
        <f>Rates!$T$4*'Leverage and Restructuration'!$F$17</f>
        <v>9.1729896443935477</v>
      </c>
      <c r="I37" s="150">
        <f>I36*'Leverage and Restructuration'!$F$17</f>
        <v>17.197461161520252</v>
      </c>
      <c r="J37" s="150">
        <f>J36*'Leverage and Restructuration'!$F$17</f>
        <v>17.197461161520252</v>
      </c>
      <c r="K37" s="150">
        <f>K36*'Leverage and Restructuration'!$F$17</f>
        <v>17.197461161520252</v>
      </c>
      <c r="L37" s="150">
        <f>L36*'Leverage and Restructuration'!$F$17</f>
        <v>17.197461161520252</v>
      </c>
      <c r="M37" s="150">
        <f>M36*'Leverage and Restructuration'!$F$17</f>
        <v>17.197461161520252</v>
      </c>
      <c r="N37" s="150">
        <f>N36*'Leverage and Restructuration'!$F$17</f>
        <v>17.197461161520252</v>
      </c>
      <c r="O37" s="150">
        <f>O36*'Leverage and Restructuration'!$F$17</f>
        <v>17.197461161520252</v>
      </c>
      <c r="P37" s="150">
        <f>P36*'Leverage and Restructuration'!$F$17</f>
        <v>17.197461161520252</v>
      </c>
      <c r="Q37" s="150">
        <f>Q36*'Leverage and Restructuration'!$F$17</f>
        <v>17.197461161520252</v>
      </c>
      <c r="R37" s="151">
        <f>R36*'Leverage and Restructuration'!$F$17</f>
        <v>17.197461161520252</v>
      </c>
      <c r="S37" s="178"/>
      <c r="T37" s="178"/>
      <c r="U37" s="129"/>
      <c r="V37" s="129"/>
      <c r="W37" s="129"/>
      <c r="X37" s="130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129"/>
    </row>
    <row r="38" spans="1:35" x14ac:dyDescent="0.15">
      <c r="A38" s="50"/>
      <c r="B38" s="50"/>
      <c r="C38" s="50"/>
      <c r="D38" s="50"/>
      <c r="E38" s="50"/>
      <c r="F38" s="156"/>
      <c r="G38" s="164" t="s">
        <v>83</v>
      </c>
      <c r="H38" s="67"/>
      <c r="I38" s="56">
        <f>VLOOKUP(I23,$A$2:$E$17,5)</f>
        <v>1E-4</v>
      </c>
      <c r="J38" s="56">
        <f t="shared" ref="J38:R38" si="14">VLOOKUP(J23,$A$2:$E$17,5)</f>
        <v>1E-4</v>
      </c>
      <c r="K38" s="56">
        <f t="shared" si="14"/>
        <v>1E-4</v>
      </c>
      <c r="L38" s="56">
        <f t="shared" si="14"/>
        <v>1E-4</v>
      </c>
      <c r="M38" s="56">
        <f t="shared" si="14"/>
        <v>1E-4</v>
      </c>
      <c r="N38" s="56">
        <f t="shared" si="14"/>
        <v>1E-4</v>
      </c>
      <c r="O38" s="56">
        <f t="shared" si="14"/>
        <v>1E-4</v>
      </c>
      <c r="P38" s="56">
        <f t="shared" si="14"/>
        <v>1E-4</v>
      </c>
      <c r="Q38" s="56">
        <f t="shared" si="14"/>
        <v>1E-4</v>
      </c>
      <c r="R38" s="66">
        <f t="shared" si="14"/>
        <v>1E-4</v>
      </c>
      <c r="S38" s="178"/>
      <c r="T38" s="178"/>
      <c r="U38" s="129"/>
      <c r="V38" s="129"/>
      <c r="W38" s="129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129"/>
    </row>
    <row r="39" spans="1:35" ht="14" thickBot="1" x14ac:dyDescent="0.2">
      <c r="A39" s="50"/>
      <c r="B39" s="50"/>
      <c r="C39" s="50"/>
      <c r="D39" s="50"/>
      <c r="E39" s="50"/>
      <c r="F39" s="156"/>
      <c r="G39" s="165" t="s">
        <v>55</v>
      </c>
      <c r="H39" s="68"/>
      <c r="I39" s="69">
        <f>(1-I38+I38*$B$23)*(1+I36)-1</f>
        <v>1.3871517211003326E-2</v>
      </c>
      <c r="J39" s="69">
        <f t="shared" ref="J39:R39" si="15">(1-J38+J38*$B$23)*(1+J36)-1</f>
        <v>1.3871517211003326E-2</v>
      </c>
      <c r="K39" s="69">
        <f t="shared" si="15"/>
        <v>1.3871517211003326E-2</v>
      </c>
      <c r="L39" s="69">
        <f t="shared" si="15"/>
        <v>1.3871517211003326E-2</v>
      </c>
      <c r="M39" s="69">
        <f t="shared" si="15"/>
        <v>1.3871517211003326E-2</v>
      </c>
      <c r="N39" s="69">
        <f t="shared" si="15"/>
        <v>1.3871517211003326E-2</v>
      </c>
      <c r="O39" s="69">
        <f t="shared" si="15"/>
        <v>1.3871517211003326E-2</v>
      </c>
      <c r="P39" s="69">
        <f t="shared" si="15"/>
        <v>1.3871517211003326E-2</v>
      </c>
      <c r="Q39" s="69">
        <f t="shared" si="15"/>
        <v>1.3871517211003326E-2</v>
      </c>
      <c r="R39" s="70">
        <f t="shared" si="15"/>
        <v>1.3871517211003326E-2</v>
      </c>
      <c r="S39" s="178"/>
      <c r="T39" s="178"/>
      <c r="U39" s="129"/>
      <c r="V39" s="129"/>
      <c r="W39" s="129"/>
      <c r="X39" s="67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129"/>
    </row>
    <row r="40" spans="1:35" x14ac:dyDescent="0.15">
      <c r="A40" s="50"/>
      <c r="B40" s="50"/>
      <c r="C40" s="50"/>
      <c r="D40" s="50"/>
      <c r="E40" s="50"/>
      <c r="F40" s="156"/>
      <c r="G40" s="170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9"/>
      <c r="S40" s="178"/>
      <c r="T40" s="178"/>
      <c r="U40" s="129"/>
      <c r="V40" s="129"/>
      <c r="W40" s="129"/>
      <c r="X40" s="130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29"/>
    </row>
    <row r="41" spans="1:35" ht="14" thickBot="1" x14ac:dyDescent="0.2">
      <c r="A41" s="50"/>
      <c r="B41" s="50"/>
      <c r="C41" s="50"/>
      <c r="D41" s="50"/>
      <c r="E41" s="50"/>
      <c r="F41" s="156"/>
      <c r="G41" s="170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9"/>
      <c r="S41" s="178"/>
      <c r="T41" s="178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</row>
    <row r="42" spans="1:35" x14ac:dyDescent="0.15">
      <c r="A42" s="50"/>
      <c r="B42" s="50"/>
      <c r="C42" s="50"/>
      <c r="D42" s="50"/>
      <c r="E42" s="50"/>
      <c r="F42" s="156"/>
      <c r="G42" s="160" t="s">
        <v>316</v>
      </c>
      <c r="H42" s="166" t="s">
        <v>61</v>
      </c>
      <c r="I42" s="166" t="s">
        <v>62</v>
      </c>
      <c r="J42" s="166" t="s">
        <v>63</v>
      </c>
      <c r="K42" s="166" t="s">
        <v>64</v>
      </c>
      <c r="L42" s="166" t="s">
        <v>65</v>
      </c>
      <c r="M42" s="166" t="s">
        <v>66</v>
      </c>
      <c r="N42" s="166" t="s">
        <v>67</v>
      </c>
      <c r="O42" s="166" t="s">
        <v>68</v>
      </c>
      <c r="P42" s="166" t="s">
        <v>69</v>
      </c>
      <c r="Q42" s="166" t="s">
        <v>70</v>
      </c>
      <c r="R42" s="167" t="s">
        <v>71</v>
      </c>
      <c r="S42" s="178"/>
      <c r="T42" s="178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</row>
    <row r="43" spans="1:35" x14ac:dyDescent="0.15">
      <c r="A43" s="50"/>
      <c r="B43" s="50"/>
      <c r="C43" s="50"/>
      <c r="D43" s="50"/>
      <c r="E43" s="50"/>
      <c r="F43" s="156"/>
      <c r="G43" s="164" t="s">
        <v>74</v>
      </c>
      <c r="H43" s="130"/>
      <c r="I43" s="60">
        <f>MAX(MIN('Restructuration cap'!$AB$31/H47,100000),-100000)</f>
        <v>33.214446130528479</v>
      </c>
      <c r="J43" s="60">
        <f>MAX(MIN('Restructuration cap'!$AB$31/I47,100000),-100000)</f>
        <v>17.716322632629321</v>
      </c>
      <c r="K43" s="60">
        <f>MAX(MIN('Restructuration cap'!$AB$31/J47,100000),-100000)</f>
        <v>17.716322632629321</v>
      </c>
      <c r="L43" s="60">
        <f>MAX(MIN('Restructuration cap'!$AB$31/K47,100000),-100000)</f>
        <v>17.716322632629321</v>
      </c>
      <c r="M43" s="60">
        <f>MAX(MIN('Restructuration cap'!$AB$31/L47,100000),-100000)</f>
        <v>17.716322632629321</v>
      </c>
      <c r="N43" s="60">
        <f>MAX(MIN('Restructuration cap'!$AB$31/M47,100000),-100000)</f>
        <v>17.716322632629321</v>
      </c>
      <c r="O43" s="60">
        <f>MAX(MIN('Restructuration cap'!$AB$31/N47,100000),-100000)</f>
        <v>17.716322632629321</v>
      </c>
      <c r="P43" s="60">
        <f>MAX(MIN('Restructuration cap'!$AB$31/O47,100000),-100000)</f>
        <v>17.716322632629321</v>
      </c>
      <c r="Q43" s="60">
        <f>MAX(MIN('Restructuration cap'!$AB$31/P47,100000),-100000)</f>
        <v>17.716322632629321</v>
      </c>
      <c r="R43" s="61">
        <f>MAX(MIN('Restructuration cap'!$AB$31/Q47,100000),-100000)</f>
        <v>17.716322632629321</v>
      </c>
      <c r="S43" s="178"/>
      <c r="T43" s="178"/>
      <c r="U43" s="129"/>
      <c r="V43" s="129"/>
      <c r="W43" s="127"/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</row>
    <row r="44" spans="1:35" x14ac:dyDescent="0.15">
      <c r="A44" s="50"/>
      <c r="B44" s="50"/>
      <c r="C44" s="50"/>
      <c r="D44" s="50"/>
      <c r="E44" s="50"/>
      <c r="F44" s="156"/>
      <c r="G44" s="164" t="s">
        <v>76</v>
      </c>
      <c r="H44" s="130"/>
      <c r="I44" s="64" t="str">
        <f>VLOOKUP(I43,$A$2:$E$17,3)</f>
        <v>AAA</v>
      </c>
      <c r="J44" s="64" t="str">
        <f t="shared" ref="J44:R44" si="16">VLOOKUP(J43,$A$2:$E$17,3)</f>
        <v>AAA</v>
      </c>
      <c r="K44" s="64" t="str">
        <f t="shared" si="16"/>
        <v>AAA</v>
      </c>
      <c r="L44" s="64" t="str">
        <f t="shared" si="16"/>
        <v>AAA</v>
      </c>
      <c r="M44" s="64" t="str">
        <f t="shared" si="16"/>
        <v>AAA</v>
      </c>
      <c r="N44" s="64" t="str">
        <f t="shared" si="16"/>
        <v>AAA</v>
      </c>
      <c r="O44" s="64" t="str">
        <f t="shared" si="16"/>
        <v>AAA</v>
      </c>
      <c r="P44" s="64" t="str">
        <f t="shared" si="16"/>
        <v>AAA</v>
      </c>
      <c r="Q44" s="64" t="str">
        <f t="shared" si="16"/>
        <v>AAA</v>
      </c>
      <c r="R44" s="65" t="str">
        <f t="shared" si="16"/>
        <v>AAA</v>
      </c>
      <c r="S44" s="178"/>
      <c r="T44" s="178"/>
      <c r="U44" s="129"/>
      <c r="V44" s="129"/>
      <c r="W44" s="129"/>
      <c r="X44" s="13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129"/>
    </row>
    <row r="45" spans="1:35" x14ac:dyDescent="0.15">
      <c r="A45" s="50"/>
      <c r="B45" s="50"/>
      <c r="C45" s="50"/>
      <c r="D45" s="50"/>
      <c r="E45" s="50"/>
      <c r="F45" s="156"/>
      <c r="G45" s="164" t="s">
        <v>78</v>
      </c>
      <c r="H45" s="130"/>
      <c r="I45" s="56">
        <f>VLOOKUP(I43,$A$2:$E$17,4)</f>
        <v>6.4999999999999997E-3</v>
      </c>
      <c r="J45" s="56">
        <f t="shared" ref="J45:R45" si="17">VLOOKUP(J43,$A$2:$E$17,4)</f>
        <v>6.4999999999999997E-3</v>
      </c>
      <c r="K45" s="56">
        <f t="shared" si="17"/>
        <v>6.4999999999999997E-3</v>
      </c>
      <c r="L45" s="56">
        <f t="shared" si="17"/>
        <v>6.4999999999999997E-3</v>
      </c>
      <c r="M45" s="56">
        <f t="shared" si="17"/>
        <v>6.4999999999999997E-3</v>
      </c>
      <c r="N45" s="56">
        <f t="shared" si="17"/>
        <v>6.4999999999999997E-3</v>
      </c>
      <c r="O45" s="56">
        <f t="shared" si="17"/>
        <v>6.4999999999999997E-3</v>
      </c>
      <c r="P45" s="56">
        <f t="shared" si="17"/>
        <v>6.4999999999999997E-3</v>
      </c>
      <c r="Q45" s="56">
        <f t="shared" si="17"/>
        <v>6.4999999999999997E-3</v>
      </c>
      <c r="R45" s="66">
        <f t="shared" si="17"/>
        <v>6.4999999999999997E-3</v>
      </c>
      <c r="S45" s="178"/>
      <c r="T45" s="178"/>
      <c r="U45" s="129"/>
      <c r="V45" s="129"/>
      <c r="W45" s="129"/>
      <c r="X45" s="130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129"/>
    </row>
    <row r="46" spans="1:35" x14ac:dyDescent="0.15">
      <c r="A46" s="50"/>
      <c r="B46" s="50"/>
      <c r="C46" s="50"/>
      <c r="D46" s="50"/>
      <c r="E46" s="50"/>
      <c r="F46" s="156"/>
      <c r="G46" s="164" t="s">
        <v>80</v>
      </c>
      <c r="H46" s="130"/>
      <c r="I46" s="56">
        <f>I45+Rates!$Z$4</f>
        <v>1.3930325169863346E-2</v>
      </c>
      <c r="J46" s="56">
        <f>J45+Rates!$Z$4</f>
        <v>1.3930325169863346E-2</v>
      </c>
      <c r="K46" s="56">
        <f>K45+Rates!$Z$4</f>
        <v>1.3930325169863346E-2</v>
      </c>
      <c r="L46" s="56">
        <f>L45+Rates!$Z$4</f>
        <v>1.3930325169863346E-2</v>
      </c>
      <c r="M46" s="56">
        <f>M45+Rates!$Z$4</f>
        <v>1.3930325169863346E-2</v>
      </c>
      <c r="N46" s="56">
        <f>N45+Rates!$Z$4</f>
        <v>1.3930325169863346E-2</v>
      </c>
      <c r="O46" s="56">
        <f>O45+Rates!$Z$4</f>
        <v>1.3930325169863346E-2</v>
      </c>
      <c r="P46" s="56">
        <f>P45+Rates!$Z$4</f>
        <v>1.3930325169863346E-2</v>
      </c>
      <c r="Q46" s="56">
        <f>Q45+Rates!$Z$4</f>
        <v>1.3930325169863346E-2</v>
      </c>
      <c r="R46" s="66">
        <f>R45+Rates!$Z$4</f>
        <v>1.3930325169863346E-2</v>
      </c>
      <c r="S46" s="178"/>
      <c r="T46" s="178"/>
      <c r="U46" s="129"/>
      <c r="V46" s="129"/>
      <c r="W46" s="129"/>
      <c r="X46" s="130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129"/>
    </row>
    <row r="47" spans="1:35" x14ac:dyDescent="0.15">
      <c r="A47" s="50"/>
      <c r="B47" s="50"/>
      <c r="C47" s="50"/>
      <c r="D47" s="50"/>
      <c r="E47" s="50"/>
      <c r="F47" s="156"/>
      <c r="G47" s="164" t="s">
        <v>146</v>
      </c>
      <c r="H47" s="150">
        <f>Rates!$Z$4*'Leverage and Restructuration'!$G$17</f>
        <v>9.7538784019498426</v>
      </c>
      <c r="I47" s="150">
        <f>I46*'Leverage and Restructuration'!$G$17</f>
        <v>18.28650761578545</v>
      </c>
      <c r="J47" s="150">
        <f>J46*'Leverage and Restructuration'!$G$17</f>
        <v>18.28650761578545</v>
      </c>
      <c r="K47" s="150">
        <f>K46*'Leverage and Restructuration'!$G$17</f>
        <v>18.28650761578545</v>
      </c>
      <c r="L47" s="150">
        <f>L46*'Leverage and Restructuration'!$G$17</f>
        <v>18.28650761578545</v>
      </c>
      <c r="M47" s="150">
        <f>M46*'Leverage and Restructuration'!$G$17</f>
        <v>18.28650761578545</v>
      </c>
      <c r="N47" s="150">
        <f>N46*'Leverage and Restructuration'!$G$17</f>
        <v>18.28650761578545</v>
      </c>
      <c r="O47" s="150">
        <f>O46*'Leverage and Restructuration'!$G$17</f>
        <v>18.28650761578545</v>
      </c>
      <c r="P47" s="150">
        <f>P46*'Leverage and Restructuration'!$G$17</f>
        <v>18.28650761578545</v>
      </c>
      <c r="Q47" s="150">
        <f>Q46*'Leverage and Restructuration'!$G$17</f>
        <v>18.28650761578545</v>
      </c>
      <c r="R47" s="151">
        <f>R46*'Leverage and Restructuration'!$G$17</f>
        <v>18.28650761578545</v>
      </c>
      <c r="S47" s="178"/>
      <c r="T47" s="178"/>
      <c r="U47" s="129"/>
      <c r="V47" s="129"/>
      <c r="W47" s="129"/>
      <c r="X47" s="130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129"/>
    </row>
    <row r="48" spans="1:35" x14ac:dyDescent="0.15">
      <c r="A48" s="50"/>
      <c r="B48" s="50"/>
      <c r="C48" s="50"/>
      <c r="D48" s="50"/>
      <c r="E48" s="50"/>
      <c r="F48" s="156"/>
      <c r="G48" s="164" t="s">
        <v>83</v>
      </c>
      <c r="H48" s="67"/>
      <c r="I48" s="56">
        <f>VLOOKUP(I43,$A$2:$E$17,5)</f>
        <v>1E-4</v>
      </c>
      <c r="J48" s="56">
        <f t="shared" ref="J48:R48" si="18">VLOOKUP(J43,$A$2:$E$17,5)</f>
        <v>1E-4</v>
      </c>
      <c r="K48" s="56">
        <f t="shared" si="18"/>
        <v>1E-4</v>
      </c>
      <c r="L48" s="56">
        <f t="shared" si="18"/>
        <v>1E-4</v>
      </c>
      <c r="M48" s="56">
        <f t="shared" si="18"/>
        <v>1E-4</v>
      </c>
      <c r="N48" s="56">
        <f t="shared" si="18"/>
        <v>1E-4</v>
      </c>
      <c r="O48" s="56">
        <f t="shared" si="18"/>
        <v>1E-4</v>
      </c>
      <c r="P48" s="56">
        <f t="shared" si="18"/>
        <v>1E-4</v>
      </c>
      <c r="Q48" s="56">
        <f t="shared" si="18"/>
        <v>1E-4</v>
      </c>
      <c r="R48" s="66">
        <f t="shared" si="18"/>
        <v>1E-4</v>
      </c>
      <c r="S48" s="178"/>
      <c r="T48" s="178"/>
      <c r="U48" s="129"/>
      <c r="V48" s="129"/>
      <c r="W48" s="129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129"/>
    </row>
    <row r="49" spans="1:35" ht="14" thickBot="1" x14ac:dyDescent="0.2">
      <c r="A49" s="50"/>
      <c r="B49" s="50"/>
      <c r="C49" s="50"/>
      <c r="D49" s="50"/>
      <c r="E49" s="50"/>
      <c r="F49" s="156"/>
      <c r="G49" s="165" t="s">
        <v>55</v>
      </c>
      <c r="H49" s="68"/>
      <c r="I49" s="69">
        <f>(1-I48+I48*$B$23)*(1+I46)-1</f>
        <v>1.3871517211003326E-2</v>
      </c>
      <c r="J49" s="69">
        <f t="shared" ref="J49:R49" si="19">(1-J48+J48*$B$23)*(1+J46)-1</f>
        <v>1.3871517211003326E-2</v>
      </c>
      <c r="K49" s="69">
        <f t="shared" si="19"/>
        <v>1.3871517211003326E-2</v>
      </c>
      <c r="L49" s="69">
        <f t="shared" si="19"/>
        <v>1.3871517211003326E-2</v>
      </c>
      <c r="M49" s="69">
        <f t="shared" si="19"/>
        <v>1.3871517211003326E-2</v>
      </c>
      <c r="N49" s="69">
        <f t="shared" si="19"/>
        <v>1.3871517211003326E-2</v>
      </c>
      <c r="O49" s="69">
        <f t="shared" si="19"/>
        <v>1.3871517211003326E-2</v>
      </c>
      <c r="P49" s="69">
        <f t="shared" si="19"/>
        <v>1.3871517211003326E-2</v>
      </c>
      <c r="Q49" s="69">
        <f t="shared" si="19"/>
        <v>1.3871517211003326E-2</v>
      </c>
      <c r="R49" s="70">
        <f t="shared" si="19"/>
        <v>1.3871517211003326E-2</v>
      </c>
      <c r="S49" s="178"/>
      <c r="T49" s="178"/>
      <c r="U49" s="129"/>
      <c r="V49" s="129"/>
      <c r="W49" s="129"/>
      <c r="X49" s="67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129"/>
    </row>
    <row r="50" spans="1:35" x14ac:dyDescent="0.15">
      <c r="A50" s="127"/>
      <c r="B50" s="129"/>
      <c r="C50" s="129"/>
      <c r="D50" s="129"/>
      <c r="F50" s="176"/>
      <c r="G50" s="178"/>
      <c r="H50" s="410"/>
      <c r="I50" s="410"/>
      <c r="J50" s="410"/>
      <c r="K50" s="410"/>
      <c r="L50" s="410"/>
      <c r="M50" s="410"/>
      <c r="N50" s="410"/>
      <c r="O50" s="410"/>
      <c r="P50" s="178"/>
      <c r="Q50" s="178"/>
      <c r="R50" s="178"/>
      <c r="S50" s="178"/>
      <c r="T50" s="178"/>
      <c r="U50" s="129"/>
      <c r="V50" s="129"/>
      <c r="W50" s="129"/>
      <c r="X50" s="130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29"/>
    </row>
    <row r="51" spans="1:35" x14ac:dyDescent="0.15">
      <c r="A51" s="129"/>
      <c r="B51" s="129"/>
      <c r="C51" s="57"/>
      <c r="D51" s="129"/>
      <c r="F51" s="176"/>
      <c r="G51" s="176"/>
      <c r="H51" s="176"/>
      <c r="I51" s="176"/>
      <c r="J51" s="176"/>
      <c r="K51" s="410"/>
      <c r="L51" s="176"/>
      <c r="M51" s="178"/>
      <c r="N51" s="178"/>
      <c r="O51" s="178"/>
      <c r="P51" s="178"/>
      <c r="Q51" s="178"/>
      <c r="R51" s="178"/>
      <c r="S51" s="178"/>
      <c r="T51" s="178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</row>
    <row r="52" spans="1:35" x14ac:dyDescent="0.15">
      <c r="A52" s="129"/>
      <c r="B52" s="129"/>
      <c r="C52" s="58"/>
      <c r="D52" s="129"/>
      <c r="F52" s="176"/>
      <c r="G52" s="176"/>
      <c r="H52" s="176"/>
      <c r="I52" s="176"/>
      <c r="J52" s="176"/>
      <c r="K52" s="176"/>
      <c r="L52" s="176"/>
      <c r="M52" s="178"/>
      <c r="N52" s="178"/>
      <c r="O52" s="178"/>
      <c r="P52" s="178"/>
      <c r="Q52" s="178"/>
      <c r="R52" s="178"/>
      <c r="S52" s="178"/>
      <c r="T52" s="178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</row>
    <row r="53" spans="1:35" x14ac:dyDescent="0.15">
      <c r="A53" s="129"/>
      <c r="B53" s="129"/>
      <c r="C53" s="55"/>
      <c r="D53" s="129"/>
      <c r="F53" s="176"/>
      <c r="G53" s="176"/>
      <c r="H53" s="176"/>
      <c r="I53" s="176"/>
      <c r="J53" s="176"/>
      <c r="K53" s="176"/>
      <c r="L53" s="176"/>
      <c r="M53" s="178"/>
      <c r="N53" s="178"/>
      <c r="O53" s="178"/>
      <c r="P53" s="178"/>
      <c r="Q53" s="178"/>
      <c r="R53" s="178"/>
      <c r="S53" s="178"/>
      <c r="T53" s="178"/>
      <c r="U53" s="129"/>
      <c r="V53" s="129"/>
      <c r="W53" s="127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129"/>
      <c r="AI53" s="129"/>
    </row>
    <row r="54" spans="1:35" x14ac:dyDescent="0.15">
      <c r="A54" s="129"/>
      <c r="B54" s="129"/>
      <c r="C54" s="55"/>
      <c r="D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3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129"/>
    </row>
    <row r="55" spans="1:35" x14ac:dyDescent="0.15">
      <c r="A55" s="129"/>
      <c r="B55" s="129"/>
      <c r="C55" s="57"/>
      <c r="D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30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129"/>
    </row>
    <row r="56" spans="1:35" x14ac:dyDescent="0.15">
      <c r="A56" s="129"/>
      <c r="B56" s="129"/>
      <c r="C56" s="57"/>
      <c r="D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30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129"/>
    </row>
    <row r="57" spans="1:35" x14ac:dyDescent="0.15">
      <c r="A57" s="129"/>
      <c r="B57" s="129"/>
      <c r="C57" s="51"/>
      <c r="D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30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129"/>
    </row>
    <row r="58" spans="1:35" x14ac:dyDescent="0.15">
      <c r="A58" s="129"/>
      <c r="B58" s="53"/>
      <c r="C58" s="57"/>
      <c r="D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129"/>
    </row>
    <row r="59" spans="1:35" x14ac:dyDescent="0.15">
      <c r="A59" s="129"/>
      <c r="C59" s="134"/>
      <c r="D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67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129"/>
    </row>
    <row r="60" spans="1:35" x14ac:dyDescent="0.15">
      <c r="A60" s="129"/>
      <c r="B60" s="129"/>
      <c r="C60" s="129"/>
      <c r="D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30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29"/>
    </row>
    <row r="61" spans="1:35" x14ac:dyDescent="0.15">
      <c r="D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  <c r="AC61" s="129"/>
      <c r="AD61" s="129"/>
      <c r="AE61" s="129"/>
      <c r="AF61" s="129"/>
      <c r="AG61" s="129"/>
      <c r="AH61" s="129"/>
      <c r="AI61" s="129"/>
    </row>
    <row r="62" spans="1:35" x14ac:dyDescent="0.15"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x14ac:dyDescent="0.15"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7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x14ac:dyDescent="0.15">
      <c r="O64" s="129"/>
      <c r="P64" s="129"/>
      <c r="Q64" s="129"/>
      <c r="R64" s="129"/>
      <c r="S64" s="129"/>
      <c r="T64" s="129"/>
      <c r="U64" s="129"/>
      <c r="V64" s="129"/>
      <c r="W64" s="129"/>
      <c r="X64" s="13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129"/>
    </row>
    <row r="65" spans="13:35" x14ac:dyDescent="0.15">
      <c r="O65" s="129"/>
      <c r="P65" s="129"/>
      <c r="Q65" s="129"/>
      <c r="R65" s="129"/>
      <c r="S65" s="129"/>
      <c r="T65" s="129"/>
      <c r="U65" s="129"/>
      <c r="V65" s="129"/>
      <c r="W65" s="129"/>
      <c r="X65" s="130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129"/>
    </row>
    <row r="66" spans="13:35" x14ac:dyDescent="0.15">
      <c r="O66" s="129"/>
      <c r="P66" s="129"/>
      <c r="Q66" s="129"/>
      <c r="R66" s="129"/>
      <c r="S66" s="129"/>
      <c r="T66" s="129"/>
      <c r="U66" s="129"/>
      <c r="V66" s="129"/>
      <c r="W66" s="129"/>
      <c r="X66" s="130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129"/>
    </row>
    <row r="67" spans="13:35" x14ac:dyDescent="0.15">
      <c r="O67" s="129"/>
      <c r="P67" s="129"/>
      <c r="Q67" s="129"/>
      <c r="R67" s="129"/>
      <c r="S67" s="129"/>
      <c r="T67" s="129"/>
      <c r="U67" s="129"/>
      <c r="V67" s="129"/>
      <c r="W67" s="129"/>
      <c r="X67" s="130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129"/>
    </row>
    <row r="68" spans="13:35" x14ac:dyDescent="0.15">
      <c r="O68" s="129"/>
      <c r="P68" s="129"/>
      <c r="Q68" s="129"/>
      <c r="R68" s="129"/>
      <c r="S68" s="129"/>
      <c r="T68" s="129"/>
      <c r="U68" s="129"/>
      <c r="V68" s="129"/>
      <c r="W68" s="129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129"/>
    </row>
    <row r="69" spans="13:35" x14ac:dyDescent="0.15">
      <c r="O69" s="129"/>
      <c r="P69" s="129"/>
      <c r="Q69" s="129"/>
      <c r="R69" s="129"/>
      <c r="S69" s="129"/>
      <c r="T69" s="129"/>
      <c r="U69" s="129"/>
      <c r="V69" s="129"/>
      <c r="W69" s="129"/>
      <c r="X69" s="67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129"/>
    </row>
    <row r="70" spans="13:35" x14ac:dyDescent="0.15">
      <c r="O70" s="129"/>
      <c r="P70" s="129"/>
      <c r="Q70" s="129"/>
      <c r="R70" s="129"/>
      <c r="S70" s="129"/>
      <c r="T70" s="129"/>
      <c r="U70" s="129"/>
      <c r="V70" s="129"/>
      <c r="W70" s="129"/>
      <c r="X70" s="130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29"/>
    </row>
    <row r="71" spans="13:35" x14ac:dyDescent="0.15"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  <c r="AA71" s="129"/>
      <c r="AB71" s="129"/>
      <c r="AC71" s="129"/>
      <c r="AD71" s="129"/>
      <c r="AE71" s="129"/>
      <c r="AF71" s="129"/>
      <c r="AG71" s="129"/>
      <c r="AH71" s="129"/>
      <c r="AI71" s="129"/>
    </row>
    <row r="72" spans="13:35" x14ac:dyDescent="0.15"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  <c r="AA72" s="129"/>
      <c r="AB72" s="129"/>
      <c r="AC72" s="129"/>
      <c r="AD72" s="129"/>
      <c r="AE72" s="129"/>
      <c r="AF72" s="129"/>
      <c r="AG72" s="129"/>
      <c r="AH72" s="129"/>
      <c r="AI72" s="129"/>
    </row>
    <row r="73" spans="13:35" x14ac:dyDescent="0.15">
      <c r="O73" s="129"/>
      <c r="P73" s="129"/>
      <c r="Q73" s="129"/>
      <c r="R73" s="129"/>
      <c r="S73" s="129"/>
      <c r="T73" s="129"/>
      <c r="U73" s="129"/>
      <c r="V73" s="129"/>
      <c r="W73" s="127"/>
      <c r="X73" s="129"/>
      <c r="Y73" s="129"/>
      <c r="Z73" s="129"/>
      <c r="AA73" s="129"/>
      <c r="AB73" s="129"/>
      <c r="AC73" s="129"/>
      <c r="AD73" s="129"/>
      <c r="AE73" s="129"/>
      <c r="AF73" s="129"/>
      <c r="AG73" s="129"/>
      <c r="AH73" s="129"/>
      <c r="AI73" s="129"/>
    </row>
    <row r="74" spans="13:35" x14ac:dyDescent="0.15">
      <c r="O74" s="129"/>
      <c r="P74" s="129"/>
      <c r="Q74" s="129"/>
      <c r="R74" s="129"/>
      <c r="S74" s="129"/>
      <c r="T74" s="129"/>
      <c r="U74" s="129"/>
      <c r="V74" s="129"/>
      <c r="W74" s="129"/>
      <c r="X74" s="13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129"/>
    </row>
    <row r="75" spans="13:35" x14ac:dyDescent="0.15">
      <c r="O75" s="129"/>
      <c r="P75" s="129"/>
      <c r="Q75" s="129"/>
      <c r="R75" s="129"/>
      <c r="S75" s="129"/>
      <c r="T75" s="129"/>
      <c r="U75" s="129"/>
      <c r="V75" s="129"/>
      <c r="W75" s="129"/>
      <c r="X75" s="130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129"/>
    </row>
    <row r="76" spans="13:35" x14ac:dyDescent="0.15">
      <c r="O76" s="129"/>
      <c r="P76" s="129"/>
      <c r="Q76" s="129"/>
      <c r="R76" s="129"/>
      <c r="S76" s="129"/>
      <c r="T76" s="129"/>
      <c r="U76" s="129"/>
      <c r="V76" s="129"/>
      <c r="W76" s="129"/>
      <c r="X76" s="130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129"/>
    </row>
    <row r="77" spans="13:35" x14ac:dyDescent="0.15">
      <c r="O77" s="129"/>
      <c r="P77" s="129"/>
      <c r="Q77" s="129"/>
      <c r="R77" s="129"/>
      <c r="S77" s="129"/>
      <c r="T77" s="129"/>
      <c r="U77" s="129"/>
      <c r="V77" s="129"/>
      <c r="W77" s="129"/>
      <c r="X77" s="130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129"/>
    </row>
    <row r="78" spans="13:35" x14ac:dyDescent="0.15"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129"/>
    </row>
    <row r="79" spans="13:35" x14ac:dyDescent="0.15"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67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129"/>
    </row>
    <row r="80" spans="13:35" x14ac:dyDescent="0.15"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30"/>
      <c r="Y80" s="132"/>
      <c r="Z80" s="132"/>
      <c r="AA80" s="132"/>
      <c r="AB80" s="132"/>
      <c r="AC80" s="132"/>
      <c r="AD80" s="132"/>
      <c r="AE80" s="132"/>
      <c r="AF80" s="132"/>
      <c r="AG80" s="132"/>
      <c r="AH80" s="132"/>
      <c r="AI80" s="129"/>
    </row>
    <row r="81" spans="13:35" x14ac:dyDescent="0.15"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  <c r="AA81" s="129"/>
      <c r="AB81" s="129"/>
      <c r="AC81" s="129"/>
      <c r="AD81" s="129"/>
      <c r="AE81" s="129"/>
      <c r="AF81" s="129"/>
      <c r="AG81" s="129"/>
      <c r="AH81" s="129"/>
      <c r="AI81" s="129"/>
    </row>
    <row r="82" spans="13:35" x14ac:dyDescent="0.15"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  <c r="AA82" s="129"/>
      <c r="AB82" s="129"/>
      <c r="AC82" s="129"/>
      <c r="AD82" s="129"/>
      <c r="AE82" s="129"/>
      <c r="AF82" s="129"/>
      <c r="AG82" s="129"/>
      <c r="AH82" s="129"/>
      <c r="AI82" s="129"/>
    </row>
    <row r="83" spans="13:35" x14ac:dyDescent="0.15"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7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</row>
    <row r="84" spans="13:35" x14ac:dyDescent="0.15"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3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129"/>
    </row>
    <row r="85" spans="13:35" x14ac:dyDescent="0.15"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30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129"/>
    </row>
    <row r="86" spans="13:35" x14ac:dyDescent="0.15"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30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129"/>
    </row>
    <row r="87" spans="13:35" x14ac:dyDescent="0.15"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30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129"/>
    </row>
    <row r="88" spans="13:35" x14ac:dyDescent="0.15"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129"/>
    </row>
    <row r="89" spans="13:35" x14ac:dyDescent="0.15"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67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129"/>
    </row>
    <row r="90" spans="13:35" x14ac:dyDescent="0.15"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30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29"/>
    </row>
    <row r="91" spans="13:35" x14ac:dyDescent="0.15"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3:35" x14ac:dyDescent="0.15"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  <c r="AA92" s="129"/>
      <c r="AB92" s="129"/>
      <c r="AC92" s="129"/>
      <c r="AD92" s="129"/>
      <c r="AE92" s="129"/>
      <c r="AF92" s="129"/>
      <c r="AG92" s="129"/>
      <c r="AH92" s="129"/>
      <c r="AI92" s="129"/>
    </row>
    <row r="93" spans="13:35" x14ac:dyDescent="0.15"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7"/>
      <c r="X93" s="129"/>
      <c r="Y93" s="129"/>
      <c r="Z93" s="129"/>
      <c r="AA93" s="129"/>
      <c r="AB93" s="129"/>
      <c r="AC93" s="129"/>
      <c r="AD93" s="129"/>
      <c r="AE93" s="129"/>
      <c r="AF93" s="129"/>
      <c r="AG93" s="129"/>
      <c r="AH93" s="129"/>
      <c r="AI93" s="129"/>
    </row>
    <row r="94" spans="13:35" x14ac:dyDescent="0.15"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3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129"/>
    </row>
    <row r="95" spans="13:35" x14ac:dyDescent="0.15"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30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129"/>
    </row>
    <row r="96" spans="13:35" x14ac:dyDescent="0.15"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30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129"/>
    </row>
    <row r="97" spans="13:35" x14ac:dyDescent="0.15"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30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129"/>
    </row>
    <row r="98" spans="13:35" x14ac:dyDescent="0.15"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129"/>
    </row>
    <row r="99" spans="13:35" x14ac:dyDescent="0.15"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67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129"/>
    </row>
    <row r="100" spans="13:35" x14ac:dyDescent="0.15"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30"/>
      <c r="Y100" s="132"/>
      <c r="Z100" s="132"/>
      <c r="AA100" s="132"/>
      <c r="AB100" s="132"/>
      <c r="AC100" s="132"/>
      <c r="AD100" s="132"/>
      <c r="AE100" s="132"/>
      <c r="AF100" s="132"/>
      <c r="AG100" s="132"/>
      <c r="AH100" s="132"/>
      <c r="AI100" s="129"/>
    </row>
    <row r="101" spans="13:35" x14ac:dyDescent="0.15"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  <c r="AA101" s="129"/>
      <c r="AB101" s="129"/>
      <c r="AC101" s="129"/>
      <c r="AD101" s="129"/>
      <c r="AE101" s="129"/>
      <c r="AF101" s="129"/>
      <c r="AG101" s="129"/>
      <c r="AH101" s="129"/>
      <c r="AI101" s="129"/>
    </row>
    <row r="102" spans="13:35" x14ac:dyDescent="0.15"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129"/>
      <c r="Z102" s="129"/>
      <c r="AA102" s="129"/>
      <c r="AB102" s="129"/>
      <c r="AC102" s="129"/>
      <c r="AD102" s="129"/>
      <c r="AE102" s="129"/>
      <c r="AF102" s="129"/>
      <c r="AG102" s="129"/>
      <c r="AH102" s="129"/>
      <c r="AI102" s="129"/>
    </row>
    <row r="103" spans="13:35" x14ac:dyDescent="0.15"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  <c r="AA103" s="129"/>
      <c r="AB103" s="129"/>
      <c r="AC103" s="129"/>
      <c r="AD103" s="129"/>
      <c r="AE103" s="129"/>
      <c r="AF103" s="129"/>
      <c r="AG103" s="129"/>
      <c r="AH103" s="129"/>
      <c r="AI103" s="129"/>
    </row>
    <row r="104" spans="13:35" x14ac:dyDescent="0.15"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  <c r="AA104" s="129"/>
      <c r="AB104" s="129"/>
      <c r="AC104" s="129"/>
      <c r="AD104" s="129"/>
      <c r="AE104" s="129"/>
      <c r="AF104" s="129"/>
      <c r="AG104" s="129"/>
      <c r="AH104" s="129"/>
      <c r="AI104" s="129"/>
    </row>
    <row r="105" spans="13:35" x14ac:dyDescent="0.15"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29"/>
      <c r="AA105" s="129"/>
      <c r="AB105" s="129"/>
      <c r="AC105" s="129"/>
      <c r="AD105" s="129"/>
      <c r="AE105" s="129"/>
      <c r="AF105" s="129"/>
      <c r="AG105" s="129"/>
      <c r="AH105" s="129"/>
      <c r="AI105" s="129"/>
    </row>
    <row r="106" spans="13:35" x14ac:dyDescent="0.15"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  <c r="AA106" s="129"/>
      <c r="AB106" s="129"/>
      <c r="AC106" s="129"/>
      <c r="AD106" s="129"/>
      <c r="AE106" s="129"/>
      <c r="AF106" s="129"/>
      <c r="AG106" s="129"/>
      <c r="AH106" s="129"/>
      <c r="AI106" s="129"/>
    </row>
    <row r="107" spans="13:35" x14ac:dyDescent="0.15"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29"/>
      <c r="AB107" s="129"/>
      <c r="AC107" s="129"/>
      <c r="AD107" s="129"/>
      <c r="AE107" s="129"/>
      <c r="AF107" s="129"/>
      <c r="AG107" s="129"/>
      <c r="AH107" s="129"/>
      <c r="AI107" s="129"/>
    </row>
    <row r="108" spans="13:35" x14ac:dyDescent="0.15"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  <c r="AA108" s="129"/>
      <c r="AB108" s="129"/>
      <c r="AC108" s="129"/>
      <c r="AD108" s="129"/>
      <c r="AE108" s="129"/>
      <c r="AF108" s="129"/>
      <c r="AG108" s="129"/>
      <c r="AH108" s="129"/>
      <c r="AI108" s="129"/>
    </row>
    <row r="109" spans="13:35" x14ac:dyDescent="0.15"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  <c r="AF109" s="129"/>
      <c r="AG109" s="129"/>
      <c r="AH109" s="129"/>
      <c r="AI109" s="129"/>
    </row>
    <row r="110" spans="13:35" x14ac:dyDescent="0.15"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  <c r="AA110" s="129"/>
      <c r="AB110" s="129"/>
      <c r="AC110" s="129"/>
      <c r="AD110" s="129"/>
      <c r="AE110" s="129"/>
      <c r="AF110" s="129"/>
      <c r="AG110" s="129"/>
      <c r="AH110" s="129"/>
      <c r="AI110" s="129"/>
    </row>
    <row r="111" spans="13:35" x14ac:dyDescent="0.15"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  <c r="AA111" s="129"/>
      <c r="AB111" s="129"/>
      <c r="AC111" s="129"/>
      <c r="AD111" s="129"/>
      <c r="AE111" s="129"/>
      <c r="AF111" s="129"/>
      <c r="AG111" s="129"/>
      <c r="AH111" s="129"/>
      <c r="AI111" s="129"/>
    </row>
    <row r="112" spans="13:35" x14ac:dyDescent="0.15"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  <c r="AA112" s="129"/>
      <c r="AB112" s="129"/>
      <c r="AC112" s="129"/>
      <c r="AD112" s="129"/>
      <c r="AE112" s="129"/>
      <c r="AF112" s="129"/>
      <c r="AG112" s="129"/>
      <c r="AH112" s="129"/>
      <c r="AI112" s="129"/>
    </row>
    <row r="113" spans="13:35" x14ac:dyDescent="0.15"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  <c r="AC113" s="129"/>
      <c r="AD113" s="129"/>
      <c r="AE113" s="129"/>
      <c r="AF113" s="129"/>
      <c r="AG113" s="129"/>
      <c r="AH113" s="129"/>
      <c r="AI113" s="129"/>
    </row>
    <row r="114" spans="13:35" x14ac:dyDescent="0.15"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129"/>
      <c r="Z114" s="129"/>
      <c r="AA114" s="129"/>
      <c r="AB114" s="129"/>
      <c r="AC114" s="129"/>
      <c r="AD114" s="129"/>
      <c r="AE114" s="129"/>
      <c r="AF114" s="129"/>
      <c r="AG114" s="129"/>
      <c r="AH114" s="129"/>
      <c r="AI114" s="129"/>
    </row>
    <row r="115" spans="13:35" x14ac:dyDescent="0.15"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  <c r="Z115" s="129"/>
      <c r="AA115" s="129"/>
      <c r="AB115" s="129"/>
      <c r="AC115" s="129"/>
      <c r="AD115" s="129"/>
      <c r="AE115" s="129"/>
      <c r="AF115" s="129"/>
      <c r="AG115" s="129"/>
      <c r="AH115" s="129"/>
      <c r="AI115" s="129"/>
    </row>
    <row r="116" spans="13:35" x14ac:dyDescent="0.15">
      <c r="M116" s="129"/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X116" s="129"/>
      <c r="Y116" s="129"/>
      <c r="Z116" s="129"/>
      <c r="AA116" s="129"/>
      <c r="AB116" s="129"/>
      <c r="AC116" s="129"/>
      <c r="AD116" s="129"/>
      <c r="AE116" s="129"/>
      <c r="AF116" s="129"/>
      <c r="AG116" s="129"/>
      <c r="AH116" s="129"/>
      <c r="AI116" s="129"/>
    </row>
    <row r="117" spans="13:35" x14ac:dyDescent="0.15"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  <c r="AC117" s="129"/>
      <c r="AD117" s="129"/>
      <c r="AE117" s="129"/>
      <c r="AF117" s="129"/>
      <c r="AG117" s="129"/>
      <c r="AH117" s="129"/>
      <c r="AI117" s="129"/>
    </row>
    <row r="118" spans="13:35" x14ac:dyDescent="0.15"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3:35" x14ac:dyDescent="0.15"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  <c r="AA119" s="129"/>
      <c r="AB119" s="129"/>
      <c r="AC119" s="129"/>
      <c r="AD119" s="129"/>
      <c r="AE119" s="129"/>
      <c r="AF119" s="129"/>
      <c r="AG119" s="129"/>
      <c r="AH119" s="129"/>
      <c r="AI119" s="129"/>
    </row>
    <row r="120" spans="13:35" x14ac:dyDescent="0.15"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  <c r="AA120" s="129"/>
      <c r="AB120" s="129"/>
      <c r="AC120" s="129"/>
      <c r="AD120" s="129"/>
      <c r="AE120" s="129"/>
      <c r="AF120" s="129"/>
      <c r="AG120" s="129"/>
      <c r="AH120" s="129"/>
      <c r="AI120" s="129"/>
    </row>
    <row r="121" spans="13:35" x14ac:dyDescent="0.15"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29"/>
      <c r="AC121" s="129"/>
      <c r="AD121" s="129"/>
      <c r="AE121" s="129"/>
      <c r="AF121" s="129"/>
      <c r="AG121" s="129"/>
      <c r="AH121" s="129"/>
      <c r="AI121" s="129"/>
    </row>
    <row r="122" spans="13:35" x14ac:dyDescent="0.15"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29"/>
      <c r="AB122" s="129"/>
      <c r="AC122" s="129"/>
      <c r="AD122" s="129"/>
      <c r="AE122" s="129"/>
      <c r="AF122" s="129"/>
      <c r="AG122" s="129"/>
      <c r="AH122" s="129"/>
      <c r="AI122" s="129"/>
    </row>
    <row r="123" spans="13:35" x14ac:dyDescent="0.15"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3:35" x14ac:dyDescent="0.15"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  <c r="AA124" s="129"/>
      <c r="AB124" s="129"/>
      <c r="AC124" s="129"/>
      <c r="AD124" s="129"/>
      <c r="AE124" s="129"/>
      <c r="AF124" s="129"/>
      <c r="AG124" s="129"/>
      <c r="AH124" s="129"/>
      <c r="AI124" s="129"/>
    </row>
    <row r="125" spans="13:35" x14ac:dyDescent="0.15"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29"/>
      <c r="AB125" s="129"/>
      <c r="AC125" s="129"/>
      <c r="AD125" s="129"/>
      <c r="AE125" s="129"/>
      <c r="AF125" s="129"/>
      <c r="AG125" s="129"/>
      <c r="AH125" s="129"/>
      <c r="AI125" s="129"/>
    </row>
    <row r="126" spans="13:35" x14ac:dyDescent="0.15"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  <c r="AC126" s="129"/>
      <c r="AD126" s="129"/>
      <c r="AE126" s="129"/>
      <c r="AF126" s="129"/>
      <c r="AG126" s="129"/>
      <c r="AH126" s="129"/>
      <c r="AI126" s="129"/>
    </row>
    <row r="127" spans="13:35" x14ac:dyDescent="0.15">
      <c r="M127" s="129"/>
      <c r="N127" s="129"/>
      <c r="O127" s="129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  <c r="Z127" s="129"/>
      <c r="AA127" s="129"/>
      <c r="AB127" s="129"/>
      <c r="AC127" s="129"/>
      <c r="AD127" s="129"/>
      <c r="AE127" s="129"/>
      <c r="AF127" s="129"/>
      <c r="AG127" s="129"/>
      <c r="AH127" s="129"/>
      <c r="AI127" s="129"/>
    </row>
    <row r="128" spans="13:35" x14ac:dyDescent="0.15"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29"/>
      <c r="AA128" s="129"/>
      <c r="AB128" s="129"/>
      <c r="AC128" s="129"/>
      <c r="AD128" s="129"/>
      <c r="AE128" s="129"/>
      <c r="AF128" s="129"/>
      <c r="AG128" s="129"/>
      <c r="AH128" s="129"/>
      <c r="AI128" s="129"/>
    </row>
    <row r="129" spans="13:35" x14ac:dyDescent="0.15"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  <c r="AI129" s="129"/>
    </row>
    <row r="130" spans="13:35" x14ac:dyDescent="0.15"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  <c r="AA130" s="129"/>
      <c r="AB130" s="129"/>
      <c r="AC130" s="129"/>
      <c r="AD130" s="129"/>
      <c r="AE130" s="129"/>
      <c r="AF130" s="129"/>
      <c r="AG130" s="129"/>
      <c r="AH130" s="129"/>
      <c r="AI130" s="129"/>
    </row>
    <row r="131" spans="13:35" x14ac:dyDescent="0.15"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  <c r="AA131" s="129"/>
      <c r="AB131" s="129"/>
      <c r="AC131" s="129"/>
      <c r="AD131" s="129"/>
      <c r="AE131" s="129"/>
      <c r="AF131" s="129"/>
      <c r="AG131" s="129"/>
      <c r="AH131" s="129"/>
      <c r="AI131" s="129"/>
    </row>
    <row r="132" spans="13:35" x14ac:dyDescent="0.15"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  <c r="AB132" s="129"/>
      <c r="AC132" s="129"/>
      <c r="AD132" s="129"/>
      <c r="AE132" s="129"/>
      <c r="AF132" s="129"/>
      <c r="AG132" s="129"/>
      <c r="AH132" s="129"/>
      <c r="AI132" s="129"/>
    </row>
    <row r="133" spans="13:35" x14ac:dyDescent="0.15"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</row>
    <row r="134" spans="13:35" x14ac:dyDescent="0.15">
      <c r="M134" s="129"/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  <c r="X134" s="129"/>
      <c r="Y134" s="129"/>
      <c r="Z134" s="129"/>
      <c r="AA134" s="129"/>
      <c r="AB134" s="129"/>
      <c r="AC134" s="129"/>
      <c r="AD134" s="129"/>
      <c r="AE134" s="129"/>
      <c r="AF134" s="129"/>
      <c r="AG134" s="129"/>
      <c r="AH134" s="129"/>
      <c r="AI134" s="129"/>
    </row>
    <row r="135" spans="13:35" x14ac:dyDescent="0.15"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129"/>
      <c r="Y135" s="129"/>
      <c r="Z135" s="129"/>
      <c r="AA135" s="129"/>
      <c r="AB135" s="129"/>
      <c r="AC135" s="129"/>
      <c r="AD135" s="129"/>
      <c r="AE135" s="129"/>
      <c r="AF135" s="129"/>
      <c r="AG135" s="129"/>
      <c r="AH135" s="129"/>
      <c r="AI135" s="129"/>
    </row>
    <row r="136" spans="13:35" x14ac:dyDescent="0.15"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  <c r="AA136" s="129"/>
      <c r="AB136" s="129"/>
      <c r="AC136" s="129"/>
      <c r="AD136" s="129"/>
      <c r="AE136" s="129"/>
      <c r="AF136" s="129"/>
      <c r="AG136" s="129"/>
      <c r="AH136" s="129"/>
      <c r="AI136" s="129"/>
    </row>
    <row r="137" spans="13:35" x14ac:dyDescent="0.15"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</row>
    <row r="138" spans="13:35" x14ac:dyDescent="0.15"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29"/>
      <c r="AB138" s="129"/>
      <c r="AC138" s="129"/>
      <c r="AD138" s="129"/>
      <c r="AE138" s="129"/>
      <c r="AF138" s="129"/>
      <c r="AG138" s="129"/>
      <c r="AH138" s="129"/>
      <c r="AI138" s="129"/>
    </row>
    <row r="139" spans="13:35" x14ac:dyDescent="0.15">
      <c r="M139" s="129"/>
      <c r="N139" s="129"/>
      <c r="O139" s="129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  <c r="AA139" s="129"/>
      <c r="AB139" s="129"/>
      <c r="AC139" s="129"/>
      <c r="AD139" s="129"/>
      <c r="AE139" s="129"/>
      <c r="AF139" s="129"/>
      <c r="AG139" s="129"/>
      <c r="AH139" s="129"/>
      <c r="AI139" s="129"/>
    </row>
    <row r="140" spans="13:35" x14ac:dyDescent="0.15"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  <c r="AC140" s="129"/>
      <c r="AD140" s="129"/>
      <c r="AE140" s="129"/>
      <c r="AF140" s="129"/>
      <c r="AG140" s="129"/>
      <c r="AH140" s="129"/>
      <c r="AI140" s="129"/>
    </row>
    <row r="141" spans="13:35" x14ac:dyDescent="0.15"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  <c r="AE141" s="129"/>
      <c r="AF141" s="129"/>
      <c r="AG141" s="129"/>
      <c r="AH141" s="129"/>
      <c r="AI141" s="129"/>
    </row>
    <row r="142" spans="13:35" x14ac:dyDescent="0.15"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  <c r="AE142" s="129"/>
      <c r="AF142" s="129"/>
      <c r="AG142" s="129"/>
      <c r="AH142" s="129"/>
      <c r="AI142" s="129"/>
    </row>
    <row r="143" spans="13:35" x14ac:dyDescent="0.15">
      <c r="M143" s="129"/>
      <c r="N143" s="129"/>
      <c r="O143" s="129"/>
      <c r="P143" s="129"/>
      <c r="Q143" s="129"/>
      <c r="R143" s="129"/>
      <c r="S143" s="129"/>
      <c r="T143" s="129"/>
      <c r="U143" s="129"/>
      <c r="V143" s="129"/>
      <c r="W143" s="129"/>
      <c r="X143" s="129"/>
      <c r="Y143" s="129"/>
      <c r="Z143" s="129"/>
      <c r="AA143" s="129"/>
      <c r="AB143" s="129"/>
      <c r="AC143" s="129"/>
      <c r="AD143" s="129"/>
      <c r="AE143" s="129"/>
      <c r="AF143" s="129"/>
      <c r="AG143" s="129"/>
      <c r="AH143" s="129"/>
      <c r="AI143" s="129"/>
    </row>
    <row r="144" spans="13:35" x14ac:dyDescent="0.15">
      <c r="M144" s="129"/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  <c r="AA144" s="129"/>
      <c r="AB144" s="129"/>
      <c r="AC144" s="129"/>
      <c r="AD144" s="129"/>
      <c r="AE144" s="129"/>
      <c r="AF144" s="129"/>
      <c r="AG144" s="129"/>
      <c r="AH144" s="129"/>
      <c r="AI144" s="129"/>
    </row>
    <row r="145" spans="13:35" x14ac:dyDescent="0.15"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129"/>
      <c r="AF145" s="129"/>
      <c r="AG145" s="129"/>
      <c r="AH145" s="129"/>
      <c r="AI145" s="129"/>
    </row>
    <row r="146" spans="13:35" x14ac:dyDescent="0.15"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129"/>
      <c r="AF146" s="129"/>
      <c r="AG146" s="129"/>
      <c r="AH146" s="129"/>
      <c r="AI146" s="129"/>
    </row>
    <row r="147" spans="13:35" x14ac:dyDescent="0.15">
      <c r="M147" s="129"/>
      <c r="N147" s="129"/>
      <c r="O147" s="129"/>
      <c r="P147" s="129"/>
      <c r="Q147" s="129"/>
      <c r="R147" s="129"/>
      <c r="S147" s="129"/>
      <c r="T147" s="129"/>
      <c r="U147" s="129"/>
      <c r="V147" s="129"/>
      <c r="W147" s="129"/>
      <c r="X147" s="129"/>
      <c r="Y147" s="129"/>
      <c r="Z147" s="129"/>
      <c r="AA147" s="129"/>
      <c r="AB147" s="129"/>
      <c r="AC147" s="129"/>
      <c r="AD147" s="129"/>
      <c r="AE147" s="129"/>
      <c r="AF147" s="129"/>
      <c r="AG147" s="129"/>
      <c r="AH147" s="129"/>
      <c r="AI147" s="129"/>
    </row>
    <row r="148" spans="13:35" x14ac:dyDescent="0.15"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129"/>
      <c r="AF148" s="129"/>
      <c r="AG148" s="129"/>
      <c r="AH148" s="129"/>
      <c r="AI148" s="129"/>
    </row>
    <row r="149" spans="13:35" x14ac:dyDescent="0.15"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  <c r="AA149" s="129"/>
      <c r="AB149" s="129"/>
      <c r="AC149" s="129"/>
      <c r="AD149" s="129"/>
      <c r="AE149" s="129"/>
      <c r="AF149" s="129"/>
      <c r="AG149" s="129"/>
      <c r="AH149" s="129"/>
      <c r="AI149" s="129"/>
    </row>
    <row r="150" spans="13:35" x14ac:dyDescent="0.15"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  <c r="AC150" s="129"/>
      <c r="AD150" s="129"/>
      <c r="AE150" s="129"/>
      <c r="AF150" s="129"/>
      <c r="AG150" s="129"/>
      <c r="AH150" s="129"/>
      <c r="AI150" s="129"/>
    </row>
    <row r="151" spans="13:35" x14ac:dyDescent="0.15">
      <c r="M151" s="129"/>
      <c r="N151" s="129"/>
      <c r="O151" s="129"/>
      <c r="P151" s="129"/>
      <c r="Q151" s="129"/>
      <c r="R151" s="129"/>
      <c r="S151" s="129"/>
      <c r="T151" s="129"/>
      <c r="U151" s="129"/>
      <c r="V151" s="129"/>
      <c r="W151" s="129"/>
      <c r="X151" s="129"/>
      <c r="Y151" s="129"/>
      <c r="Z151" s="129"/>
      <c r="AA151" s="129"/>
      <c r="AB151" s="129"/>
      <c r="AC151" s="129"/>
      <c r="AD151" s="129"/>
      <c r="AE151" s="129"/>
      <c r="AF151" s="129"/>
      <c r="AG151" s="129"/>
      <c r="AH151" s="129"/>
      <c r="AI151" s="129"/>
    </row>
    <row r="152" spans="13:35" x14ac:dyDescent="0.15">
      <c r="M152" s="129"/>
      <c r="N152" s="129"/>
      <c r="O152" s="129"/>
      <c r="P152" s="129"/>
      <c r="Q152" s="129"/>
      <c r="R152" s="129"/>
      <c r="S152" s="129"/>
      <c r="T152" s="129"/>
      <c r="U152" s="129"/>
      <c r="V152" s="129"/>
      <c r="W152" s="129"/>
      <c r="X152" s="129"/>
      <c r="Y152" s="129"/>
      <c r="Z152" s="129"/>
      <c r="AA152" s="129"/>
      <c r="AB152" s="129"/>
      <c r="AC152" s="129"/>
      <c r="AD152" s="129"/>
      <c r="AE152" s="129"/>
      <c r="AF152" s="129"/>
      <c r="AG152" s="129"/>
      <c r="AH152" s="129"/>
      <c r="AI152" s="129"/>
    </row>
    <row r="153" spans="13:35" x14ac:dyDescent="0.15">
      <c r="M153" s="129"/>
      <c r="N153" s="129"/>
      <c r="O153" s="129"/>
      <c r="P153" s="129"/>
      <c r="Q153" s="129"/>
      <c r="R153" s="129"/>
      <c r="S153" s="129"/>
      <c r="T153" s="129"/>
      <c r="U153" s="129"/>
      <c r="V153" s="129"/>
      <c r="W153" s="129"/>
      <c r="X153" s="129"/>
      <c r="Y153" s="129"/>
      <c r="Z153" s="129"/>
      <c r="AA153" s="129"/>
      <c r="AB153" s="129"/>
      <c r="AC153" s="129"/>
      <c r="AD153" s="129"/>
      <c r="AE153" s="129"/>
      <c r="AF153" s="129"/>
      <c r="AG153" s="129"/>
      <c r="AH153" s="129"/>
      <c r="AI153" s="129"/>
    </row>
    <row r="154" spans="13:35" x14ac:dyDescent="0.15">
      <c r="M154" s="129"/>
      <c r="N154" s="129"/>
      <c r="O154" s="129"/>
      <c r="P154" s="129"/>
      <c r="Q154" s="129"/>
      <c r="R154" s="129"/>
      <c r="S154" s="129"/>
      <c r="T154" s="129"/>
      <c r="U154" s="129"/>
      <c r="V154" s="129"/>
      <c r="W154" s="129"/>
      <c r="X154" s="129"/>
      <c r="Y154" s="129"/>
      <c r="Z154" s="129"/>
      <c r="AA154" s="129"/>
      <c r="AB154" s="129"/>
      <c r="AC154" s="129"/>
      <c r="AD154" s="129"/>
      <c r="AE154" s="129"/>
      <c r="AF154" s="129"/>
      <c r="AG154" s="129"/>
      <c r="AH154" s="129"/>
      <c r="AI154" s="129"/>
    </row>
    <row r="155" spans="13:35" x14ac:dyDescent="0.15">
      <c r="M155" s="129"/>
      <c r="N155" s="129"/>
      <c r="O155" s="129"/>
      <c r="P155" s="129"/>
      <c r="Q155" s="129"/>
      <c r="R155" s="129"/>
      <c r="S155" s="129"/>
      <c r="T155" s="129"/>
      <c r="U155" s="129"/>
      <c r="V155" s="129"/>
      <c r="W155" s="129"/>
      <c r="X155" s="129"/>
      <c r="Y155" s="129"/>
      <c r="Z155" s="129"/>
      <c r="AA155" s="129"/>
      <c r="AB155" s="129"/>
      <c r="AC155" s="129"/>
      <c r="AD155" s="129"/>
      <c r="AE155" s="129"/>
      <c r="AF155" s="129"/>
      <c r="AG155" s="129"/>
      <c r="AH155" s="129"/>
      <c r="AI155" s="129"/>
    </row>
    <row r="156" spans="13:35" x14ac:dyDescent="0.15">
      <c r="M156" s="129"/>
      <c r="N156" s="129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  <c r="AA156" s="129"/>
      <c r="AB156" s="129"/>
      <c r="AC156" s="129"/>
      <c r="AD156" s="129"/>
      <c r="AE156" s="129"/>
      <c r="AF156" s="129"/>
      <c r="AG156" s="129"/>
      <c r="AH156" s="129"/>
      <c r="AI156" s="129"/>
    </row>
    <row r="157" spans="13:35" x14ac:dyDescent="0.15">
      <c r="M157" s="129"/>
      <c r="N157" s="129"/>
      <c r="O157" s="129"/>
      <c r="P157" s="129"/>
      <c r="Q157" s="129"/>
      <c r="R157" s="129"/>
      <c r="S157" s="129"/>
      <c r="T157" s="129"/>
      <c r="U157" s="129"/>
      <c r="V157" s="129"/>
      <c r="W157" s="129"/>
      <c r="X157" s="129"/>
      <c r="Y157" s="129"/>
      <c r="Z157" s="129"/>
      <c r="AA157" s="129"/>
      <c r="AB157" s="129"/>
      <c r="AC157" s="129"/>
      <c r="AD157" s="129"/>
      <c r="AE157" s="129"/>
      <c r="AF157" s="129"/>
      <c r="AG157" s="129"/>
      <c r="AH157" s="129"/>
      <c r="AI157" s="129"/>
    </row>
    <row r="158" spans="13:35" x14ac:dyDescent="0.15"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  <c r="AA158" s="129"/>
      <c r="AB158" s="129"/>
      <c r="AC158" s="129"/>
      <c r="AD158" s="129"/>
      <c r="AE158" s="129"/>
      <c r="AF158" s="129"/>
      <c r="AG158" s="129"/>
      <c r="AH158" s="129"/>
      <c r="AI158" s="129"/>
    </row>
    <row r="159" spans="13:35" x14ac:dyDescent="0.15"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29"/>
      <c r="AB159" s="129"/>
      <c r="AC159" s="129"/>
      <c r="AD159" s="129"/>
      <c r="AE159" s="129"/>
      <c r="AF159" s="129"/>
      <c r="AG159" s="129"/>
      <c r="AH159" s="129"/>
      <c r="AI159" s="129"/>
    </row>
    <row r="160" spans="13:35" x14ac:dyDescent="0.15"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  <c r="AA160" s="129"/>
      <c r="AB160" s="129"/>
      <c r="AC160" s="129"/>
      <c r="AD160" s="129"/>
      <c r="AE160" s="129"/>
      <c r="AF160" s="129"/>
      <c r="AG160" s="129"/>
      <c r="AH160" s="129"/>
      <c r="AI160" s="129"/>
    </row>
    <row r="161" spans="13:35" x14ac:dyDescent="0.15">
      <c r="M161" s="129"/>
      <c r="N161" s="129"/>
      <c r="O161" s="129"/>
      <c r="P161" s="129"/>
      <c r="Q161" s="129"/>
      <c r="R161" s="129"/>
      <c r="S161" s="129"/>
      <c r="T161" s="129"/>
      <c r="U161" s="129"/>
      <c r="V161" s="129"/>
      <c r="W161" s="129"/>
      <c r="X161" s="129"/>
      <c r="Y161" s="129"/>
      <c r="Z161" s="129"/>
      <c r="AA161" s="129"/>
      <c r="AB161" s="129"/>
      <c r="AC161" s="129"/>
      <c r="AD161" s="129"/>
      <c r="AE161" s="129"/>
      <c r="AF161" s="129"/>
      <c r="AG161" s="129"/>
      <c r="AH161" s="129"/>
      <c r="AI161" s="129"/>
    </row>
    <row r="162" spans="13:35" x14ac:dyDescent="0.15">
      <c r="M162" s="129"/>
      <c r="N162" s="129"/>
      <c r="O162" s="129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  <c r="Z162" s="129"/>
      <c r="AA162" s="129"/>
      <c r="AB162" s="129"/>
      <c r="AC162" s="129"/>
      <c r="AD162" s="129"/>
      <c r="AE162" s="129"/>
      <c r="AF162" s="129"/>
      <c r="AG162" s="129"/>
      <c r="AH162" s="129"/>
      <c r="AI162" s="129"/>
    </row>
    <row r="163" spans="13:35" x14ac:dyDescent="0.15">
      <c r="M163" s="129"/>
      <c r="N163" s="129"/>
      <c r="O163" s="129"/>
      <c r="P163" s="129"/>
      <c r="Q163" s="129"/>
      <c r="R163" s="129"/>
      <c r="S163" s="129"/>
      <c r="T163" s="129"/>
      <c r="U163" s="129"/>
      <c r="V163" s="129"/>
      <c r="W163" s="129"/>
      <c r="X163" s="129"/>
      <c r="Y163" s="129"/>
      <c r="Z163" s="129"/>
      <c r="AA163" s="129"/>
      <c r="AB163" s="129"/>
      <c r="AC163" s="129"/>
      <c r="AD163" s="129"/>
      <c r="AE163" s="129"/>
      <c r="AF163" s="129"/>
      <c r="AG163" s="129"/>
      <c r="AH163" s="129"/>
      <c r="AI163" s="129"/>
    </row>
    <row r="164" spans="13:35" x14ac:dyDescent="0.15"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  <c r="AA164" s="129"/>
      <c r="AB164" s="129"/>
      <c r="AC164" s="129"/>
      <c r="AD164" s="129"/>
      <c r="AE164" s="129"/>
      <c r="AF164" s="129"/>
      <c r="AG164" s="129"/>
      <c r="AH164" s="129"/>
      <c r="AI164" s="129"/>
    </row>
    <row r="165" spans="13:35" x14ac:dyDescent="0.15"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  <c r="AA165" s="129"/>
      <c r="AB165" s="129"/>
      <c r="AC165" s="129"/>
      <c r="AD165" s="129"/>
      <c r="AE165" s="129"/>
      <c r="AF165" s="129"/>
      <c r="AG165" s="129"/>
      <c r="AH165" s="129"/>
      <c r="AI165" s="129"/>
    </row>
    <row r="166" spans="13:35" x14ac:dyDescent="0.15"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  <c r="AA166" s="129"/>
      <c r="AB166" s="129"/>
      <c r="AC166" s="129"/>
      <c r="AD166" s="129"/>
      <c r="AE166" s="129"/>
      <c r="AF166" s="129"/>
      <c r="AG166" s="129"/>
      <c r="AH166" s="129"/>
      <c r="AI166" s="129"/>
    </row>
    <row r="167" spans="13:35" x14ac:dyDescent="0.15">
      <c r="M167" s="129"/>
      <c r="N167" s="129"/>
      <c r="O167" s="129"/>
      <c r="P167" s="129"/>
      <c r="Q167" s="129"/>
      <c r="R167" s="129"/>
      <c r="S167" s="129"/>
      <c r="T167" s="129"/>
      <c r="U167" s="129"/>
      <c r="V167" s="129"/>
      <c r="W167" s="129"/>
      <c r="X167" s="129"/>
      <c r="Y167" s="129"/>
      <c r="Z167" s="129"/>
      <c r="AA167" s="129"/>
      <c r="AB167" s="129"/>
      <c r="AC167" s="129"/>
      <c r="AD167" s="129"/>
      <c r="AE167" s="129"/>
      <c r="AF167" s="129"/>
      <c r="AG167" s="129"/>
      <c r="AH167" s="129"/>
      <c r="AI167" s="129"/>
    </row>
    <row r="168" spans="13:35" x14ac:dyDescent="0.15">
      <c r="M168" s="129"/>
      <c r="N168" s="129"/>
      <c r="O168" s="129"/>
      <c r="P168" s="129"/>
      <c r="Q168" s="129"/>
      <c r="R168" s="129"/>
      <c r="S168" s="129"/>
      <c r="T168" s="129"/>
      <c r="U168" s="129"/>
      <c r="V168" s="129"/>
      <c r="W168" s="129"/>
      <c r="X168" s="129"/>
      <c r="Y168" s="129"/>
      <c r="Z168" s="129"/>
      <c r="AA168" s="129"/>
      <c r="AB168" s="129"/>
      <c r="AC168" s="129"/>
      <c r="AD168" s="129"/>
      <c r="AE168" s="129"/>
      <c r="AF168" s="129"/>
      <c r="AG168" s="129"/>
      <c r="AH168" s="129"/>
      <c r="AI168" s="129"/>
    </row>
    <row r="169" spans="13:35" x14ac:dyDescent="0.15"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  <c r="AA169" s="129"/>
      <c r="AB169" s="129"/>
      <c r="AC169" s="129"/>
      <c r="AD169" s="129"/>
      <c r="AE169" s="129"/>
      <c r="AF169" s="129"/>
      <c r="AG169" s="129"/>
      <c r="AH169" s="129"/>
      <c r="AI169" s="129"/>
    </row>
    <row r="170" spans="13:35" x14ac:dyDescent="0.15">
      <c r="M170" s="129"/>
      <c r="N170" s="129"/>
      <c r="O170" s="129"/>
      <c r="P170" s="129"/>
      <c r="Q170" s="129"/>
      <c r="R170" s="129"/>
      <c r="S170" s="129"/>
      <c r="T170" s="129"/>
      <c r="U170" s="129"/>
      <c r="V170" s="129"/>
      <c r="W170" s="129"/>
      <c r="X170" s="129"/>
      <c r="Y170" s="129"/>
      <c r="Z170" s="129"/>
      <c r="AA170" s="129"/>
      <c r="AB170" s="129"/>
      <c r="AC170" s="129"/>
      <c r="AD170" s="129"/>
      <c r="AE170" s="129"/>
      <c r="AF170" s="129"/>
      <c r="AG170" s="129"/>
      <c r="AH170" s="129"/>
      <c r="AI170" s="129"/>
    </row>
    <row r="171" spans="13:35" x14ac:dyDescent="0.15">
      <c r="M171" s="129"/>
      <c r="N171" s="129"/>
      <c r="O171" s="129"/>
      <c r="P171" s="129"/>
      <c r="Q171" s="129"/>
      <c r="R171" s="129"/>
      <c r="S171" s="129"/>
      <c r="T171" s="129"/>
      <c r="U171" s="129"/>
      <c r="V171" s="129"/>
      <c r="W171" s="129"/>
      <c r="X171" s="129"/>
      <c r="Y171" s="129"/>
      <c r="Z171" s="129"/>
      <c r="AA171" s="129"/>
      <c r="AB171" s="129"/>
      <c r="AC171" s="129"/>
      <c r="AD171" s="129"/>
      <c r="AE171" s="129"/>
      <c r="AF171" s="129"/>
      <c r="AG171" s="129"/>
      <c r="AH171" s="129"/>
      <c r="AI171" s="129"/>
    </row>
    <row r="172" spans="13:35" x14ac:dyDescent="0.15">
      <c r="M172" s="129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  <c r="AA172" s="129"/>
      <c r="AB172" s="129"/>
      <c r="AC172" s="129"/>
      <c r="AD172" s="129"/>
      <c r="AE172" s="129"/>
      <c r="AF172" s="129"/>
      <c r="AG172" s="129"/>
      <c r="AH172" s="129"/>
      <c r="AI172" s="129"/>
    </row>
    <row r="173" spans="13:35" x14ac:dyDescent="0.15">
      <c r="M173" s="129"/>
      <c r="N173" s="129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  <c r="AA173" s="129"/>
      <c r="AB173" s="129"/>
      <c r="AC173" s="129"/>
      <c r="AD173" s="129"/>
      <c r="AE173" s="129"/>
      <c r="AF173" s="129"/>
      <c r="AG173" s="129"/>
      <c r="AH173" s="129"/>
      <c r="AI173" s="129"/>
    </row>
    <row r="174" spans="13:35" x14ac:dyDescent="0.15">
      <c r="M174" s="129"/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  <c r="AA174" s="129"/>
      <c r="AB174" s="129"/>
      <c r="AC174" s="129"/>
      <c r="AD174" s="129"/>
      <c r="AE174" s="129"/>
      <c r="AF174" s="129"/>
      <c r="AG174" s="129"/>
      <c r="AH174" s="129"/>
      <c r="AI174" s="129"/>
    </row>
    <row r="175" spans="13:35" x14ac:dyDescent="0.15">
      <c r="M175" s="129"/>
      <c r="N175" s="129"/>
      <c r="O175" s="129"/>
      <c r="P175" s="129"/>
      <c r="Q175" s="129"/>
      <c r="R175" s="129"/>
      <c r="S175" s="129"/>
      <c r="T175" s="129"/>
      <c r="U175" s="129"/>
      <c r="V175" s="129"/>
      <c r="W175" s="129"/>
      <c r="X175" s="129"/>
      <c r="Y175" s="129"/>
      <c r="Z175" s="129"/>
      <c r="AA175" s="129"/>
      <c r="AB175" s="129"/>
      <c r="AC175" s="129"/>
      <c r="AD175" s="129"/>
      <c r="AE175" s="129"/>
      <c r="AF175" s="129"/>
      <c r="AG175" s="129"/>
      <c r="AH175" s="129"/>
      <c r="AI175" s="129"/>
    </row>
    <row r="176" spans="13:35" x14ac:dyDescent="0.15">
      <c r="M176" s="129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  <c r="AA176" s="129"/>
      <c r="AB176" s="129"/>
      <c r="AC176" s="129"/>
      <c r="AD176" s="129"/>
      <c r="AE176" s="129"/>
      <c r="AF176" s="129"/>
      <c r="AG176" s="129"/>
      <c r="AH176" s="129"/>
      <c r="AI176" s="129"/>
    </row>
    <row r="177" spans="13:35" x14ac:dyDescent="0.15"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  <c r="AA177" s="129"/>
      <c r="AB177" s="129"/>
      <c r="AC177" s="129"/>
      <c r="AD177" s="129"/>
      <c r="AE177" s="129"/>
      <c r="AF177" s="129"/>
      <c r="AG177" s="129"/>
      <c r="AH177" s="129"/>
      <c r="AI177" s="129"/>
    </row>
    <row r="178" spans="13:35" x14ac:dyDescent="0.15"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  <c r="AA178" s="129"/>
      <c r="AB178" s="129"/>
      <c r="AC178" s="129"/>
      <c r="AD178" s="129"/>
      <c r="AE178" s="129"/>
      <c r="AF178" s="129"/>
      <c r="AG178" s="129"/>
      <c r="AH178" s="129"/>
      <c r="AI178" s="129"/>
    </row>
    <row r="179" spans="13:35" x14ac:dyDescent="0.15">
      <c r="M179" s="129"/>
      <c r="N179" s="129"/>
      <c r="O179" s="129"/>
      <c r="P179" s="129"/>
      <c r="Q179" s="129"/>
      <c r="R179" s="129"/>
      <c r="S179" s="129"/>
      <c r="T179" s="129"/>
      <c r="U179" s="129"/>
      <c r="V179" s="129"/>
      <c r="W179" s="129"/>
      <c r="X179" s="129"/>
      <c r="Y179" s="129"/>
      <c r="Z179" s="129"/>
      <c r="AA179" s="129"/>
      <c r="AB179" s="129"/>
      <c r="AC179" s="129"/>
      <c r="AD179" s="129"/>
      <c r="AE179" s="129"/>
      <c r="AF179" s="129"/>
      <c r="AG179" s="129"/>
      <c r="AH179" s="129"/>
      <c r="AI179" s="129"/>
    </row>
    <row r="180" spans="13:35" x14ac:dyDescent="0.15">
      <c r="M180" s="129"/>
      <c r="N180" s="129"/>
      <c r="O180" s="12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  <c r="AA180" s="129"/>
      <c r="AB180" s="129"/>
      <c r="AC180" s="129"/>
      <c r="AD180" s="129"/>
      <c r="AE180" s="129"/>
      <c r="AF180" s="129"/>
      <c r="AG180" s="129"/>
      <c r="AH180" s="129"/>
      <c r="AI180" s="129"/>
    </row>
    <row r="181" spans="13:35" x14ac:dyDescent="0.15">
      <c r="M181" s="129"/>
      <c r="N181" s="129"/>
      <c r="O181" s="129"/>
      <c r="P181" s="129"/>
      <c r="Q181" s="129"/>
      <c r="R181" s="129"/>
      <c r="S181" s="129"/>
      <c r="T181" s="129"/>
      <c r="U181" s="129"/>
      <c r="V181" s="129"/>
      <c r="W181" s="129"/>
      <c r="X181" s="129"/>
      <c r="Y181" s="129"/>
      <c r="Z181" s="129"/>
      <c r="AA181" s="129"/>
      <c r="AB181" s="129"/>
      <c r="AC181" s="129"/>
      <c r="AD181" s="129"/>
      <c r="AE181" s="129"/>
      <c r="AF181" s="129"/>
      <c r="AG181" s="129"/>
      <c r="AH181" s="129"/>
      <c r="AI181" s="129"/>
    </row>
    <row r="182" spans="13:35" x14ac:dyDescent="0.15">
      <c r="M182" s="129"/>
      <c r="N182" s="129"/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  <c r="AA182" s="129"/>
      <c r="AB182" s="129"/>
      <c r="AC182" s="129"/>
      <c r="AD182" s="129"/>
      <c r="AE182" s="129"/>
      <c r="AF182" s="129"/>
      <c r="AG182" s="129"/>
      <c r="AH182" s="129"/>
      <c r="AI182" s="129"/>
    </row>
    <row r="183" spans="13:35" x14ac:dyDescent="0.15">
      <c r="M183" s="129"/>
      <c r="N183" s="129"/>
      <c r="O183" s="129"/>
      <c r="P183" s="129"/>
      <c r="Q183" s="129"/>
      <c r="R183" s="129"/>
      <c r="S183" s="129"/>
      <c r="T183" s="129"/>
      <c r="U183" s="129"/>
      <c r="V183" s="129"/>
      <c r="W183" s="129"/>
      <c r="X183" s="129"/>
      <c r="Y183" s="129"/>
      <c r="Z183" s="129"/>
      <c r="AA183" s="129"/>
      <c r="AB183" s="129"/>
      <c r="AC183" s="129"/>
      <c r="AD183" s="129"/>
      <c r="AE183" s="129"/>
      <c r="AF183" s="129"/>
      <c r="AG183" s="129"/>
      <c r="AH183" s="129"/>
      <c r="AI183" s="129"/>
    </row>
    <row r="184" spans="13:35" x14ac:dyDescent="0.15">
      <c r="M184" s="129"/>
      <c r="N184" s="129"/>
      <c r="O184" s="129"/>
      <c r="P184" s="129"/>
      <c r="Q184" s="129"/>
      <c r="R184" s="129"/>
      <c r="S184" s="129"/>
      <c r="T184" s="129"/>
      <c r="U184" s="129"/>
      <c r="V184" s="129"/>
      <c r="W184" s="129"/>
      <c r="X184" s="129"/>
      <c r="Y184" s="129"/>
      <c r="Z184" s="129"/>
      <c r="AA184" s="129"/>
      <c r="AB184" s="129"/>
      <c r="AC184" s="129"/>
      <c r="AD184" s="129"/>
      <c r="AE184" s="129"/>
      <c r="AF184" s="129"/>
      <c r="AG184" s="129"/>
      <c r="AH184" s="129"/>
      <c r="AI184" s="129"/>
    </row>
    <row r="185" spans="13:35" x14ac:dyDescent="0.15">
      <c r="M185" s="129"/>
      <c r="N185" s="129"/>
      <c r="O185" s="129"/>
      <c r="P185" s="129"/>
      <c r="Q185" s="129"/>
      <c r="R185" s="129"/>
      <c r="S185" s="129"/>
      <c r="T185" s="129"/>
      <c r="U185" s="129"/>
      <c r="V185" s="129"/>
      <c r="W185" s="129"/>
      <c r="X185" s="129"/>
      <c r="Y185" s="129"/>
      <c r="Z185" s="129"/>
      <c r="AA185" s="129"/>
      <c r="AB185" s="129"/>
      <c r="AC185" s="129"/>
      <c r="AD185" s="129"/>
      <c r="AE185" s="129"/>
      <c r="AF185" s="129"/>
      <c r="AG185" s="129"/>
      <c r="AH185" s="129"/>
      <c r="AI185" s="129"/>
    </row>
    <row r="186" spans="13:35" x14ac:dyDescent="0.15">
      <c r="M186" s="129"/>
      <c r="N186" s="129"/>
      <c r="O186" s="129"/>
      <c r="P186" s="129"/>
      <c r="Q186" s="129"/>
      <c r="R186" s="129"/>
      <c r="S186" s="129"/>
      <c r="T186" s="129"/>
      <c r="U186" s="129"/>
      <c r="V186" s="129"/>
      <c r="W186" s="129"/>
      <c r="X186" s="129"/>
      <c r="Y186" s="129"/>
      <c r="Z186" s="129"/>
      <c r="AA186" s="129"/>
      <c r="AB186" s="129"/>
      <c r="AC186" s="129"/>
      <c r="AD186" s="129"/>
      <c r="AE186" s="129"/>
      <c r="AF186" s="129"/>
      <c r="AG186" s="129"/>
      <c r="AH186" s="129"/>
      <c r="AI186" s="129"/>
    </row>
    <row r="187" spans="13:35" x14ac:dyDescent="0.15">
      <c r="M187" s="129"/>
      <c r="N187" s="129"/>
      <c r="O187" s="129"/>
      <c r="P187" s="129"/>
      <c r="Q187" s="129"/>
      <c r="R187" s="129"/>
      <c r="S187" s="129"/>
      <c r="T187" s="129"/>
      <c r="U187" s="129"/>
      <c r="V187" s="129"/>
      <c r="W187" s="129"/>
      <c r="X187" s="129"/>
      <c r="Y187" s="129"/>
      <c r="Z187" s="129"/>
      <c r="AA187" s="129"/>
      <c r="AB187" s="129"/>
      <c r="AC187" s="129"/>
      <c r="AD187" s="129"/>
      <c r="AE187" s="129"/>
      <c r="AF187" s="129"/>
      <c r="AG187" s="129"/>
      <c r="AH187" s="129"/>
      <c r="AI187" s="129"/>
    </row>
    <row r="188" spans="13:35" x14ac:dyDescent="0.15">
      <c r="M188" s="129"/>
      <c r="N188" s="129"/>
      <c r="O188" s="129"/>
      <c r="P188" s="129"/>
      <c r="Q188" s="129"/>
      <c r="R188" s="129"/>
      <c r="S188" s="129"/>
      <c r="T188" s="129"/>
      <c r="U188" s="129"/>
      <c r="V188" s="129"/>
      <c r="W188" s="129"/>
      <c r="X188" s="129"/>
      <c r="Y188" s="129"/>
      <c r="Z188" s="129"/>
      <c r="AA188" s="129"/>
      <c r="AB188" s="129"/>
      <c r="AC188" s="129"/>
      <c r="AD188" s="129"/>
      <c r="AE188" s="129"/>
      <c r="AF188" s="129"/>
      <c r="AG188" s="129"/>
      <c r="AH188" s="129"/>
      <c r="AI188" s="129"/>
    </row>
    <row r="189" spans="13:35" x14ac:dyDescent="0.15">
      <c r="M189" s="129"/>
      <c r="N189" s="129"/>
      <c r="O189" s="129"/>
      <c r="P189" s="129"/>
      <c r="Q189" s="129"/>
      <c r="R189" s="129"/>
      <c r="S189" s="129"/>
      <c r="T189" s="129"/>
      <c r="U189" s="129"/>
      <c r="V189" s="129"/>
      <c r="W189" s="129"/>
      <c r="X189" s="129"/>
      <c r="Y189" s="129"/>
      <c r="Z189" s="129"/>
      <c r="AA189" s="129"/>
      <c r="AB189" s="129"/>
      <c r="AC189" s="129"/>
      <c r="AD189" s="129"/>
      <c r="AE189" s="129"/>
      <c r="AF189" s="129"/>
      <c r="AG189" s="129"/>
      <c r="AH189" s="129"/>
      <c r="AI189" s="129"/>
    </row>
    <row r="190" spans="13:35" x14ac:dyDescent="0.15">
      <c r="M190" s="129"/>
      <c r="N190" s="129"/>
      <c r="O190" s="129"/>
      <c r="P190" s="129"/>
      <c r="Q190" s="129"/>
      <c r="R190" s="129"/>
      <c r="S190" s="129"/>
      <c r="T190" s="129"/>
      <c r="U190" s="129"/>
      <c r="V190" s="129"/>
      <c r="W190" s="129"/>
      <c r="X190" s="129"/>
      <c r="Y190" s="129"/>
      <c r="Z190" s="129"/>
      <c r="AA190" s="129"/>
      <c r="AB190" s="129"/>
      <c r="AC190" s="129"/>
      <c r="AD190" s="129"/>
      <c r="AE190" s="129"/>
      <c r="AF190" s="129"/>
      <c r="AG190" s="129"/>
      <c r="AH190" s="129"/>
      <c r="AI190" s="129"/>
    </row>
    <row r="191" spans="13:35" x14ac:dyDescent="0.15">
      <c r="M191" s="129"/>
      <c r="N191" s="129"/>
      <c r="O191" s="129"/>
      <c r="P191" s="129"/>
      <c r="Q191" s="129"/>
      <c r="R191" s="129"/>
      <c r="S191" s="129"/>
      <c r="T191" s="129"/>
      <c r="U191" s="129"/>
      <c r="V191" s="129"/>
      <c r="W191" s="129"/>
      <c r="X191" s="129"/>
      <c r="Y191" s="129"/>
      <c r="Z191" s="129"/>
      <c r="AA191" s="129"/>
      <c r="AB191" s="129"/>
      <c r="AC191" s="129"/>
      <c r="AD191" s="129"/>
      <c r="AE191" s="129"/>
      <c r="AF191" s="129"/>
      <c r="AG191" s="129"/>
      <c r="AH191" s="129"/>
      <c r="AI191" s="129"/>
    </row>
    <row r="192" spans="13:35" x14ac:dyDescent="0.15">
      <c r="M192" s="129"/>
      <c r="N192" s="129"/>
      <c r="O192" s="129"/>
      <c r="P192" s="129"/>
      <c r="Q192" s="129"/>
      <c r="R192" s="129"/>
      <c r="S192" s="129"/>
      <c r="T192" s="129"/>
      <c r="U192" s="129"/>
      <c r="V192" s="129"/>
      <c r="W192" s="129"/>
      <c r="X192" s="129"/>
      <c r="Y192" s="129"/>
      <c r="Z192" s="129"/>
      <c r="AA192" s="129"/>
      <c r="AB192" s="129"/>
      <c r="AC192" s="129"/>
      <c r="AD192" s="129"/>
      <c r="AE192" s="129"/>
      <c r="AF192" s="129"/>
      <c r="AG192" s="129"/>
      <c r="AH192" s="129"/>
      <c r="AI192" s="129"/>
    </row>
    <row r="193" spans="13:35" x14ac:dyDescent="0.15">
      <c r="M193" s="129"/>
      <c r="N193" s="129"/>
      <c r="O193" s="129"/>
      <c r="P193" s="129"/>
      <c r="Q193" s="129"/>
      <c r="R193" s="129"/>
      <c r="S193" s="129"/>
      <c r="T193" s="129"/>
      <c r="U193" s="129"/>
      <c r="V193" s="129"/>
      <c r="W193" s="129"/>
      <c r="X193" s="129"/>
      <c r="Y193" s="129"/>
      <c r="Z193" s="129"/>
      <c r="AA193" s="129"/>
      <c r="AB193" s="129"/>
      <c r="AC193" s="129"/>
      <c r="AD193" s="129"/>
      <c r="AE193" s="129"/>
      <c r="AF193" s="129"/>
      <c r="AG193" s="129"/>
      <c r="AH193" s="129"/>
      <c r="AI193" s="129"/>
    </row>
    <row r="194" spans="13:35" x14ac:dyDescent="0.15">
      <c r="M194" s="129"/>
      <c r="N194" s="129"/>
      <c r="O194" s="129"/>
      <c r="P194" s="129"/>
      <c r="Q194" s="129"/>
      <c r="R194" s="129"/>
      <c r="S194" s="129"/>
      <c r="T194" s="129"/>
      <c r="U194" s="129"/>
      <c r="V194" s="129"/>
      <c r="W194" s="129"/>
      <c r="X194" s="129"/>
      <c r="Y194" s="129"/>
      <c r="Z194" s="129"/>
      <c r="AA194" s="129"/>
      <c r="AB194" s="129"/>
      <c r="AC194" s="129"/>
      <c r="AD194" s="129"/>
      <c r="AE194" s="129"/>
      <c r="AF194" s="129"/>
      <c r="AG194" s="129"/>
      <c r="AH194" s="129"/>
      <c r="AI194" s="129"/>
    </row>
    <row r="195" spans="13:35" x14ac:dyDescent="0.15">
      <c r="M195" s="129"/>
      <c r="N195" s="129"/>
      <c r="O195" s="129"/>
      <c r="P195" s="129"/>
      <c r="Q195" s="129"/>
      <c r="R195" s="129"/>
      <c r="S195" s="129"/>
      <c r="T195" s="129"/>
      <c r="U195" s="129"/>
      <c r="V195" s="129"/>
      <c r="W195" s="129"/>
      <c r="X195" s="129"/>
      <c r="Y195" s="129"/>
      <c r="Z195" s="129"/>
      <c r="AA195" s="129"/>
      <c r="AB195" s="129"/>
      <c r="AC195" s="129"/>
      <c r="AD195" s="129"/>
      <c r="AE195" s="129"/>
      <c r="AF195" s="129"/>
      <c r="AG195" s="129"/>
      <c r="AH195" s="129"/>
      <c r="AI195" s="129"/>
    </row>
    <row r="196" spans="13:35" x14ac:dyDescent="0.15">
      <c r="M196" s="129"/>
      <c r="N196" s="129"/>
      <c r="O196" s="129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  <c r="AA196" s="129"/>
      <c r="AB196" s="129"/>
      <c r="AC196" s="129"/>
      <c r="AD196" s="129"/>
      <c r="AE196" s="129"/>
      <c r="AF196" s="129"/>
      <c r="AG196" s="129"/>
      <c r="AH196" s="129"/>
      <c r="AI196" s="129"/>
    </row>
    <row r="197" spans="13:35" x14ac:dyDescent="0.15">
      <c r="M197" s="129"/>
      <c r="N197" s="129"/>
      <c r="O197" s="129"/>
      <c r="P197" s="129"/>
      <c r="Q197" s="129"/>
      <c r="R197" s="129"/>
      <c r="S197" s="129"/>
      <c r="T197" s="129"/>
      <c r="U197" s="129"/>
      <c r="V197" s="129"/>
      <c r="W197" s="129"/>
      <c r="X197" s="129"/>
      <c r="Y197" s="129"/>
      <c r="Z197" s="129"/>
      <c r="AA197" s="129"/>
      <c r="AB197" s="129"/>
      <c r="AC197" s="129"/>
      <c r="AD197" s="129"/>
      <c r="AE197" s="129"/>
      <c r="AF197" s="129"/>
      <c r="AG197" s="129"/>
      <c r="AH197" s="129"/>
      <c r="AI197" s="129"/>
    </row>
    <row r="198" spans="13:35" x14ac:dyDescent="0.15"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  <c r="AA198" s="129"/>
      <c r="AB198" s="129"/>
      <c r="AC198" s="129"/>
      <c r="AD198" s="129"/>
      <c r="AE198" s="129"/>
      <c r="AF198" s="129"/>
      <c r="AG198" s="129"/>
      <c r="AH198" s="129"/>
      <c r="AI198" s="129"/>
    </row>
    <row r="199" spans="13:35" x14ac:dyDescent="0.15">
      <c r="M199" s="129"/>
      <c r="N199" s="129"/>
      <c r="O199" s="129"/>
      <c r="P199" s="129"/>
      <c r="Q199" s="129"/>
      <c r="R199" s="129"/>
      <c r="S199" s="129"/>
      <c r="T199" s="129"/>
      <c r="U199" s="129"/>
      <c r="V199" s="129"/>
      <c r="W199" s="129"/>
      <c r="X199" s="129"/>
      <c r="Y199" s="129"/>
      <c r="Z199" s="129"/>
      <c r="AA199" s="129"/>
      <c r="AB199" s="129"/>
      <c r="AC199" s="129"/>
      <c r="AD199" s="129"/>
      <c r="AE199" s="129"/>
      <c r="AF199" s="129"/>
      <c r="AG199" s="129"/>
      <c r="AH199" s="129"/>
      <c r="AI199" s="129"/>
    </row>
    <row r="200" spans="13:35" x14ac:dyDescent="0.15">
      <c r="M200" s="129"/>
      <c r="N200" s="129"/>
      <c r="O200" s="129"/>
      <c r="P200" s="129"/>
      <c r="Q200" s="129"/>
      <c r="R200" s="129"/>
      <c r="S200" s="129"/>
      <c r="T200" s="129"/>
      <c r="U200" s="129"/>
      <c r="V200" s="129"/>
      <c r="W200" s="129"/>
      <c r="X200" s="129"/>
      <c r="Y200" s="129"/>
      <c r="Z200" s="129"/>
      <c r="AA200" s="129"/>
      <c r="AB200" s="129"/>
      <c r="AC200" s="129"/>
      <c r="AD200" s="129"/>
      <c r="AE200" s="129"/>
      <c r="AF200" s="129"/>
      <c r="AG200" s="129"/>
      <c r="AH200" s="129"/>
      <c r="AI200" s="129"/>
    </row>
    <row r="201" spans="13:35" x14ac:dyDescent="0.15">
      <c r="M201" s="129"/>
      <c r="N201" s="129"/>
      <c r="O201" s="129"/>
      <c r="P201" s="129"/>
      <c r="Q201" s="129"/>
      <c r="R201" s="129"/>
      <c r="S201" s="129"/>
      <c r="T201" s="129"/>
      <c r="U201" s="129"/>
      <c r="V201" s="129"/>
      <c r="W201" s="129"/>
      <c r="X201" s="129"/>
      <c r="Y201" s="129"/>
      <c r="Z201" s="129"/>
      <c r="AA201" s="129"/>
      <c r="AB201" s="129"/>
      <c r="AC201" s="129"/>
      <c r="AD201" s="129"/>
      <c r="AE201" s="129"/>
      <c r="AF201" s="129"/>
      <c r="AG201" s="129"/>
      <c r="AH201" s="129"/>
      <c r="AI201" s="129"/>
    </row>
    <row r="202" spans="13:35" x14ac:dyDescent="0.15">
      <c r="M202" s="129"/>
      <c r="N202" s="129"/>
      <c r="O202" s="129"/>
      <c r="P202" s="129"/>
      <c r="Q202" s="129"/>
      <c r="R202" s="129"/>
      <c r="S202" s="129"/>
      <c r="T202" s="129"/>
      <c r="U202" s="129"/>
      <c r="V202" s="129"/>
      <c r="W202" s="129"/>
      <c r="X202" s="129"/>
      <c r="Y202" s="129"/>
      <c r="Z202" s="129"/>
      <c r="AA202" s="129"/>
      <c r="AB202" s="129"/>
      <c r="AC202" s="129"/>
      <c r="AD202" s="129"/>
      <c r="AE202" s="129"/>
      <c r="AF202" s="129"/>
      <c r="AG202" s="129"/>
      <c r="AH202" s="129"/>
      <c r="AI202" s="129"/>
    </row>
    <row r="203" spans="13:35" x14ac:dyDescent="0.15">
      <c r="M203" s="129"/>
      <c r="N203" s="129"/>
      <c r="O203" s="129"/>
      <c r="P203" s="129"/>
      <c r="Q203" s="129"/>
      <c r="R203" s="129"/>
      <c r="S203" s="129"/>
      <c r="T203" s="129"/>
      <c r="U203" s="129"/>
      <c r="V203" s="129"/>
      <c r="W203" s="129"/>
      <c r="X203" s="129"/>
      <c r="Y203" s="129"/>
      <c r="Z203" s="129"/>
      <c r="AA203" s="129"/>
      <c r="AB203" s="129"/>
      <c r="AC203" s="129"/>
      <c r="AD203" s="129"/>
      <c r="AE203" s="129"/>
      <c r="AF203" s="129"/>
      <c r="AG203" s="129"/>
      <c r="AH203" s="129"/>
      <c r="AI203" s="129"/>
    </row>
    <row r="204" spans="13:35" x14ac:dyDescent="0.15">
      <c r="M204" s="129"/>
      <c r="N204" s="129"/>
      <c r="O204" s="12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  <c r="Z204" s="129"/>
      <c r="AA204" s="129"/>
      <c r="AB204" s="129"/>
      <c r="AC204" s="129"/>
      <c r="AD204" s="129"/>
      <c r="AE204" s="129"/>
      <c r="AF204" s="129"/>
      <c r="AG204" s="129"/>
      <c r="AH204" s="129"/>
      <c r="AI204" s="129"/>
    </row>
    <row r="205" spans="13:35" x14ac:dyDescent="0.15">
      <c r="M205" s="129"/>
      <c r="N205" s="129"/>
      <c r="O205" s="129"/>
      <c r="P205" s="129"/>
      <c r="Q205" s="129"/>
      <c r="R205" s="129"/>
      <c r="S205" s="129"/>
      <c r="T205" s="129"/>
      <c r="U205" s="129"/>
      <c r="V205" s="129"/>
      <c r="W205" s="129"/>
      <c r="X205" s="129"/>
      <c r="Y205" s="129"/>
      <c r="Z205" s="129"/>
      <c r="AA205" s="129"/>
      <c r="AB205" s="129"/>
      <c r="AC205" s="129"/>
      <c r="AD205" s="129"/>
      <c r="AE205" s="129"/>
      <c r="AF205" s="129"/>
      <c r="AG205" s="129"/>
      <c r="AH205" s="129"/>
      <c r="AI205" s="129"/>
    </row>
    <row r="206" spans="13:35" x14ac:dyDescent="0.15">
      <c r="M206" s="129"/>
      <c r="N206" s="129"/>
      <c r="O206" s="129"/>
      <c r="P206" s="129"/>
      <c r="Q206" s="129"/>
      <c r="R206" s="129"/>
      <c r="S206" s="129"/>
      <c r="T206" s="129"/>
      <c r="U206" s="129"/>
      <c r="V206" s="129"/>
      <c r="W206" s="129"/>
      <c r="X206" s="129"/>
      <c r="Y206" s="129"/>
      <c r="Z206" s="129"/>
      <c r="AA206" s="129"/>
      <c r="AB206" s="129"/>
      <c r="AC206" s="129"/>
      <c r="AD206" s="129"/>
      <c r="AE206" s="129"/>
      <c r="AF206" s="129"/>
      <c r="AG206" s="129"/>
      <c r="AH206" s="129"/>
      <c r="AI206" s="129"/>
    </row>
    <row r="207" spans="13:35" x14ac:dyDescent="0.15">
      <c r="M207" s="129"/>
      <c r="N207" s="129"/>
      <c r="O207" s="129"/>
      <c r="P207" s="129"/>
      <c r="Q207" s="129"/>
      <c r="R207" s="129"/>
      <c r="S207" s="129"/>
      <c r="T207" s="129"/>
      <c r="U207" s="129"/>
      <c r="V207" s="129"/>
      <c r="W207" s="129"/>
      <c r="X207" s="129"/>
      <c r="Y207" s="129"/>
      <c r="Z207" s="129"/>
      <c r="AA207" s="129"/>
      <c r="AB207" s="129"/>
      <c r="AC207" s="129"/>
      <c r="AD207" s="129"/>
      <c r="AE207" s="129"/>
      <c r="AF207" s="129"/>
      <c r="AG207" s="129"/>
      <c r="AH207" s="129"/>
      <c r="AI207" s="129"/>
    </row>
    <row r="208" spans="13:35" x14ac:dyDescent="0.15">
      <c r="M208" s="129"/>
      <c r="N208" s="129"/>
      <c r="O208" s="129"/>
      <c r="P208" s="129"/>
      <c r="Q208" s="129"/>
      <c r="R208" s="129"/>
      <c r="S208" s="129"/>
      <c r="T208" s="129"/>
      <c r="U208" s="129"/>
      <c r="V208" s="129"/>
      <c r="W208" s="129"/>
      <c r="X208" s="129"/>
      <c r="Y208" s="129"/>
      <c r="Z208" s="129"/>
      <c r="AA208" s="129"/>
      <c r="AB208" s="129"/>
      <c r="AC208" s="129"/>
      <c r="AD208" s="129"/>
      <c r="AE208" s="129"/>
      <c r="AF208" s="129"/>
      <c r="AG208" s="129"/>
      <c r="AH208" s="129"/>
      <c r="AI208" s="129"/>
    </row>
    <row r="209" spans="13:35" x14ac:dyDescent="0.15">
      <c r="M209" s="129"/>
      <c r="N209" s="129"/>
      <c r="O209" s="129"/>
      <c r="P209" s="129"/>
      <c r="Q209" s="129"/>
      <c r="R209" s="129"/>
      <c r="S209" s="129"/>
      <c r="T209" s="129"/>
      <c r="U209" s="129"/>
      <c r="V209" s="129"/>
      <c r="W209" s="129"/>
      <c r="X209" s="129"/>
      <c r="Y209" s="129"/>
      <c r="Z209" s="129"/>
      <c r="AA209" s="129"/>
      <c r="AB209" s="129"/>
      <c r="AC209" s="129"/>
      <c r="AD209" s="129"/>
      <c r="AE209" s="129"/>
      <c r="AF209" s="129"/>
      <c r="AG209" s="129"/>
      <c r="AH209" s="129"/>
      <c r="AI209" s="129"/>
    </row>
    <row r="210" spans="13:35" x14ac:dyDescent="0.15">
      <c r="M210" s="129"/>
      <c r="N210" s="129"/>
      <c r="O210" s="129"/>
      <c r="P210" s="129"/>
      <c r="Q210" s="129"/>
      <c r="R210" s="129"/>
      <c r="S210" s="129"/>
      <c r="T210" s="129"/>
      <c r="U210" s="129"/>
      <c r="V210" s="129"/>
      <c r="W210" s="129"/>
      <c r="X210" s="129"/>
      <c r="Y210" s="129"/>
      <c r="Z210" s="129"/>
      <c r="AA210" s="129"/>
      <c r="AB210" s="129"/>
      <c r="AC210" s="129"/>
      <c r="AD210" s="129"/>
      <c r="AE210" s="129"/>
      <c r="AF210" s="129"/>
      <c r="AG210" s="129"/>
      <c r="AH210" s="129"/>
      <c r="AI210" s="129"/>
    </row>
    <row r="211" spans="13:35" x14ac:dyDescent="0.15">
      <c r="M211" s="129"/>
      <c r="N211" s="129"/>
      <c r="O211" s="129"/>
      <c r="P211" s="129"/>
      <c r="Q211" s="129"/>
      <c r="R211" s="129"/>
      <c r="S211" s="129"/>
      <c r="T211" s="129"/>
      <c r="U211" s="129"/>
      <c r="V211" s="129"/>
      <c r="W211" s="129"/>
      <c r="X211" s="129"/>
      <c r="Y211" s="129"/>
      <c r="Z211" s="129"/>
      <c r="AA211" s="129"/>
      <c r="AB211" s="129"/>
      <c r="AC211" s="129"/>
      <c r="AD211" s="129"/>
      <c r="AE211" s="129"/>
      <c r="AF211" s="129"/>
      <c r="AG211" s="129"/>
      <c r="AH211" s="129"/>
      <c r="AI211" s="129"/>
    </row>
    <row r="212" spans="13:35" x14ac:dyDescent="0.15">
      <c r="M212" s="129"/>
      <c r="N212" s="129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  <c r="AA212" s="129"/>
      <c r="AB212" s="129"/>
      <c r="AC212" s="129"/>
      <c r="AD212" s="129"/>
      <c r="AE212" s="129"/>
      <c r="AF212" s="129"/>
      <c r="AG212" s="129"/>
      <c r="AH212" s="129"/>
      <c r="AI212" s="129"/>
    </row>
    <row r="213" spans="13:35" x14ac:dyDescent="0.15">
      <c r="M213" s="129"/>
      <c r="N213" s="129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  <c r="AA213" s="129"/>
      <c r="AB213" s="129"/>
      <c r="AC213" s="129"/>
      <c r="AD213" s="129"/>
      <c r="AE213" s="129"/>
      <c r="AF213" s="129"/>
      <c r="AG213" s="129"/>
      <c r="AH213" s="129"/>
      <c r="AI213" s="129"/>
    </row>
    <row r="214" spans="13:35" x14ac:dyDescent="0.15">
      <c r="M214" s="129"/>
      <c r="N214" s="129"/>
      <c r="O214" s="129"/>
      <c r="P214" s="129"/>
      <c r="Q214" s="129"/>
      <c r="R214" s="129"/>
      <c r="S214" s="129"/>
      <c r="T214" s="129"/>
      <c r="U214" s="129"/>
      <c r="V214" s="129"/>
      <c r="W214" s="129"/>
      <c r="X214" s="129"/>
      <c r="Y214" s="129"/>
      <c r="Z214" s="129"/>
      <c r="AA214" s="129"/>
      <c r="AB214" s="129"/>
      <c r="AC214" s="129"/>
      <c r="AD214" s="129"/>
      <c r="AE214" s="129"/>
      <c r="AF214" s="129"/>
      <c r="AG214" s="129"/>
      <c r="AH214" s="129"/>
      <c r="AI214" s="129"/>
    </row>
    <row r="215" spans="13:35" x14ac:dyDescent="0.15">
      <c r="M215" s="129"/>
      <c r="N215" s="129"/>
      <c r="O215" s="129"/>
      <c r="P215" s="129"/>
      <c r="Q215" s="129"/>
      <c r="R215" s="129"/>
      <c r="S215" s="129"/>
      <c r="T215" s="129"/>
      <c r="U215" s="129"/>
      <c r="V215" s="129"/>
      <c r="W215" s="129"/>
      <c r="X215" s="129"/>
      <c r="Y215" s="129"/>
      <c r="Z215" s="129"/>
      <c r="AA215" s="129"/>
      <c r="AB215" s="129"/>
      <c r="AC215" s="129"/>
      <c r="AD215" s="129"/>
      <c r="AE215" s="129"/>
      <c r="AF215" s="129"/>
      <c r="AG215" s="129"/>
      <c r="AH215" s="129"/>
      <c r="AI215" s="129"/>
    </row>
    <row r="216" spans="13:35" x14ac:dyDescent="0.15">
      <c r="M216" s="129"/>
      <c r="N216" s="129"/>
      <c r="O216" s="129"/>
      <c r="P216" s="129"/>
      <c r="Q216" s="129"/>
      <c r="R216" s="129"/>
      <c r="S216" s="129"/>
      <c r="T216" s="129"/>
      <c r="U216" s="129"/>
      <c r="V216" s="129"/>
      <c r="W216" s="129"/>
      <c r="X216" s="129"/>
      <c r="Y216" s="129"/>
      <c r="Z216" s="129"/>
      <c r="AA216" s="129"/>
      <c r="AB216" s="129"/>
      <c r="AC216" s="129"/>
      <c r="AD216" s="129"/>
      <c r="AE216" s="129"/>
      <c r="AF216" s="129"/>
      <c r="AG216" s="129"/>
      <c r="AH216" s="129"/>
      <c r="AI216" s="129"/>
    </row>
    <row r="217" spans="13:35" x14ac:dyDescent="0.15">
      <c r="M217" s="129"/>
      <c r="N217" s="129"/>
      <c r="O217" s="129"/>
      <c r="P217" s="129"/>
      <c r="Q217" s="129"/>
      <c r="R217" s="129"/>
      <c r="S217" s="129"/>
      <c r="T217" s="129"/>
      <c r="U217" s="129"/>
      <c r="V217" s="129"/>
      <c r="W217" s="129"/>
      <c r="X217" s="129"/>
      <c r="Y217" s="129"/>
      <c r="Z217" s="129"/>
      <c r="AA217" s="129"/>
      <c r="AB217" s="129"/>
      <c r="AC217" s="129"/>
      <c r="AD217" s="129"/>
      <c r="AE217" s="129"/>
      <c r="AF217" s="129"/>
      <c r="AG217" s="129"/>
      <c r="AH217" s="129"/>
      <c r="AI217" s="129"/>
    </row>
    <row r="218" spans="13:35" x14ac:dyDescent="0.15">
      <c r="M218" s="129"/>
      <c r="N218" s="129"/>
      <c r="O218" s="129"/>
      <c r="P218" s="129"/>
      <c r="Q218" s="129"/>
      <c r="R218" s="129"/>
      <c r="S218" s="129"/>
      <c r="T218" s="129"/>
      <c r="U218" s="129"/>
      <c r="V218" s="129"/>
      <c r="W218" s="129"/>
      <c r="X218" s="129"/>
      <c r="Y218" s="129"/>
      <c r="Z218" s="129"/>
      <c r="AA218" s="129"/>
      <c r="AB218" s="129"/>
      <c r="AC218" s="129"/>
      <c r="AD218" s="129"/>
      <c r="AE218" s="129"/>
      <c r="AF218" s="129"/>
      <c r="AG218" s="129"/>
      <c r="AH218" s="129"/>
      <c r="AI218" s="129"/>
    </row>
    <row r="219" spans="13:35" x14ac:dyDescent="0.15">
      <c r="M219" s="129"/>
      <c r="N219" s="129"/>
      <c r="O219" s="129"/>
      <c r="P219" s="129"/>
      <c r="Q219" s="129"/>
      <c r="R219" s="129"/>
      <c r="S219" s="129"/>
      <c r="T219" s="129"/>
      <c r="U219" s="129"/>
      <c r="V219" s="129"/>
      <c r="W219" s="129"/>
      <c r="X219" s="129"/>
      <c r="Y219" s="129"/>
      <c r="Z219" s="129"/>
      <c r="AA219" s="129"/>
      <c r="AB219" s="129"/>
      <c r="AC219" s="129"/>
      <c r="AD219" s="129"/>
      <c r="AE219" s="129"/>
      <c r="AF219" s="129"/>
      <c r="AG219" s="129"/>
      <c r="AH219" s="129"/>
      <c r="AI219" s="129"/>
    </row>
    <row r="220" spans="13:35" x14ac:dyDescent="0.15">
      <c r="M220" s="129"/>
      <c r="N220" s="129"/>
      <c r="O220" s="129"/>
      <c r="P220" s="129"/>
      <c r="Q220" s="129"/>
      <c r="R220" s="129"/>
      <c r="S220" s="129"/>
      <c r="T220" s="129"/>
      <c r="U220" s="129"/>
      <c r="V220" s="129"/>
      <c r="W220" s="129"/>
      <c r="X220" s="129"/>
      <c r="Y220" s="129"/>
      <c r="Z220" s="129"/>
      <c r="AA220" s="129"/>
      <c r="AB220" s="129"/>
      <c r="AC220" s="129"/>
      <c r="AD220" s="129"/>
      <c r="AE220" s="129"/>
      <c r="AF220" s="129"/>
      <c r="AG220" s="129"/>
      <c r="AH220" s="129"/>
      <c r="AI220" s="129"/>
    </row>
    <row r="221" spans="13:35" x14ac:dyDescent="0.15">
      <c r="M221" s="129"/>
      <c r="N221" s="129"/>
      <c r="O221" s="129"/>
      <c r="P221" s="129"/>
      <c r="Q221" s="129"/>
      <c r="R221" s="129"/>
      <c r="S221" s="129"/>
      <c r="T221" s="129"/>
      <c r="U221" s="129"/>
      <c r="V221" s="129"/>
      <c r="W221" s="129"/>
      <c r="X221" s="129"/>
      <c r="Y221" s="129"/>
      <c r="Z221" s="129"/>
      <c r="AA221" s="129"/>
      <c r="AB221" s="129"/>
      <c r="AC221" s="129"/>
      <c r="AD221" s="129"/>
      <c r="AE221" s="129"/>
      <c r="AF221" s="129"/>
      <c r="AG221" s="129"/>
      <c r="AH221" s="129"/>
      <c r="AI221" s="129"/>
    </row>
    <row r="222" spans="13:35" x14ac:dyDescent="0.15">
      <c r="M222" s="129"/>
      <c r="N222" s="129"/>
      <c r="O222" s="129"/>
      <c r="P222" s="129"/>
      <c r="Q222" s="129"/>
      <c r="R222" s="129"/>
      <c r="S222" s="129"/>
      <c r="T222" s="129"/>
      <c r="U222" s="129"/>
      <c r="V222" s="129"/>
      <c r="W222" s="129"/>
      <c r="X222" s="129"/>
      <c r="Y222" s="129"/>
      <c r="Z222" s="129"/>
      <c r="AA222" s="129"/>
      <c r="AB222" s="129"/>
      <c r="AC222" s="129"/>
      <c r="AD222" s="129"/>
      <c r="AE222" s="129"/>
      <c r="AF222" s="129"/>
      <c r="AG222" s="129"/>
      <c r="AH222" s="129"/>
      <c r="AI222" s="129"/>
    </row>
    <row r="223" spans="13:35" x14ac:dyDescent="0.15">
      <c r="M223" s="129"/>
      <c r="N223" s="129"/>
      <c r="O223" s="129"/>
      <c r="P223" s="129"/>
      <c r="Q223" s="129"/>
      <c r="R223" s="129"/>
      <c r="S223" s="129"/>
      <c r="T223" s="129"/>
      <c r="U223" s="129"/>
      <c r="V223" s="129"/>
      <c r="W223" s="129"/>
      <c r="X223" s="129"/>
      <c r="Y223" s="129"/>
      <c r="Z223" s="129"/>
      <c r="AA223" s="129"/>
      <c r="AB223" s="129"/>
      <c r="AC223" s="129"/>
      <c r="AD223" s="129"/>
      <c r="AE223" s="129"/>
      <c r="AF223" s="129"/>
      <c r="AG223" s="129"/>
      <c r="AH223" s="129"/>
      <c r="AI223" s="129"/>
    </row>
    <row r="224" spans="13:35" x14ac:dyDescent="0.15">
      <c r="M224" s="129"/>
      <c r="N224" s="129"/>
      <c r="O224" s="129"/>
      <c r="P224" s="129"/>
      <c r="Q224" s="129"/>
      <c r="R224" s="129"/>
      <c r="S224" s="129"/>
      <c r="T224" s="129"/>
      <c r="U224" s="129"/>
      <c r="V224" s="129"/>
      <c r="W224" s="129"/>
      <c r="X224" s="129"/>
      <c r="Y224" s="129"/>
      <c r="Z224" s="129"/>
      <c r="AA224" s="129"/>
      <c r="AB224" s="129"/>
      <c r="AC224" s="129"/>
      <c r="AD224" s="129"/>
      <c r="AE224" s="129"/>
      <c r="AF224" s="129"/>
      <c r="AG224" s="129"/>
      <c r="AH224" s="129"/>
      <c r="AI224" s="129"/>
    </row>
    <row r="225" spans="13:35" x14ac:dyDescent="0.15">
      <c r="M225" s="129"/>
      <c r="N225" s="129"/>
      <c r="O225" s="129"/>
      <c r="P225" s="129"/>
      <c r="Q225" s="129"/>
      <c r="R225" s="129"/>
      <c r="S225" s="129"/>
      <c r="T225" s="129"/>
      <c r="U225" s="129"/>
      <c r="V225" s="129"/>
      <c r="W225" s="129"/>
      <c r="X225" s="129"/>
      <c r="Y225" s="129"/>
      <c r="Z225" s="129"/>
      <c r="AA225" s="129"/>
      <c r="AB225" s="129"/>
      <c r="AC225" s="129"/>
      <c r="AD225" s="129"/>
      <c r="AE225" s="129"/>
      <c r="AF225" s="129"/>
      <c r="AG225" s="129"/>
      <c r="AH225" s="129"/>
      <c r="AI225" s="129"/>
    </row>
    <row r="226" spans="13:35" x14ac:dyDescent="0.15">
      <c r="M226" s="129"/>
      <c r="N226" s="129"/>
      <c r="O226" s="129"/>
      <c r="P226" s="129"/>
      <c r="Q226" s="129"/>
      <c r="R226" s="129"/>
      <c r="S226" s="129"/>
      <c r="T226" s="129"/>
      <c r="U226" s="129"/>
      <c r="V226" s="129"/>
      <c r="W226" s="129"/>
      <c r="X226" s="129"/>
      <c r="Y226" s="129"/>
      <c r="Z226" s="129"/>
      <c r="AA226" s="129"/>
      <c r="AB226" s="129"/>
      <c r="AC226" s="129"/>
      <c r="AD226" s="129"/>
      <c r="AE226" s="129"/>
      <c r="AF226" s="129"/>
      <c r="AG226" s="129"/>
      <c r="AH226" s="129"/>
      <c r="AI226" s="129"/>
    </row>
    <row r="227" spans="13:35" x14ac:dyDescent="0.15">
      <c r="M227" s="129"/>
      <c r="N227" s="129"/>
      <c r="O227" s="129"/>
      <c r="P227" s="129"/>
      <c r="Q227" s="129"/>
      <c r="R227" s="129"/>
      <c r="S227" s="129"/>
      <c r="T227" s="129"/>
      <c r="U227" s="129"/>
      <c r="V227" s="129"/>
      <c r="W227" s="129"/>
      <c r="X227" s="129"/>
      <c r="Y227" s="129"/>
      <c r="Z227" s="129"/>
      <c r="AA227" s="129"/>
      <c r="AB227" s="129"/>
      <c r="AC227" s="129"/>
      <c r="AD227" s="129"/>
      <c r="AE227" s="129"/>
      <c r="AF227" s="129"/>
      <c r="AG227" s="129"/>
      <c r="AH227" s="129"/>
      <c r="AI227" s="129"/>
    </row>
    <row r="228" spans="13:35" x14ac:dyDescent="0.15">
      <c r="M228" s="129"/>
      <c r="N228" s="129"/>
      <c r="O228" s="129"/>
      <c r="P228" s="129"/>
      <c r="Q228" s="129"/>
      <c r="R228" s="129"/>
      <c r="S228" s="129"/>
      <c r="T228" s="129"/>
      <c r="U228" s="129"/>
      <c r="V228" s="129"/>
      <c r="W228" s="129"/>
      <c r="X228" s="129"/>
      <c r="Y228" s="129"/>
      <c r="Z228" s="129"/>
      <c r="AA228" s="129"/>
      <c r="AB228" s="129"/>
      <c r="AC228" s="129"/>
      <c r="AD228" s="129"/>
      <c r="AE228" s="129"/>
      <c r="AF228" s="129"/>
      <c r="AG228" s="129"/>
      <c r="AH228" s="129"/>
      <c r="AI228" s="129"/>
    </row>
    <row r="229" spans="13:35" x14ac:dyDescent="0.15">
      <c r="M229" s="129"/>
      <c r="N229" s="129"/>
      <c r="O229" s="129"/>
      <c r="P229" s="129"/>
      <c r="Q229" s="129"/>
      <c r="R229" s="129"/>
      <c r="S229" s="129"/>
      <c r="T229" s="129"/>
      <c r="U229" s="129"/>
      <c r="V229" s="129"/>
      <c r="W229" s="129"/>
      <c r="X229" s="129"/>
      <c r="Y229" s="129"/>
      <c r="Z229" s="129"/>
      <c r="AA229" s="129"/>
      <c r="AB229" s="129"/>
      <c r="AC229" s="129"/>
      <c r="AD229" s="129"/>
      <c r="AE229" s="129"/>
      <c r="AF229" s="129"/>
      <c r="AG229" s="129"/>
      <c r="AH229" s="129"/>
      <c r="AI229" s="129"/>
    </row>
    <row r="230" spans="13:35" x14ac:dyDescent="0.15">
      <c r="M230" s="129"/>
      <c r="N230" s="129"/>
      <c r="O230" s="129"/>
      <c r="P230" s="129"/>
      <c r="Q230" s="129"/>
      <c r="R230" s="129"/>
      <c r="S230" s="129"/>
      <c r="T230" s="129"/>
      <c r="U230" s="129"/>
      <c r="V230" s="129"/>
      <c r="W230" s="129"/>
      <c r="X230" s="129"/>
      <c r="Y230" s="129"/>
      <c r="Z230" s="129"/>
      <c r="AA230" s="129"/>
      <c r="AB230" s="129"/>
      <c r="AC230" s="129"/>
      <c r="AD230" s="129"/>
      <c r="AE230" s="129"/>
      <c r="AF230" s="129"/>
      <c r="AG230" s="129"/>
      <c r="AH230" s="129"/>
      <c r="AI230" s="129"/>
    </row>
    <row r="231" spans="13:35" x14ac:dyDescent="0.15">
      <c r="M231" s="129"/>
      <c r="N231" s="129"/>
      <c r="O231" s="129"/>
      <c r="P231" s="129"/>
      <c r="Q231" s="129"/>
      <c r="R231" s="129"/>
      <c r="S231" s="129"/>
      <c r="T231" s="129"/>
      <c r="U231" s="129"/>
      <c r="V231" s="129"/>
      <c r="W231" s="129"/>
      <c r="X231" s="129"/>
      <c r="Y231" s="129"/>
      <c r="Z231" s="129"/>
      <c r="AA231" s="129"/>
      <c r="AB231" s="129"/>
      <c r="AC231" s="129"/>
      <c r="AD231" s="129"/>
      <c r="AE231" s="129"/>
      <c r="AF231" s="129"/>
      <c r="AG231" s="129"/>
      <c r="AH231" s="129"/>
      <c r="AI231" s="129"/>
    </row>
    <row r="232" spans="13:35" x14ac:dyDescent="0.15">
      <c r="M232" s="129"/>
      <c r="N232" s="129"/>
      <c r="O232" s="129"/>
      <c r="P232" s="129"/>
      <c r="Q232" s="129"/>
      <c r="R232" s="129"/>
      <c r="S232" s="129"/>
      <c r="T232" s="129"/>
      <c r="U232" s="129"/>
      <c r="V232" s="129"/>
      <c r="W232" s="129"/>
      <c r="X232" s="129"/>
      <c r="Y232" s="129"/>
      <c r="Z232" s="129"/>
      <c r="AA232" s="129"/>
      <c r="AB232" s="129"/>
      <c r="AC232" s="129"/>
      <c r="AD232" s="129"/>
      <c r="AE232" s="129"/>
      <c r="AF232" s="129"/>
      <c r="AG232" s="129"/>
      <c r="AH232" s="129"/>
      <c r="AI232" s="129"/>
    </row>
    <row r="233" spans="13:35" x14ac:dyDescent="0.15">
      <c r="M233" s="129"/>
      <c r="N233" s="129"/>
      <c r="O233" s="129"/>
      <c r="P233" s="129"/>
      <c r="Q233" s="129"/>
      <c r="R233" s="129"/>
      <c r="S233" s="129"/>
      <c r="T233" s="129"/>
      <c r="U233" s="129"/>
      <c r="V233" s="129"/>
      <c r="W233" s="129"/>
      <c r="X233" s="129"/>
      <c r="Y233" s="129"/>
      <c r="Z233" s="129"/>
      <c r="AA233" s="129"/>
      <c r="AB233" s="129"/>
      <c r="AC233" s="129"/>
      <c r="AD233" s="129"/>
      <c r="AE233" s="129"/>
      <c r="AF233" s="129"/>
      <c r="AG233" s="129"/>
      <c r="AH233" s="129"/>
      <c r="AI233" s="129"/>
    </row>
    <row r="234" spans="13:35" x14ac:dyDescent="0.15">
      <c r="M234" s="129"/>
      <c r="N234" s="129"/>
      <c r="O234" s="129"/>
      <c r="P234" s="129"/>
      <c r="Q234" s="129"/>
      <c r="R234" s="129"/>
      <c r="S234" s="129"/>
      <c r="T234" s="129"/>
      <c r="U234" s="129"/>
      <c r="V234" s="129"/>
      <c r="W234" s="129"/>
      <c r="X234" s="129"/>
      <c r="Y234" s="129"/>
      <c r="Z234" s="129"/>
      <c r="AA234" s="129"/>
      <c r="AB234" s="129"/>
      <c r="AC234" s="129"/>
      <c r="AD234" s="129"/>
      <c r="AE234" s="129"/>
      <c r="AF234" s="129"/>
      <c r="AG234" s="129"/>
      <c r="AH234" s="129"/>
      <c r="AI234" s="129"/>
    </row>
    <row r="235" spans="13:35" x14ac:dyDescent="0.15">
      <c r="M235" s="129"/>
      <c r="N235" s="129"/>
      <c r="O235" s="129"/>
      <c r="P235" s="129"/>
      <c r="Q235" s="129"/>
      <c r="R235" s="129"/>
      <c r="S235" s="129"/>
      <c r="T235" s="129"/>
      <c r="U235" s="129"/>
      <c r="V235" s="129"/>
      <c r="W235" s="129"/>
      <c r="X235" s="129"/>
      <c r="Y235" s="129"/>
      <c r="Z235" s="129"/>
      <c r="AA235" s="129"/>
      <c r="AB235" s="129"/>
      <c r="AC235" s="129"/>
      <c r="AD235" s="129"/>
      <c r="AE235" s="129"/>
      <c r="AF235" s="129"/>
      <c r="AG235" s="129"/>
      <c r="AH235" s="129"/>
      <c r="AI235" s="129"/>
    </row>
    <row r="236" spans="13:35" x14ac:dyDescent="0.15">
      <c r="M236" s="129"/>
      <c r="N236" s="129"/>
      <c r="O236" s="129"/>
      <c r="P236" s="129"/>
      <c r="Q236" s="129"/>
      <c r="R236" s="129"/>
      <c r="S236" s="129"/>
      <c r="T236" s="129"/>
      <c r="U236" s="129"/>
      <c r="V236" s="129"/>
      <c r="W236" s="129"/>
      <c r="X236" s="129"/>
      <c r="Y236" s="129"/>
      <c r="Z236" s="129"/>
      <c r="AA236" s="129"/>
      <c r="AB236" s="129"/>
      <c r="AC236" s="129"/>
      <c r="AD236" s="129"/>
      <c r="AE236" s="129"/>
      <c r="AF236" s="129"/>
      <c r="AG236" s="129"/>
      <c r="AH236" s="129"/>
      <c r="AI236" s="129"/>
    </row>
    <row r="237" spans="13:35" x14ac:dyDescent="0.15">
      <c r="M237" s="129"/>
      <c r="N237" s="129"/>
      <c r="O237" s="129"/>
      <c r="P237" s="129"/>
      <c r="Q237" s="129"/>
      <c r="R237" s="129"/>
      <c r="S237" s="129"/>
      <c r="T237" s="129"/>
      <c r="U237" s="129"/>
      <c r="V237" s="129"/>
      <c r="W237" s="129"/>
      <c r="X237" s="129"/>
      <c r="Y237" s="129"/>
      <c r="Z237" s="129"/>
      <c r="AA237" s="129"/>
      <c r="AB237" s="129"/>
      <c r="AC237" s="129"/>
      <c r="AD237" s="129"/>
      <c r="AE237" s="129"/>
      <c r="AF237" s="129"/>
      <c r="AG237" s="129"/>
      <c r="AH237" s="129"/>
      <c r="AI237" s="129"/>
    </row>
    <row r="238" spans="13:35" x14ac:dyDescent="0.15">
      <c r="M238" s="129"/>
      <c r="N238" s="129"/>
      <c r="O238" s="129"/>
      <c r="P238" s="129"/>
      <c r="Q238" s="129"/>
      <c r="R238" s="129"/>
      <c r="S238" s="129"/>
      <c r="T238" s="129"/>
      <c r="U238" s="129"/>
      <c r="V238" s="129"/>
      <c r="W238" s="129"/>
      <c r="X238" s="129"/>
      <c r="Y238" s="129"/>
      <c r="Z238" s="129"/>
      <c r="AA238" s="129"/>
      <c r="AB238" s="129"/>
      <c r="AC238" s="129"/>
      <c r="AD238" s="129"/>
      <c r="AE238" s="129"/>
      <c r="AF238" s="129"/>
      <c r="AG238" s="129"/>
      <c r="AH238" s="129"/>
      <c r="AI238" s="129"/>
    </row>
    <row r="239" spans="13:35" x14ac:dyDescent="0.15">
      <c r="M239" s="129"/>
      <c r="N239" s="129"/>
      <c r="O239" s="129"/>
      <c r="P239" s="129"/>
      <c r="Q239" s="129"/>
      <c r="R239" s="129"/>
      <c r="S239" s="129"/>
      <c r="T239" s="129"/>
      <c r="U239" s="129"/>
      <c r="V239" s="129"/>
      <c r="W239" s="129"/>
      <c r="X239" s="129"/>
      <c r="Y239" s="129"/>
      <c r="Z239" s="129"/>
      <c r="AA239" s="129"/>
      <c r="AB239" s="129"/>
      <c r="AC239" s="129"/>
      <c r="AD239" s="129"/>
      <c r="AE239" s="129"/>
      <c r="AF239" s="129"/>
      <c r="AG239" s="129"/>
      <c r="AH239" s="129"/>
      <c r="AI239" s="129"/>
    </row>
    <row r="240" spans="13:35" x14ac:dyDescent="0.15">
      <c r="M240" s="129"/>
      <c r="N240" s="129"/>
      <c r="O240" s="129"/>
      <c r="P240" s="129"/>
      <c r="Q240" s="129"/>
      <c r="R240" s="129"/>
      <c r="S240" s="129"/>
      <c r="T240" s="129"/>
      <c r="U240" s="129"/>
      <c r="V240" s="129"/>
      <c r="W240" s="129"/>
      <c r="X240" s="129"/>
      <c r="Y240" s="129"/>
      <c r="Z240" s="129"/>
      <c r="AA240" s="129"/>
      <c r="AB240" s="129"/>
      <c r="AC240" s="129"/>
      <c r="AD240" s="129"/>
      <c r="AE240" s="129"/>
      <c r="AF240" s="129"/>
      <c r="AG240" s="129"/>
      <c r="AH240" s="129"/>
      <c r="AI240" s="129"/>
    </row>
    <row r="241" spans="13:35" x14ac:dyDescent="0.15">
      <c r="M241" s="129"/>
      <c r="N241" s="129"/>
      <c r="O241" s="129"/>
      <c r="P241" s="129"/>
      <c r="Q241" s="129"/>
      <c r="R241" s="129"/>
      <c r="S241" s="129"/>
      <c r="T241" s="129"/>
      <c r="U241" s="129"/>
      <c r="V241" s="129"/>
      <c r="W241" s="129"/>
      <c r="X241" s="129"/>
      <c r="Y241" s="129"/>
      <c r="Z241" s="129"/>
      <c r="AA241" s="129"/>
      <c r="AB241" s="129"/>
      <c r="AC241" s="129"/>
      <c r="AD241" s="129"/>
      <c r="AE241" s="129"/>
      <c r="AF241" s="129"/>
      <c r="AG241" s="129"/>
      <c r="AH241" s="129"/>
      <c r="AI241" s="129"/>
    </row>
    <row r="242" spans="13:35" x14ac:dyDescent="0.15">
      <c r="M242" s="129"/>
      <c r="N242" s="129"/>
      <c r="O242" s="129"/>
      <c r="P242" s="129"/>
      <c r="Q242" s="129"/>
      <c r="R242" s="129"/>
      <c r="S242" s="129"/>
      <c r="T242" s="129"/>
      <c r="U242" s="129"/>
      <c r="V242" s="129"/>
      <c r="W242" s="129"/>
      <c r="X242" s="129"/>
      <c r="Y242" s="129"/>
      <c r="Z242" s="129"/>
      <c r="AA242" s="129"/>
      <c r="AB242" s="129"/>
      <c r="AC242" s="129"/>
      <c r="AD242" s="129"/>
      <c r="AE242" s="129"/>
      <c r="AF242" s="129"/>
      <c r="AG242" s="129"/>
      <c r="AH242" s="129"/>
      <c r="AI242" s="129"/>
    </row>
    <row r="243" spans="13:35" x14ac:dyDescent="0.15">
      <c r="M243" s="129"/>
      <c r="N243" s="129"/>
      <c r="O243" s="129"/>
      <c r="P243" s="129"/>
      <c r="Q243" s="129"/>
      <c r="R243" s="129"/>
      <c r="S243" s="129"/>
      <c r="T243" s="129"/>
      <c r="U243" s="129"/>
      <c r="V243" s="129"/>
      <c r="W243" s="129"/>
      <c r="X243" s="129"/>
      <c r="Y243" s="129"/>
      <c r="Z243" s="129"/>
      <c r="AA243" s="129"/>
      <c r="AB243" s="129"/>
      <c r="AC243" s="129"/>
      <c r="AD243" s="129"/>
      <c r="AE243" s="129"/>
      <c r="AF243" s="129"/>
      <c r="AG243" s="129"/>
      <c r="AH243" s="129"/>
      <c r="AI243" s="129"/>
    </row>
    <row r="244" spans="13:35" x14ac:dyDescent="0.15">
      <c r="M244" s="129"/>
      <c r="N244" s="129"/>
      <c r="O244" s="129"/>
      <c r="P244" s="129"/>
      <c r="Q244" s="129"/>
      <c r="R244" s="129"/>
      <c r="S244" s="129"/>
      <c r="T244" s="129"/>
      <c r="U244" s="129"/>
      <c r="V244" s="129"/>
      <c r="W244" s="129"/>
      <c r="X244" s="129"/>
      <c r="Y244" s="129"/>
      <c r="Z244" s="129"/>
      <c r="AA244" s="129"/>
      <c r="AB244" s="129"/>
      <c r="AC244" s="129"/>
      <c r="AD244" s="129"/>
      <c r="AE244" s="129"/>
      <c r="AF244" s="129"/>
      <c r="AG244" s="129"/>
      <c r="AH244" s="129"/>
      <c r="AI244" s="129"/>
    </row>
    <row r="245" spans="13:35" x14ac:dyDescent="0.15">
      <c r="M245" s="129"/>
      <c r="N245" s="129"/>
      <c r="O245" s="129"/>
      <c r="P245" s="129"/>
      <c r="Q245" s="129"/>
      <c r="R245" s="129"/>
      <c r="S245" s="129"/>
      <c r="T245" s="129"/>
      <c r="U245" s="129"/>
      <c r="V245" s="129"/>
      <c r="W245" s="129"/>
      <c r="X245" s="129"/>
      <c r="Y245" s="129"/>
      <c r="Z245" s="129"/>
      <c r="AA245" s="129"/>
      <c r="AB245" s="129"/>
      <c r="AC245" s="129"/>
      <c r="AD245" s="129"/>
      <c r="AE245" s="129"/>
      <c r="AF245" s="129"/>
      <c r="AG245" s="129"/>
      <c r="AH245" s="129"/>
      <c r="AI245" s="129"/>
    </row>
    <row r="246" spans="13:35" x14ac:dyDescent="0.15">
      <c r="M246" s="129"/>
      <c r="N246" s="129"/>
      <c r="O246" s="129"/>
      <c r="P246" s="129"/>
      <c r="Q246" s="129"/>
      <c r="R246" s="129"/>
      <c r="S246" s="129"/>
      <c r="T246" s="129"/>
      <c r="U246" s="129"/>
      <c r="V246" s="129"/>
      <c r="W246" s="129"/>
      <c r="X246" s="129"/>
      <c r="Y246" s="129"/>
      <c r="Z246" s="129"/>
      <c r="AA246" s="129"/>
      <c r="AB246" s="129"/>
      <c r="AC246" s="129"/>
      <c r="AD246" s="129"/>
      <c r="AE246" s="129"/>
      <c r="AF246" s="129"/>
      <c r="AG246" s="129"/>
      <c r="AH246" s="129"/>
      <c r="AI246" s="129"/>
    </row>
    <row r="247" spans="13:35" x14ac:dyDescent="0.15">
      <c r="M247" s="129"/>
      <c r="N247" s="129"/>
      <c r="O247" s="129"/>
      <c r="P247" s="129"/>
      <c r="Q247" s="129"/>
      <c r="R247" s="129"/>
      <c r="S247" s="129"/>
      <c r="T247" s="129"/>
      <c r="U247" s="129"/>
      <c r="V247" s="129"/>
      <c r="W247" s="129"/>
      <c r="X247" s="129"/>
      <c r="Y247" s="129"/>
      <c r="Z247" s="129"/>
      <c r="AA247" s="129"/>
      <c r="AB247" s="129"/>
      <c r="AC247" s="129"/>
      <c r="AD247" s="129"/>
      <c r="AE247" s="129"/>
      <c r="AF247" s="129"/>
      <c r="AG247" s="129"/>
      <c r="AH247" s="129"/>
      <c r="AI247" s="129"/>
    </row>
    <row r="248" spans="13:35" x14ac:dyDescent="0.15">
      <c r="M248" s="129"/>
      <c r="N248" s="129"/>
      <c r="O248" s="129"/>
      <c r="P248" s="129"/>
      <c r="Q248" s="129"/>
      <c r="R248" s="129"/>
      <c r="S248" s="129"/>
      <c r="T248" s="129"/>
      <c r="U248" s="129"/>
      <c r="V248" s="129"/>
      <c r="W248" s="129"/>
      <c r="X248" s="129"/>
      <c r="Y248" s="129"/>
      <c r="Z248" s="129"/>
      <c r="AA248" s="129"/>
      <c r="AB248" s="129"/>
      <c r="AC248" s="129"/>
      <c r="AD248" s="129"/>
      <c r="AE248" s="129"/>
      <c r="AF248" s="129"/>
      <c r="AG248" s="129"/>
      <c r="AH248" s="129"/>
      <c r="AI248" s="129"/>
    </row>
    <row r="249" spans="13:35" x14ac:dyDescent="0.15">
      <c r="M249" s="129"/>
      <c r="N249" s="129"/>
      <c r="O249" s="129"/>
      <c r="P249" s="129"/>
      <c r="Q249" s="129"/>
      <c r="R249" s="129"/>
      <c r="S249" s="129"/>
      <c r="T249" s="129"/>
      <c r="U249" s="129"/>
      <c r="V249" s="129"/>
      <c r="W249" s="129"/>
      <c r="X249" s="129"/>
      <c r="Y249" s="129"/>
      <c r="Z249" s="129"/>
      <c r="AA249" s="129"/>
      <c r="AB249" s="129"/>
      <c r="AC249" s="129"/>
      <c r="AD249" s="129"/>
      <c r="AE249" s="129"/>
      <c r="AF249" s="129"/>
      <c r="AG249" s="129"/>
      <c r="AH249" s="129"/>
      <c r="AI249" s="129"/>
    </row>
    <row r="250" spans="13:35" x14ac:dyDescent="0.15">
      <c r="M250" s="129"/>
      <c r="N250" s="129"/>
      <c r="O250" s="129"/>
      <c r="P250" s="129"/>
      <c r="Q250" s="129"/>
      <c r="R250" s="129"/>
      <c r="S250" s="129"/>
      <c r="T250" s="129"/>
      <c r="U250" s="129"/>
      <c r="V250" s="129"/>
      <c r="W250" s="129"/>
      <c r="X250" s="129"/>
      <c r="Y250" s="129"/>
      <c r="Z250" s="129"/>
      <c r="AA250" s="129"/>
      <c r="AB250" s="129"/>
      <c r="AC250" s="129"/>
      <c r="AD250" s="129"/>
      <c r="AE250" s="129"/>
      <c r="AF250" s="129"/>
      <c r="AG250" s="129"/>
      <c r="AH250" s="129"/>
      <c r="AI250" s="129"/>
    </row>
    <row r="251" spans="13:35" x14ac:dyDescent="0.15">
      <c r="M251" s="129"/>
      <c r="N251" s="129"/>
      <c r="O251" s="129"/>
      <c r="P251" s="129"/>
      <c r="Q251" s="129"/>
      <c r="R251" s="129"/>
      <c r="S251" s="129"/>
      <c r="T251" s="129"/>
      <c r="U251" s="129"/>
      <c r="V251" s="129"/>
      <c r="W251" s="129"/>
      <c r="X251" s="129"/>
      <c r="Y251" s="129"/>
      <c r="Z251" s="129"/>
      <c r="AA251" s="129"/>
      <c r="AB251" s="129"/>
      <c r="AC251" s="129"/>
      <c r="AD251" s="129"/>
      <c r="AE251" s="129"/>
      <c r="AF251" s="129"/>
      <c r="AG251" s="129"/>
      <c r="AH251" s="129"/>
      <c r="AI251" s="129"/>
    </row>
    <row r="252" spans="13:35" x14ac:dyDescent="0.15">
      <c r="M252" s="129"/>
      <c r="N252" s="129"/>
      <c r="O252" s="129"/>
      <c r="P252" s="129"/>
      <c r="Q252" s="129"/>
      <c r="R252" s="129"/>
      <c r="S252" s="129"/>
      <c r="T252" s="129"/>
      <c r="U252" s="129"/>
      <c r="V252" s="129"/>
      <c r="W252" s="129"/>
      <c r="X252" s="129"/>
      <c r="Y252" s="129"/>
      <c r="Z252" s="129"/>
      <c r="AA252" s="129"/>
      <c r="AB252" s="129"/>
      <c r="AC252" s="129"/>
      <c r="AD252" s="129"/>
      <c r="AE252" s="129"/>
      <c r="AF252" s="129"/>
      <c r="AG252" s="129"/>
      <c r="AH252" s="129"/>
      <c r="AI252" s="129"/>
    </row>
    <row r="253" spans="13:35" x14ac:dyDescent="0.15">
      <c r="M253" s="129"/>
      <c r="N253" s="129"/>
      <c r="O253" s="129"/>
      <c r="P253" s="129"/>
      <c r="Q253" s="129"/>
      <c r="R253" s="129"/>
      <c r="S253" s="129"/>
      <c r="T253" s="129"/>
      <c r="U253" s="129"/>
      <c r="V253" s="129"/>
      <c r="W253" s="129"/>
      <c r="X253" s="129"/>
      <c r="Y253" s="129"/>
      <c r="Z253" s="129"/>
      <c r="AA253" s="129"/>
      <c r="AB253" s="129"/>
      <c r="AC253" s="129"/>
      <c r="AD253" s="129"/>
      <c r="AE253" s="129"/>
      <c r="AF253" s="129"/>
      <c r="AG253" s="129"/>
      <c r="AH253" s="129"/>
      <c r="AI253" s="129"/>
    </row>
    <row r="254" spans="13:35" x14ac:dyDescent="0.15">
      <c r="M254" s="129"/>
      <c r="N254" s="129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  <c r="Z254" s="129"/>
      <c r="AA254" s="129"/>
      <c r="AB254" s="129"/>
      <c r="AC254" s="129"/>
      <c r="AD254" s="129"/>
      <c r="AE254" s="129"/>
      <c r="AF254" s="129"/>
      <c r="AG254" s="129"/>
      <c r="AH254" s="129"/>
      <c r="AI254" s="129"/>
    </row>
    <row r="255" spans="13:35" x14ac:dyDescent="0.15">
      <c r="M255" s="129"/>
      <c r="N255" s="129"/>
      <c r="O255" s="129"/>
      <c r="P255" s="129"/>
      <c r="Q255" s="129"/>
      <c r="R255" s="129"/>
      <c r="S255" s="129"/>
      <c r="T255" s="129"/>
      <c r="U255" s="129"/>
      <c r="V255" s="129"/>
      <c r="W255" s="129"/>
      <c r="X255" s="129"/>
      <c r="Y255" s="129"/>
      <c r="Z255" s="129"/>
      <c r="AA255" s="129"/>
      <c r="AB255" s="129"/>
      <c r="AC255" s="129"/>
      <c r="AD255" s="129"/>
      <c r="AE255" s="129"/>
      <c r="AF255" s="129"/>
      <c r="AG255" s="129"/>
      <c r="AH255" s="129"/>
      <c r="AI255" s="129"/>
    </row>
    <row r="256" spans="13:35" x14ac:dyDescent="0.15">
      <c r="M256" s="129"/>
      <c r="N256" s="129"/>
      <c r="O256" s="129"/>
      <c r="P256" s="129"/>
      <c r="Q256" s="129"/>
      <c r="R256" s="129"/>
      <c r="S256" s="129"/>
      <c r="T256" s="129"/>
      <c r="U256" s="129"/>
      <c r="V256" s="129"/>
      <c r="W256" s="129"/>
      <c r="X256" s="129"/>
      <c r="Y256" s="129"/>
      <c r="Z256" s="129"/>
      <c r="AA256" s="129"/>
      <c r="AB256" s="129"/>
      <c r="AC256" s="129"/>
      <c r="AD256" s="129"/>
      <c r="AE256" s="129"/>
      <c r="AF256" s="129"/>
      <c r="AG256" s="129"/>
      <c r="AH256" s="129"/>
      <c r="AI256" s="129"/>
    </row>
    <row r="257" spans="13:35" x14ac:dyDescent="0.15">
      <c r="M257" s="129"/>
      <c r="N257" s="129"/>
      <c r="O257" s="129"/>
      <c r="P257" s="129"/>
      <c r="Q257" s="129"/>
      <c r="R257" s="129"/>
      <c r="S257" s="129"/>
      <c r="T257" s="129"/>
      <c r="U257" s="129"/>
      <c r="V257" s="129"/>
      <c r="W257" s="129"/>
      <c r="X257" s="129"/>
      <c r="Y257" s="129"/>
      <c r="Z257" s="129"/>
      <c r="AA257" s="129"/>
      <c r="AB257" s="129"/>
      <c r="AC257" s="129"/>
      <c r="AD257" s="129"/>
      <c r="AE257" s="129"/>
      <c r="AF257" s="129"/>
      <c r="AG257" s="129"/>
      <c r="AH257" s="129"/>
      <c r="AI257" s="129"/>
    </row>
    <row r="258" spans="13:35" x14ac:dyDescent="0.15">
      <c r="M258" s="129"/>
      <c r="N258" s="129"/>
      <c r="O258" s="129"/>
      <c r="P258" s="129"/>
      <c r="Q258" s="129"/>
      <c r="R258" s="129"/>
      <c r="S258" s="129"/>
      <c r="T258" s="129"/>
      <c r="U258" s="129"/>
      <c r="V258" s="129"/>
      <c r="W258" s="129"/>
      <c r="X258" s="129"/>
      <c r="Y258" s="129"/>
      <c r="Z258" s="129"/>
      <c r="AA258" s="129"/>
      <c r="AB258" s="129"/>
      <c r="AC258" s="129"/>
      <c r="AD258" s="129"/>
      <c r="AE258" s="129"/>
      <c r="AF258" s="129"/>
      <c r="AG258" s="129"/>
      <c r="AH258" s="129"/>
      <c r="AI258" s="129"/>
    </row>
    <row r="259" spans="13:35" x14ac:dyDescent="0.15">
      <c r="M259" s="129"/>
      <c r="N259" s="129"/>
      <c r="O259" s="129"/>
      <c r="P259" s="129"/>
      <c r="Q259" s="129"/>
      <c r="R259" s="129"/>
      <c r="S259" s="129"/>
      <c r="T259" s="129"/>
      <c r="U259" s="129"/>
      <c r="V259" s="129"/>
      <c r="W259" s="129"/>
      <c r="X259" s="129"/>
      <c r="Y259" s="129"/>
      <c r="Z259" s="129"/>
      <c r="AA259" s="129"/>
      <c r="AB259" s="129"/>
      <c r="AC259" s="129"/>
      <c r="AD259" s="129"/>
      <c r="AE259" s="129"/>
      <c r="AF259" s="129"/>
      <c r="AG259" s="129"/>
      <c r="AH259" s="129"/>
      <c r="AI259" s="129"/>
    </row>
    <row r="260" spans="13:35" x14ac:dyDescent="0.15">
      <c r="M260" s="129"/>
      <c r="N260" s="129"/>
      <c r="O260" s="129"/>
      <c r="P260" s="129"/>
      <c r="Q260" s="129"/>
      <c r="R260" s="129"/>
      <c r="S260" s="129"/>
      <c r="T260" s="129"/>
      <c r="U260" s="129"/>
      <c r="V260" s="129"/>
      <c r="W260" s="129"/>
      <c r="X260" s="129"/>
      <c r="Y260" s="129"/>
      <c r="Z260" s="129"/>
      <c r="AA260" s="129"/>
      <c r="AB260" s="129"/>
      <c r="AC260" s="129"/>
      <c r="AD260" s="129"/>
      <c r="AE260" s="129"/>
      <c r="AF260" s="129"/>
      <c r="AG260" s="129"/>
      <c r="AH260" s="129"/>
      <c r="AI260" s="129"/>
    </row>
    <row r="261" spans="13:35" x14ac:dyDescent="0.15">
      <c r="M261" s="129"/>
      <c r="N261" s="129"/>
      <c r="O261" s="129"/>
      <c r="P261" s="129"/>
      <c r="Q261" s="129"/>
      <c r="R261" s="129"/>
      <c r="S261" s="129"/>
      <c r="T261" s="129"/>
      <c r="U261" s="129"/>
      <c r="V261" s="129"/>
      <c r="W261" s="129"/>
      <c r="X261" s="129"/>
      <c r="Y261" s="129"/>
      <c r="Z261" s="129"/>
      <c r="AA261" s="129"/>
      <c r="AB261" s="129"/>
      <c r="AC261" s="129"/>
      <c r="AD261" s="129"/>
      <c r="AE261" s="129"/>
      <c r="AF261" s="129"/>
      <c r="AG261" s="129"/>
      <c r="AH261" s="129"/>
      <c r="AI261" s="129"/>
    </row>
    <row r="262" spans="13:35" x14ac:dyDescent="0.15">
      <c r="M262" s="129"/>
      <c r="N262" s="129"/>
      <c r="O262" s="129"/>
      <c r="P262" s="129"/>
      <c r="Q262" s="129"/>
      <c r="R262" s="129"/>
      <c r="S262" s="129"/>
      <c r="T262" s="129"/>
      <c r="U262" s="129"/>
      <c r="V262" s="129"/>
      <c r="W262" s="129"/>
      <c r="X262" s="129"/>
      <c r="Y262" s="129"/>
      <c r="Z262" s="129"/>
      <c r="AA262" s="129"/>
      <c r="AB262" s="129"/>
      <c r="AC262" s="129"/>
      <c r="AD262" s="129"/>
      <c r="AE262" s="129"/>
      <c r="AF262" s="129"/>
      <c r="AG262" s="129"/>
      <c r="AH262" s="129"/>
      <c r="AI262" s="129"/>
    </row>
    <row r="263" spans="13:35" x14ac:dyDescent="0.15">
      <c r="M263" s="129"/>
      <c r="N263" s="129"/>
      <c r="O263" s="129"/>
      <c r="P263" s="129"/>
      <c r="Q263" s="129"/>
      <c r="R263" s="129"/>
      <c r="S263" s="129"/>
      <c r="T263" s="129"/>
      <c r="U263" s="129"/>
      <c r="V263" s="129"/>
      <c r="W263" s="129"/>
      <c r="X263" s="129"/>
      <c r="Y263" s="129"/>
      <c r="Z263" s="129"/>
      <c r="AA263" s="129"/>
      <c r="AB263" s="129"/>
      <c r="AC263" s="129"/>
      <c r="AD263" s="129"/>
      <c r="AE263" s="129"/>
      <c r="AF263" s="129"/>
      <c r="AG263" s="129"/>
      <c r="AH263" s="129"/>
      <c r="AI263" s="129"/>
    </row>
    <row r="264" spans="13:35" x14ac:dyDescent="0.15">
      <c r="M264" s="129"/>
      <c r="N264" s="129"/>
      <c r="O264" s="129"/>
      <c r="P264" s="129"/>
      <c r="Q264" s="129"/>
      <c r="R264" s="129"/>
      <c r="S264" s="129"/>
      <c r="T264" s="129"/>
      <c r="U264" s="129"/>
      <c r="V264" s="129"/>
      <c r="W264" s="129"/>
      <c r="X264" s="129"/>
      <c r="Y264" s="129"/>
      <c r="Z264" s="129"/>
      <c r="AA264" s="129"/>
      <c r="AB264" s="129"/>
      <c r="AC264" s="129"/>
      <c r="AD264" s="129"/>
      <c r="AE264" s="129"/>
      <c r="AF264" s="129"/>
      <c r="AG264" s="129"/>
      <c r="AH264" s="129"/>
      <c r="AI264" s="129"/>
    </row>
    <row r="265" spans="13:35" x14ac:dyDescent="0.15">
      <c r="M265" s="129"/>
      <c r="N265" s="129"/>
      <c r="O265" s="129"/>
      <c r="P265" s="129"/>
      <c r="Q265" s="129"/>
      <c r="R265" s="129"/>
      <c r="S265" s="129"/>
      <c r="T265" s="129"/>
      <c r="U265" s="129"/>
      <c r="V265" s="129"/>
      <c r="W265" s="129"/>
      <c r="X265" s="129"/>
      <c r="Y265" s="129"/>
      <c r="Z265" s="129"/>
      <c r="AA265" s="129"/>
      <c r="AB265" s="129"/>
      <c r="AC265" s="129"/>
      <c r="AD265" s="129"/>
      <c r="AE265" s="129"/>
      <c r="AF265" s="129"/>
      <c r="AG265" s="129"/>
      <c r="AH265" s="129"/>
      <c r="AI265" s="129"/>
    </row>
    <row r="266" spans="13:35" x14ac:dyDescent="0.15">
      <c r="M266" s="129"/>
      <c r="N266" s="129"/>
      <c r="O266" s="129"/>
      <c r="P266" s="129"/>
      <c r="Q266" s="129"/>
      <c r="R266" s="129"/>
      <c r="S266" s="129"/>
      <c r="T266" s="129"/>
      <c r="U266" s="129"/>
      <c r="V266" s="129"/>
      <c r="W266" s="129"/>
      <c r="X266" s="129"/>
      <c r="Y266" s="129"/>
      <c r="Z266" s="129"/>
      <c r="AA266" s="129"/>
      <c r="AB266" s="129"/>
      <c r="AC266" s="129"/>
      <c r="AD266" s="129"/>
      <c r="AE266" s="129"/>
      <c r="AF266" s="129"/>
      <c r="AG266" s="129"/>
      <c r="AH266" s="129"/>
      <c r="AI266" s="129"/>
    </row>
    <row r="267" spans="13:35" x14ac:dyDescent="0.15"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129"/>
      <c r="Y267" s="129"/>
      <c r="Z267" s="129"/>
      <c r="AA267" s="129"/>
      <c r="AB267" s="129"/>
      <c r="AC267" s="129"/>
      <c r="AD267" s="129"/>
      <c r="AE267" s="129"/>
      <c r="AF267" s="129"/>
      <c r="AG267" s="129"/>
      <c r="AH267" s="129"/>
      <c r="AI267" s="129"/>
    </row>
    <row r="268" spans="13:35" x14ac:dyDescent="0.15">
      <c r="M268" s="129"/>
      <c r="N268" s="129"/>
      <c r="O268" s="129"/>
      <c r="P268" s="129"/>
      <c r="Q268" s="129"/>
      <c r="R268" s="129"/>
      <c r="S268" s="129"/>
      <c r="T268" s="129"/>
      <c r="U268" s="129"/>
      <c r="V268" s="129"/>
      <c r="W268" s="129"/>
      <c r="X268" s="129"/>
      <c r="Y268" s="129"/>
      <c r="Z268" s="129"/>
      <c r="AA268" s="129"/>
      <c r="AB268" s="129"/>
      <c r="AC268" s="129"/>
      <c r="AD268" s="129"/>
      <c r="AE268" s="129"/>
      <c r="AF268" s="129"/>
      <c r="AG268" s="129"/>
      <c r="AH268" s="129"/>
      <c r="AI268" s="129"/>
    </row>
    <row r="269" spans="13:35" x14ac:dyDescent="0.15">
      <c r="M269" s="129"/>
      <c r="N269" s="129"/>
      <c r="O269" s="129"/>
      <c r="P269" s="129"/>
      <c r="Q269" s="129"/>
      <c r="R269" s="129"/>
      <c r="S269" s="129"/>
      <c r="T269" s="129"/>
      <c r="U269" s="129"/>
      <c r="V269" s="129"/>
      <c r="W269" s="129"/>
      <c r="X269" s="129"/>
      <c r="Y269" s="129"/>
      <c r="Z269" s="129"/>
      <c r="AA269" s="129"/>
      <c r="AB269" s="129"/>
      <c r="AC269" s="129"/>
      <c r="AD269" s="129"/>
      <c r="AE269" s="129"/>
      <c r="AF269" s="129"/>
      <c r="AG269" s="129"/>
      <c r="AH269" s="129"/>
      <c r="AI269" s="129"/>
    </row>
    <row r="270" spans="13:35" x14ac:dyDescent="0.15">
      <c r="M270" s="129"/>
      <c r="N270" s="129"/>
      <c r="O270" s="129"/>
      <c r="P270" s="129"/>
      <c r="Q270" s="129"/>
      <c r="R270" s="129"/>
      <c r="S270" s="129"/>
      <c r="T270" s="129"/>
      <c r="U270" s="129"/>
      <c r="V270" s="129"/>
      <c r="W270" s="129"/>
      <c r="X270" s="129"/>
      <c r="Y270" s="129"/>
      <c r="Z270" s="129"/>
      <c r="AA270" s="129"/>
      <c r="AB270" s="129"/>
      <c r="AC270" s="129"/>
      <c r="AD270" s="129"/>
      <c r="AE270" s="129"/>
      <c r="AF270" s="129"/>
      <c r="AG270" s="129"/>
      <c r="AH270" s="129"/>
      <c r="AI270" s="129"/>
    </row>
    <row r="271" spans="13:35" x14ac:dyDescent="0.15">
      <c r="M271" s="129"/>
      <c r="N271" s="129"/>
      <c r="O271" s="129"/>
      <c r="P271" s="129"/>
      <c r="Q271" s="129"/>
      <c r="R271" s="129"/>
      <c r="S271" s="129"/>
      <c r="T271" s="129"/>
      <c r="U271" s="129"/>
      <c r="V271" s="129"/>
      <c r="W271" s="129"/>
      <c r="X271" s="129"/>
      <c r="Y271" s="129"/>
      <c r="Z271" s="129"/>
      <c r="AA271" s="129"/>
      <c r="AB271" s="129"/>
      <c r="AC271" s="129"/>
      <c r="AD271" s="129"/>
      <c r="AE271" s="129"/>
      <c r="AF271" s="129"/>
      <c r="AG271" s="129"/>
      <c r="AH271" s="129"/>
      <c r="AI271" s="129"/>
    </row>
    <row r="272" spans="13:35" x14ac:dyDescent="0.15">
      <c r="M272" s="129"/>
      <c r="N272" s="129"/>
      <c r="O272" s="129"/>
      <c r="P272" s="129"/>
      <c r="Q272" s="129"/>
      <c r="R272" s="129"/>
      <c r="S272" s="129"/>
      <c r="T272" s="129"/>
      <c r="U272" s="129"/>
      <c r="V272" s="129"/>
      <c r="W272" s="129"/>
      <c r="X272" s="129"/>
      <c r="Y272" s="129"/>
      <c r="Z272" s="129"/>
      <c r="AA272" s="129"/>
      <c r="AB272" s="129"/>
      <c r="AC272" s="129"/>
      <c r="AD272" s="129"/>
      <c r="AE272" s="129"/>
      <c r="AF272" s="129"/>
      <c r="AG272" s="129"/>
      <c r="AH272" s="129"/>
      <c r="AI272" s="129"/>
    </row>
    <row r="273" spans="13:35" x14ac:dyDescent="0.15">
      <c r="M273" s="129"/>
      <c r="N273" s="129"/>
      <c r="O273" s="129"/>
      <c r="P273" s="129"/>
      <c r="Q273" s="129"/>
      <c r="R273" s="129"/>
      <c r="S273" s="129"/>
      <c r="T273" s="129"/>
      <c r="U273" s="129"/>
      <c r="V273" s="129"/>
      <c r="W273" s="129"/>
      <c r="X273" s="129"/>
      <c r="Y273" s="129"/>
      <c r="Z273" s="129"/>
      <c r="AA273" s="129"/>
      <c r="AB273" s="129"/>
      <c r="AC273" s="129"/>
      <c r="AD273" s="129"/>
      <c r="AE273" s="129"/>
      <c r="AF273" s="129"/>
      <c r="AG273" s="129"/>
      <c r="AH273" s="129"/>
      <c r="AI273" s="129"/>
    </row>
    <row r="274" spans="13:35" x14ac:dyDescent="0.15">
      <c r="M274" s="129"/>
      <c r="N274" s="129"/>
      <c r="O274" s="129"/>
      <c r="P274" s="129"/>
      <c r="Q274" s="129"/>
      <c r="R274" s="129"/>
      <c r="S274" s="129"/>
      <c r="T274" s="129"/>
      <c r="U274" s="129"/>
      <c r="V274" s="129"/>
      <c r="W274" s="129"/>
      <c r="X274" s="129"/>
      <c r="Y274" s="129"/>
      <c r="Z274" s="129"/>
      <c r="AA274" s="129"/>
      <c r="AB274" s="129"/>
      <c r="AC274" s="129"/>
      <c r="AD274" s="129"/>
      <c r="AE274" s="129"/>
      <c r="AF274" s="129"/>
      <c r="AG274" s="129"/>
      <c r="AH274" s="129"/>
      <c r="AI274" s="129"/>
    </row>
    <row r="275" spans="13:35" x14ac:dyDescent="0.15">
      <c r="M275" s="129"/>
      <c r="N275" s="129"/>
      <c r="O275" s="129"/>
      <c r="P275" s="129"/>
      <c r="Q275" s="129"/>
      <c r="R275" s="129"/>
      <c r="S275" s="129"/>
      <c r="T275" s="129"/>
      <c r="U275" s="129"/>
      <c r="V275" s="129"/>
      <c r="W275" s="129"/>
      <c r="X275" s="129"/>
      <c r="Y275" s="129"/>
      <c r="Z275" s="129"/>
      <c r="AA275" s="129"/>
      <c r="AB275" s="129"/>
      <c r="AC275" s="129"/>
      <c r="AD275" s="129"/>
      <c r="AE275" s="129"/>
      <c r="AF275" s="129"/>
      <c r="AG275" s="129"/>
      <c r="AH275" s="129"/>
      <c r="AI275" s="129"/>
    </row>
    <row r="276" spans="13:35" x14ac:dyDescent="0.15">
      <c r="M276" s="129"/>
      <c r="N276" s="129"/>
      <c r="O276" s="129"/>
      <c r="P276" s="129"/>
      <c r="Q276" s="129"/>
      <c r="R276" s="129"/>
      <c r="S276" s="129"/>
      <c r="T276" s="129"/>
      <c r="U276" s="129"/>
      <c r="V276" s="129"/>
      <c r="W276" s="129"/>
      <c r="X276" s="129"/>
      <c r="Y276" s="129"/>
      <c r="Z276" s="129"/>
      <c r="AA276" s="129"/>
      <c r="AB276" s="129"/>
      <c r="AC276" s="129"/>
      <c r="AD276" s="129"/>
      <c r="AE276" s="129"/>
      <c r="AF276" s="129"/>
      <c r="AG276" s="129"/>
      <c r="AH276" s="129"/>
      <c r="AI276" s="129"/>
    </row>
    <row r="277" spans="13:35" x14ac:dyDescent="0.15">
      <c r="M277" s="129"/>
      <c r="N277" s="129"/>
      <c r="O277" s="129"/>
      <c r="P277" s="129"/>
      <c r="Q277" s="129"/>
      <c r="R277" s="129"/>
      <c r="S277" s="129"/>
      <c r="T277" s="129"/>
      <c r="U277" s="129"/>
      <c r="V277" s="129"/>
      <c r="W277" s="129"/>
      <c r="X277" s="129"/>
      <c r="Y277" s="129"/>
      <c r="Z277" s="129"/>
      <c r="AA277" s="129"/>
      <c r="AB277" s="129"/>
      <c r="AC277" s="129"/>
      <c r="AD277" s="129"/>
      <c r="AE277" s="129"/>
      <c r="AF277" s="129"/>
      <c r="AG277" s="129"/>
      <c r="AH277" s="129"/>
      <c r="AI277" s="129"/>
    </row>
    <row r="278" spans="13:35" x14ac:dyDescent="0.15">
      <c r="M278" s="129"/>
      <c r="N278" s="129"/>
      <c r="O278" s="129"/>
      <c r="P278" s="129"/>
      <c r="Q278" s="129"/>
      <c r="R278" s="129"/>
      <c r="S278" s="129"/>
      <c r="T278" s="129"/>
      <c r="U278" s="129"/>
      <c r="V278" s="129"/>
      <c r="W278" s="129"/>
      <c r="X278" s="129"/>
      <c r="Y278" s="129"/>
      <c r="Z278" s="129"/>
      <c r="AA278" s="129"/>
      <c r="AB278" s="129"/>
      <c r="AC278" s="129"/>
      <c r="AD278" s="129"/>
      <c r="AE278" s="129"/>
      <c r="AF278" s="129"/>
      <c r="AG278" s="129"/>
      <c r="AH278" s="129"/>
      <c r="AI278" s="129"/>
    </row>
    <row r="279" spans="13:35" x14ac:dyDescent="0.15">
      <c r="M279" s="129"/>
      <c r="N279" s="129"/>
      <c r="O279" s="129"/>
      <c r="P279" s="129"/>
      <c r="Q279" s="129"/>
      <c r="R279" s="129"/>
      <c r="S279" s="129"/>
      <c r="T279" s="129"/>
      <c r="U279" s="129"/>
      <c r="V279" s="129"/>
      <c r="W279" s="129"/>
      <c r="X279" s="129"/>
      <c r="Y279" s="129"/>
      <c r="Z279" s="129"/>
      <c r="AA279" s="129"/>
      <c r="AB279" s="129"/>
      <c r="AC279" s="129"/>
      <c r="AD279" s="129"/>
      <c r="AE279" s="129"/>
      <c r="AF279" s="129"/>
      <c r="AG279" s="129"/>
      <c r="AH279" s="129"/>
      <c r="AI279" s="129"/>
    </row>
    <row r="280" spans="13:35" x14ac:dyDescent="0.15">
      <c r="M280" s="129"/>
      <c r="N280" s="129"/>
      <c r="O280" s="129"/>
      <c r="P280" s="129"/>
      <c r="Q280" s="129"/>
      <c r="R280" s="129"/>
      <c r="S280" s="129"/>
      <c r="T280" s="129"/>
      <c r="U280" s="129"/>
      <c r="V280" s="129"/>
      <c r="W280" s="129"/>
      <c r="X280" s="129"/>
      <c r="Y280" s="129"/>
      <c r="Z280" s="129"/>
      <c r="AA280" s="129"/>
      <c r="AB280" s="129"/>
      <c r="AC280" s="129"/>
      <c r="AD280" s="129"/>
      <c r="AE280" s="129"/>
      <c r="AF280" s="129"/>
      <c r="AG280" s="129"/>
      <c r="AH280" s="129"/>
      <c r="AI280" s="129"/>
    </row>
    <row r="281" spans="13:35" x14ac:dyDescent="0.15">
      <c r="M281" s="129"/>
      <c r="N281" s="129"/>
      <c r="O281" s="129"/>
      <c r="P281" s="129"/>
      <c r="Q281" s="129"/>
      <c r="R281" s="129"/>
      <c r="S281" s="129"/>
      <c r="T281" s="129"/>
      <c r="U281" s="129"/>
      <c r="V281" s="129"/>
      <c r="W281" s="129"/>
      <c r="X281" s="129"/>
      <c r="Y281" s="129"/>
      <c r="Z281" s="129"/>
      <c r="AA281" s="129"/>
      <c r="AB281" s="129"/>
      <c r="AC281" s="129"/>
      <c r="AD281" s="129"/>
      <c r="AE281" s="129"/>
      <c r="AF281" s="129"/>
      <c r="AG281" s="129"/>
      <c r="AH281" s="129"/>
      <c r="AI281" s="129"/>
    </row>
    <row r="282" spans="13:35" x14ac:dyDescent="0.15">
      <c r="M282" s="129"/>
      <c r="N282" s="129"/>
      <c r="O282" s="129"/>
      <c r="P282" s="129"/>
      <c r="Q282" s="129"/>
      <c r="R282" s="129"/>
      <c r="S282" s="129"/>
      <c r="T282" s="129"/>
      <c r="U282" s="129"/>
      <c r="V282" s="129"/>
      <c r="W282" s="129"/>
      <c r="X282" s="129"/>
      <c r="Y282" s="129"/>
      <c r="Z282" s="129"/>
      <c r="AA282" s="129"/>
      <c r="AB282" s="129"/>
      <c r="AC282" s="129"/>
      <c r="AD282" s="129"/>
      <c r="AE282" s="129"/>
      <c r="AF282" s="129"/>
      <c r="AG282" s="129"/>
      <c r="AH282" s="129"/>
      <c r="AI282" s="129"/>
    </row>
    <row r="283" spans="13:35" x14ac:dyDescent="0.15">
      <c r="M283" s="129"/>
      <c r="N283" s="129"/>
      <c r="O283" s="129"/>
      <c r="P283" s="129"/>
      <c r="Q283" s="129"/>
      <c r="R283" s="129"/>
      <c r="S283" s="129"/>
      <c r="T283" s="129"/>
      <c r="U283" s="129"/>
      <c r="V283" s="129"/>
      <c r="W283" s="129"/>
      <c r="X283" s="129"/>
      <c r="Y283" s="129"/>
      <c r="Z283" s="129"/>
      <c r="AA283" s="129"/>
      <c r="AB283" s="129"/>
      <c r="AC283" s="129"/>
      <c r="AD283" s="129"/>
      <c r="AE283" s="129"/>
      <c r="AF283" s="129"/>
      <c r="AG283" s="129"/>
      <c r="AH283" s="129"/>
      <c r="AI283" s="129"/>
    </row>
    <row r="284" spans="13:35" x14ac:dyDescent="0.15">
      <c r="M284" s="129"/>
      <c r="N284" s="129"/>
      <c r="O284" s="129"/>
      <c r="P284" s="129"/>
      <c r="Q284" s="129"/>
      <c r="R284" s="129"/>
      <c r="S284" s="129"/>
      <c r="T284" s="129"/>
      <c r="U284" s="129"/>
      <c r="V284" s="129"/>
      <c r="W284" s="129"/>
      <c r="X284" s="129"/>
      <c r="Y284" s="129"/>
      <c r="Z284" s="129"/>
      <c r="AA284" s="129"/>
      <c r="AB284" s="129"/>
      <c r="AC284" s="129"/>
      <c r="AD284" s="129"/>
      <c r="AE284" s="129"/>
      <c r="AF284" s="129"/>
      <c r="AG284" s="129"/>
      <c r="AH284" s="129"/>
      <c r="AI284" s="129"/>
    </row>
    <row r="285" spans="13:35" x14ac:dyDescent="0.15">
      <c r="M285" s="129"/>
      <c r="N285" s="129"/>
      <c r="O285" s="129"/>
      <c r="P285" s="129"/>
      <c r="Q285" s="129"/>
      <c r="R285" s="129"/>
      <c r="S285" s="129"/>
      <c r="T285" s="129"/>
      <c r="U285" s="129"/>
      <c r="V285" s="129"/>
      <c r="W285" s="129"/>
      <c r="X285" s="129"/>
      <c r="Y285" s="129"/>
      <c r="Z285" s="129"/>
      <c r="AA285" s="129"/>
      <c r="AB285" s="129"/>
      <c r="AC285" s="129"/>
      <c r="AD285" s="129"/>
      <c r="AE285" s="129"/>
      <c r="AF285" s="129"/>
      <c r="AG285" s="129"/>
      <c r="AH285" s="129"/>
      <c r="AI285" s="129"/>
    </row>
    <row r="286" spans="13:35" x14ac:dyDescent="0.15">
      <c r="M286" s="129"/>
      <c r="N286" s="129"/>
      <c r="O286" s="129"/>
      <c r="P286" s="129"/>
      <c r="Q286" s="129"/>
      <c r="R286" s="129"/>
      <c r="S286" s="129"/>
      <c r="T286" s="129"/>
      <c r="U286" s="129"/>
      <c r="V286" s="129"/>
      <c r="W286" s="129"/>
      <c r="X286" s="129"/>
      <c r="Y286" s="129"/>
      <c r="Z286" s="129"/>
      <c r="AA286" s="129"/>
      <c r="AB286" s="129"/>
      <c r="AC286" s="129"/>
      <c r="AD286" s="129"/>
      <c r="AE286" s="129"/>
      <c r="AF286" s="129"/>
      <c r="AG286" s="129"/>
      <c r="AH286" s="129"/>
      <c r="AI286" s="129"/>
    </row>
    <row r="287" spans="13:35" x14ac:dyDescent="0.15">
      <c r="M287" s="129"/>
      <c r="N287" s="129"/>
      <c r="O287" s="129"/>
      <c r="P287" s="129"/>
      <c r="Q287" s="129"/>
      <c r="R287" s="129"/>
      <c r="S287" s="129"/>
      <c r="T287" s="129"/>
      <c r="U287" s="129"/>
      <c r="V287" s="129"/>
      <c r="W287" s="129"/>
      <c r="X287" s="129"/>
      <c r="Y287" s="129"/>
      <c r="Z287" s="129"/>
      <c r="AA287" s="129"/>
      <c r="AB287" s="129"/>
      <c r="AC287" s="129"/>
      <c r="AD287" s="129"/>
      <c r="AE287" s="129"/>
      <c r="AF287" s="129"/>
      <c r="AG287" s="129"/>
      <c r="AH287" s="129"/>
      <c r="AI287" s="129"/>
    </row>
    <row r="288" spans="13:35" x14ac:dyDescent="0.15">
      <c r="M288" s="129"/>
      <c r="N288" s="129"/>
      <c r="O288" s="129"/>
      <c r="P288" s="129"/>
      <c r="Q288" s="129"/>
      <c r="R288" s="129"/>
      <c r="S288" s="129"/>
      <c r="T288" s="129"/>
      <c r="U288" s="129"/>
      <c r="V288" s="129"/>
      <c r="W288" s="129"/>
      <c r="X288" s="129"/>
      <c r="Y288" s="129"/>
      <c r="Z288" s="129"/>
      <c r="AA288" s="129"/>
      <c r="AB288" s="129"/>
      <c r="AC288" s="129"/>
      <c r="AD288" s="129"/>
      <c r="AE288" s="129"/>
      <c r="AF288" s="129"/>
      <c r="AG288" s="129"/>
      <c r="AH288" s="129"/>
      <c r="AI288" s="129"/>
    </row>
    <row r="289" spans="13:35" x14ac:dyDescent="0.15">
      <c r="M289" s="129"/>
      <c r="N289" s="129"/>
      <c r="O289" s="129"/>
      <c r="P289" s="129"/>
      <c r="Q289" s="129"/>
      <c r="R289" s="129"/>
      <c r="S289" s="129"/>
      <c r="T289" s="129"/>
      <c r="U289" s="129"/>
      <c r="V289" s="129"/>
      <c r="W289" s="129"/>
      <c r="X289" s="129"/>
      <c r="Y289" s="129"/>
      <c r="Z289" s="129"/>
      <c r="AA289" s="129"/>
      <c r="AB289" s="129"/>
      <c r="AC289" s="129"/>
      <c r="AD289" s="129"/>
      <c r="AE289" s="129"/>
      <c r="AF289" s="129"/>
      <c r="AG289" s="129"/>
      <c r="AH289" s="129"/>
      <c r="AI289" s="129"/>
    </row>
    <row r="290" spans="13:35" x14ac:dyDescent="0.15">
      <c r="M290" s="129"/>
      <c r="N290" s="129"/>
      <c r="O290" s="129"/>
      <c r="P290" s="129"/>
      <c r="Q290" s="129"/>
      <c r="R290" s="129"/>
      <c r="S290" s="129"/>
      <c r="T290" s="129"/>
      <c r="U290" s="129"/>
      <c r="V290" s="129"/>
      <c r="W290" s="129"/>
      <c r="X290" s="129"/>
      <c r="Y290" s="129"/>
      <c r="Z290" s="129"/>
      <c r="AA290" s="129"/>
      <c r="AB290" s="129"/>
      <c r="AC290" s="129"/>
      <c r="AD290" s="129"/>
      <c r="AE290" s="129"/>
      <c r="AF290" s="129"/>
      <c r="AG290" s="129"/>
      <c r="AH290" s="129"/>
      <c r="AI290" s="129"/>
    </row>
    <row r="291" spans="13:35" x14ac:dyDescent="0.15">
      <c r="M291" s="129"/>
      <c r="N291" s="129"/>
      <c r="O291" s="129"/>
      <c r="P291" s="129"/>
      <c r="Q291" s="129"/>
      <c r="R291" s="129"/>
      <c r="S291" s="129"/>
      <c r="T291" s="129"/>
      <c r="U291" s="129"/>
      <c r="V291" s="129"/>
      <c r="W291" s="129"/>
      <c r="X291" s="129"/>
      <c r="Y291" s="129"/>
      <c r="Z291" s="129"/>
      <c r="AA291" s="129"/>
      <c r="AB291" s="129"/>
      <c r="AC291" s="129"/>
      <c r="AD291" s="129"/>
      <c r="AE291" s="129"/>
      <c r="AF291" s="129"/>
      <c r="AG291" s="129"/>
      <c r="AH291" s="129"/>
      <c r="AI291" s="129"/>
    </row>
    <row r="292" spans="13:35" x14ac:dyDescent="0.15">
      <c r="M292" s="129"/>
      <c r="N292" s="129"/>
      <c r="O292" s="129"/>
      <c r="P292" s="129"/>
      <c r="Q292" s="129"/>
      <c r="R292" s="129"/>
      <c r="S292" s="129"/>
      <c r="T292" s="129"/>
      <c r="U292" s="129"/>
      <c r="V292" s="129"/>
      <c r="W292" s="129"/>
      <c r="X292" s="129"/>
      <c r="Y292" s="129"/>
      <c r="Z292" s="129"/>
      <c r="AA292" s="129"/>
      <c r="AB292" s="129"/>
      <c r="AC292" s="129"/>
      <c r="AD292" s="129"/>
      <c r="AE292" s="129"/>
      <c r="AF292" s="129"/>
      <c r="AG292" s="129"/>
      <c r="AH292" s="129"/>
      <c r="AI292" s="129"/>
    </row>
    <row r="293" spans="13:35" x14ac:dyDescent="0.15">
      <c r="M293" s="129"/>
      <c r="N293" s="129"/>
      <c r="O293" s="129"/>
      <c r="P293" s="129"/>
      <c r="Q293" s="129"/>
      <c r="R293" s="129"/>
      <c r="S293" s="129"/>
      <c r="T293" s="129"/>
      <c r="U293" s="129"/>
      <c r="V293" s="129"/>
      <c r="W293" s="129"/>
      <c r="X293" s="129"/>
      <c r="Y293" s="129"/>
      <c r="Z293" s="129"/>
      <c r="AA293" s="129"/>
      <c r="AB293" s="129"/>
      <c r="AC293" s="129"/>
      <c r="AD293" s="129"/>
      <c r="AE293" s="129"/>
      <c r="AF293" s="129"/>
      <c r="AG293" s="129"/>
      <c r="AH293" s="129"/>
      <c r="AI293" s="129"/>
    </row>
    <row r="294" spans="13:35" x14ac:dyDescent="0.15">
      <c r="M294" s="129"/>
      <c r="N294" s="129"/>
      <c r="O294" s="129"/>
      <c r="P294" s="129"/>
      <c r="Q294" s="129"/>
      <c r="R294" s="129"/>
      <c r="S294" s="129"/>
      <c r="T294" s="129"/>
      <c r="U294" s="129"/>
      <c r="V294" s="129"/>
      <c r="W294" s="129"/>
      <c r="X294" s="129"/>
      <c r="Y294" s="129"/>
      <c r="Z294" s="129"/>
      <c r="AA294" s="129"/>
      <c r="AB294" s="129"/>
      <c r="AC294" s="129"/>
      <c r="AD294" s="129"/>
      <c r="AE294" s="129"/>
      <c r="AF294" s="129"/>
      <c r="AG294" s="129"/>
      <c r="AH294" s="129"/>
      <c r="AI294" s="129"/>
    </row>
    <row r="295" spans="13:35" x14ac:dyDescent="0.15">
      <c r="M295" s="129"/>
      <c r="N295" s="129"/>
      <c r="O295" s="129"/>
      <c r="P295" s="129"/>
      <c r="Q295" s="129"/>
      <c r="R295" s="129"/>
      <c r="S295" s="129"/>
      <c r="T295" s="129"/>
      <c r="U295" s="129"/>
      <c r="V295" s="129"/>
      <c r="W295" s="129"/>
      <c r="X295" s="129"/>
      <c r="Y295" s="129"/>
      <c r="Z295" s="129"/>
      <c r="AA295" s="129"/>
      <c r="AB295" s="129"/>
      <c r="AC295" s="129"/>
      <c r="AD295" s="129"/>
      <c r="AE295" s="129"/>
      <c r="AF295" s="129"/>
      <c r="AG295" s="129"/>
      <c r="AH295" s="129"/>
      <c r="AI295" s="129"/>
    </row>
    <row r="296" spans="13:35" x14ac:dyDescent="0.15">
      <c r="M296" s="129"/>
      <c r="N296" s="129"/>
      <c r="O296" s="129"/>
      <c r="P296" s="129"/>
      <c r="Q296" s="129"/>
      <c r="R296" s="129"/>
      <c r="S296" s="129"/>
      <c r="T296" s="129"/>
      <c r="U296" s="129"/>
      <c r="V296" s="129"/>
      <c r="W296" s="129"/>
      <c r="X296" s="129"/>
      <c r="Y296" s="129"/>
      <c r="Z296" s="129"/>
      <c r="AA296" s="129"/>
      <c r="AB296" s="129"/>
      <c r="AC296" s="129"/>
      <c r="AD296" s="129"/>
      <c r="AE296" s="129"/>
      <c r="AF296" s="129"/>
      <c r="AG296" s="129"/>
      <c r="AH296" s="129"/>
      <c r="AI296" s="129"/>
    </row>
    <row r="297" spans="13:35" x14ac:dyDescent="0.15">
      <c r="M297" s="129"/>
      <c r="N297" s="129"/>
      <c r="O297" s="129"/>
      <c r="P297" s="129"/>
      <c r="Q297" s="129"/>
      <c r="R297" s="129"/>
      <c r="S297" s="129"/>
      <c r="T297" s="129"/>
      <c r="U297" s="129"/>
      <c r="V297" s="129"/>
      <c r="W297" s="129"/>
      <c r="X297" s="129"/>
      <c r="Y297" s="129"/>
      <c r="Z297" s="129"/>
      <c r="AA297" s="129"/>
      <c r="AB297" s="129"/>
      <c r="AC297" s="129"/>
      <c r="AD297" s="129"/>
      <c r="AE297" s="129"/>
      <c r="AF297" s="129"/>
      <c r="AG297" s="129"/>
      <c r="AH297" s="129"/>
      <c r="AI297" s="129"/>
    </row>
    <row r="298" spans="13:35" x14ac:dyDescent="0.15">
      <c r="M298" s="129"/>
      <c r="N298" s="129"/>
      <c r="O298" s="129"/>
      <c r="P298" s="129"/>
      <c r="Q298" s="129"/>
      <c r="R298" s="129"/>
      <c r="S298" s="129"/>
      <c r="T298" s="129"/>
      <c r="U298" s="129"/>
      <c r="V298" s="129"/>
      <c r="W298" s="129"/>
      <c r="X298" s="129"/>
      <c r="Y298" s="129"/>
      <c r="Z298" s="129"/>
      <c r="AA298" s="129"/>
      <c r="AB298" s="129"/>
      <c r="AC298" s="129"/>
      <c r="AD298" s="129"/>
      <c r="AE298" s="129"/>
      <c r="AF298" s="129"/>
      <c r="AG298" s="129"/>
      <c r="AH298" s="129"/>
      <c r="AI298" s="129"/>
    </row>
    <row r="299" spans="13:35" x14ac:dyDescent="0.15">
      <c r="M299" s="129"/>
      <c r="N299" s="129"/>
      <c r="O299" s="129"/>
      <c r="P299" s="129"/>
      <c r="Q299" s="129"/>
      <c r="R299" s="129"/>
      <c r="S299" s="129"/>
      <c r="T299" s="129"/>
      <c r="U299" s="129"/>
      <c r="V299" s="129"/>
      <c r="W299" s="129"/>
      <c r="X299" s="129"/>
      <c r="Y299" s="129"/>
      <c r="Z299" s="129"/>
      <c r="AA299" s="129"/>
      <c r="AB299" s="129"/>
      <c r="AC299" s="129"/>
      <c r="AD299" s="129"/>
      <c r="AE299" s="129"/>
      <c r="AF299" s="129"/>
      <c r="AG299" s="129"/>
      <c r="AH299" s="129"/>
      <c r="AI299" s="129"/>
    </row>
    <row r="300" spans="13:35" x14ac:dyDescent="0.15">
      <c r="M300" s="129"/>
      <c r="N300" s="129"/>
      <c r="O300" s="129"/>
      <c r="P300" s="129"/>
      <c r="Q300" s="129"/>
      <c r="R300" s="129"/>
      <c r="S300" s="129"/>
      <c r="T300" s="129"/>
      <c r="U300" s="129"/>
      <c r="V300" s="129"/>
      <c r="W300" s="129"/>
      <c r="X300" s="129"/>
      <c r="Y300" s="129"/>
      <c r="Z300" s="129"/>
      <c r="AA300" s="129"/>
      <c r="AB300" s="129"/>
      <c r="AC300" s="129"/>
      <c r="AD300" s="129"/>
      <c r="AE300" s="129"/>
      <c r="AF300" s="129"/>
      <c r="AG300" s="129"/>
      <c r="AH300" s="129"/>
      <c r="AI300" s="129"/>
    </row>
    <row r="301" spans="13:35" x14ac:dyDescent="0.15">
      <c r="M301" s="129"/>
      <c r="N301" s="129"/>
      <c r="O301" s="129"/>
      <c r="P301" s="129"/>
      <c r="Q301" s="129"/>
      <c r="R301" s="129"/>
      <c r="S301" s="129"/>
      <c r="T301" s="129"/>
      <c r="U301" s="129"/>
      <c r="V301" s="129"/>
      <c r="W301" s="129"/>
      <c r="X301" s="129"/>
      <c r="Y301" s="129"/>
      <c r="Z301" s="129"/>
      <c r="AA301" s="129"/>
      <c r="AB301" s="129"/>
      <c r="AC301" s="129"/>
      <c r="AD301" s="129"/>
      <c r="AE301" s="129"/>
      <c r="AF301" s="129"/>
      <c r="AG301" s="129"/>
      <c r="AH301" s="129"/>
      <c r="AI301" s="129"/>
    </row>
    <row r="302" spans="13:35" x14ac:dyDescent="0.15">
      <c r="M302" s="129"/>
      <c r="N302" s="129"/>
      <c r="O302" s="129"/>
      <c r="P302" s="129"/>
      <c r="Q302" s="129"/>
      <c r="R302" s="129"/>
      <c r="S302" s="129"/>
      <c r="T302" s="129"/>
      <c r="U302" s="129"/>
      <c r="V302" s="129"/>
      <c r="W302" s="129"/>
      <c r="X302" s="129"/>
      <c r="Y302" s="129"/>
      <c r="Z302" s="129"/>
      <c r="AA302" s="129"/>
      <c r="AB302" s="129"/>
      <c r="AC302" s="129"/>
      <c r="AD302" s="129"/>
      <c r="AE302" s="129"/>
      <c r="AF302" s="129"/>
      <c r="AG302" s="129"/>
      <c r="AH302" s="129"/>
      <c r="AI302" s="129"/>
    </row>
    <row r="303" spans="13:35" x14ac:dyDescent="0.15">
      <c r="M303" s="129"/>
      <c r="N303" s="129"/>
      <c r="O303" s="129"/>
      <c r="P303" s="129"/>
      <c r="Q303" s="129"/>
      <c r="R303" s="129"/>
      <c r="S303" s="129"/>
      <c r="T303" s="129"/>
      <c r="U303" s="129"/>
      <c r="V303" s="129"/>
      <c r="W303" s="129"/>
      <c r="X303" s="129"/>
      <c r="Y303" s="129"/>
      <c r="Z303" s="129"/>
      <c r="AA303" s="129"/>
      <c r="AB303" s="129"/>
      <c r="AC303" s="129"/>
      <c r="AD303" s="129"/>
      <c r="AE303" s="129"/>
      <c r="AF303" s="129"/>
      <c r="AG303" s="129"/>
      <c r="AH303" s="129"/>
      <c r="AI303" s="129"/>
    </row>
    <row r="304" spans="13:35" x14ac:dyDescent="0.15">
      <c r="M304" s="129"/>
      <c r="N304" s="129"/>
      <c r="O304" s="129"/>
      <c r="P304" s="129"/>
      <c r="Q304" s="129"/>
      <c r="R304" s="129"/>
      <c r="S304" s="129"/>
      <c r="T304" s="129"/>
      <c r="U304" s="129"/>
      <c r="V304" s="129"/>
      <c r="W304" s="129"/>
      <c r="X304" s="129"/>
      <c r="Y304" s="129"/>
      <c r="Z304" s="129"/>
      <c r="AA304" s="129"/>
      <c r="AB304" s="129"/>
      <c r="AC304" s="129"/>
      <c r="AD304" s="129"/>
      <c r="AE304" s="129"/>
      <c r="AF304" s="129"/>
      <c r="AG304" s="129"/>
      <c r="AH304" s="129"/>
      <c r="AI304" s="129"/>
    </row>
    <row r="305" spans="13:35" x14ac:dyDescent="0.15">
      <c r="M305" s="129"/>
      <c r="N305" s="129"/>
      <c r="O305" s="129"/>
      <c r="P305" s="129"/>
      <c r="Q305" s="129"/>
      <c r="R305" s="129"/>
      <c r="S305" s="129"/>
      <c r="T305" s="129"/>
      <c r="U305" s="129"/>
      <c r="V305" s="129"/>
      <c r="W305" s="129"/>
      <c r="X305" s="129"/>
      <c r="Y305" s="129"/>
      <c r="Z305" s="129"/>
      <c r="AA305" s="129"/>
      <c r="AB305" s="129"/>
      <c r="AC305" s="129"/>
      <c r="AD305" s="129"/>
      <c r="AE305" s="129"/>
      <c r="AF305" s="129"/>
      <c r="AG305" s="129"/>
      <c r="AH305" s="129"/>
      <c r="AI305" s="129"/>
    </row>
    <row r="306" spans="13:35" x14ac:dyDescent="0.15">
      <c r="M306" s="129"/>
      <c r="N306" s="129"/>
      <c r="O306" s="129"/>
      <c r="P306" s="129"/>
      <c r="Q306" s="129"/>
      <c r="R306" s="129"/>
      <c r="S306" s="129"/>
      <c r="T306" s="129"/>
      <c r="U306" s="129"/>
      <c r="V306" s="129"/>
      <c r="W306" s="129"/>
      <c r="X306" s="129"/>
      <c r="Y306" s="129"/>
      <c r="Z306" s="129"/>
      <c r="AA306" s="129"/>
      <c r="AB306" s="129"/>
      <c r="AC306" s="129"/>
      <c r="AD306" s="129"/>
      <c r="AE306" s="129"/>
      <c r="AF306" s="129"/>
      <c r="AG306" s="129"/>
      <c r="AH306" s="129"/>
      <c r="AI306" s="129"/>
    </row>
    <row r="307" spans="13:35" x14ac:dyDescent="0.15">
      <c r="M307" s="129"/>
      <c r="N307" s="129"/>
      <c r="O307" s="129"/>
      <c r="P307" s="129"/>
      <c r="Q307" s="129"/>
      <c r="R307" s="129"/>
      <c r="S307" s="129"/>
      <c r="T307" s="129"/>
      <c r="U307" s="129"/>
      <c r="V307" s="129"/>
      <c r="W307" s="129"/>
      <c r="X307" s="129"/>
      <c r="Y307" s="129"/>
      <c r="Z307" s="129"/>
      <c r="AA307" s="129"/>
      <c r="AB307" s="129"/>
      <c r="AC307" s="129"/>
      <c r="AD307" s="129"/>
      <c r="AE307" s="129"/>
      <c r="AF307" s="129"/>
      <c r="AG307" s="129"/>
      <c r="AH307" s="129"/>
      <c r="AI307" s="129"/>
    </row>
    <row r="308" spans="13:35" x14ac:dyDescent="0.15">
      <c r="M308" s="129"/>
      <c r="N308" s="129"/>
      <c r="O308" s="129"/>
      <c r="P308" s="129"/>
      <c r="Q308" s="129"/>
      <c r="R308" s="129"/>
      <c r="S308" s="129"/>
      <c r="T308" s="129"/>
      <c r="U308" s="129"/>
      <c r="V308" s="129"/>
      <c r="W308" s="129"/>
      <c r="X308" s="129"/>
      <c r="Y308" s="129"/>
      <c r="Z308" s="129"/>
      <c r="AA308" s="129"/>
      <c r="AB308" s="129"/>
      <c r="AC308" s="129"/>
      <c r="AD308" s="129"/>
      <c r="AE308" s="129"/>
      <c r="AF308" s="129"/>
      <c r="AG308" s="129"/>
      <c r="AH308" s="129"/>
      <c r="AI308" s="129"/>
    </row>
    <row r="309" spans="13:35" x14ac:dyDescent="0.15">
      <c r="M309" s="129"/>
      <c r="N309" s="129"/>
      <c r="O309" s="129"/>
      <c r="P309" s="129"/>
      <c r="Q309" s="129"/>
      <c r="R309" s="129"/>
      <c r="S309" s="129"/>
      <c r="T309" s="129"/>
      <c r="U309" s="129"/>
      <c r="V309" s="129"/>
      <c r="W309" s="129"/>
      <c r="X309" s="129"/>
      <c r="Y309" s="129"/>
      <c r="Z309" s="129"/>
      <c r="AA309" s="129"/>
      <c r="AB309" s="129"/>
      <c r="AC309" s="129"/>
      <c r="AD309" s="129"/>
      <c r="AE309" s="129"/>
      <c r="AF309" s="129"/>
      <c r="AG309" s="129"/>
      <c r="AH309" s="129"/>
      <c r="AI309" s="129"/>
    </row>
    <row r="310" spans="13:35" x14ac:dyDescent="0.15">
      <c r="M310" s="129"/>
      <c r="N310" s="129"/>
      <c r="O310" s="129"/>
      <c r="P310" s="129"/>
      <c r="Q310" s="129"/>
      <c r="R310" s="129"/>
      <c r="S310" s="129"/>
      <c r="T310" s="129"/>
      <c r="U310" s="129"/>
      <c r="V310" s="129"/>
      <c r="W310" s="129"/>
      <c r="X310" s="129"/>
      <c r="Y310" s="129"/>
      <c r="Z310" s="129"/>
      <c r="AA310" s="129"/>
      <c r="AB310" s="129"/>
      <c r="AC310" s="129"/>
      <c r="AD310" s="129"/>
      <c r="AE310" s="129"/>
      <c r="AF310" s="129"/>
      <c r="AG310" s="129"/>
      <c r="AH310" s="129"/>
      <c r="AI310" s="129"/>
    </row>
    <row r="311" spans="13:35" x14ac:dyDescent="0.15">
      <c r="M311" s="129"/>
      <c r="N311" s="129"/>
      <c r="O311" s="129"/>
      <c r="P311" s="129"/>
      <c r="Q311" s="129"/>
      <c r="R311" s="129"/>
      <c r="S311" s="129"/>
      <c r="T311" s="129"/>
      <c r="U311" s="129"/>
      <c r="V311" s="129"/>
      <c r="W311" s="129"/>
      <c r="X311" s="129"/>
      <c r="Y311" s="129"/>
      <c r="Z311" s="129"/>
      <c r="AA311" s="129"/>
      <c r="AB311" s="129"/>
      <c r="AC311" s="129"/>
      <c r="AD311" s="129"/>
      <c r="AE311" s="129"/>
      <c r="AF311" s="129"/>
      <c r="AG311" s="129"/>
      <c r="AH311" s="129"/>
      <c r="AI311" s="129"/>
    </row>
    <row r="312" spans="13:35" x14ac:dyDescent="0.15">
      <c r="M312" s="129"/>
      <c r="N312" s="129"/>
      <c r="O312" s="129"/>
      <c r="P312" s="129"/>
      <c r="Q312" s="129"/>
      <c r="R312" s="129"/>
      <c r="S312" s="129"/>
      <c r="T312" s="129"/>
      <c r="U312" s="129"/>
      <c r="V312" s="129"/>
      <c r="W312" s="129"/>
      <c r="X312" s="129"/>
      <c r="Y312" s="129"/>
      <c r="Z312" s="129"/>
      <c r="AA312" s="129"/>
      <c r="AB312" s="129"/>
      <c r="AC312" s="129"/>
      <c r="AD312" s="129"/>
      <c r="AE312" s="129"/>
      <c r="AF312" s="129"/>
      <c r="AG312" s="129"/>
      <c r="AH312" s="129"/>
      <c r="AI312" s="129"/>
    </row>
    <row r="313" spans="13:35" x14ac:dyDescent="0.15">
      <c r="M313" s="129"/>
      <c r="N313" s="129"/>
      <c r="O313" s="129"/>
      <c r="P313" s="129"/>
      <c r="Q313" s="129"/>
      <c r="R313" s="129"/>
      <c r="S313" s="129"/>
      <c r="T313" s="129"/>
      <c r="U313" s="129"/>
      <c r="V313" s="129"/>
      <c r="W313" s="129"/>
      <c r="X313" s="129"/>
      <c r="Y313" s="129"/>
      <c r="Z313" s="129"/>
      <c r="AA313" s="129"/>
      <c r="AB313" s="129"/>
      <c r="AC313" s="129"/>
      <c r="AD313" s="129"/>
      <c r="AE313" s="129"/>
      <c r="AF313" s="129"/>
      <c r="AG313" s="129"/>
      <c r="AH313" s="129"/>
      <c r="AI313" s="129"/>
    </row>
    <row r="314" spans="13:35" x14ac:dyDescent="0.15">
      <c r="M314" s="129"/>
      <c r="N314" s="129"/>
      <c r="O314" s="129"/>
      <c r="P314" s="129"/>
      <c r="Q314" s="129"/>
      <c r="R314" s="129"/>
      <c r="S314" s="129"/>
      <c r="T314" s="129"/>
      <c r="U314" s="129"/>
      <c r="V314" s="129"/>
      <c r="W314" s="129"/>
      <c r="X314" s="129"/>
      <c r="Y314" s="129"/>
      <c r="Z314" s="129"/>
      <c r="AA314" s="129"/>
      <c r="AB314" s="129"/>
      <c r="AC314" s="129"/>
      <c r="AD314" s="129"/>
      <c r="AE314" s="129"/>
      <c r="AF314" s="129"/>
      <c r="AG314" s="129"/>
      <c r="AH314" s="129"/>
      <c r="AI314" s="129"/>
    </row>
    <row r="315" spans="13:35" x14ac:dyDescent="0.15">
      <c r="M315" s="129"/>
      <c r="N315" s="129"/>
      <c r="O315" s="129"/>
      <c r="P315" s="129"/>
      <c r="Q315" s="129"/>
      <c r="R315" s="129"/>
      <c r="S315" s="129"/>
      <c r="T315" s="129"/>
      <c r="U315" s="129"/>
      <c r="V315" s="129"/>
      <c r="W315" s="129"/>
      <c r="X315" s="129"/>
      <c r="Y315" s="129"/>
      <c r="Z315" s="129"/>
      <c r="AA315" s="129"/>
      <c r="AB315" s="129"/>
      <c r="AC315" s="129"/>
      <c r="AD315" s="129"/>
      <c r="AE315" s="129"/>
      <c r="AF315" s="129"/>
      <c r="AG315" s="129"/>
      <c r="AH315" s="129"/>
      <c r="AI315" s="129"/>
    </row>
    <row r="316" spans="13:35" x14ac:dyDescent="0.15">
      <c r="M316" s="129"/>
      <c r="N316" s="129"/>
      <c r="O316" s="129"/>
      <c r="P316" s="129"/>
      <c r="Q316" s="129"/>
      <c r="R316" s="129"/>
      <c r="S316" s="129"/>
      <c r="T316" s="129"/>
      <c r="U316" s="129"/>
      <c r="V316" s="129"/>
      <c r="W316" s="129"/>
      <c r="X316" s="129"/>
      <c r="Y316" s="129"/>
      <c r="Z316" s="129"/>
      <c r="AA316" s="129"/>
      <c r="AB316" s="129"/>
      <c r="AC316" s="129"/>
      <c r="AD316" s="129"/>
      <c r="AE316" s="129"/>
      <c r="AF316" s="129"/>
      <c r="AG316" s="129"/>
      <c r="AH316" s="129"/>
      <c r="AI316" s="129"/>
    </row>
    <row r="317" spans="13:35" x14ac:dyDescent="0.15">
      <c r="M317" s="129"/>
      <c r="N317" s="129"/>
      <c r="O317" s="129"/>
      <c r="P317" s="129"/>
      <c r="Q317" s="129"/>
      <c r="R317" s="129"/>
      <c r="S317" s="129"/>
      <c r="T317" s="129"/>
      <c r="U317" s="129"/>
      <c r="V317" s="129"/>
      <c r="W317" s="129"/>
      <c r="X317" s="129"/>
      <c r="Y317" s="129"/>
      <c r="Z317" s="129"/>
      <c r="AA317" s="129"/>
      <c r="AB317" s="129"/>
      <c r="AC317" s="129"/>
      <c r="AD317" s="129"/>
      <c r="AE317" s="129"/>
      <c r="AF317" s="129"/>
      <c r="AG317" s="129"/>
      <c r="AH317" s="129"/>
      <c r="AI317" s="129"/>
    </row>
    <row r="318" spans="13:35" x14ac:dyDescent="0.15">
      <c r="M318" s="129"/>
      <c r="N318" s="129"/>
      <c r="O318" s="129"/>
      <c r="P318" s="129"/>
      <c r="Q318" s="129"/>
      <c r="R318" s="129"/>
      <c r="S318" s="129"/>
      <c r="T318" s="129"/>
      <c r="U318" s="129"/>
      <c r="V318" s="129"/>
      <c r="W318" s="129"/>
      <c r="X318" s="129"/>
      <c r="Y318" s="129"/>
      <c r="Z318" s="129"/>
      <c r="AA318" s="129"/>
      <c r="AB318" s="129"/>
      <c r="AC318" s="129"/>
      <c r="AD318" s="129"/>
      <c r="AE318" s="129"/>
      <c r="AF318" s="129"/>
      <c r="AG318" s="129"/>
      <c r="AH318" s="129"/>
      <c r="AI318" s="129"/>
    </row>
    <row r="319" spans="13:35" x14ac:dyDescent="0.15">
      <c r="M319" s="129"/>
      <c r="N319" s="129"/>
      <c r="O319" s="129"/>
      <c r="P319" s="129"/>
      <c r="Q319" s="129"/>
      <c r="R319" s="129"/>
      <c r="S319" s="129"/>
      <c r="T319" s="129"/>
      <c r="U319" s="129"/>
      <c r="V319" s="129"/>
      <c r="W319" s="129"/>
      <c r="X319" s="129"/>
      <c r="Y319" s="129"/>
      <c r="Z319" s="129"/>
      <c r="AA319" s="129"/>
      <c r="AB319" s="129"/>
      <c r="AC319" s="129"/>
      <c r="AD319" s="129"/>
      <c r="AE319" s="129"/>
      <c r="AF319" s="129"/>
      <c r="AG319" s="129"/>
      <c r="AH319" s="129"/>
      <c r="AI319" s="129"/>
    </row>
    <row r="320" spans="13:35" x14ac:dyDescent="0.15">
      <c r="M320" s="129"/>
      <c r="N320" s="129"/>
      <c r="O320" s="129"/>
      <c r="P320" s="129"/>
      <c r="Q320" s="129"/>
      <c r="R320" s="129"/>
      <c r="S320" s="129"/>
      <c r="T320" s="129"/>
      <c r="U320" s="129"/>
      <c r="V320" s="129"/>
      <c r="W320" s="129"/>
      <c r="X320" s="129"/>
      <c r="Y320" s="129"/>
      <c r="Z320" s="129"/>
      <c r="AA320" s="129"/>
      <c r="AB320" s="129"/>
      <c r="AC320" s="129"/>
      <c r="AD320" s="129"/>
      <c r="AE320" s="129"/>
      <c r="AF320" s="129"/>
      <c r="AG320" s="129"/>
      <c r="AH320" s="129"/>
      <c r="AI320" s="129"/>
    </row>
    <row r="321" spans="13:35" x14ac:dyDescent="0.15">
      <c r="M321" s="129"/>
      <c r="N321" s="129"/>
      <c r="O321" s="129"/>
      <c r="P321" s="129"/>
      <c r="Q321" s="129"/>
      <c r="R321" s="129"/>
      <c r="S321" s="129"/>
      <c r="T321" s="129"/>
      <c r="U321" s="129"/>
      <c r="V321" s="129"/>
      <c r="W321" s="129"/>
      <c r="X321" s="129"/>
      <c r="Y321" s="129"/>
      <c r="Z321" s="129"/>
      <c r="AA321" s="129"/>
      <c r="AB321" s="129"/>
      <c r="AC321" s="129"/>
      <c r="AD321" s="129"/>
      <c r="AE321" s="129"/>
      <c r="AF321" s="129"/>
      <c r="AG321" s="129"/>
      <c r="AH321" s="129"/>
      <c r="AI321" s="129"/>
    </row>
    <row r="322" spans="13:35" x14ac:dyDescent="0.15">
      <c r="M322" s="129"/>
      <c r="N322" s="129"/>
      <c r="O322" s="129"/>
      <c r="P322" s="129"/>
      <c r="Q322" s="129"/>
      <c r="R322" s="129"/>
      <c r="S322" s="129"/>
      <c r="T322" s="129"/>
      <c r="U322" s="129"/>
      <c r="V322" s="129"/>
      <c r="W322" s="129"/>
      <c r="X322" s="129"/>
      <c r="Y322" s="129"/>
      <c r="Z322" s="129"/>
      <c r="AA322" s="129"/>
      <c r="AB322" s="129"/>
      <c r="AC322" s="129"/>
      <c r="AD322" s="129"/>
      <c r="AE322" s="129"/>
      <c r="AF322" s="129"/>
      <c r="AG322" s="129"/>
      <c r="AH322" s="129"/>
      <c r="AI322" s="129"/>
    </row>
    <row r="323" spans="13:35" x14ac:dyDescent="0.15">
      <c r="M323" s="129"/>
      <c r="N323" s="129"/>
      <c r="O323" s="129"/>
      <c r="P323" s="129"/>
      <c r="Q323" s="129"/>
      <c r="R323" s="129"/>
      <c r="S323" s="129"/>
      <c r="T323" s="129"/>
      <c r="U323" s="129"/>
      <c r="V323" s="129"/>
      <c r="W323" s="129"/>
      <c r="X323" s="129"/>
      <c r="Y323" s="129"/>
      <c r="Z323" s="129"/>
      <c r="AA323" s="129"/>
      <c r="AB323" s="129"/>
      <c r="AC323" s="129"/>
      <c r="AD323" s="129"/>
      <c r="AE323" s="129"/>
      <c r="AF323" s="129"/>
      <c r="AG323" s="129"/>
      <c r="AH323" s="129"/>
      <c r="AI323" s="129"/>
    </row>
    <row r="324" spans="13:35" x14ac:dyDescent="0.15">
      <c r="M324" s="129"/>
      <c r="N324" s="129"/>
      <c r="O324" s="129"/>
      <c r="P324" s="129"/>
      <c r="Q324" s="129"/>
      <c r="R324" s="129"/>
      <c r="S324" s="129"/>
      <c r="T324" s="129"/>
      <c r="U324" s="129"/>
      <c r="V324" s="129"/>
      <c r="W324" s="129"/>
      <c r="X324" s="129"/>
      <c r="Y324" s="129"/>
      <c r="Z324" s="129"/>
      <c r="AA324" s="129"/>
      <c r="AB324" s="129"/>
      <c r="AC324" s="129"/>
      <c r="AD324" s="129"/>
      <c r="AE324" s="129"/>
      <c r="AF324" s="129"/>
      <c r="AG324" s="129"/>
      <c r="AH324" s="129"/>
      <c r="AI324" s="129"/>
    </row>
    <row r="325" spans="13:35" x14ac:dyDescent="0.15">
      <c r="M325" s="129"/>
      <c r="N325" s="129"/>
      <c r="O325" s="129"/>
      <c r="P325" s="129"/>
      <c r="Q325" s="129"/>
      <c r="R325" s="129"/>
      <c r="S325" s="129"/>
      <c r="T325" s="129"/>
      <c r="U325" s="129"/>
      <c r="V325" s="129"/>
      <c r="W325" s="129"/>
      <c r="X325" s="129"/>
      <c r="Y325" s="129"/>
      <c r="Z325" s="129"/>
      <c r="AA325" s="129"/>
      <c r="AB325" s="129"/>
      <c r="AC325" s="129"/>
      <c r="AD325" s="129"/>
      <c r="AE325" s="129"/>
      <c r="AF325" s="129"/>
      <c r="AG325" s="129"/>
      <c r="AH325" s="129"/>
      <c r="AI325" s="129"/>
    </row>
    <row r="326" spans="13:35" x14ac:dyDescent="0.15">
      <c r="M326" s="129"/>
      <c r="N326" s="129"/>
      <c r="O326" s="129"/>
      <c r="P326" s="129"/>
      <c r="Q326" s="129"/>
      <c r="R326" s="129"/>
      <c r="S326" s="129"/>
      <c r="T326" s="129"/>
      <c r="U326" s="129"/>
      <c r="V326" s="129"/>
      <c r="W326" s="129"/>
      <c r="X326" s="129"/>
      <c r="Y326" s="129"/>
      <c r="Z326" s="129"/>
      <c r="AA326" s="129"/>
      <c r="AB326" s="129"/>
      <c r="AC326" s="129"/>
      <c r="AD326" s="129"/>
      <c r="AE326" s="129"/>
      <c r="AF326" s="129"/>
      <c r="AG326" s="129"/>
      <c r="AH326" s="129"/>
      <c r="AI326" s="129"/>
    </row>
    <row r="327" spans="13:35" x14ac:dyDescent="0.15">
      <c r="M327" s="129"/>
      <c r="N327" s="129"/>
      <c r="O327" s="129"/>
      <c r="P327" s="129"/>
      <c r="Q327" s="129"/>
      <c r="R327" s="129"/>
      <c r="S327" s="129"/>
      <c r="T327" s="129"/>
      <c r="U327" s="129"/>
      <c r="V327" s="129"/>
      <c r="W327" s="129"/>
      <c r="X327" s="129"/>
      <c r="Y327" s="129"/>
      <c r="Z327" s="129"/>
      <c r="AA327" s="129"/>
      <c r="AB327" s="129"/>
      <c r="AC327" s="129"/>
      <c r="AD327" s="129"/>
      <c r="AE327" s="129"/>
      <c r="AF327" s="129"/>
      <c r="AG327" s="129"/>
      <c r="AH327" s="129"/>
      <c r="AI327" s="129"/>
    </row>
    <row r="328" spans="13:35" x14ac:dyDescent="0.15">
      <c r="M328" s="129"/>
      <c r="N328" s="129"/>
      <c r="O328" s="129"/>
      <c r="P328" s="129"/>
      <c r="Q328" s="129"/>
      <c r="R328" s="129"/>
      <c r="S328" s="129"/>
      <c r="T328" s="129"/>
      <c r="U328" s="129"/>
      <c r="V328" s="129"/>
      <c r="W328" s="129"/>
      <c r="X328" s="129"/>
      <c r="Y328" s="129"/>
      <c r="Z328" s="129"/>
      <c r="AA328" s="129"/>
      <c r="AB328" s="129"/>
      <c r="AC328" s="129"/>
      <c r="AD328" s="129"/>
      <c r="AE328" s="129"/>
      <c r="AF328" s="129"/>
      <c r="AG328" s="129"/>
      <c r="AH328" s="129"/>
      <c r="AI328" s="129"/>
    </row>
    <row r="329" spans="13:35" x14ac:dyDescent="0.15">
      <c r="M329" s="129"/>
      <c r="N329" s="129"/>
      <c r="O329" s="129"/>
      <c r="P329" s="129"/>
      <c r="Q329" s="129"/>
      <c r="R329" s="129"/>
      <c r="S329" s="129"/>
      <c r="T329" s="129"/>
      <c r="U329" s="129"/>
      <c r="V329" s="129"/>
      <c r="W329" s="129"/>
      <c r="X329" s="129"/>
      <c r="Y329" s="129"/>
      <c r="Z329" s="129"/>
      <c r="AA329" s="129"/>
      <c r="AB329" s="129"/>
      <c r="AC329" s="129"/>
      <c r="AD329" s="129"/>
      <c r="AE329" s="129"/>
      <c r="AF329" s="129"/>
      <c r="AG329" s="129"/>
      <c r="AH329" s="129"/>
      <c r="AI329" s="129"/>
    </row>
    <row r="330" spans="13:35" x14ac:dyDescent="0.15">
      <c r="M330" s="129"/>
      <c r="N330" s="129"/>
      <c r="O330" s="129"/>
      <c r="P330" s="129"/>
      <c r="Q330" s="129"/>
      <c r="R330" s="129"/>
      <c r="S330" s="129"/>
      <c r="T330" s="129"/>
      <c r="U330" s="129"/>
      <c r="V330" s="129"/>
      <c r="W330" s="129"/>
      <c r="X330" s="129"/>
      <c r="Y330" s="129"/>
      <c r="Z330" s="129"/>
      <c r="AA330" s="129"/>
      <c r="AB330" s="129"/>
      <c r="AC330" s="129"/>
      <c r="AD330" s="129"/>
      <c r="AE330" s="129"/>
      <c r="AF330" s="129"/>
      <c r="AG330" s="129"/>
      <c r="AH330" s="129"/>
      <c r="AI330" s="129"/>
    </row>
    <row r="331" spans="13:35" x14ac:dyDescent="0.15">
      <c r="M331" s="129"/>
      <c r="N331" s="129"/>
      <c r="O331" s="129"/>
      <c r="P331" s="129"/>
      <c r="Q331" s="129"/>
      <c r="R331" s="129"/>
      <c r="S331" s="129"/>
      <c r="T331" s="129"/>
      <c r="U331" s="129"/>
      <c r="V331" s="129"/>
      <c r="W331" s="129"/>
      <c r="X331" s="129"/>
      <c r="Y331" s="129"/>
      <c r="Z331" s="129"/>
      <c r="AA331" s="129"/>
      <c r="AB331" s="129"/>
      <c r="AC331" s="129"/>
      <c r="AD331" s="129"/>
      <c r="AE331" s="129"/>
      <c r="AF331" s="129"/>
      <c r="AG331" s="129"/>
      <c r="AH331" s="129"/>
      <c r="AI331" s="129"/>
    </row>
    <row r="332" spans="13:35" x14ac:dyDescent="0.15">
      <c r="M332" s="129"/>
      <c r="N332" s="129"/>
      <c r="O332" s="129"/>
      <c r="P332" s="129"/>
      <c r="Q332" s="129"/>
      <c r="R332" s="129"/>
      <c r="S332" s="129"/>
      <c r="T332" s="129"/>
      <c r="U332" s="129"/>
      <c r="V332" s="129"/>
      <c r="W332" s="129"/>
      <c r="X332" s="129"/>
      <c r="Y332" s="129"/>
      <c r="Z332" s="129"/>
      <c r="AA332" s="129"/>
      <c r="AB332" s="129"/>
      <c r="AC332" s="129"/>
      <c r="AD332" s="129"/>
      <c r="AE332" s="129"/>
      <c r="AF332" s="129"/>
      <c r="AG332" s="129"/>
      <c r="AH332" s="129"/>
      <c r="AI332" s="129"/>
    </row>
    <row r="333" spans="13:35" x14ac:dyDescent="0.15">
      <c r="M333" s="129"/>
      <c r="N333" s="129"/>
      <c r="O333" s="129"/>
      <c r="P333" s="129"/>
      <c r="Q333" s="129"/>
      <c r="R333" s="129"/>
      <c r="S333" s="129"/>
      <c r="T333" s="129"/>
      <c r="U333" s="129"/>
      <c r="V333" s="129"/>
      <c r="W333" s="129"/>
      <c r="X333" s="129"/>
      <c r="Y333" s="129"/>
      <c r="Z333" s="129"/>
      <c r="AA333" s="129"/>
      <c r="AB333" s="129"/>
      <c r="AC333" s="129"/>
      <c r="AD333" s="129"/>
      <c r="AE333" s="129"/>
      <c r="AF333" s="129"/>
      <c r="AG333" s="129"/>
      <c r="AH333" s="129"/>
      <c r="AI333" s="129"/>
    </row>
    <row r="334" spans="13:35" x14ac:dyDescent="0.15">
      <c r="M334" s="129"/>
      <c r="N334" s="129"/>
      <c r="O334" s="129"/>
      <c r="P334" s="129"/>
      <c r="Q334" s="129"/>
      <c r="R334" s="129"/>
      <c r="S334" s="129"/>
      <c r="T334" s="129"/>
      <c r="U334" s="129"/>
      <c r="V334" s="129"/>
      <c r="W334" s="129"/>
      <c r="X334" s="129"/>
      <c r="Y334" s="129"/>
      <c r="Z334" s="129"/>
      <c r="AA334" s="129"/>
      <c r="AB334" s="129"/>
      <c r="AC334" s="129"/>
      <c r="AD334" s="129"/>
      <c r="AE334" s="129"/>
      <c r="AF334" s="129"/>
      <c r="AG334" s="129"/>
      <c r="AH334" s="129"/>
      <c r="AI334" s="129"/>
    </row>
    <row r="335" spans="13:35" x14ac:dyDescent="0.15">
      <c r="M335" s="129"/>
      <c r="N335" s="129"/>
      <c r="O335" s="129"/>
      <c r="P335" s="129"/>
      <c r="Q335" s="129"/>
      <c r="R335" s="129"/>
      <c r="S335" s="129"/>
      <c r="T335" s="129"/>
      <c r="U335" s="129"/>
      <c r="V335" s="129"/>
      <c r="W335" s="129"/>
      <c r="X335" s="129"/>
      <c r="Y335" s="129"/>
      <c r="Z335" s="129"/>
      <c r="AA335" s="129"/>
      <c r="AB335" s="129"/>
      <c r="AC335" s="129"/>
      <c r="AD335" s="129"/>
      <c r="AE335" s="129"/>
      <c r="AF335" s="129"/>
      <c r="AG335" s="129"/>
      <c r="AH335" s="129"/>
      <c r="AI335" s="129"/>
    </row>
    <row r="336" spans="13:35" x14ac:dyDescent="0.15">
      <c r="M336" s="129"/>
      <c r="N336" s="129"/>
      <c r="O336" s="129"/>
      <c r="P336" s="129"/>
      <c r="Q336" s="129"/>
      <c r="R336" s="129"/>
      <c r="S336" s="129"/>
      <c r="T336" s="129"/>
      <c r="U336" s="129"/>
      <c r="V336" s="129"/>
      <c r="W336" s="129"/>
      <c r="X336" s="129"/>
      <c r="Y336" s="129"/>
      <c r="Z336" s="129"/>
      <c r="AA336" s="129"/>
      <c r="AB336" s="129"/>
      <c r="AC336" s="129"/>
      <c r="AD336" s="129"/>
      <c r="AE336" s="129"/>
      <c r="AF336" s="129"/>
      <c r="AG336" s="129"/>
      <c r="AH336" s="129"/>
      <c r="AI336" s="129"/>
    </row>
    <row r="337" spans="13:35" x14ac:dyDescent="0.15">
      <c r="M337" s="129"/>
      <c r="N337" s="129"/>
      <c r="O337" s="129"/>
      <c r="P337" s="129"/>
      <c r="Q337" s="129"/>
      <c r="R337" s="129"/>
      <c r="S337" s="129"/>
      <c r="T337" s="129"/>
      <c r="U337" s="129"/>
      <c r="V337" s="129"/>
      <c r="W337" s="129"/>
      <c r="X337" s="129"/>
      <c r="Y337" s="129"/>
      <c r="Z337" s="129"/>
      <c r="AA337" s="129"/>
      <c r="AB337" s="129"/>
      <c r="AC337" s="129"/>
      <c r="AD337" s="129"/>
      <c r="AE337" s="129"/>
      <c r="AF337" s="129"/>
      <c r="AG337" s="129"/>
      <c r="AH337" s="129"/>
      <c r="AI337" s="129"/>
    </row>
    <row r="338" spans="13:35" x14ac:dyDescent="0.15">
      <c r="M338" s="129"/>
      <c r="N338" s="129"/>
      <c r="O338" s="129"/>
      <c r="P338" s="129"/>
      <c r="Q338" s="129"/>
      <c r="R338" s="129"/>
      <c r="S338" s="129"/>
      <c r="T338" s="129"/>
      <c r="U338" s="129"/>
      <c r="V338" s="129"/>
      <c r="W338" s="129"/>
      <c r="X338" s="129"/>
      <c r="Y338" s="129"/>
      <c r="Z338" s="129"/>
      <c r="AA338" s="129"/>
      <c r="AB338" s="129"/>
      <c r="AC338" s="129"/>
      <c r="AD338" s="129"/>
      <c r="AE338" s="129"/>
      <c r="AF338" s="129"/>
      <c r="AG338" s="129"/>
      <c r="AH338" s="129"/>
      <c r="AI338" s="129"/>
    </row>
    <row r="339" spans="13:35" x14ac:dyDescent="0.15">
      <c r="M339" s="129"/>
      <c r="N339" s="129"/>
      <c r="O339" s="129"/>
      <c r="P339" s="129"/>
      <c r="Q339" s="129"/>
      <c r="R339" s="129"/>
      <c r="S339" s="129"/>
      <c r="T339" s="129"/>
      <c r="U339" s="129"/>
      <c r="V339" s="129"/>
      <c r="W339" s="129"/>
      <c r="X339" s="129"/>
      <c r="Y339" s="129"/>
      <c r="Z339" s="129"/>
      <c r="AA339" s="129"/>
      <c r="AB339" s="129"/>
      <c r="AC339" s="129"/>
      <c r="AD339" s="129"/>
      <c r="AE339" s="129"/>
      <c r="AF339" s="129"/>
      <c r="AG339" s="129"/>
      <c r="AH339" s="129"/>
      <c r="AI339" s="129"/>
    </row>
    <row r="340" spans="13:35" x14ac:dyDescent="0.15">
      <c r="M340" s="129"/>
      <c r="N340" s="129"/>
      <c r="O340" s="129"/>
      <c r="P340" s="129"/>
      <c r="Q340" s="129"/>
      <c r="R340" s="129"/>
      <c r="S340" s="129"/>
      <c r="T340" s="129"/>
      <c r="U340" s="129"/>
      <c r="V340" s="129"/>
      <c r="W340" s="129"/>
      <c r="X340" s="129"/>
      <c r="Y340" s="129"/>
      <c r="Z340" s="129"/>
      <c r="AA340" s="129"/>
      <c r="AB340" s="129"/>
      <c r="AC340" s="129"/>
      <c r="AD340" s="129"/>
      <c r="AE340" s="129"/>
      <c r="AF340" s="129"/>
      <c r="AG340" s="129"/>
      <c r="AH340" s="129"/>
      <c r="AI340" s="129"/>
    </row>
    <row r="341" spans="13:35" x14ac:dyDescent="0.15">
      <c r="M341" s="129"/>
      <c r="N341" s="129"/>
      <c r="O341" s="129"/>
      <c r="P341" s="129"/>
      <c r="Q341" s="129"/>
      <c r="R341" s="129"/>
      <c r="S341" s="129"/>
      <c r="T341" s="129"/>
      <c r="U341" s="129"/>
      <c r="V341" s="129"/>
      <c r="W341" s="129"/>
      <c r="X341" s="129"/>
      <c r="Y341" s="129"/>
      <c r="Z341" s="129"/>
      <c r="AA341" s="129"/>
      <c r="AB341" s="129"/>
      <c r="AC341" s="129"/>
      <c r="AD341" s="129"/>
      <c r="AE341" s="129"/>
      <c r="AF341" s="129"/>
      <c r="AG341" s="129"/>
      <c r="AH341" s="129"/>
      <c r="AI341" s="129"/>
    </row>
    <row r="342" spans="13:35" x14ac:dyDescent="0.15">
      <c r="M342" s="129"/>
      <c r="N342" s="129"/>
      <c r="O342" s="129"/>
      <c r="P342" s="129"/>
      <c r="Q342" s="129"/>
      <c r="R342" s="129"/>
      <c r="S342" s="129"/>
      <c r="T342" s="129"/>
      <c r="U342" s="129"/>
      <c r="V342" s="129"/>
      <c r="W342" s="129"/>
      <c r="X342" s="129"/>
      <c r="Y342" s="129"/>
      <c r="Z342" s="129"/>
      <c r="AA342" s="129"/>
      <c r="AB342" s="129"/>
      <c r="AC342" s="129"/>
      <c r="AD342" s="129"/>
      <c r="AE342" s="129"/>
      <c r="AF342" s="129"/>
      <c r="AG342" s="129"/>
      <c r="AH342" s="129"/>
      <c r="AI342" s="129"/>
    </row>
    <row r="343" spans="13:35" x14ac:dyDescent="0.15">
      <c r="M343" s="129"/>
      <c r="N343" s="129"/>
      <c r="O343" s="129"/>
      <c r="P343" s="129"/>
      <c r="Q343" s="129"/>
      <c r="R343" s="129"/>
      <c r="S343" s="129"/>
      <c r="T343" s="129"/>
      <c r="U343" s="129"/>
      <c r="V343" s="129"/>
      <c r="W343" s="129"/>
      <c r="X343" s="129"/>
      <c r="Y343" s="129"/>
      <c r="Z343" s="129"/>
      <c r="AA343" s="129"/>
      <c r="AB343" s="129"/>
      <c r="AC343" s="129"/>
      <c r="AD343" s="129"/>
      <c r="AE343" s="129"/>
      <c r="AF343" s="129"/>
      <c r="AG343" s="129"/>
      <c r="AH343" s="129"/>
      <c r="AI343" s="129"/>
    </row>
    <row r="344" spans="13:35" x14ac:dyDescent="0.15">
      <c r="M344" s="129"/>
      <c r="N344" s="129"/>
      <c r="O344" s="129"/>
      <c r="P344" s="129"/>
      <c r="Q344" s="129"/>
      <c r="R344" s="129"/>
      <c r="S344" s="129"/>
      <c r="T344" s="129"/>
      <c r="U344" s="129"/>
      <c r="V344" s="129"/>
      <c r="W344" s="129"/>
      <c r="X344" s="129"/>
      <c r="Y344" s="129"/>
      <c r="Z344" s="129"/>
      <c r="AA344" s="129"/>
      <c r="AB344" s="129"/>
      <c r="AC344" s="129"/>
      <c r="AD344" s="129"/>
      <c r="AE344" s="129"/>
      <c r="AF344" s="129"/>
      <c r="AG344" s="129"/>
      <c r="AH344" s="129"/>
      <c r="AI344" s="129"/>
    </row>
    <row r="345" spans="13:35" x14ac:dyDescent="0.15">
      <c r="M345" s="129"/>
      <c r="N345" s="129"/>
      <c r="O345" s="129"/>
      <c r="P345" s="129"/>
      <c r="Q345" s="129"/>
      <c r="R345" s="129"/>
      <c r="S345" s="129"/>
      <c r="T345" s="129"/>
      <c r="U345" s="129"/>
      <c r="V345" s="129"/>
      <c r="W345" s="129"/>
      <c r="X345" s="129"/>
      <c r="Y345" s="129"/>
      <c r="Z345" s="129"/>
      <c r="AA345" s="129"/>
      <c r="AB345" s="129"/>
      <c r="AC345" s="129"/>
      <c r="AD345" s="129"/>
      <c r="AE345" s="129"/>
      <c r="AF345" s="129"/>
      <c r="AG345" s="129"/>
      <c r="AH345" s="129"/>
      <c r="AI345" s="129"/>
    </row>
    <row r="346" spans="13:35" x14ac:dyDescent="0.15">
      <c r="M346" s="129"/>
      <c r="N346" s="129"/>
      <c r="O346" s="129"/>
      <c r="P346" s="129"/>
      <c r="Q346" s="129"/>
      <c r="R346" s="129"/>
      <c r="S346" s="129"/>
      <c r="T346" s="129"/>
      <c r="U346" s="129"/>
      <c r="V346" s="129"/>
      <c r="W346" s="129"/>
      <c r="X346" s="129"/>
      <c r="Y346" s="129"/>
      <c r="Z346" s="129"/>
      <c r="AA346" s="129"/>
      <c r="AB346" s="129"/>
      <c r="AC346" s="129"/>
      <c r="AD346" s="129"/>
      <c r="AE346" s="129"/>
      <c r="AF346" s="129"/>
      <c r="AG346" s="129"/>
      <c r="AH346" s="129"/>
      <c r="AI346" s="129"/>
    </row>
    <row r="347" spans="13:35" x14ac:dyDescent="0.15">
      <c r="M347" s="129"/>
      <c r="N347" s="129"/>
      <c r="O347" s="129"/>
      <c r="P347" s="129"/>
      <c r="Q347" s="129"/>
      <c r="R347" s="129"/>
      <c r="S347" s="129"/>
      <c r="T347" s="129"/>
      <c r="U347" s="129"/>
      <c r="V347" s="129"/>
      <c r="W347" s="129"/>
      <c r="X347" s="129"/>
      <c r="Y347" s="129"/>
      <c r="Z347" s="129"/>
      <c r="AA347" s="129"/>
      <c r="AB347" s="129"/>
      <c r="AC347" s="129"/>
      <c r="AD347" s="129"/>
      <c r="AE347" s="129"/>
      <c r="AF347" s="129"/>
      <c r="AG347" s="129"/>
      <c r="AH347" s="129"/>
      <c r="AI347" s="129"/>
    </row>
    <row r="348" spans="13:35" x14ac:dyDescent="0.15">
      <c r="M348" s="129"/>
      <c r="N348" s="129"/>
      <c r="O348" s="129"/>
      <c r="P348" s="129"/>
      <c r="Q348" s="129"/>
      <c r="R348" s="129"/>
      <c r="S348" s="129"/>
      <c r="T348" s="129"/>
      <c r="U348" s="129"/>
      <c r="V348" s="129"/>
      <c r="W348" s="129"/>
      <c r="X348" s="129"/>
      <c r="Y348" s="129"/>
      <c r="Z348" s="129"/>
      <c r="AA348" s="129"/>
      <c r="AB348" s="129"/>
      <c r="AC348" s="129"/>
      <c r="AD348" s="129"/>
      <c r="AE348" s="129"/>
      <c r="AF348" s="129"/>
      <c r="AG348" s="129"/>
      <c r="AH348" s="129"/>
      <c r="AI348" s="129"/>
    </row>
    <row r="349" spans="13:35" x14ac:dyDescent="0.15">
      <c r="M349" s="129"/>
      <c r="N349" s="129"/>
      <c r="O349" s="129"/>
      <c r="P349" s="129"/>
      <c r="Q349" s="129"/>
      <c r="R349" s="129"/>
      <c r="S349" s="129"/>
      <c r="T349" s="129"/>
      <c r="U349" s="129"/>
      <c r="V349" s="129"/>
      <c r="W349" s="129"/>
      <c r="X349" s="129"/>
      <c r="Y349" s="129"/>
      <c r="Z349" s="129"/>
      <c r="AA349" s="129"/>
      <c r="AB349" s="129"/>
      <c r="AC349" s="129"/>
      <c r="AD349" s="129"/>
      <c r="AE349" s="129"/>
      <c r="AF349" s="129"/>
      <c r="AG349" s="129"/>
      <c r="AH349" s="129"/>
      <c r="AI349" s="129"/>
    </row>
    <row r="350" spans="13:35" x14ac:dyDescent="0.15">
      <c r="M350" s="129"/>
      <c r="N350" s="129"/>
      <c r="O350" s="129"/>
      <c r="P350" s="129"/>
      <c r="Q350" s="129"/>
      <c r="R350" s="129"/>
      <c r="S350" s="129"/>
      <c r="T350" s="129"/>
      <c r="U350" s="129"/>
      <c r="V350" s="129"/>
      <c r="W350" s="129"/>
      <c r="X350" s="129"/>
      <c r="Y350" s="129"/>
      <c r="Z350" s="129"/>
      <c r="AA350" s="129"/>
      <c r="AB350" s="129"/>
      <c r="AC350" s="129"/>
      <c r="AD350" s="129"/>
      <c r="AE350" s="129"/>
      <c r="AF350" s="129"/>
      <c r="AG350" s="129"/>
      <c r="AH350" s="129"/>
      <c r="AI350" s="129"/>
    </row>
    <row r="351" spans="13:35" x14ac:dyDescent="0.15">
      <c r="M351" s="129"/>
      <c r="N351" s="129"/>
      <c r="O351" s="129"/>
      <c r="P351" s="129"/>
      <c r="Q351" s="129"/>
      <c r="R351" s="129"/>
      <c r="S351" s="129"/>
      <c r="T351" s="129"/>
      <c r="U351" s="129"/>
      <c r="V351" s="129"/>
      <c r="W351" s="129"/>
      <c r="X351" s="129"/>
      <c r="Y351" s="129"/>
      <c r="Z351" s="129"/>
      <c r="AA351" s="129"/>
      <c r="AB351" s="129"/>
      <c r="AC351" s="129"/>
      <c r="AD351" s="129"/>
      <c r="AE351" s="129"/>
      <c r="AF351" s="129"/>
      <c r="AG351" s="129"/>
      <c r="AH351" s="129"/>
      <c r="AI351" s="129"/>
    </row>
    <row r="352" spans="13:35" x14ac:dyDescent="0.15">
      <c r="M352" s="129"/>
      <c r="N352" s="129"/>
      <c r="O352" s="129"/>
      <c r="P352" s="129"/>
      <c r="Q352" s="129"/>
      <c r="R352" s="129"/>
      <c r="S352" s="129"/>
      <c r="T352" s="129"/>
      <c r="U352" s="129"/>
      <c r="V352" s="129"/>
      <c r="W352" s="129"/>
      <c r="X352" s="129"/>
      <c r="Y352" s="129"/>
      <c r="Z352" s="129"/>
      <c r="AA352" s="129"/>
      <c r="AB352" s="129"/>
      <c r="AC352" s="129"/>
      <c r="AD352" s="129"/>
      <c r="AE352" s="129"/>
      <c r="AF352" s="129"/>
      <c r="AG352" s="129"/>
      <c r="AH352" s="129"/>
      <c r="AI352" s="129"/>
    </row>
    <row r="353" spans="13:35" x14ac:dyDescent="0.15">
      <c r="M353" s="129"/>
      <c r="N353" s="129"/>
      <c r="O353" s="129"/>
      <c r="P353" s="129"/>
      <c r="Q353" s="129"/>
      <c r="R353" s="129"/>
      <c r="S353" s="129"/>
      <c r="T353" s="129"/>
      <c r="U353" s="129"/>
      <c r="V353" s="129"/>
      <c r="W353" s="129"/>
      <c r="X353" s="129"/>
      <c r="Y353" s="129"/>
      <c r="Z353" s="129"/>
      <c r="AA353" s="129"/>
      <c r="AB353" s="129"/>
      <c r="AC353" s="129"/>
      <c r="AD353" s="129"/>
      <c r="AE353" s="129"/>
      <c r="AF353" s="129"/>
      <c r="AG353" s="129"/>
      <c r="AH353" s="129"/>
      <c r="AI353" s="129"/>
    </row>
    <row r="354" spans="13:35" x14ac:dyDescent="0.15">
      <c r="M354" s="129"/>
      <c r="N354" s="129"/>
      <c r="O354" s="129"/>
      <c r="P354" s="129"/>
      <c r="Q354" s="129"/>
      <c r="R354" s="129"/>
      <c r="S354" s="129"/>
      <c r="T354" s="129"/>
      <c r="U354" s="129"/>
      <c r="V354" s="129"/>
      <c r="W354" s="129"/>
      <c r="X354" s="129"/>
      <c r="Y354" s="129"/>
      <c r="Z354" s="129"/>
      <c r="AA354" s="129"/>
      <c r="AB354" s="129"/>
      <c r="AC354" s="129"/>
      <c r="AD354" s="129"/>
      <c r="AE354" s="129"/>
      <c r="AF354" s="129"/>
      <c r="AG354" s="129"/>
      <c r="AH354" s="129"/>
      <c r="AI354" s="129"/>
    </row>
    <row r="355" spans="13:35" x14ac:dyDescent="0.15">
      <c r="M355" s="129"/>
      <c r="N355" s="129"/>
      <c r="O355" s="129"/>
      <c r="P355" s="129"/>
      <c r="Q355" s="129"/>
      <c r="R355" s="129"/>
      <c r="S355" s="129"/>
      <c r="T355" s="129"/>
      <c r="U355" s="129"/>
      <c r="V355" s="129"/>
      <c r="W355" s="129"/>
      <c r="X355" s="129"/>
      <c r="Y355" s="129"/>
      <c r="Z355" s="129"/>
      <c r="AA355" s="129"/>
      <c r="AB355" s="129"/>
      <c r="AC355" s="129"/>
      <c r="AD355" s="129"/>
      <c r="AE355" s="129"/>
      <c r="AF355" s="129"/>
      <c r="AG355" s="129"/>
      <c r="AH355" s="129"/>
      <c r="AI355" s="129"/>
    </row>
    <row r="356" spans="13:35" x14ac:dyDescent="0.15">
      <c r="M356" s="129"/>
      <c r="N356" s="129"/>
      <c r="O356" s="129"/>
      <c r="P356" s="129"/>
      <c r="Q356" s="129"/>
      <c r="R356" s="129"/>
      <c r="S356" s="129"/>
      <c r="T356" s="129"/>
      <c r="U356" s="129"/>
      <c r="V356" s="129"/>
      <c r="W356" s="129"/>
      <c r="X356" s="129"/>
      <c r="Y356" s="129"/>
      <c r="Z356" s="129"/>
      <c r="AA356" s="129"/>
      <c r="AB356" s="129"/>
      <c r="AC356" s="129"/>
      <c r="AD356" s="129"/>
      <c r="AE356" s="129"/>
      <c r="AF356" s="129"/>
      <c r="AG356" s="129"/>
      <c r="AH356" s="129"/>
      <c r="AI356" s="129"/>
    </row>
    <row r="357" spans="13:35" x14ac:dyDescent="0.15">
      <c r="M357" s="129"/>
      <c r="N357" s="129"/>
      <c r="O357" s="129"/>
      <c r="P357" s="129"/>
      <c r="Q357" s="129"/>
      <c r="R357" s="129"/>
      <c r="S357" s="129"/>
      <c r="T357" s="129"/>
      <c r="U357" s="129"/>
      <c r="V357" s="129"/>
      <c r="W357" s="129"/>
      <c r="X357" s="129"/>
      <c r="Y357" s="129"/>
      <c r="Z357" s="129"/>
      <c r="AA357" s="129"/>
      <c r="AB357" s="129"/>
      <c r="AC357" s="129"/>
      <c r="AD357" s="129"/>
      <c r="AE357" s="129"/>
      <c r="AF357" s="129"/>
      <c r="AG357" s="129"/>
      <c r="AH357" s="129"/>
      <c r="AI357" s="129"/>
    </row>
    <row r="358" spans="13:35" x14ac:dyDescent="0.15">
      <c r="M358" s="129"/>
      <c r="N358" s="129"/>
      <c r="O358" s="129"/>
      <c r="P358" s="129"/>
      <c r="Q358" s="129"/>
      <c r="R358" s="129"/>
      <c r="S358" s="129"/>
      <c r="T358" s="129"/>
      <c r="U358" s="129"/>
      <c r="V358" s="129"/>
      <c r="W358" s="129"/>
      <c r="X358" s="129"/>
      <c r="Y358" s="129"/>
      <c r="Z358" s="129"/>
      <c r="AA358" s="129"/>
      <c r="AB358" s="129"/>
      <c r="AC358" s="129"/>
      <c r="AD358" s="129"/>
      <c r="AE358" s="129"/>
      <c r="AF358" s="129"/>
      <c r="AG358" s="129"/>
      <c r="AH358" s="129"/>
      <c r="AI358" s="129"/>
    </row>
    <row r="359" spans="13:35" x14ac:dyDescent="0.15">
      <c r="M359" s="129"/>
      <c r="N359" s="129"/>
      <c r="O359" s="129"/>
      <c r="P359" s="129"/>
      <c r="Q359" s="129"/>
      <c r="R359" s="129"/>
      <c r="S359" s="129"/>
      <c r="T359" s="129"/>
      <c r="U359" s="129"/>
      <c r="V359" s="129"/>
      <c r="W359" s="129"/>
      <c r="X359" s="129"/>
      <c r="Y359" s="129"/>
      <c r="Z359" s="129"/>
      <c r="AA359" s="129"/>
      <c r="AB359" s="129"/>
      <c r="AC359" s="129"/>
      <c r="AD359" s="129"/>
      <c r="AE359" s="129"/>
      <c r="AF359" s="129"/>
      <c r="AG359" s="129"/>
      <c r="AH359" s="129"/>
      <c r="AI359" s="129"/>
    </row>
    <row r="360" spans="13:35" x14ac:dyDescent="0.15">
      <c r="M360" s="129"/>
      <c r="N360" s="129"/>
      <c r="O360" s="129"/>
      <c r="P360" s="129"/>
      <c r="Q360" s="129"/>
      <c r="R360" s="129"/>
      <c r="S360" s="129"/>
      <c r="T360" s="129"/>
      <c r="U360" s="129"/>
      <c r="V360" s="129"/>
      <c r="W360" s="129"/>
      <c r="X360" s="129"/>
      <c r="Y360" s="129"/>
      <c r="Z360" s="129"/>
      <c r="AA360" s="129"/>
      <c r="AB360" s="129"/>
      <c r="AC360" s="129"/>
      <c r="AD360" s="129"/>
      <c r="AE360" s="129"/>
      <c r="AF360" s="129"/>
      <c r="AG360" s="129"/>
      <c r="AH360" s="129"/>
      <c r="AI360" s="129"/>
    </row>
    <row r="361" spans="13:35" x14ac:dyDescent="0.15">
      <c r="M361" s="129"/>
      <c r="N361" s="129"/>
      <c r="O361" s="129"/>
      <c r="P361" s="129"/>
      <c r="Q361" s="129"/>
      <c r="R361" s="129"/>
      <c r="S361" s="129"/>
      <c r="T361" s="129"/>
      <c r="U361" s="129"/>
      <c r="V361" s="129"/>
      <c r="W361" s="129"/>
      <c r="X361" s="129"/>
      <c r="Y361" s="129"/>
      <c r="Z361" s="129"/>
      <c r="AA361" s="129"/>
      <c r="AB361" s="129"/>
      <c r="AC361" s="129"/>
      <c r="AD361" s="129"/>
      <c r="AE361" s="129"/>
      <c r="AF361" s="129"/>
      <c r="AG361" s="129"/>
      <c r="AH361" s="129"/>
      <c r="AI361" s="129"/>
    </row>
    <row r="362" spans="13:35" x14ac:dyDescent="0.15">
      <c r="M362" s="129"/>
      <c r="N362" s="129"/>
      <c r="O362" s="129"/>
      <c r="P362" s="129"/>
      <c r="Q362" s="129"/>
      <c r="R362" s="129"/>
      <c r="S362" s="129"/>
      <c r="T362" s="129"/>
      <c r="U362" s="129"/>
      <c r="V362" s="129"/>
      <c r="W362" s="129"/>
      <c r="X362" s="129"/>
      <c r="Y362" s="129"/>
      <c r="Z362" s="129"/>
      <c r="AA362" s="129"/>
      <c r="AB362" s="129"/>
      <c r="AC362" s="129"/>
      <c r="AD362" s="129"/>
      <c r="AE362" s="129"/>
      <c r="AF362" s="129"/>
      <c r="AG362" s="129"/>
      <c r="AH362" s="129"/>
      <c r="AI362" s="129"/>
    </row>
    <row r="363" spans="13:35" x14ac:dyDescent="0.15">
      <c r="M363" s="129"/>
      <c r="N363" s="129"/>
      <c r="O363" s="129"/>
      <c r="P363" s="129"/>
      <c r="Q363" s="129"/>
      <c r="R363" s="129"/>
      <c r="S363" s="129"/>
      <c r="T363" s="129"/>
      <c r="U363" s="129"/>
      <c r="V363" s="129"/>
      <c r="W363" s="129"/>
      <c r="X363" s="129"/>
      <c r="Y363" s="129"/>
      <c r="Z363" s="129"/>
      <c r="AA363" s="129"/>
      <c r="AB363" s="129"/>
      <c r="AC363" s="129"/>
      <c r="AD363" s="129"/>
      <c r="AE363" s="129"/>
      <c r="AF363" s="129"/>
      <c r="AG363" s="129"/>
      <c r="AH363" s="129"/>
      <c r="AI363" s="129"/>
    </row>
    <row r="364" spans="13:35" x14ac:dyDescent="0.15">
      <c r="M364" s="129"/>
      <c r="N364" s="129"/>
      <c r="O364" s="129"/>
      <c r="P364" s="129"/>
      <c r="Q364" s="129"/>
      <c r="R364" s="129"/>
      <c r="S364" s="129"/>
      <c r="T364" s="129"/>
      <c r="U364" s="129"/>
      <c r="V364" s="129"/>
      <c r="W364" s="129"/>
      <c r="X364" s="129"/>
      <c r="Y364" s="129"/>
      <c r="Z364" s="129"/>
      <c r="AA364" s="129"/>
      <c r="AB364" s="129"/>
      <c r="AC364" s="129"/>
      <c r="AD364" s="129"/>
      <c r="AE364" s="129"/>
      <c r="AF364" s="129"/>
      <c r="AG364" s="129"/>
      <c r="AH364" s="129"/>
      <c r="AI364" s="129"/>
    </row>
    <row r="365" spans="13:35" x14ac:dyDescent="0.15">
      <c r="M365" s="129"/>
      <c r="N365" s="129"/>
      <c r="O365" s="129"/>
      <c r="P365" s="129"/>
      <c r="Q365" s="129"/>
      <c r="R365" s="129"/>
      <c r="S365" s="129"/>
      <c r="T365" s="129"/>
      <c r="U365" s="129"/>
      <c r="V365" s="129"/>
      <c r="W365" s="129"/>
      <c r="X365" s="129"/>
      <c r="Y365" s="129"/>
      <c r="Z365" s="129"/>
      <c r="AA365" s="129"/>
      <c r="AB365" s="129"/>
      <c r="AC365" s="129"/>
      <c r="AD365" s="129"/>
      <c r="AE365" s="129"/>
      <c r="AF365" s="129"/>
      <c r="AG365" s="129"/>
      <c r="AH365" s="129"/>
      <c r="AI365" s="129"/>
    </row>
    <row r="366" spans="13:35" x14ac:dyDescent="0.15">
      <c r="M366" s="129"/>
      <c r="N366" s="129"/>
      <c r="O366" s="129"/>
      <c r="P366" s="129"/>
      <c r="Q366" s="129"/>
      <c r="R366" s="129"/>
      <c r="S366" s="129"/>
      <c r="T366" s="129"/>
      <c r="U366" s="129"/>
      <c r="V366" s="129"/>
      <c r="W366" s="129"/>
      <c r="X366" s="129"/>
      <c r="Y366" s="129"/>
      <c r="Z366" s="129"/>
      <c r="AA366" s="129"/>
      <c r="AB366" s="129"/>
      <c r="AC366" s="129"/>
      <c r="AD366" s="129"/>
      <c r="AE366" s="129"/>
      <c r="AF366" s="129"/>
      <c r="AG366" s="129"/>
      <c r="AH366" s="129"/>
      <c r="AI366" s="129"/>
    </row>
    <row r="367" spans="13:35" x14ac:dyDescent="0.15">
      <c r="M367" s="129"/>
      <c r="N367" s="129"/>
      <c r="O367" s="129"/>
      <c r="P367" s="129"/>
      <c r="Q367" s="129"/>
      <c r="R367" s="129"/>
      <c r="S367" s="129"/>
      <c r="T367" s="129"/>
      <c r="U367" s="129"/>
      <c r="V367" s="129"/>
      <c r="W367" s="129"/>
      <c r="X367" s="129"/>
      <c r="Y367" s="129"/>
      <c r="Z367" s="129"/>
      <c r="AA367" s="129"/>
      <c r="AB367" s="129"/>
      <c r="AC367" s="129"/>
      <c r="AD367" s="129"/>
      <c r="AE367" s="129"/>
      <c r="AF367" s="129"/>
      <c r="AG367" s="129"/>
      <c r="AH367" s="129"/>
      <c r="AI367" s="129"/>
    </row>
    <row r="368" spans="13:35" x14ac:dyDescent="0.15">
      <c r="M368" s="129"/>
      <c r="N368" s="129"/>
      <c r="O368" s="129"/>
      <c r="P368" s="129"/>
      <c r="Q368" s="129"/>
      <c r="R368" s="129"/>
      <c r="S368" s="129"/>
      <c r="T368" s="129"/>
      <c r="U368" s="129"/>
      <c r="V368" s="129"/>
      <c r="W368" s="129"/>
      <c r="X368" s="129"/>
      <c r="Y368" s="129"/>
      <c r="Z368" s="129"/>
      <c r="AA368" s="129"/>
      <c r="AB368" s="129"/>
      <c r="AC368" s="129"/>
      <c r="AD368" s="129"/>
      <c r="AE368" s="129"/>
      <c r="AF368" s="129"/>
      <c r="AG368" s="129"/>
      <c r="AH368" s="129"/>
      <c r="AI368" s="129"/>
    </row>
    <row r="369" spans="13:35" x14ac:dyDescent="0.15">
      <c r="M369" s="129"/>
      <c r="N369" s="129"/>
      <c r="O369" s="129"/>
      <c r="P369" s="129"/>
      <c r="Q369" s="129"/>
      <c r="R369" s="129"/>
      <c r="S369" s="129"/>
      <c r="T369" s="129"/>
      <c r="U369" s="129"/>
      <c r="V369" s="129"/>
      <c r="W369" s="129"/>
      <c r="X369" s="129"/>
      <c r="Y369" s="129"/>
      <c r="Z369" s="129"/>
      <c r="AA369" s="129"/>
      <c r="AB369" s="129"/>
      <c r="AC369" s="129"/>
      <c r="AD369" s="129"/>
      <c r="AE369" s="129"/>
      <c r="AF369" s="129"/>
      <c r="AG369" s="129"/>
      <c r="AH369" s="129"/>
      <c r="AI369" s="129"/>
    </row>
    <row r="370" spans="13:35" x14ac:dyDescent="0.15">
      <c r="M370" s="129"/>
      <c r="N370" s="129"/>
      <c r="O370" s="129"/>
      <c r="P370" s="129"/>
      <c r="Q370" s="129"/>
      <c r="R370" s="129"/>
      <c r="S370" s="129"/>
      <c r="T370" s="129"/>
      <c r="U370" s="129"/>
      <c r="V370" s="129"/>
      <c r="W370" s="129"/>
      <c r="X370" s="129"/>
      <c r="Y370" s="129"/>
      <c r="Z370" s="129"/>
      <c r="AA370" s="129"/>
      <c r="AB370" s="129"/>
      <c r="AC370" s="129"/>
      <c r="AD370" s="129"/>
      <c r="AE370" s="129"/>
      <c r="AF370" s="129"/>
      <c r="AG370" s="129"/>
      <c r="AH370" s="129"/>
      <c r="AI370" s="129"/>
    </row>
    <row r="371" spans="13:35" x14ac:dyDescent="0.15">
      <c r="M371" s="129"/>
      <c r="N371" s="129"/>
      <c r="O371" s="129"/>
      <c r="P371" s="129"/>
      <c r="Q371" s="129"/>
      <c r="R371" s="129"/>
      <c r="S371" s="129"/>
      <c r="T371" s="129"/>
      <c r="U371" s="129"/>
      <c r="V371" s="129"/>
      <c r="W371" s="129"/>
      <c r="X371" s="129"/>
      <c r="Y371" s="129"/>
      <c r="Z371" s="129"/>
      <c r="AA371" s="129"/>
      <c r="AB371" s="129"/>
      <c r="AC371" s="129"/>
      <c r="AD371" s="129"/>
      <c r="AE371" s="129"/>
      <c r="AF371" s="129"/>
      <c r="AG371" s="129"/>
      <c r="AH371" s="129"/>
      <c r="AI371" s="129"/>
    </row>
    <row r="372" spans="13:35" x14ac:dyDescent="0.15">
      <c r="M372" s="129"/>
      <c r="N372" s="129"/>
      <c r="O372" s="129"/>
      <c r="P372" s="129"/>
      <c r="Q372" s="129"/>
      <c r="R372" s="129"/>
      <c r="S372" s="129"/>
      <c r="T372" s="129"/>
      <c r="U372" s="129"/>
      <c r="V372" s="129"/>
      <c r="W372" s="129"/>
      <c r="X372" s="129"/>
      <c r="Y372" s="129"/>
      <c r="Z372" s="129"/>
      <c r="AA372" s="129"/>
      <c r="AB372" s="129"/>
      <c r="AC372" s="129"/>
      <c r="AD372" s="129"/>
      <c r="AE372" s="129"/>
      <c r="AF372" s="129"/>
      <c r="AG372" s="129"/>
      <c r="AH372" s="129"/>
      <c r="AI372" s="129"/>
    </row>
    <row r="373" spans="13:35" x14ac:dyDescent="0.15">
      <c r="M373" s="129"/>
      <c r="N373" s="129"/>
      <c r="O373" s="129"/>
      <c r="P373" s="129"/>
      <c r="Q373" s="129"/>
      <c r="R373" s="129"/>
      <c r="S373" s="129"/>
      <c r="T373" s="129"/>
      <c r="U373" s="129"/>
      <c r="V373" s="129"/>
      <c r="W373" s="129"/>
      <c r="X373" s="129"/>
      <c r="Y373" s="129"/>
      <c r="Z373" s="129"/>
      <c r="AA373" s="129"/>
      <c r="AB373" s="129"/>
      <c r="AC373" s="129"/>
      <c r="AD373" s="129"/>
      <c r="AE373" s="129"/>
      <c r="AF373" s="129"/>
      <c r="AG373" s="129"/>
      <c r="AH373" s="129"/>
      <c r="AI373" s="129"/>
    </row>
    <row r="374" spans="13:35" x14ac:dyDescent="0.15">
      <c r="M374" s="129"/>
      <c r="N374" s="129"/>
      <c r="O374" s="129"/>
      <c r="P374" s="129"/>
      <c r="Q374" s="129"/>
      <c r="R374" s="129"/>
      <c r="S374" s="129"/>
      <c r="T374" s="129"/>
      <c r="U374" s="129"/>
      <c r="V374" s="129"/>
      <c r="W374" s="129"/>
      <c r="X374" s="129"/>
      <c r="Y374" s="129"/>
      <c r="Z374" s="129"/>
      <c r="AA374" s="129"/>
      <c r="AB374" s="129"/>
      <c r="AC374" s="129"/>
      <c r="AD374" s="129"/>
      <c r="AE374" s="129"/>
      <c r="AF374" s="129"/>
      <c r="AG374" s="129"/>
      <c r="AH374" s="129"/>
      <c r="AI374" s="129"/>
    </row>
    <row r="375" spans="13:35" x14ac:dyDescent="0.15">
      <c r="M375" s="129"/>
      <c r="N375" s="129"/>
      <c r="O375" s="129"/>
      <c r="P375" s="129"/>
      <c r="Q375" s="129"/>
      <c r="R375" s="129"/>
      <c r="S375" s="129"/>
      <c r="T375" s="129"/>
      <c r="U375" s="129"/>
      <c r="V375" s="129"/>
      <c r="W375" s="129"/>
      <c r="X375" s="129"/>
      <c r="Y375" s="129"/>
      <c r="Z375" s="129"/>
      <c r="AA375" s="129"/>
      <c r="AB375" s="129"/>
      <c r="AC375" s="129"/>
      <c r="AD375" s="129"/>
      <c r="AE375" s="129"/>
      <c r="AF375" s="129"/>
      <c r="AG375" s="129"/>
      <c r="AH375" s="129"/>
      <c r="AI375" s="129"/>
    </row>
    <row r="376" spans="13:35" x14ac:dyDescent="0.15">
      <c r="M376" s="129"/>
      <c r="N376" s="129"/>
      <c r="O376" s="129"/>
      <c r="P376" s="129"/>
      <c r="Q376" s="129"/>
      <c r="R376" s="129"/>
      <c r="S376" s="129"/>
      <c r="T376" s="129"/>
      <c r="U376" s="129"/>
      <c r="V376" s="129"/>
      <c r="W376" s="129"/>
      <c r="X376" s="129"/>
      <c r="Y376" s="129"/>
      <c r="Z376" s="129"/>
      <c r="AA376" s="129"/>
      <c r="AB376" s="129"/>
      <c r="AC376" s="129"/>
      <c r="AD376" s="129"/>
      <c r="AE376" s="129"/>
      <c r="AF376" s="129"/>
      <c r="AG376" s="129"/>
      <c r="AH376" s="129"/>
      <c r="AI376" s="129"/>
    </row>
    <row r="377" spans="13:35" x14ac:dyDescent="0.15">
      <c r="M377" s="129"/>
      <c r="N377" s="129"/>
      <c r="O377" s="129"/>
      <c r="P377" s="129"/>
      <c r="Q377" s="129"/>
      <c r="R377" s="129"/>
      <c r="S377" s="129"/>
      <c r="T377" s="129"/>
      <c r="U377" s="129"/>
      <c r="V377" s="129"/>
      <c r="W377" s="129"/>
      <c r="X377" s="129"/>
      <c r="Y377" s="129"/>
      <c r="Z377" s="129"/>
      <c r="AA377" s="129"/>
      <c r="AB377" s="129"/>
      <c r="AC377" s="129"/>
      <c r="AD377" s="129"/>
      <c r="AE377" s="129"/>
      <c r="AF377" s="129"/>
      <c r="AG377" s="129"/>
      <c r="AH377" s="129"/>
      <c r="AI377" s="129"/>
    </row>
    <row r="378" spans="13:35" x14ac:dyDescent="0.15">
      <c r="M378" s="129"/>
      <c r="N378" s="129"/>
      <c r="O378" s="129"/>
      <c r="P378" s="129"/>
      <c r="Q378" s="129"/>
      <c r="R378" s="129"/>
      <c r="S378" s="129"/>
      <c r="T378" s="129"/>
      <c r="U378" s="129"/>
      <c r="V378" s="129"/>
      <c r="W378" s="129"/>
      <c r="X378" s="129"/>
      <c r="Y378" s="129"/>
      <c r="Z378" s="129"/>
      <c r="AA378" s="129"/>
      <c r="AB378" s="129"/>
      <c r="AC378" s="129"/>
      <c r="AD378" s="129"/>
      <c r="AE378" s="129"/>
      <c r="AF378" s="129"/>
      <c r="AG378" s="129"/>
      <c r="AH378" s="129"/>
      <c r="AI378" s="129"/>
    </row>
    <row r="379" spans="13:35" x14ac:dyDescent="0.15">
      <c r="M379" s="129"/>
      <c r="N379" s="129"/>
      <c r="O379" s="129"/>
      <c r="P379" s="129"/>
      <c r="Q379" s="129"/>
      <c r="R379" s="129"/>
      <c r="S379" s="129"/>
      <c r="T379" s="129"/>
      <c r="U379" s="129"/>
      <c r="V379" s="129"/>
      <c r="W379" s="129"/>
      <c r="X379" s="129"/>
      <c r="Y379" s="129"/>
      <c r="Z379" s="129"/>
      <c r="AA379" s="129"/>
      <c r="AB379" s="129"/>
      <c r="AC379" s="129"/>
      <c r="AD379" s="129"/>
      <c r="AE379" s="129"/>
      <c r="AF379" s="129"/>
      <c r="AG379" s="129"/>
      <c r="AH379" s="129"/>
      <c r="AI379" s="129"/>
    </row>
    <row r="380" spans="13:35" x14ac:dyDescent="0.15">
      <c r="M380" s="129"/>
      <c r="N380" s="129"/>
      <c r="O380" s="129"/>
      <c r="P380" s="129"/>
      <c r="Q380" s="129"/>
      <c r="R380" s="129"/>
      <c r="S380" s="129"/>
      <c r="T380" s="129"/>
      <c r="U380" s="129"/>
      <c r="V380" s="129"/>
      <c r="W380" s="129"/>
      <c r="X380" s="129"/>
      <c r="Y380" s="129"/>
      <c r="Z380" s="129"/>
      <c r="AA380" s="129"/>
      <c r="AB380" s="129"/>
      <c r="AC380" s="129"/>
      <c r="AD380" s="129"/>
      <c r="AE380" s="129"/>
      <c r="AF380" s="129"/>
      <c r="AG380" s="129"/>
      <c r="AH380" s="129"/>
      <c r="AI380" s="129"/>
    </row>
    <row r="381" spans="13:35" x14ac:dyDescent="0.15">
      <c r="M381" s="129"/>
      <c r="N381" s="129"/>
      <c r="O381" s="129"/>
      <c r="P381" s="129"/>
      <c r="Q381" s="129"/>
      <c r="R381" s="129"/>
      <c r="S381" s="129"/>
      <c r="T381" s="129"/>
      <c r="U381" s="129"/>
      <c r="V381" s="129"/>
      <c r="W381" s="129"/>
      <c r="X381" s="129"/>
      <c r="Y381" s="129"/>
      <c r="Z381" s="129"/>
      <c r="AA381" s="129"/>
      <c r="AB381" s="129"/>
      <c r="AC381" s="129"/>
      <c r="AD381" s="129"/>
      <c r="AE381" s="129"/>
      <c r="AF381" s="129"/>
      <c r="AG381" s="129"/>
      <c r="AH381" s="129"/>
      <c r="AI381" s="129"/>
    </row>
    <row r="382" spans="13:35" x14ac:dyDescent="0.15">
      <c r="M382" s="129"/>
      <c r="N382" s="129"/>
      <c r="O382" s="129"/>
      <c r="P382" s="129"/>
      <c r="Q382" s="129"/>
      <c r="R382" s="129"/>
      <c r="S382" s="129"/>
      <c r="T382" s="129"/>
      <c r="U382" s="129"/>
      <c r="V382" s="129"/>
      <c r="W382" s="129"/>
      <c r="X382" s="129"/>
      <c r="Y382" s="129"/>
      <c r="Z382" s="129"/>
      <c r="AA382" s="129"/>
      <c r="AB382" s="129"/>
      <c r="AC382" s="129"/>
      <c r="AD382" s="129"/>
      <c r="AE382" s="129"/>
      <c r="AF382" s="129"/>
      <c r="AG382" s="129"/>
      <c r="AH382" s="129"/>
      <c r="AI382" s="129"/>
    </row>
    <row r="383" spans="13:35" x14ac:dyDescent="0.15">
      <c r="M383" s="129"/>
      <c r="N383" s="129"/>
      <c r="O383" s="129"/>
      <c r="P383" s="129"/>
      <c r="Q383" s="129"/>
      <c r="R383" s="129"/>
      <c r="S383" s="129"/>
      <c r="T383" s="129"/>
      <c r="U383" s="129"/>
      <c r="V383" s="129"/>
      <c r="W383" s="129"/>
      <c r="X383" s="129"/>
      <c r="Y383" s="129"/>
      <c r="Z383" s="129"/>
      <c r="AA383" s="129"/>
      <c r="AB383" s="129"/>
      <c r="AC383" s="129"/>
      <c r="AD383" s="129"/>
      <c r="AE383" s="129"/>
      <c r="AF383" s="129"/>
      <c r="AG383" s="129"/>
      <c r="AH383" s="129"/>
      <c r="AI383" s="129"/>
    </row>
    <row r="384" spans="13:35" x14ac:dyDescent="0.15">
      <c r="M384" s="129"/>
      <c r="N384" s="129"/>
      <c r="O384" s="129"/>
      <c r="P384" s="129"/>
      <c r="Q384" s="129"/>
      <c r="R384" s="129"/>
      <c r="S384" s="129"/>
      <c r="T384" s="129"/>
      <c r="U384" s="129"/>
      <c r="V384" s="129"/>
      <c r="W384" s="129"/>
      <c r="X384" s="129"/>
      <c r="Y384" s="129"/>
      <c r="Z384" s="129"/>
      <c r="AA384" s="129"/>
      <c r="AB384" s="129"/>
      <c r="AC384" s="129"/>
      <c r="AD384" s="129"/>
      <c r="AE384" s="129"/>
      <c r="AF384" s="129"/>
      <c r="AG384" s="129"/>
      <c r="AH384" s="129"/>
      <c r="AI384" s="129"/>
    </row>
    <row r="385" spans="13:35" x14ac:dyDescent="0.15">
      <c r="M385" s="129"/>
      <c r="N385" s="129"/>
      <c r="O385" s="129"/>
      <c r="P385" s="129"/>
      <c r="Q385" s="129"/>
      <c r="R385" s="129"/>
      <c r="S385" s="129"/>
      <c r="T385" s="129"/>
      <c r="U385" s="129"/>
      <c r="V385" s="129"/>
      <c r="W385" s="129"/>
      <c r="X385" s="129"/>
      <c r="Y385" s="129"/>
      <c r="Z385" s="129"/>
      <c r="AA385" s="129"/>
      <c r="AB385" s="129"/>
      <c r="AC385" s="129"/>
      <c r="AD385" s="129"/>
      <c r="AE385" s="129"/>
      <c r="AF385" s="129"/>
      <c r="AG385" s="129"/>
      <c r="AH385" s="129"/>
      <c r="AI385" s="129"/>
    </row>
    <row r="386" spans="13:35" x14ac:dyDescent="0.15">
      <c r="M386" s="129"/>
      <c r="N386" s="129"/>
      <c r="O386" s="129"/>
      <c r="P386" s="129"/>
      <c r="Q386" s="129"/>
      <c r="R386" s="129"/>
      <c r="S386" s="129"/>
      <c r="T386" s="129"/>
      <c r="U386" s="129"/>
      <c r="V386" s="129"/>
      <c r="W386" s="129"/>
      <c r="X386" s="129"/>
      <c r="Y386" s="129"/>
      <c r="Z386" s="129"/>
      <c r="AA386" s="129"/>
      <c r="AB386" s="129"/>
      <c r="AC386" s="129"/>
      <c r="AD386" s="129"/>
      <c r="AE386" s="129"/>
      <c r="AF386" s="129"/>
      <c r="AG386" s="129"/>
      <c r="AH386" s="129"/>
      <c r="AI386" s="129"/>
    </row>
    <row r="387" spans="13:35" x14ac:dyDescent="0.15">
      <c r="M387" s="129"/>
      <c r="N387" s="129"/>
      <c r="O387" s="129"/>
      <c r="P387" s="129"/>
      <c r="Q387" s="129"/>
      <c r="R387" s="129"/>
      <c r="S387" s="129"/>
      <c r="T387" s="129"/>
      <c r="U387" s="129"/>
      <c r="V387" s="129"/>
      <c r="W387" s="129"/>
      <c r="X387" s="129"/>
      <c r="Y387" s="129"/>
      <c r="Z387" s="129"/>
      <c r="AA387" s="129"/>
      <c r="AB387" s="129"/>
      <c r="AC387" s="129"/>
      <c r="AD387" s="129"/>
      <c r="AE387" s="129"/>
      <c r="AF387" s="129"/>
      <c r="AG387" s="129"/>
      <c r="AH387" s="129"/>
      <c r="AI387" s="129"/>
    </row>
    <row r="388" spans="13:35" x14ac:dyDescent="0.15">
      <c r="M388" s="129"/>
      <c r="N388" s="129"/>
      <c r="O388" s="129"/>
      <c r="P388" s="129"/>
      <c r="Q388" s="129"/>
      <c r="R388" s="129"/>
      <c r="S388" s="129"/>
      <c r="T388" s="129"/>
      <c r="U388" s="129"/>
      <c r="V388" s="129"/>
      <c r="W388" s="129"/>
      <c r="X388" s="129"/>
      <c r="Y388" s="129"/>
      <c r="Z388" s="129"/>
      <c r="AA388" s="129"/>
      <c r="AB388" s="129"/>
      <c r="AC388" s="129"/>
      <c r="AD388" s="129"/>
      <c r="AE388" s="129"/>
      <c r="AF388" s="129"/>
      <c r="AG388" s="129"/>
      <c r="AH388" s="129"/>
      <c r="AI388" s="129"/>
    </row>
    <row r="389" spans="13:35" x14ac:dyDescent="0.15">
      <c r="M389" s="129"/>
      <c r="N389" s="129"/>
      <c r="O389" s="129"/>
      <c r="P389" s="129"/>
      <c r="Q389" s="129"/>
      <c r="R389" s="129"/>
      <c r="S389" s="129"/>
      <c r="T389" s="129"/>
      <c r="U389" s="129"/>
      <c r="V389" s="129"/>
      <c r="W389" s="129"/>
      <c r="X389" s="129"/>
      <c r="Y389" s="129"/>
      <c r="Z389" s="129"/>
      <c r="AA389" s="129"/>
      <c r="AB389" s="129"/>
      <c r="AC389" s="129"/>
      <c r="AD389" s="129"/>
      <c r="AE389" s="129"/>
      <c r="AF389" s="129"/>
      <c r="AG389" s="129"/>
      <c r="AH389" s="129"/>
      <c r="AI389" s="129"/>
    </row>
    <row r="390" spans="13:35" x14ac:dyDescent="0.15">
      <c r="M390" s="129"/>
      <c r="N390" s="129"/>
      <c r="O390" s="129"/>
      <c r="P390" s="129"/>
      <c r="Q390" s="129"/>
      <c r="R390" s="129"/>
      <c r="S390" s="129"/>
      <c r="T390" s="129"/>
      <c r="U390" s="129"/>
      <c r="V390" s="129"/>
      <c r="W390" s="129"/>
      <c r="X390" s="129"/>
      <c r="Y390" s="129"/>
      <c r="Z390" s="129"/>
      <c r="AA390" s="129"/>
      <c r="AB390" s="129"/>
      <c r="AC390" s="129"/>
      <c r="AD390" s="129"/>
      <c r="AE390" s="129"/>
      <c r="AF390" s="129"/>
      <c r="AG390" s="129"/>
      <c r="AH390" s="129"/>
      <c r="AI390" s="129"/>
    </row>
    <row r="391" spans="13:35" x14ac:dyDescent="0.15">
      <c r="M391" s="129"/>
      <c r="N391" s="129"/>
      <c r="O391" s="129"/>
      <c r="P391" s="129"/>
      <c r="Q391" s="129"/>
      <c r="R391" s="129"/>
      <c r="S391" s="129"/>
      <c r="T391" s="129"/>
      <c r="U391" s="129"/>
      <c r="V391" s="129"/>
      <c r="W391" s="129"/>
      <c r="X391" s="129"/>
      <c r="Y391" s="129"/>
      <c r="Z391" s="129"/>
      <c r="AA391" s="129"/>
      <c r="AB391" s="129"/>
      <c r="AC391" s="129"/>
      <c r="AD391" s="129"/>
      <c r="AE391" s="129"/>
      <c r="AF391" s="129"/>
      <c r="AG391" s="129"/>
      <c r="AH391" s="129"/>
      <c r="AI391" s="129"/>
    </row>
    <row r="392" spans="13:35" x14ac:dyDescent="0.15">
      <c r="M392" s="129"/>
      <c r="N392" s="129"/>
      <c r="O392" s="129"/>
      <c r="P392" s="129"/>
      <c r="Q392" s="129"/>
      <c r="R392" s="129"/>
      <c r="S392" s="129"/>
      <c r="T392" s="129"/>
      <c r="U392" s="129"/>
      <c r="V392" s="129"/>
      <c r="W392" s="129"/>
      <c r="X392" s="129"/>
      <c r="Y392" s="129"/>
      <c r="Z392" s="129"/>
      <c r="AA392" s="129"/>
      <c r="AB392" s="129"/>
      <c r="AC392" s="129"/>
      <c r="AD392" s="129"/>
      <c r="AE392" s="129"/>
      <c r="AF392" s="129"/>
      <c r="AG392" s="129"/>
      <c r="AH392" s="129"/>
      <c r="AI392" s="129"/>
    </row>
    <row r="393" spans="13:35" x14ac:dyDescent="0.15">
      <c r="M393" s="129"/>
      <c r="N393" s="129"/>
      <c r="O393" s="129"/>
      <c r="P393" s="129"/>
      <c r="Q393" s="129"/>
      <c r="R393" s="129"/>
      <c r="S393" s="129"/>
      <c r="T393" s="129"/>
      <c r="U393" s="129"/>
      <c r="V393" s="129"/>
      <c r="W393" s="129"/>
      <c r="X393" s="129"/>
      <c r="Y393" s="129"/>
      <c r="Z393" s="129"/>
      <c r="AA393" s="129"/>
      <c r="AB393" s="129"/>
      <c r="AC393" s="129"/>
      <c r="AD393" s="129"/>
      <c r="AE393" s="129"/>
      <c r="AF393" s="129"/>
      <c r="AG393" s="129"/>
      <c r="AH393" s="129"/>
      <c r="AI393" s="129"/>
    </row>
    <row r="394" spans="13:35" x14ac:dyDescent="0.15">
      <c r="M394" s="129"/>
      <c r="N394" s="129"/>
      <c r="O394" s="129"/>
      <c r="P394" s="129"/>
      <c r="Q394" s="129"/>
      <c r="R394" s="129"/>
      <c r="S394" s="129"/>
      <c r="T394" s="129"/>
      <c r="U394" s="129"/>
      <c r="V394" s="129"/>
      <c r="W394" s="129"/>
      <c r="X394" s="129"/>
      <c r="Y394" s="129"/>
      <c r="Z394" s="129"/>
      <c r="AA394" s="129"/>
      <c r="AB394" s="129"/>
      <c r="AC394" s="129"/>
      <c r="AD394" s="129"/>
      <c r="AE394" s="129"/>
      <c r="AF394" s="129"/>
      <c r="AG394" s="129"/>
      <c r="AH394" s="129"/>
      <c r="AI394" s="129"/>
    </row>
    <row r="395" spans="13:35" x14ac:dyDescent="0.15">
      <c r="M395" s="129"/>
      <c r="N395" s="129"/>
      <c r="O395" s="129"/>
      <c r="P395" s="129"/>
      <c r="Q395" s="129"/>
      <c r="R395" s="129"/>
      <c r="S395" s="129"/>
      <c r="T395" s="129"/>
      <c r="U395" s="129"/>
      <c r="V395" s="129"/>
      <c r="W395" s="129"/>
      <c r="X395" s="129"/>
      <c r="Y395" s="129"/>
      <c r="Z395" s="129"/>
      <c r="AA395" s="129"/>
      <c r="AB395" s="129"/>
      <c r="AC395" s="129"/>
      <c r="AD395" s="129"/>
      <c r="AE395" s="129"/>
      <c r="AF395" s="129"/>
      <c r="AG395" s="129"/>
      <c r="AH395" s="129"/>
      <c r="AI395" s="129"/>
    </row>
    <row r="396" spans="13:35" x14ac:dyDescent="0.15">
      <c r="M396" s="129"/>
      <c r="N396" s="129"/>
      <c r="O396" s="129"/>
      <c r="P396" s="129"/>
      <c r="Q396" s="129"/>
      <c r="R396" s="129"/>
      <c r="S396" s="129"/>
      <c r="T396" s="129"/>
      <c r="U396" s="129"/>
      <c r="V396" s="129"/>
      <c r="W396" s="129"/>
      <c r="X396" s="129"/>
      <c r="Y396" s="129"/>
      <c r="Z396" s="129"/>
      <c r="AA396" s="129"/>
      <c r="AB396" s="129"/>
      <c r="AC396" s="129"/>
      <c r="AD396" s="129"/>
      <c r="AE396" s="129"/>
      <c r="AF396" s="129"/>
      <c r="AG396" s="129"/>
      <c r="AH396" s="129"/>
      <c r="AI396" s="129"/>
    </row>
    <row r="397" spans="13:35" x14ac:dyDescent="0.15">
      <c r="M397" s="129"/>
      <c r="N397" s="129"/>
      <c r="O397" s="129"/>
      <c r="P397" s="129"/>
      <c r="Q397" s="129"/>
      <c r="R397" s="129"/>
      <c r="S397" s="129"/>
      <c r="T397" s="129"/>
      <c r="U397" s="129"/>
      <c r="V397" s="129"/>
      <c r="W397" s="129"/>
      <c r="X397" s="129"/>
      <c r="Y397" s="129"/>
      <c r="Z397" s="129"/>
      <c r="AA397" s="129"/>
      <c r="AB397" s="129"/>
      <c r="AC397" s="129"/>
      <c r="AD397" s="129"/>
      <c r="AE397" s="129"/>
      <c r="AF397" s="129"/>
      <c r="AG397" s="129"/>
      <c r="AH397" s="129"/>
      <c r="AI397" s="129"/>
    </row>
    <row r="398" spans="13:35" x14ac:dyDescent="0.15">
      <c r="M398" s="129"/>
      <c r="N398" s="129"/>
      <c r="O398" s="129"/>
      <c r="P398" s="129"/>
      <c r="Q398" s="129"/>
      <c r="R398" s="129"/>
      <c r="S398" s="129"/>
      <c r="T398" s="129"/>
      <c r="U398" s="129"/>
      <c r="V398" s="129"/>
      <c r="W398" s="129"/>
      <c r="X398" s="129"/>
      <c r="Y398" s="129"/>
      <c r="Z398" s="129"/>
      <c r="AA398" s="129"/>
      <c r="AB398" s="129"/>
      <c r="AC398" s="129"/>
      <c r="AD398" s="129"/>
      <c r="AE398" s="129"/>
      <c r="AF398" s="129"/>
      <c r="AG398" s="129"/>
      <c r="AH398" s="129"/>
      <c r="AI398" s="129"/>
    </row>
    <row r="399" spans="13:35" x14ac:dyDescent="0.15">
      <c r="M399" s="129"/>
      <c r="N399" s="129"/>
      <c r="O399" s="129"/>
      <c r="P399" s="129"/>
      <c r="Q399" s="129"/>
      <c r="R399" s="129"/>
      <c r="S399" s="129"/>
      <c r="T399" s="129"/>
      <c r="U399" s="129"/>
      <c r="V399" s="129"/>
      <c r="W399" s="129"/>
      <c r="X399" s="129"/>
      <c r="Y399" s="129"/>
      <c r="Z399" s="129"/>
      <c r="AA399" s="129"/>
      <c r="AB399" s="129"/>
      <c r="AC399" s="129"/>
      <c r="AD399" s="129"/>
      <c r="AE399" s="129"/>
      <c r="AF399" s="129"/>
      <c r="AG399" s="129"/>
      <c r="AH399" s="129"/>
      <c r="AI399" s="129"/>
    </row>
    <row r="400" spans="13:35" x14ac:dyDescent="0.15">
      <c r="M400" s="129"/>
      <c r="N400" s="129"/>
      <c r="O400" s="129"/>
      <c r="P400" s="129"/>
      <c r="Q400" s="129"/>
      <c r="R400" s="129"/>
      <c r="S400" s="129"/>
      <c r="T400" s="129"/>
      <c r="U400" s="129"/>
      <c r="V400" s="129"/>
      <c r="W400" s="129"/>
      <c r="X400" s="129"/>
      <c r="Y400" s="129"/>
      <c r="Z400" s="129"/>
      <c r="AA400" s="129"/>
      <c r="AB400" s="129"/>
      <c r="AC400" s="129"/>
      <c r="AD400" s="129"/>
      <c r="AE400" s="129"/>
      <c r="AF400" s="129"/>
      <c r="AG400" s="129"/>
      <c r="AH400" s="129"/>
      <c r="AI400" s="129"/>
    </row>
    <row r="401" spans="13:35" x14ac:dyDescent="0.15">
      <c r="M401" s="129"/>
      <c r="N401" s="129"/>
      <c r="O401" s="129"/>
      <c r="P401" s="129"/>
      <c r="Q401" s="129"/>
      <c r="R401" s="129"/>
      <c r="S401" s="129"/>
      <c r="T401" s="129"/>
      <c r="U401" s="129"/>
      <c r="V401" s="129"/>
      <c r="W401" s="129"/>
      <c r="X401" s="129"/>
      <c r="Y401" s="129"/>
      <c r="Z401" s="129"/>
      <c r="AA401" s="129"/>
      <c r="AB401" s="129"/>
      <c r="AC401" s="129"/>
      <c r="AD401" s="129"/>
      <c r="AE401" s="129"/>
      <c r="AF401" s="129"/>
      <c r="AG401" s="129"/>
      <c r="AH401" s="129"/>
      <c r="AI401" s="129"/>
    </row>
    <row r="402" spans="13:35" x14ac:dyDescent="0.15">
      <c r="M402" s="129"/>
      <c r="N402" s="129"/>
      <c r="O402" s="129"/>
      <c r="P402" s="129"/>
      <c r="Q402" s="129"/>
      <c r="R402" s="129"/>
      <c r="S402" s="129"/>
      <c r="T402" s="129"/>
      <c r="U402" s="129"/>
      <c r="V402" s="129"/>
      <c r="W402" s="129"/>
      <c r="X402" s="129"/>
      <c r="Y402" s="129"/>
      <c r="Z402" s="129"/>
      <c r="AA402" s="129"/>
      <c r="AB402" s="129"/>
      <c r="AC402" s="129"/>
      <c r="AD402" s="129"/>
      <c r="AE402" s="129"/>
      <c r="AF402" s="129"/>
      <c r="AG402" s="129"/>
      <c r="AH402" s="129"/>
      <c r="AI402" s="129"/>
    </row>
    <row r="403" spans="13:35" x14ac:dyDescent="0.15">
      <c r="M403" s="129"/>
      <c r="N403" s="129"/>
      <c r="O403" s="129"/>
      <c r="P403" s="129"/>
      <c r="Q403" s="129"/>
      <c r="R403" s="129"/>
      <c r="S403" s="129"/>
      <c r="T403" s="129"/>
      <c r="U403" s="129"/>
      <c r="V403" s="129"/>
      <c r="W403" s="129"/>
      <c r="X403" s="129"/>
      <c r="Y403" s="129"/>
      <c r="Z403" s="129"/>
      <c r="AA403" s="129"/>
      <c r="AB403" s="129"/>
      <c r="AC403" s="129"/>
      <c r="AD403" s="129"/>
      <c r="AE403" s="129"/>
      <c r="AF403" s="129"/>
      <c r="AG403" s="129"/>
      <c r="AH403" s="129"/>
      <c r="AI403" s="129"/>
    </row>
    <row r="404" spans="13:35" x14ac:dyDescent="0.15">
      <c r="M404" s="129"/>
      <c r="N404" s="129"/>
      <c r="O404" s="129"/>
      <c r="P404" s="129"/>
      <c r="Q404" s="129"/>
      <c r="R404" s="129"/>
      <c r="S404" s="129"/>
      <c r="T404" s="129"/>
      <c r="U404" s="129"/>
      <c r="V404" s="129"/>
      <c r="W404" s="129"/>
      <c r="X404" s="129"/>
      <c r="Y404" s="129"/>
      <c r="Z404" s="129"/>
      <c r="AA404" s="129"/>
      <c r="AB404" s="129"/>
      <c r="AC404" s="129"/>
      <c r="AD404" s="129"/>
      <c r="AE404" s="129"/>
      <c r="AF404" s="129"/>
      <c r="AG404" s="129"/>
      <c r="AH404" s="129"/>
      <c r="AI404" s="129"/>
    </row>
    <row r="405" spans="13:35" x14ac:dyDescent="0.15">
      <c r="M405" s="129"/>
      <c r="N405" s="129"/>
      <c r="O405" s="129"/>
      <c r="P405" s="129"/>
      <c r="Q405" s="129"/>
      <c r="R405" s="129"/>
      <c r="S405" s="129"/>
      <c r="T405" s="129"/>
      <c r="U405" s="129"/>
      <c r="V405" s="129"/>
      <c r="W405" s="129"/>
      <c r="X405" s="129"/>
      <c r="Y405" s="129"/>
      <c r="Z405" s="129"/>
      <c r="AA405" s="129"/>
      <c r="AB405" s="129"/>
      <c r="AC405" s="129"/>
      <c r="AD405" s="129"/>
      <c r="AE405" s="129"/>
      <c r="AF405" s="129"/>
      <c r="AG405" s="129"/>
      <c r="AH405" s="129"/>
      <c r="AI405" s="129"/>
    </row>
    <row r="406" spans="13:35" x14ac:dyDescent="0.15">
      <c r="M406" s="129"/>
      <c r="N406" s="129"/>
      <c r="O406" s="129"/>
      <c r="P406" s="129"/>
      <c r="Q406" s="129"/>
      <c r="R406" s="129"/>
      <c r="S406" s="129"/>
      <c r="T406" s="129"/>
      <c r="U406" s="129"/>
      <c r="V406" s="129"/>
      <c r="W406" s="129"/>
      <c r="X406" s="129"/>
      <c r="Y406" s="129"/>
      <c r="Z406" s="129"/>
      <c r="AA406" s="129"/>
      <c r="AB406" s="129"/>
      <c r="AC406" s="129"/>
      <c r="AD406" s="129"/>
      <c r="AE406" s="129"/>
      <c r="AF406" s="129"/>
      <c r="AG406" s="129"/>
      <c r="AH406" s="129"/>
      <c r="AI406" s="129"/>
    </row>
    <row r="407" spans="13:35" x14ac:dyDescent="0.15">
      <c r="M407" s="129"/>
      <c r="N407" s="129"/>
      <c r="O407" s="129"/>
      <c r="P407" s="129"/>
      <c r="Q407" s="129"/>
      <c r="R407" s="129"/>
      <c r="S407" s="129"/>
      <c r="T407" s="129"/>
      <c r="U407" s="129"/>
      <c r="V407" s="129"/>
      <c r="W407" s="129"/>
      <c r="X407" s="129"/>
      <c r="Y407" s="129"/>
      <c r="Z407" s="129"/>
      <c r="AA407" s="129"/>
      <c r="AB407" s="129"/>
      <c r="AC407" s="129"/>
      <c r="AD407" s="129"/>
      <c r="AE407" s="129"/>
      <c r="AF407" s="129"/>
      <c r="AG407" s="129"/>
      <c r="AH407" s="129"/>
      <c r="AI407" s="129"/>
    </row>
    <row r="408" spans="13:35" x14ac:dyDescent="0.15">
      <c r="M408" s="129"/>
      <c r="N408" s="129"/>
      <c r="O408" s="129"/>
      <c r="P408" s="129"/>
      <c r="Q408" s="129"/>
      <c r="R408" s="129"/>
      <c r="S408" s="129"/>
      <c r="T408" s="129"/>
      <c r="U408" s="129"/>
      <c r="V408" s="129"/>
      <c r="W408" s="129"/>
      <c r="X408" s="129"/>
      <c r="Y408" s="129"/>
      <c r="Z408" s="129"/>
      <c r="AA408" s="129"/>
      <c r="AB408" s="129"/>
      <c r="AC408" s="129"/>
      <c r="AD408" s="129"/>
      <c r="AE408" s="129"/>
      <c r="AF408" s="129"/>
      <c r="AG408" s="129"/>
      <c r="AH408" s="129"/>
      <c r="AI408" s="129"/>
    </row>
    <row r="409" spans="13:35" x14ac:dyDescent="0.15">
      <c r="M409" s="129"/>
      <c r="N409" s="129"/>
      <c r="O409" s="129"/>
      <c r="P409" s="129"/>
      <c r="Q409" s="129"/>
      <c r="R409" s="129"/>
      <c r="S409" s="129"/>
      <c r="T409" s="129"/>
      <c r="U409" s="129"/>
      <c r="V409" s="129"/>
      <c r="W409" s="129"/>
      <c r="X409" s="129"/>
      <c r="Y409" s="129"/>
      <c r="Z409" s="129"/>
      <c r="AA409" s="129"/>
      <c r="AB409" s="129"/>
      <c r="AC409" s="129"/>
      <c r="AD409" s="129"/>
      <c r="AE409" s="129"/>
      <c r="AF409" s="129"/>
      <c r="AG409" s="129"/>
      <c r="AH409" s="129"/>
      <c r="AI409" s="129"/>
    </row>
    <row r="410" spans="13:35" x14ac:dyDescent="0.15">
      <c r="M410" s="129"/>
      <c r="N410" s="129"/>
      <c r="O410" s="129"/>
      <c r="P410" s="129"/>
      <c r="Q410" s="129"/>
      <c r="R410" s="129"/>
      <c r="S410" s="129"/>
      <c r="T410" s="129"/>
      <c r="U410" s="129"/>
      <c r="V410" s="129"/>
      <c r="W410" s="129"/>
      <c r="X410" s="129"/>
      <c r="Y410" s="129"/>
      <c r="Z410" s="129"/>
      <c r="AA410" s="129"/>
      <c r="AB410" s="129"/>
      <c r="AC410" s="129"/>
      <c r="AD410" s="129"/>
      <c r="AE410" s="129"/>
      <c r="AF410" s="129"/>
      <c r="AG410" s="129"/>
      <c r="AH410" s="129"/>
      <c r="AI410" s="129"/>
    </row>
    <row r="411" spans="13:35" x14ac:dyDescent="0.15">
      <c r="M411" s="129"/>
      <c r="N411" s="129"/>
      <c r="O411" s="129"/>
      <c r="P411" s="129"/>
      <c r="Q411" s="129"/>
      <c r="R411" s="129"/>
      <c r="S411" s="129"/>
      <c r="T411" s="129"/>
      <c r="U411" s="129"/>
      <c r="V411" s="129"/>
      <c r="W411" s="129"/>
      <c r="X411" s="129"/>
      <c r="Y411" s="129"/>
      <c r="Z411" s="129"/>
      <c r="AA411" s="129"/>
      <c r="AB411" s="129"/>
      <c r="AC411" s="129"/>
      <c r="AD411" s="129"/>
      <c r="AE411" s="129"/>
      <c r="AF411" s="129"/>
      <c r="AG411" s="129"/>
      <c r="AH411" s="129"/>
      <c r="AI411" s="129"/>
    </row>
    <row r="412" spans="13:35" x14ac:dyDescent="0.15">
      <c r="M412" s="129"/>
      <c r="N412" s="129"/>
      <c r="O412" s="129"/>
      <c r="P412" s="129"/>
      <c r="Q412" s="129"/>
      <c r="R412" s="129"/>
      <c r="S412" s="129"/>
      <c r="T412" s="129"/>
      <c r="U412" s="129"/>
      <c r="V412" s="129"/>
      <c r="W412" s="129"/>
      <c r="X412" s="129"/>
      <c r="Y412" s="129"/>
      <c r="Z412" s="129"/>
      <c r="AA412" s="129"/>
      <c r="AB412" s="129"/>
      <c r="AC412" s="129"/>
      <c r="AD412" s="129"/>
      <c r="AE412" s="129"/>
      <c r="AF412" s="129"/>
      <c r="AG412" s="129"/>
      <c r="AH412" s="129"/>
      <c r="AI412" s="129"/>
    </row>
    <row r="413" spans="13:35" x14ac:dyDescent="0.15">
      <c r="M413" s="129"/>
      <c r="N413" s="129"/>
      <c r="O413" s="129"/>
      <c r="P413" s="129"/>
      <c r="Q413" s="129"/>
      <c r="R413" s="129"/>
      <c r="S413" s="129"/>
      <c r="T413" s="129"/>
      <c r="U413" s="129"/>
      <c r="V413" s="129"/>
      <c r="W413" s="129"/>
      <c r="X413" s="129"/>
      <c r="Y413" s="129"/>
      <c r="Z413" s="129"/>
      <c r="AA413" s="129"/>
      <c r="AB413" s="129"/>
      <c r="AC413" s="129"/>
      <c r="AD413" s="129"/>
      <c r="AE413" s="129"/>
      <c r="AF413" s="129"/>
      <c r="AG413" s="129"/>
      <c r="AH413" s="129"/>
      <c r="AI413" s="129"/>
    </row>
    <row r="414" spans="13:35" x14ac:dyDescent="0.15">
      <c r="M414" s="129"/>
      <c r="N414" s="129"/>
      <c r="O414" s="129"/>
      <c r="P414" s="129"/>
      <c r="Q414" s="129"/>
      <c r="R414" s="129"/>
      <c r="S414" s="129"/>
      <c r="T414" s="129"/>
      <c r="U414" s="129"/>
      <c r="V414" s="129"/>
      <c r="W414" s="129"/>
      <c r="X414" s="129"/>
      <c r="Y414" s="129"/>
      <c r="Z414" s="129"/>
      <c r="AA414" s="129"/>
      <c r="AB414" s="129"/>
      <c r="AC414" s="129"/>
      <c r="AD414" s="129"/>
      <c r="AE414" s="129"/>
      <c r="AF414" s="129"/>
      <c r="AG414" s="129"/>
      <c r="AH414" s="129"/>
      <c r="AI414" s="129"/>
    </row>
    <row r="415" spans="13:35" x14ac:dyDescent="0.15">
      <c r="M415" s="129"/>
      <c r="N415" s="129"/>
      <c r="O415" s="129"/>
      <c r="P415" s="129"/>
      <c r="Q415" s="129"/>
      <c r="R415" s="129"/>
      <c r="S415" s="129"/>
      <c r="T415" s="129"/>
      <c r="U415" s="129"/>
      <c r="V415" s="129"/>
      <c r="W415" s="129"/>
      <c r="X415" s="129"/>
      <c r="Y415" s="129"/>
      <c r="Z415" s="129"/>
      <c r="AA415" s="129"/>
      <c r="AB415" s="129"/>
      <c r="AC415" s="129"/>
      <c r="AD415" s="129"/>
      <c r="AE415" s="129"/>
      <c r="AF415" s="129"/>
      <c r="AG415" s="129"/>
      <c r="AH415" s="129"/>
      <c r="AI415" s="129"/>
    </row>
    <row r="416" spans="13:35" x14ac:dyDescent="0.15">
      <c r="M416" s="129"/>
      <c r="N416" s="129"/>
      <c r="O416" s="129"/>
      <c r="P416" s="129"/>
      <c r="Q416" s="129"/>
      <c r="R416" s="129"/>
      <c r="S416" s="129"/>
      <c r="T416" s="129"/>
      <c r="U416" s="129"/>
      <c r="V416" s="129"/>
      <c r="W416" s="129"/>
      <c r="X416" s="129"/>
      <c r="Y416" s="129"/>
      <c r="Z416" s="129"/>
      <c r="AA416" s="129"/>
      <c r="AB416" s="129"/>
      <c r="AC416" s="129"/>
      <c r="AD416" s="129"/>
      <c r="AE416" s="129"/>
      <c r="AF416" s="129"/>
      <c r="AG416" s="129"/>
      <c r="AH416" s="129"/>
      <c r="AI416" s="129"/>
    </row>
    <row r="417" spans="13:35" x14ac:dyDescent="0.15">
      <c r="M417" s="129"/>
      <c r="N417" s="129"/>
      <c r="O417" s="129"/>
      <c r="P417" s="129"/>
      <c r="Q417" s="129"/>
      <c r="R417" s="129"/>
      <c r="S417" s="129"/>
      <c r="T417" s="129"/>
      <c r="U417" s="129"/>
      <c r="V417" s="129"/>
      <c r="W417" s="129"/>
      <c r="X417" s="129"/>
      <c r="Y417" s="129"/>
      <c r="Z417" s="129"/>
      <c r="AA417" s="129"/>
      <c r="AB417" s="129"/>
      <c r="AC417" s="129"/>
      <c r="AD417" s="129"/>
      <c r="AE417" s="129"/>
      <c r="AF417" s="129"/>
      <c r="AG417" s="129"/>
      <c r="AH417" s="129"/>
      <c r="AI417" s="129"/>
    </row>
    <row r="418" spans="13:35" x14ac:dyDescent="0.15">
      <c r="M418" s="129"/>
      <c r="N418" s="129"/>
      <c r="O418" s="129"/>
      <c r="P418" s="129"/>
      <c r="Q418" s="129"/>
      <c r="R418" s="129"/>
      <c r="S418" s="129"/>
      <c r="T418" s="129"/>
      <c r="U418" s="129"/>
      <c r="V418" s="129"/>
      <c r="W418" s="129"/>
      <c r="X418" s="129"/>
      <c r="Y418" s="129"/>
      <c r="Z418" s="129"/>
      <c r="AA418" s="129"/>
      <c r="AB418" s="129"/>
      <c r="AC418" s="129"/>
      <c r="AD418" s="129"/>
      <c r="AE418" s="129"/>
      <c r="AF418" s="129"/>
      <c r="AG418" s="129"/>
      <c r="AH418" s="129"/>
      <c r="AI418" s="129"/>
    </row>
    <row r="419" spans="13:35" x14ac:dyDescent="0.15">
      <c r="M419" s="129"/>
      <c r="N419" s="129"/>
      <c r="O419" s="129"/>
      <c r="P419" s="129"/>
      <c r="Q419" s="129"/>
      <c r="R419" s="129"/>
      <c r="S419" s="129"/>
      <c r="T419" s="129"/>
      <c r="U419" s="129"/>
      <c r="V419" s="129"/>
      <c r="W419" s="129"/>
      <c r="X419" s="129"/>
      <c r="Y419" s="129"/>
      <c r="Z419" s="129"/>
      <c r="AA419" s="129"/>
      <c r="AB419" s="129"/>
      <c r="AC419" s="129"/>
      <c r="AD419" s="129"/>
      <c r="AE419" s="129"/>
      <c r="AF419" s="129"/>
      <c r="AG419" s="129"/>
      <c r="AH419" s="129"/>
      <c r="AI419" s="129"/>
    </row>
    <row r="420" spans="13:35" x14ac:dyDescent="0.15">
      <c r="M420" s="129"/>
      <c r="N420" s="129"/>
      <c r="O420" s="129"/>
      <c r="P420" s="129"/>
      <c r="Q420" s="129"/>
      <c r="R420" s="129"/>
      <c r="S420" s="129"/>
      <c r="T420" s="129"/>
      <c r="U420" s="129"/>
      <c r="V420" s="129"/>
      <c r="W420" s="129"/>
      <c r="X420" s="129"/>
      <c r="Y420" s="129"/>
      <c r="Z420" s="129"/>
      <c r="AA420" s="129"/>
      <c r="AB420" s="129"/>
      <c r="AC420" s="129"/>
      <c r="AD420" s="129"/>
      <c r="AE420" s="129"/>
      <c r="AF420" s="129"/>
      <c r="AG420" s="129"/>
      <c r="AH420" s="129"/>
      <c r="AI420" s="129"/>
    </row>
    <row r="421" spans="13:35" x14ac:dyDescent="0.15">
      <c r="M421" s="129"/>
      <c r="N421" s="129"/>
      <c r="O421" s="129"/>
      <c r="P421" s="129"/>
      <c r="Q421" s="129"/>
      <c r="R421" s="129"/>
      <c r="S421" s="129"/>
      <c r="T421" s="129"/>
      <c r="U421" s="129"/>
      <c r="V421" s="129"/>
      <c r="W421" s="129"/>
      <c r="X421" s="129"/>
      <c r="Y421" s="129"/>
      <c r="Z421" s="129"/>
      <c r="AA421" s="129"/>
      <c r="AB421" s="129"/>
      <c r="AC421" s="129"/>
      <c r="AD421" s="129"/>
      <c r="AE421" s="129"/>
      <c r="AF421" s="129"/>
      <c r="AG421" s="129"/>
      <c r="AH421" s="129"/>
      <c r="AI421" s="129"/>
    </row>
    <row r="422" spans="13:35" x14ac:dyDescent="0.15">
      <c r="M422" s="129"/>
      <c r="N422" s="129"/>
      <c r="O422" s="129"/>
      <c r="P422" s="129"/>
      <c r="Q422" s="129"/>
      <c r="R422" s="129"/>
      <c r="S422" s="129"/>
      <c r="T422" s="129"/>
      <c r="U422" s="129"/>
      <c r="V422" s="129"/>
      <c r="W422" s="129"/>
      <c r="X422" s="129"/>
      <c r="Y422" s="129"/>
      <c r="Z422" s="129"/>
      <c r="AA422" s="129"/>
      <c r="AB422" s="129"/>
      <c r="AC422" s="129"/>
      <c r="AD422" s="129"/>
      <c r="AE422" s="129"/>
      <c r="AF422" s="129"/>
      <c r="AG422" s="129"/>
      <c r="AH422" s="129"/>
      <c r="AI422" s="129"/>
    </row>
    <row r="423" spans="13:35" x14ac:dyDescent="0.15">
      <c r="M423" s="129"/>
      <c r="N423" s="129"/>
      <c r="O423" s="129"/>
      <c r="P423" s="129"/>
      <c r="Q423" s="129"/>
      <c r="R423" s="129"/>
      <c r="S423" s="129"/>
      <c r="T423" s="129"/>
      <c r="U423" s="129"/>
      <c r="V423" s="129"/>
      <c r="W423" s="129"/>
      <c r="X423" s="129"/>
      <c r="Y423" s="129"/>
      <c r="Z423" s="129"/>
      <c r="AA423" s="129"/>
      <c r="AB423" s="129"/>
      <c r="AC423" s="129"/>
      <c r="AD423" s="129"/>
      <c r="AE423" s="129"/>
      <c r="AF423" s="129"/>
      <c r="AG423" s="129"/>
      <c r="AH423" s="129"/>
      <c r="AI423" s="129"/>
    </row>
    <row r="424" spans="13:35" x14ac:dyDescent="0.15">
      <c r="M424" s="129"/>
      <c r="N424" s="129"/>
      <c r="O424" s="129"/>
      <c r="P424" s="129"/>
      <c r="Q424" s="129"/>
      <c r="R424" s="129"/>
      <c r="S424" s="129"/>
      <c r="T424" s="129"/>
      <c r="U424" s="129"/>
      <c r="V424" s="129"/>
      <c r="W424" s="129"/>
      <c r="X424" s="129"/>
      <c r="Y424" s="129"/>
      <c r="Z424" s="129"/>
      <c r="AA424" s="129"/>
      <c r="AB424" s="129"/>
      <c r="AC424" s="129"/>
      <c r="AD424" s="129"/>
      <c r="AE424" s="129"/>
      <c r="AF424" s="129"/>
      <c r="AG424" s="129"/>
      <c r="AH424" s="129"/>
      <c r="AI424" s="129"/>
    </row>
    <row r="425" spans="13:35" x14ac:dyDescent="0.15">
      <c r="M425" s="129"/>
      <c r="N425" s="129"/>
      <c r="O425" s="129"/>
      <c r="P425" s="129"/>
      <c r="Q425" s="129"/>
      <c r="R425" s="129"/>
      <c r="S425" s="129"/>
      <c r="T425" s="129"/>
      <c r="U425" s="129"/>
      <c r="V425" s="129"/>
      <c r="W425" s="129"/>
      <c r="X425" s="129"/>
      <c r="Y425" s="129"/>
      <c r="Z425" s="129"/>
      <c r="AA425" s="129"/>
      <c r="AB425" s="129"/>
      <c r="AC425" s="129"/>
      <c r="AD425" s="129"/>
      <c r="AE425" s="129"/>
      <c r="AF425" s="129"/>
      <c r="AG425" s="129"/>
      <c r="AH425" s="129"/>
      <c r="AI425" s="129"/>
    </row>
    <row r="426" spans="13:35" x14ac:dyDescent="0.15">
      <c r="M426" s="129"/>
      <c r="N426" s="129"/>
      <c r="O426" s="129"/>
      <c r="P426" s="129"/>
      <c r="Q426" s="129"/>
      <c r="R426" s="129"/>
      <c r="S426" s="129"/>
      <c r="T426" s="129"/>
      <c r="U426" s="129"/>
      <c r="V426" s="129"/>
      <c r="W426" s="129"/>
      <c r="X426" s="129"/>
      <c r="Y426" s="129"/>
      <c r="Z426" s="129"/>
      <c r="AA426" s="129"/>
      <c r="AB426" s="129"/>
      <c r="AC426" s="129"/>
      <c r="AD426" s="129"/>
      <c r="AE426" s="129"/>
      <c r="AF426" s="129"/>
      <c r="AG426" s="129"/>
      <c r="AH426" s="129"/>
      <c r="AI426" s="129"/>
    </row>
    <row r="427" spans="13:35" x14ac:dyDescent="0.15">
      <c r="M427" s="129"/>
      <c r="N427" s="129"/>
      <c r="O427" s="129"/>
      <c r="P427" s="129"/>
      <c r="Q427" s="129"/>
      <c r="R427" s="129"/>
      <c r="S427" s="129"/>
      <c r="T427" s="129"/>
      <c r="U427" s="129"/>
      <c r="V427" s="129"/>
      <c r="W427" s="129"/>
      <c r="X427" s="129"/>
      <c r="Y427" s="129"/>
      <c r="Z427" s="129"/>
      <c r="AA427" s="129"/>
      <c r="AB427" s="129"/>
      <c r="AC427" s="129"/>
      <c r="AD427" s="129"/>
      <c r="AE427" s="129"/>
      <c r="AF427" s="129"/>
      <c r="AG427" s="129"/>
      <c r="AH427" s="129"/>
      <c r="AI427" s="129"/>
    </row>
    <row r="428" spans="13:35" x14ac:dyDescent="0.15">
      <c r="M428" s="129"/>
      <c r="N428" s="129"/>
      <c r="O428" s="129"/>
      <c r="P428" s="129"/>
      <c r="Q428" s="129"/>
      <c r="R428" s="129"/>
      <c r="S428" s="129"/>
      <c r="T428" s="129"/>
      <c r="U428" s="129"/>
      <c r="V428" s="129"/>
      <c r="W428" s="129"/>
      <c r="X428" s="129"/>
      <c r="Y428" s="129"/>
      <c r="Z428" s="129"/>
      <c r="AA428" s="129"/>
      <c r="AB428" s="129"/>
      <c r="AC428" s="129"/>
      <c r="AD428" s="129"/>
      <c r="AE428" s="129"/>
      <c r="AF428" s="129"/>
      <c r="AG428" s="129"/>
      <c r="AH428" s="129"/>
      <c r="AI428" s="129"/>
    </row>
    <row r="429" spans="13:35" x14ac:dyDescent="0.15">
      <c r="M429" s="129"/>
      <c r="N429" s="129"/>
      <c r="O429" s="129"/>
      <c r="P429" s="129"/>
      <c r="Q429" s="129"/>
      <c r="R429" s="129"/>
      <c r="S429" s="129"/>
      <c r="T429" s="129"/>
      <c r="U429" s="129"/>
      <c r="V429" s="129"/>
      <c r="W429" s="129"/>
      <c r="X429" s="129"/>
      <c r="Y429" s="129"/>
      <c r="Z429" s="129"/>
      <c r="AA429" s="129"/>
      <c r="AB429" s="129"/>
      <c r="AC429" s="129"/>
      <c r="AD429" s="129"/>
      <c r="AE429" s="129"/>
      <c r="AF429" s="129"/>
      <c r="AG429" s="129"/>
      <c r="AH429" s="129"/>
      <c r="AI429" s="129"/>
    </row>
    <row r="430" spans="13:35" x14ac:dyDescent="0.15">
      <c r="M430" s="129"/>
      <c r="N430" s="129"/>
      <c r="O430" s="129"/>
      <c r="P430" s="129"/>
      <c r="Q430" s="129"/>
      <c r="R430" s="129"/>
      <c r="S430" s="129"/>
      <c r="T430" s="129"/>
      <c r="U430" s="129"/>
      <c r="V430" s="129"/>
      <c r="W430" s="129"/>
      <c r="X430" s="129"/>
      <c r="Y430" s="129"/>
      <c r="Z430" s="129"/>
      <c r="AA430" s="129"/>
      <c r="AB430" s="129"/>
      <c r="AC430" s="129"/>
      <c r="AD430" s="129"/>
      <c r="AE430" s="129"/>
      <c r="AF430" s="129"/>
      <c r="AG430" s="129"/>
      <c r="AH430" s="129"/>
      <c r="AI430" s="129"/>
    </row>
    <row r="431" spans="13:35" x14ac:dyDescent="0.15">
      <c r="M431" s="129"/>
      <c r="N431" s="129"/>
      <c r="O431" s="129"/>
      <c r="P431" s="129"/>
      <c r="Q431" s="129"/>
      <c r="R431" s="129"/>
      <c r="S431" s="129"/>
      <c r="T431" s="129"/>
      <c r="U431" s="129"/>
      <c r="V431" s="129"/>
      <c r="W431" s="129"/>
      <c r="X431" s="129"/>
      <c r="Y431" s="129"/>
      <c r="Z431" s="129"/>
      <c r="AA431" s="129"/>
      <c r="AB431" s="129"/>
      <c r="AC431" s="129"/>
      <c r="AD431" s="129"/>
      <c r="AE431" s="129"/>
      <c r="AF431" s="129"/>
      <c r="AG431" s="129"/>
      <c r="AH431" s="129"/>
      <c r="AI431" s="129"/>
    </row>
    <row r="432" spans="13:35" x14ac:dyDescent="0.15">
      <c r="M432" s="129"/>
      <c r="N432" s="129"/>
      <c r="O432" s="129"/>
      <c r="P432" s="129"/>
      <c r="Q432" s="129"/>
      <c r="R432" s="129"/>
      <c r="S432" s="129"/>
      <c r="T432" s="129"/>
      <c r="U432" s="129"/>
      <c r="V432" s="129"/>
      <c r="W432" s="129"/>
      <c r="X432" s="129"/>
      <c r="Y432" s="129"/>
      <c r="Z432" s="129"/>
      <c r="AA432" s="129"/>
      <c r="AB432" s="129"/>
      <c r="AC432" s="129"/>
      <c r="AD432" s="129"/>
      <c r="AE432" s="129"/>
      <c r="AF432" s="129"/>
      <c r="AG432" s="129"/>
      <c r="AH432" s="129"/>
      <c r="AI432" s="129"/>
    </row>
    <row r="433" spans="13:35" x14ac:dyDescent="0.15">
      <c r="M433" s="129"/>
      <c r="N433" s="129"/>
      <c r="O433" s="129"/>
      <c r="P433" s="129"/>
      <c r="Q433" s="129"/>
      <c r="R433" s="129"/>
      <c r="S433" s="129"/>
      <c r="T433" s="129"/>
      <c r="U433" s="129"/>
      <c r="V433" s="129"/>
      <c r="W433" s="129"/>
      <c r="X433" s="129"/>
      <c r="Y433" s="129"/>
      <c r="Z433" s="129"/>
      <c r="AA433" s="129"/>
      <c r="AB433" s="129"/>
      <c r="AC433" s="129"/>
      <c r="AD433" s="129"/>
      <c r="AE433" s="129"/>
      <c r="AF433" s="129"/>
      <c r="AG433" s="129"/>
      <c r="AH433" s="129"/>
      <c r="AI433" s="129"/>
    </row>
    <row r="434" spans="13:35" x14ac:dyDescent="0.15">
      <c r="M434" s="129"/>
      <c r="N434" s="129"/>
      <c r="O434" s="129"/>
      <c r="P434" s="129"/>
      <c r="Q434" s="129"/>
      <c r="R434" s="129"/>
      <c r="S434" s="129"/>
      <c r="T434" s="129"/>
      <c r="U434" s="129"/>
      <c r="V434" s="129"/>
      <c r="W434" s="129"/>
      <c r="X434" s="129"/>
      <c r="Y434" s="129"/>
      <c r="Z434" s="129"/>
      <c r="AA434" s="129"/>
      <c r="AB434" s="129"/>
      <c r="AC434" s="129"/>
      <c r="AD434" s="129"/>
      <c r="AE434" s="129"/>
      <c r="AF434" s="129"/>
      <c r="AG434" s="129"/>
      <c r="AH434" s="129"/>
      <c r="AI434" s="129"/>
    </row>
    <row r="435" spans="13:35" x14ac:dyDescent="0.15">
      <c r="M435" s="129"/>
      <c r="N435" s="129"/>
      <c r="O435" s="129"/>
      <c r="P435" s="129"/>
      <c r="Q435" s="129"/>
      <c r="R435" s="129"/>
      <c r="S435" s="129"/>
      <c r="T435" s="129"/>
      <c r="U435" s="129"/>
      <c r="V435" s="129"/>
      <c r="W435" s="129"/>
      <c r="X435" s="129"/>
      <c r="Y435" s="129"/>
      <c r="Z435" s="129"/>
      <c r="AA435" s="129"/>
      <c r="AB435" s="129"/>
      <c r="AC435" s="129"/>
      <c r="AD435" s="129"/>
      <c r="AE435" s="129"/>
      <c r="AF435" s="129"/>
      <c r="AG435" s="129"/>
      <c r="AH435" s="129"/>
      <c r="AI435" s="129"/>
    </row>
    <row r="436" spans="13:35" x14ac:dyDescent="0.15">
      <c r="M436" s="129"/>
      <c r="N436" s="129"/>
      <c r="O436" s="129"/>
      <c r="P436" s="129"/>
      <c r="Q436" s="129"/>
      <c r="R436" s="129"/>
      <c r="S436" s="129"/>
      <c r="T436" s="129"/>
      <c r="U436" s="129"/>
      <c r="V436" s="129"/>
      <c r="W436" s="129"/>
      <c r="X436" s="129"/>
      <c r="Y436" s="129"/>
      <c r="Z436" s="129"/>
      <c r="AA436" s="129"/>
      <c r="AB436" s="129"/>
      <c r="AC436" s="129"/>
      <c r="AD436" s="129"/>
      <c r="AE436" s="129"/>
      <c r="AF436" s="129"/>
      <c r="AG436" s="129"/>
      <c r="AH436" s="129"/>
      <c r="AI436" s="129"/>
    </row>
    <row r="437" spans="13:35" x14ac:dyDescent="0.15">
      <c r="M437" s="129"/>
      <c r="N437" s="129"/>
      <c r="O437" s="129"/>
      <c r="P437" s="129"/>
      <c r="Q437" s="129"/>
      <c r="R437" s="129"/>
      <c r="S437" s="129"/>
      <c r="T437" s="129"/>
      <c r="U437" s="129"/>
      <c r="V437" s="129"/>
      <c r="W437" s="129"/>
      <c r="X437" s="129"/>
      <c r="Y437" s="129"/>
      <c r="Z437" s="129"/>
      <c r="AA437" s="129"/>
      <c r="AB437" s="129"/>
      <c r="AC437" s="129"/>
      <c r="AD437" s="129"/>
      <c r="AE437" s="129"/>
      <c r="AF437" s="129"/>
      <c r="AG437" s="129"/>
      <c r="AH437" s="129"/>
      <c r="AI437" s="129"/>
    </row>
    <row r="438" spans="13:35" x14ac:dyDescent="0.15">
      <c r="M438" s="129"/>
      <c r="N438" s="129"/>
      <c r="O438" s="129"/>
      <c r="P438" s="129"/>
      <c r="Q438" s="129"/>
      <c r="R438" s="129"/>
      <c r="S438" s="129"/>
      <c r="T438" s="129"/>
      <c r="U438" s="129"/>
      <c r="V438" s="129"/>
      <c r="W438" s="129"/>
      <c r="X438" s="129"/>
      <c r="Y438" s="129"/>
      <c r="Z438" s="129"/>
      <c r="AA438" s="129"/>
      <c r="AB438" s="129"/>
      <c r="AC438" s="129"/>
      <c r="AD438" s="129"/>
      <c r="AE438" s="129"/>
      <c r="AF438" s="129"/>
      <c r="AG438" s="129"/>
      <c r="AH438" s="129"/>
      <c r="AI438" s="129"/>
    </row>
    <row r="439" spans="13:35" x14ac:dyDescent="0.15">
      <c r="M439" s="129"/>
      <c r="N439" s="129"/>
      <c r="O439" s="129"/>
      <c r="P439" s="129"/>
      <c r="Q439" s="129"/>
      <c r="R439" s="129"/>
      <c r="S439" s="129"/>
      <c r="T439" s="129"/>
      <c r="U439" s="129"/>
      <c r="V439" s="129"/>
      <c r="W439" s="129"/>
      <c r="X439" s="129"/>
      <c r="Y439" s="129"/>
      <c r="Z439" s="129"/>
      <c r="AA439" s="129"/>
      <c r="AB439" s="129"/>
      <c r="AC439" s="129"/>
      <c r="AD439" s="129"/>
      <c r="AE439" s="129"/>
      <c r="AF439" s="129"/>
      <c r="AG439" s="129"/>
      <c r="AH439" s="129"/>
      <c r="AI439" s="129"/>
    </row>
    <row r="440" spans="13:35" x14ac:dyDescent="0.15">
      <c r="M440" s="129"/>
      <c r="N440" s="129"/>
      <c r="O440" s="129"/>
      <c r="P440" s="129"/>
      <c r="Q440" s="129"/>
      <c r="R440" s="129"/>
      <c r="S440" s="129"/>
      <c r="T440" s="129"/>
      <c r="U440" s="129"/>
      <c r="V440" s="129"/>
      <c r="W440" s="129"/>
      <c r="X440" s="129"/>
      <c r="Y440" s="129"/>
      <c r="Z440" s="129"/>
      <c r="AA440" s="129"/>
      <c r="AB440" s="129"/>
      <c r="AC440" s="129"/>
      <c r="AD440" s="129"/>
      <c r="AE440" s="129"/>
      <c r="AF440" s="129"/>
      <c r="AG440" s="129"/>
      <c r="AH440" s="129"/>
      <c r="AI440" s="129"/>
    </row>
    <row r="441" spans="13:35" x14ac:dyDescent="0.15">
      <c r="M441" s="129"/>
      <c r="N441" s="129"/>
      <c r="O441" s="129"/>
      <c r="P441" s="129"/>
      <c r="Q441" s="129"/>
      <c r="R441" s="129"/>
      <c r="S441" s="129"/>
      <c r="T441" s="129"/>
      <c r="U441" s="129"/>
      <c r="V441" s="129"/>
      <c r="W441" s="129"/>
      <c r="X441" s="129"/>
      <c r="Y441" s="129"/>
      <c r="Z441" s="129"/>
      <c r="AA441" s="129"/>
      <c r="AB441" s="129"/>
      <c r="AC441" s="129"/>
      <c r="AD441" s="129"/>
      <c r="AE441" s="129"/>
      <c r="AF441" s="129"/>
      <c r="AG441" s="129"/>
      <c r="AH441" s="129"/>
      <c r="AI441" s="129"/>
    </row>
    <row r="442" spans="13:35" x14ac:dyDescent="0.15">
      <c r="M442" s="129"/>
      <c r="N442" s="129"/>
      <c r="O442" s="129"/>
      <c r="P442" s="129"/>
      <c r="Q442" s="129"/>
      <c r="R442" s="129"/>
      <c r="S442" s="129"/>
      <c r="T442" s="129"/>
      <c r="U442" s="129"/>
      <c r="V442" s="129"/>
      <c r="W442" s="129"/>
      <c r="X442" s="129"/>
      <c r="Y442" s="129"/>
      <c r="Z442" s="129"/>
      <c r="AA442" s="129"/>
      <c r="AB442" s="129"/>
      <c r="AC442" s="129"/>
      <c r="AD442" s="129"/>
      <c r="AE442" s="129"/>
      <c r="AF442" s="129"/>
      <c r="AG442" s="129"/>
      <c r="AH442" s="129"/>
      <c r="AI442" s="129"/>
    </row>
    <row r="443" spans="13:35" x14ac:dyDescent="0.15">
      <c r="M443" s="129"/>
      <c r="N443" s="129"/>
      <c r="O443" s="129"/>
      <c r="P443" s="129"/>
      <c r="Q443" s="129"/>
      <c r="R443" s="129"/>
      <c r="S443" s="129"/>
      <c r="T443" s="129"/>
      <c r="U443" s="129"/>
      <c r="V443" s="129"/>
      <c r="W443" s="129"/>
      <c r="X443" s="129"/>
      <c r="Y443" s="129"/>
      <c r="Z443" s="129"/>
      <c r="AA443" s="129"/>
      <c r="AB443" s="129"/>
      <c r="AC443" s="129"/>
      <c r="AD443" s="129"/>
      <c r="AE443" s="129"/>
      <c r="AF443" s="129"/>
      <c r="AG443" s="129"/>
      <c r="AH443" s="129"/>
      <c r="AI443" s="129"/>
    </row>
    <row r="444" spans="13:35" x14ac:dyDescent="0.15">
      <c r="M444" s="129"/>
      <c r="N444" s="129"/>
      <c r="O444" s="129"/>
      <c r="P444" s="129"/>
      <c r="Q444" s="129"/>
      <c r="R444" s="129"/>
      <c r="S444" s="129"/>
      <c r="T444" s="129"/>
      <c r="U444" s="129"/>
      <c r="V444" s="129"/>
      <c r="W444" s="129"/>
      <c r="X444" s="129"/>
      <c r="Y444" s="129"/>
      <c r="Z444" s="129"/>
      <c r="AA444" s="129"/>
      <c r="AB444" s="129"/>
      <c r="AC444" s="129"/>
      <c r="AD444" s="129"/>
      <c r="AE444" s="129"/>
      <c r="AF444" s="129"/>
      <c r="AG444" s="129"/>
      <c r="AH444" s="129"/>
      <c r="AI444" s="129"/>
    </row>
    <row r="445" spans="13:35" x14ac:dyDescent="0.15">
      <c r="M445" s="129"/>
      <c r="N445" s="129"/>
      <c r="O445" s="129"/>
      <c r="P445" s="129"/>
      <c r="Q445" s="129"/>
      <c r="R445" s="129"/>
      <c r="S445" s="129"/>
      <c r="T445" s="129"/>
      <c r="U445" s="129"/>
      <c r="V445" s="129"/>
      <c r="W445" s="129"/>
      <c r="X445" s="129"/>
      <c r="Y445" s="129"/>
      <c r="Z445" s="129"/>
      <c r="AA445" s="129"/>
      <c r="AB445" s="129"/>
      <c r="AC445" s="129"/>
      <c r="AD445" s="129"/>
      <c r="AE445" s="129"/>
      <c r="AF445" s="129"/>
      <c r="AG445" s="129"/>
      <c r="AH445" s="129"/>
      <c r="AI445" s="129"/>
    </row>
    <row r="446" spans="13:35" x14ac:dyDescent="0.15">
      <c r="M446" s="129"/>
      <c r="N446" s="129"/>
      <c r="O446" s="129"/>
      <c r="P446" s="129"/>
      <c r="Q446" s="129"/>
      <c r="R446" s="129"/>
      <c r="S446" s="129"/>
      <c r="T446" s="129"/>
      <c r="U446" s="129"/>
      <c r="V446" s="129"/>
      <c r="W446" s="129"/>
      <c r="X446" s="129"/>
      <c r="Y446" s="129"/>
      <c r="Z446" s="129"/>
      <c r="AA446" s="129"/>
      <c r="AB446" s="129"/>
      <c r="AC446" s="129"/>
      <c r="AD446" s="129"/>
      <c r="AE446" s="129"/>
      <c r="AF446" s="129"/>
      <c r="AG446" s="129"/>
      <c r="AH446" s="129"/>
      <c r="AI446" s="129"/>
    </row>
    <row r="447" spans="13:35" x14ac:dyDescent="0.15">
      <c r="M447" s="129"/>
      <c r="N447" s="129"/>
      <c r="O447" s="129"/>
      <c r="P447" s="129"/>
      <c r="Q447" s="129"/>
      <c r="R447" s="129"/>
      <c r="S447" s="129"/>
      <c r="T447" s="129"/>
      <c r="U447" s="129"/>
      <c r="V447" s="129"/>
      <c r="W447" s="129"/>
      <c r="X447" s="129"/>
      <c r="Y447" s="129"/>
      <c r="Z447" s="129"/>
      <c r="AA447" s="129"/>
      <c r="AB447" s="129"/>
      <c r="AC447" s="129"/>
      <c r="AD447" s="129"/>
      <c r="AE447" s="129"/>
      <c r="AF447" s="129"/>
      <c r="AG447" s="129"/>
      <c r="AH447" s="129"/>
      <c r="AI447" s="129"/>
    </row>
    <row r="448" spans="13:35" x14ac:dyDescent="0.15">
      <c r="M448" s="129"/>
      <c r="N448" s="129"/>
      <c r="O448" s="129"/>
      <c r="P448" s="129"/>
      <c r="Q448" s="129"/>
      <c r="R448" s="129"/>
      <c r="S448" s="129"/>
      <c r="T448" s="129"/>
      <c r="U448" s="129"/>
      <c r="V448" s="129"/>
      <c r="W448" s="129"/>
      <c r="X448" s="129"/>
      <c r="Y448" s="129"/>
      <c r="Z448" s="129"/>
      <c r="AA448" s="129"/>
      <c r="AB448" s="129"/>
      <c r="AC448" s="129"/>
      <c r="AD448" s="129"/>
      <c r="AE448" s="129"/>
      <c r="AF448" s="129"/>
      <c r="AG448" s="129"/>
      <c r="AH448" s="129"/>
      <c r="AI448" s="129"/>
    </row>
    <row r="449" spans="13:35" x14ac:dyDescent="0.15">
      <c r="M449" s="129"/>
      <c r="N449" s="129"/>
      <c r="O449" s="129"/>
      <c r="P449" s="129"/>
      <c r="Q449" s="129"/>
      <c r="R449" s="129"/>
      <c r="S449" s="129"/>
      <c r="T449" s="129"/>
      <c r="U449" s="129"/>
      <c r="V449" s="129"/>
      <c r="W449" s="129"/>
      <c r="X449" s="129"/>
      <c r="Y449" s="129"/>
      <c r="Z449" s="129"/>
      <c r="AA449" s="129"/>
      <c r="AB449" s="129"/>
      <c r="AC449" s="129"/>
      <c r="AD449" s="129"/>
      <c r="AE449" s="129"/>
      <c r="AF449" s="129"/>
      <c r="AG449" s="129"/>
      <c r="AH449" s="129"/>
      <c r="AI449" s="129"/>
    </row>
    <row r="450" spans="13:35" x14ac:dyDescent="0.15">
      <c r="M450" s="129"/>
      <c r="N450" s="129"/>
      <c r="O450" s="129"/>
      <c r="P450" s="129"/>
      <c r="Q450" s="129"/>
      <c r="R450" s="129"/>
      <c r="S450" s="129"/>
      <c r="T450" s="129"/>
      <c r="U450" s="129"/>
      <c r="V450" s="129"/>
      <c r="W450" s="129"/>
      <c r="X450" s="129"/>
      <c r="Y450" s="129"/>
      <c r="Z450" s="129"/>
      <c r="AA450" s="129"/>
      <c r="AB450" s="129"/>
      <c r="AC450" s="129"/>
      <c r="AD450" s="129"/>
      <c r="AE450" s="129"/>
      <c r="AF450" s="129"/>
      <c r="AG450" s="129"/>
      <c r="AH450" s="129"/>
      <c r="AI450" s="129"/>
    </row>
    <row r="451" spans="13:35" x14ac:dyDescent="0.15">
      <c r="M451" s="129"/>
      <c r="N451" s="129"/>
      <c r="O451" s="129"/>
      <c r="P451" s="129"/>
      <c r="Q451" s="129"/>
      <c r="R451" s="129"/>
      <c r="S451" s="129"/>
      <c r="T451" s="129"/>
      <c r="U451" s="129"/>
      <c r="V451" s="129"/>
      <c r="W451" s="129"/>
      <c r="X451" s="129"/>
      <c r="Y451" s="129"/>
      <c r="Z451" s="129"/>
      <c r="AA451" s="129"/>
      <c r="AB451" s="129"/>
      <c r="AC451" s="129"/>
      <c r="AD451" s="129"/>
      <c r="AE451" s="129"/>
      <c r="AF451" s="129"/>
      <c r="AG451" s="129"/>
      <c r="AH451" s="129"/>
      <c r="AI451" s="129"/>
    </row>
    <row r="452" spans="13:35" x14ac:dyDescent="0.15">
      <c r="M452" s="129"/>
      <c r="N452" s="129"/>
      <c r="O452" s="129"/>
      <c r="P452" s="129"/>
      <c r="Q452" s="129"/>
      <c r="R452" s="129"/>
      <c r="S452" s="129"/>
      <c r="T452" s="129"/>
      <c r="U452" s="129"/>
      <c r="V452" s="129"/>
      <c r="W452" s="129"/>
      <c r="X452" s="129"/>
      <c r="Y452" s="129"/>
      <c r="Z452" s="129"/>
      <c r="AA452" s="129"/>
      <c r="AB452" s="129"/>
      <c r="AC452" s="129"/>
      <c r="AD452" s="129"/>
      <c r="AE452" s="129"/>
      <c r="AF452" s="129"/>
      <c r="AG452" s="129"/>
      <c r="AH452" s="129"/>
      <c r="AI452" s="129"/>
    </row>
    <row r="453" spans="13:35" x14ac:dyDescent="0.15">
      <c r="M453" s="129"/>
      <c r="N453" s="129"/>
      <c r="O453" s="129"/>
      <c r="P453" s="129"/>
      <c r="Q453" s="129"/>
      <c r="R453" s="129"/>
      <c r="S453" s="129"/>
      <c r="T453" s="129"/>
      <c r="U453" s="129"/>
      <c r="V453" s="129"/>
      <c r="W453" s="129"/>
      <c r="X453" s="129"/>
      <c r="Y453" s="129"/>
      <c r="Z453" s="129"/>
      <c r="AA453" s="129"/>
      <c r="AB453" s="129"/>
      <c r="AC453" s="129"/>
      <c r="AD453" s="129"/>
      <c r="AE453" s="129"/>
      <c r="AF453" s="129"/>
      <c r="AG453" s="129"/>
      <c r="AH453" s="129"/>
      <c r="AI453" s="129"/>
    </row>
    <row r="454" spans="13:35" x14ac:dyDescent="0.15">
      <c r="M454" s="129"/>
      <c r="N454" s="129"/>
      <c r="O454" s="129"/>
      <c r="P454" s="129"/>
      <c r="Q454" s="129"/>
      <c r="R454" s="129"/>
      <c r="S454" s="129"/>
      <c r="T454" s="129"/>
      <c r="U454" s="129"/>
      <c r="V454" s="129"/>
      <c r="W454" s="129"/>
      <c r="X454" s="129"/>
      <c r="Y454" s="129"/>
      <c r="Z454" s="129"/>
      <c r="AA454" s="129"/>
      <c r="AB454" s="129"/>
      <c r="AC454" s="129"/>
      <c r="AD454" s="129"/>
      <c r="AE454" s="129"/>
      <c r="AF454" s="129"/>
      <c r="AG454" s="129"/>
      <c r="AH454" s="129"/>
      <c r="AI454" s="129"/>
    </row>
    <row r="455" spans="13:35" x14ac:dyDescent="0.15">
      <c r="M455" s="129"/>
      <c r="N455" s="129"/>
      <c r="O455" s="129"/>
      <c r="P455" s="129"/>
      <c r="Q455" s="129"/>
      <c r="R455" s="129"/>
      <c r="S455" s="129"/>
      <c r="T455" s="129"/>
      <c r="U455" s="129"/>
      <c r="V455" s="129"/>
      <c r="W455" s="129"/>
      <c r="X455" s="129"/>
      <c r="Y455" s="129"/>
      <c r="Z455" s="129"/>
      <c r="AA455" s="129"/>
      <c r="AB455" s="129"/>
      <c r="AC455" s="129"/>
      <c r="AD455" s="129"/>
      <c r="AE455" s="129"/>
      <c r="AF455" s="129"/>
      <c r="AG455" s="129"/>
      <c r="AH455" s="129"/>
      <c r="AI455" s="129"/>
    </row>
    <row r="456" spans="13:35" x14ac:dyDescent="0.15">
      <c r="M456" s="129"/>
      <c r="N456" s="129"/>
      <c r="O456" s="129"/>
      <c r="P456" s="129"/>
      <c r="Q456" s="129"/>
      <c r="R456" s="129"/>
      <c r="S456" s="129"/>
      <c r="T456" s="129"/>
      <c r="U456" s="129"/>
      <c r="V456" s="129"/>
      <c r="W456" s="129"/>
      <c r="X456" s="129"/>
      <c r="Y456" s="129"/>
      <c r="Z456" s="129"/>
      <c r="AA456" s="129"/>
      <c r="AB456" s="129"/>
      <c r="AC456" s="129"/>
      <c r="AD456" s="129"/>
      <c r="AE456" s="129"/>
      <c r="AF456" s="129"/>
      <c r="AG456" s="129"/>
      <c r="AH456" s="129"/>
      <c r="AI456" s="129"/>
    </row>
    <row r="457" spans="13:35" x14ac:dyDescent="0.15">
      <c r="M457" s="129"/>
      <c r="N457" s="129"/>
      <c r="O457" s="129"/>
      <c r="P457" s="129"/>
      <c r="Q457" s="129"/>
      <c r="R457" s="129"/>
      <c r="S457" s="129"/>
      <c r="T457" s="129"/>
      <c r="U457" s="129"/>
      <c r="V457" s="129"/>
      <c r="W457" s="129"/>
      <c r="X457" s="129"/>
      <c r="Y457" s="129"/>
      <c r="Z457" s="129"/>
      <c r="AA457" s="129"/>
      <c r="AB457" s="129"/>
      <c r="AC457" s="129"/>
      <c r="AD457" s="129"/>
      <c r="AE457" s="129"/>
      <c r="AF457" s="129"/>
      <c r="AG457" s="129"/>
      <c r="AH457" s="129"/>
      <c r="AI457" s="129"/>
    </row>
    <row r="458" spans="13:35" x14ac:dyDescent="0.15">
      <c r="M458" s="129"/>
      <c r="N458" s="129"/>
      <c r="O458" s="129"/>
      <c r="P458" s="129"/>
      <c r="Q458" s="129"/>
      <c r="R458" s="129"/>
      <c r="S458" s="129"/>
      <c r="T458" s="129"/>
      <c r="U458" s="129"/>
      <c r="V458" s="129"/>
      <c r="W458" s="129"/>
      <c r="X458" s="129"/>
      <c r="Y458" s="129"/>
      <c r="Z458" s="129"/>
      <c r="AA458" s="129"/>
      <c r="AB458" s="129"/>
      <c r="AC458" s="129"/>
      <c r="AD458" s="129"/>
      <c r="AE458" s="129"/>
      <c r="AF458" s="129"/>
      <c r="AG458" s="129"/>
      <c r="AH458" s="129"/>
      <c r="AI458" s="129"/>
    </row>
    <row r="459" spans="13:35" x14ac:dyDescent="0.15">
      <c r="M459" s="129"/>
      <c r="N459" s="129"/>
      <c r="O459" s="129"/>
      <c r="P459" s="129"/>
      <c r="Q459" s="129"/>
      <c r="R459" s="129"/>
      <c r="S459" s="129"/>
      <c r="T459" s="129"/>
      <c r="U459" s="129"/>
      <c r="V459" s="129"/>
      <c r="W459" s="129"/>
      <c r="X459" s="129"/>
      <c r="Y459" s="129"/>
      <c r="Z459" s="129"/>
      <c r="AA459" s="129"/>
      <c r="AB459" s="129"/>
      <c r="AC459" s="129"/>
      <c r="AD459" s="129"/>
      <c r="AE459" s="129"/>
      <c r="AF459" s="129"/>
      <c r="AG459" s="129"/>
      <c r="AH459" s="129"/>
      <c r="AI459" s="129"/>
    </row>
    <row r="460" spans="13:35" x14ac:dyDescent="0.15">
      <c r="M460" s="129"/>
      <c r="N460" s="129"/>
      <c r="O460" s="129"/>
      <c r="P460" s="129"/>
      <c r="Q460" s="129"/>
      <c r="R460" s="129"/>
      <c r="S460" s="129"/>
      <c r="T460" s="129"/>
      <c r="U460" s="129"/>
      <c r="V460" s="129"/>
      <c r="W460" s="129"/>
      <c r="X460" s="129"/>
      <c r="Y460" s="129"/>
      <c r="Z460" s="129"/>
      <c r="AA460" s="129"/>
      <c r="AB460" s="129"/>
      <c r="AC460" s="129"/>
      <c r="AD460" s="129"/>
      <c r="AE460" s="129"/>
      <c r="AF460" s="129"/>
      <c r="AG460" s="129"/>
      <c r="AH460" s="129"/>
      <c r="AI460" s="129"/>
    </row>
    <row r="461" spans="13:35" x14ac:dyDescent="0.15">
      <c r="M461" s="129"/>
      <c r="N461" s="129"/>
      <c r="O461" s="129"/>
      <c r="P461" s="129"/>
      <c r="Q461" s="129"/>
      <c r="R461" s="129"/>
      <c r="S461" s="129"/>
      <c r="T461" s="129"/>
      <c r="U461" s="129"/>
      <c r="V461" s="129"/>
      <c r="W461" s="129"/>
      <c r="X461" s="129"/>
      <c r="Y461" s="129"/>
      <c r="Z461" s="129"/>
      <c r="AA461" s="129"/>
      <c r="AB461" s="129"/>
      <c r="AC461" s="129"/>
      <c r="AD461" s="129"/>
      <c r="AE461" s="129"/>
      <c r="AF461" s="129"/>
      <c r="AG461" s="129"/>
      <c r="AH461" s="129"/>
      <c r="AI461" s="129"/>
    </row>
    <row r="462" spans="13:35" x14ac:dyDescent="0.15">
      <c r="M462" s="129"/>
      <c r="N462" s="129"/>
      <c r="O462" s="129"/>
      <c r="P462" s="129"/>
      <c r="Q462" s="129"/>
      <c r="R462" s="129"/>
      <c r="S462" s="129"/>
      <c r="T462" s="129"/>
      <c r="U462" s="129"/>
      <c r="V462" s="129"/>
      <c r="W462" s="129"/>
      <c r="X462" s="129"/>
      <c r="Y462" s="129"/>
      <c r="Z462" s="129"/>
      <c r="AA462" s="129"/>
      <c r="AB462" s="129"/>
      <c r="AC462" s="129"/>
      <c r="AD462" s="129"/>
      <c r="AE462" s="129"/>
      <c r="AF462" s="129"/>
      <c r="AG462" s="129"/>
      <c r="AH462" s="129"/>
      <c r="AI462" s="129"/>
    </row>
    <row r="463" spans="13:35" x14ac:dyDescent="0.15">
      <c r="M463" s="129"/>
      <c r="N463" s="129"/>
      <c r="O463" s="129"/>
      <c r="P463" s="129"/>
      <c r="Q463" s="129"/>
      <c r="R463" s="129"/>
      <c r="S463" s="129"/>
      <c r="T463" s="129"/>
      <c r="U463" s="129"/>
      <c r="V463" s="129"/>
      <c r="W463" s="129"/>
      <c r="X463" s="129"/>
      <c r="Y463" s="129"/>
      <c r="Z463" s="129"/>
      <c r="AA463" s="129"/>
      <c r="AB463" s="129"/>
      <c r="AC463" s="129"/>
      <c r="AD463" s="129"/>
      <c r="AE463" s="129"/>
      <c r="AF463" s="129"/>
      <c r="AG463" s="129"/>
      <c r="AH463" s="129"/>
      <c r="AI463" s="129"/>
    </row>
    <row r="464" spans="13:35" x14ac:dyDescent="0.15">
      <c r="M464" s="129"/>
      <c r="N464" s="129"/>
      <c r="O464" s="129"/>
      <c r="P464" s="129"/>
      <c r="Q464" s="129"/>
      <c r="R464" s="129"/>
      <c r="S464" s="129"/>
      <c r="T464" s="129"/>
      <c r="U464" s="129"/>
      <c r="V464" s="129"/>
      <c r="W464" s="129"/>
      <c r="X464" s="129"/>
      <c r="Y464" s="129"/>
      <c r="Z464" s="129"/>
      <c r="AA464" s="129"/>
      <c r="AB464" s="129"/>
      <c r="AC464" s="129"/>
      <c r="AD464" s="129"/>
      <c r="AE464" s="129"/>
      <c r="AF464" s="129"/>
      <c r="AG464" s="129"/>
      <c r="AH464" s="129"/>
      <c r="AI464" s="129"/>
    </row>
    <row r="465" spans="13:35" x14ac:dyDescent="0.15">
      <c r="M465" s="129"/>
      <c r="N465" s="129"/>
      <c r="O465" s="129"/>
      <c r="P465" s="129"/>
      <c r="Q465" s="129"/>
      <c r="R465" s="129"/>
      <c r="S465" s="129"/>
      <c r="T465" s="129"/>
      <c r="U465" s="129"/>
      <c r="V465" s="129"/>
      <c r="W465" s="129"/>
      <c r="X465" s="129"/>
      <c r="Y465" s="129"/>
      <c r="Z465" s="129"/>
      <c r="AA465" s="129"/>
      <c r="AB465" s="129"/>
      <c r="AC465" s="129"/>
      <c r="AD465" s="129"/>
      <c r="AE465" s="129"/>
      <c r="AF465" s="129"/>
      <c r="AG465" s="129"/>
      <c r="AH465" s="129"/>
      <c r="AI465" s="129"/>
    </row>
    <row r="466" spans="13:35" x14ac:dyDescent="0.15">
      <c r="M466" s="129"/>
      <c r="N466" s="129"/>
      <c r="O466" s="129"/>
      <c r="P466" s="129"/>
      <c r="Q466" s="129"/>
      <c r="R466" s="129"/>
      <c r="S466" s="129"/>
      <c r="T466" s="129"/>
      <c r="U466" s="129"/>
      <c r="V466" s="129"/>
      <c r="W466" s="129"/>
      <c r="X466" s="129"/>
      <c r="Y466" s="129"/>
      <c r="Z466" s="129"/>
      <c r="AA466" s="129"/>
      <c r="AB466" s="129"/>
      <c r="AC466" s="129"/>
      <c r="AD466" s="129"/>
      <c r="AE466" s="129"/>
      <c r="AF466" s="129"/>
      <c r="AG466" s="129"/>
      <c r="AH466" s="129"/>
      <c r="AI466" s="129"/>
    </row>
    <row r="467" spans="13:35" x14ac:dyDescent="0.15">
      <c r="M467" s="129"/>
      <c r="N467" s="129"/>
      <c r="O467" s="129"/>
      <c r="P467" s="129"/>
      <c r="Q467" s="129"/>
      <c r="R467" s="129"/>
      <c r="S467" s="129"/>
      <c r="T467" s="129"/>
      <c r="U467" s="129"/>
      <c r="V467" s="129"/>
      <c r="W467" s="129"/>
      <c r="X467" s="129"/>
      <c r="Y467" s="129"/>
      <c r="Z467" s="129"/>
      <c r="AA467" s="129"/>
      <c r="AB467" s="129"/>
      <c r="AC467" s="129"/>
      <c r="AD467" s="129"/>
      <c r="AE467" s="129"/>
      <c r="AF467" s="129"/>
      <c r="AG467" s="129"/>
      <c r="AH467" s="129"/>
      <c r="AI467" s="129"/>
    </row>
    <row r="468" spans="13:35" x14ac:dyDescent="0.15">
      <c r="M468" s="129"/>
      <c r="N468" s="129"/>
      <c r="O468" s="129"/>
      <c r="P468" s="129"/>
      <c r="Q468" s="129"/>
      <c r="R468" s="129"/>
      <c r="S468" s="129"/>
      <c r="T468" s="129"/>
      <c r="U468" s="129"/>
      <c r="V468" s="129"/>
      <c r="W468" s="129"/>
      <c r="X468" s="129"/>
      <c r="Y468" s="129"/>
      <c r="Z468" s="129"/>
      <c r="AA468" s="129"/>
      <c r="AB468" s="129"/>
      <c r="AC468" s="129"/>
      <c r="AD468" s="129"/>
      <c r="AE468" s="129"/>
      <c r="AF468" s="129"/>
      <c r="AG468" s="129"/>
      <c r="AH468" s="129"/>
      <c r="AI468" s="129"/>
    </row>
    <row r="469" spans="13:35" x14ac:dyDescent="0.15">
      <c r="M469" s="129"/>
      <c r="N469" s="129"/>
      <c r="O469" s="129"/>
      <c r="P469" s="129"/>
      <c r="Q469" s="129"/>
      <c r="R469" s="129"/>
      <c r="S469" s="129"/>
      <c r="T469" s="129"/>
      <c r="U469" s="129"/>
      <c r="V469" s="129"/>
      <c r="W469" s="129"/>
      <c r="X469" s="129"/>
      <c r="Y469" s="129"/>
      <c r="Z469" s="129"/>
      <c r="AA469" s="129"/>
      <c r="AB469" s="129"/>
      <c r="AC469" s="129"/>
      <c r="AD469" s="129"/>
      <c r="AE469" s="129"/>
      <c r="AF469" s="129"/>
      <c r="AG469" s="129"/>
      <c r="AH469" s="129"/>
      <c r="AI469" s="129"/>
    </row>
    <row r="470" spans="13:35" x14ac:dyDescent="0.15">
      <c r="M470" s="129"/>
      <c r="N470" s="129"/>
      <c r="O470" s="129"/>
      <c r="P470" s="129"/>
      <c r="Q470" s="129"/>
      <c r="R470" s="129"/>
      <c r="S470" s="129"/>
      <c r="T470" s="129"/>
      <c r="U470" s="129"/>
      <c r="V470" s="129"/>
      <c r="W470" s="129"/>
      <c r="X470" s="129"/>
      <c r="Y470" s="129"/>
      <c r="Z470" s="129"/>
      <c r="AA470" s="129"/>
      <c r="AB470" s="129"/>
      <c r="AC470" s="129"/>
      <c r="AD470" s="129"/>
      <c r="AE470" s="129"/>
      <c r="AF470" s="129"/>
      <c r="AG470" s="129"/>
      <c r="AH470" s="129"/>
      <c r="AI470" s="129"/>
    </row>
    <row r="471" spans="13:35" x14ac:dyDescent="0.15">
      <c r="M471" s="129"/>
      <c r="N471" s="129"/>
      <c r="O471" s="129"/>
      <c r="P471" s="129"/>
      <c r="Q471" s="129"/>
      <c r="R471" s="129"/>
      <c r="S471" s="129"/>
      <c r="T471" s="129"/>
      <c r="U471" s="129"/>
      <c r="V471" s="129"/>
      <c r="W471" s="129"/>
      <c r="X471" s="129"/>
      <c r="Y471" s="129"/>
      <c r="Z471" s="129"/>
      <c r="AA471" s="129"/>
      <c r="AB471" s="129"/>
      <c r="AC471" s="129"/>
      <c r="AD471" s="129"/>
      <c r="AE471" s="129"/>
      <c r="AF471" s="129"/>
      <c r="AG471" s="129"/>
      <c r="AH471" s="129"/>
      <c r="AI471" s="129"/>
    </row>
    <row r="472" spans="13:35" x14ac:dyDescent="0.15">
      <c r="M472" s="129"/>
      <c r="N472" s="129"/>
      <c r="O472" s="129"/>
      <c r="P472" s="129"/>
      <c r="Q472" s="129"/>
      <c r="R472" s="129"/>
      <c r="S472" s="129"/>
      <c r="T472" s="129"/>
      <c r="U472" s="129"/>
      <c r="V472" s="129"/>
      <c r="W472" s="129"/>
      <c r="X472" s="129"/>
      <c r="Y472" s="129"/>
      <c r="Z472" s="129"/>
      <c r="AA472" s="129"/>
      <c r="AB472" s="129"/>
      <c r="AC472" s="129"/>
      <c r="AD472" s="129"/>
      <c r="AE472" s="129"/>
      <c r="AF472" s="129"/>
      <c r="AG472" s="129"/>
      <c r="AH472" s="129"/>
      <c r="AI472" s="129"/>
    </row>
    <row r="473" spans="13:35" x14ac:dyDescent="0.15">
      <c r="M473" s="129"/>
      <c r="N473" s="129"/>
      <c r="O473" s="129"/>
      <c r="P473" s="129"/>
      <c r="Q473" s="129"/>
      <c r="R473" s="129"/>
      <c r="S473" s="129"/>
      <c r="T473" s="129"/>
      <c r="U473" s="129"/>
      <c r="V473" s="129"/>
      <c r="W473" s="129"/>
      <c r="X473" s="129"/>
      <c r="Y473" s="129"/>
      <c r="Z473" s="129"/>
      <c r="AA473" s="129"/>
      <c r="AB473" s="129"/>
      <c r="AC473" s="129"/>
      <c r="AD473" s="129"/>
      <c r="AE473" s="129"/>
      <c r="AF473" s="129"/>
      <c r="AG473" s="129"/>
      <c r="AH473" s="129"/>
      <c r="AI473" s="129"/>
    </row>
    <row r="474" spans="13:35" x14ac:dyDescent="0.15">
      <c r="M474" s="129"/>
      <c r="N474" s="129"/>
      <c r="O474" s="129"/>
      <c r="P474" s="129"/>
      <c r="Q474" s="129"/>
      <c r="R474" s="129"/>
      <c r="S474" s="129"/>
      <c r="T474" s="129"/>
      <c r="U474" s="129"/>
      <c r="V474" s="129"/>
      <c r="W474" s="129"/>
      <c r="X474" s="129"/>
      <c r="Y474" s="129"/>
      <c r="Z474" s="129"/>
      <c r="AA474" s="129"/>
      <c r="AB474" s="129"/>
      <c r="AC474" s="129"/>
      <c r="AD474" s="129"/>
      <c r="AE474" s="129"/>
      <c r="AF474" s="129"/>
      <c r="AG474" s="129"/>
      <c r="AH474" s="129"/>
      <c r="AI474" s="129"/>
    </row>
    <row r="475" spans="13:35" x14ac:dyDescent="0.15">
      <c r="M475" s="129"/>
      <c r="N475" s="129"/>
      <c r="O475" s="129"/>
      <c r="P475" s="129"/>
      <c r="Q475" s="129"/>
      <c r="R475" s="129"/>
      <c r="S475" s="129"/>
      <c r="T475" s="129"/>
      <c r="U475" s="129"/>
      <c r="V475" s="129"/>
      <c r="W475" s="129"/>
      <c r="X475" s="129"/>
      <c r="Y475" s="129"/>
      <c r="Z475" s="129"/>
      <c r="AA475" s="129"/>
      <c r="AB475" s="129"/>
      <c r="AC475" s="129"/>
      <c r="AD475" s="129"/>
      <c r="AE475" s="129"/>
      <c r="AF475" s="129"/>
      <c r="AG475" s="129"/>
      <c r="AH475" s="129"/>
      <c r="AI475" s="129"/>
    </row>
    <row r="476" spans="13:35" x14ac:dyDescent="0.15">
      <c r="M476" s="129"/>
      <c r="N476" s="129"/>
      <c r="O476" s="129"/>
      <c r="P476" s="129"/>
      <c r="Q476" s="129"/>
      <c r="R476" s="129"/>
      <c r="S476" s="129"/>
      <c r="T476" s="129"/>
      <c r="U476" s="129"/>
      <c r="V476" s="129"/>
      <c r="W476" s="129"/>
      <c r="X476" s="129"/>
      <c r="Y476" s="129"/>
      <c r="Z476" s="129"/>
      <c r="AA476" s="129"/>
      <c r="AB476" s="129"/>
      <c r="AC476" s="129"/>
      <c r="AD476" s="129"/>
      <c r="AE476" s="129"/>
      <c r="AF476" s="129"/>
      <c r="AG476" s="129"/>
      <c r="AH476" s="129"/>
      <c r="AI476" s="129"/>
    </row>
    <row r="477" spans="13:35" x14ac:dyDescent="0.15">
      <c r="M477" s="129"/>
      <c r="N477" s="129"/>
      <c r="O477" s="129"/>
      <c r="P477" s="129"/>
      <c r="Q477" s="129"/>
      <c r="R477" s="129"/>
      <c r="S477" s="129"/>
      <c r="T477" s="129"/>
      <c r="U477" s="129"/>
      <c r="V477" s="129"/>
      <c r="W477" s="129"/>
      <c r="X477" s="129"/>
      <c r="Y477" s="129"/>
      <c r="Z477" s="129"/>
      <c r="AA477" s="129"/>
      <c r="AB477" s="129"/>
      <c r="AC477" s="129"/>
      <c r="AD477" s="129"/>
      <c r="AE477" s="129"/>
      <c r="AF477" s="129"/>
      <c r="AG477" s="129"/>
      <c r="AH477" s="129"/>
      <c r="AI477" s="129"/>
    </row>
    <row r="478" spans="13:35" x14ac:dyDescent="0.15">
      <c r="M478" s="129"/>
      <c r="N478" s="129"/>
      <c r="O478" s="129"/>
      <c r="P478" s="129"/>
      <c r="Q478" s="129"/>
      <c r="R478" s="129"/>
      <c r="S478" s="129"/>
      <c r="T478" s="129"/>
      <c r="U478" s="129"/>
      <c r="V478" s="129"/>
      <c r="W478" s="129"/>
      <c r="X478" s="129"/>
      <c r="Y478" s="129"/>
      <c r="Z478" s="129"/>
      <c r="AA478" s="129"/>
      <c r="AB478" s="129"/>
      <c r="AC478" s="129"/>
      <c r="AD478" s="129"/>
      <c r="AE478" s="129"/>
      <c r="AF478" s="129"/>
      <c r="AG478" s="129"/>
      <c r="AH478" s="129"/>
      <c r="AI478" s="129"/>
    </row>
    <row r="479" spans="13:35" x14ac:dyDescent="0.15">
      <c r="M479" s="129"/>
      <c r="N479" s="129"/>
      <c r="O479" s="129"/>
      <c r="P479" s="129"/>
      <c r="Q479" s="129"/>
      <c r="R479" s="129"/>
      <c r="S479" s="129"/>
      <c r="T479" s="129"/>
      <c r="U479" s="129"/>
      <c r="V479" s="129"/>
      <c r="W479" s="129"/>
      <c r="X479" s="129"/>
      <c r="Y479" s="129"/>
      <c r="Z479" s="129"/>
      <c r="AA479" s="129"/>
      <c r="AB479" s="129"/>
      <c r="AC479" s="129"/>
      <c r="AD479" s="129"/>
      <c r="AE479" s="129"/>
      <c r="AF479" s="129"/>
      <c r="AG479" s="129"/>
      <c r="AH479" s="129"/>
      <c r="AI479" s="129"/>
    </row>
    <row r="480" spans="13:35" x14ac:dyDescent="0.15">
      <c r="M480" s="129"/>
      <c r="N480" s="129"/>
      <c r="O480" s="129"/>
      <c r="P480" s="129"/>
      <c r="Q480" s="129"/>
      <c r="R480" s="129"/>
      <c r="S480" s="129"/>
      <c r="T480" s="129"/>
      <c r="U480" s="129"/>
      <c r="V480" s="129"/>
      <c r="W480" s="129"/>
      <c r="X480" s="129"/>
      <c r="Y480" s="129"/>
      <c r="Z480" s="129"/>
      <c r="AA480" s="129"/>
      <c r="AB480" s="129"/>
      <c r="AC480" s="129"/>
      <c r="AD480" s="129"/>
      <c r="AE480" s="129"/>
      <c r="AF480" s="129"/>
      <c r="AG480" s="129"/>
      <c r="AH480" s="129"/>
      <c r="AI480" s="129"/>
    </row>
    <row r="481" spans="13:35" x14ac:dyDescent="0.15">
      <c r="M481" s="129"/>
      <c r="N481" s="129"/>
      <c r="O481" s="129"/>
      <c r="P481" s="129"/>
      <c r="Q481" s="129"/>
      <c r="R481" s="129"/>
      <c r="S481" s="129"/>
      <c r="T481" s="129"/>
      <c r="U481" s="129"/>
      <c r="V481" s="129"/>
      <c r="W481" s="129"/>
      <c r="X481" s="129"/>
      <c r="Y481" s="129"/>
      <c r="Z481" s="129"/>
      <c r="AA481" s="129"/>
      <c r="AB481" s="129"/>
      <c r="AC481" s="129"/>
      <c r="AD481" s="129"/>
      <c r="AE481" s="129"/>
      <c r="AF481" s="129"/>
      <c r="AG481" s="129"/>
      <c r="AH481" s="129"/>
      <c r="AI481" s="129"/>
    </row>
    <row r="482" spans="13:35" x14ac:dyDescent="0.15">
      <c r="M482" s="129"/>
      <c r="N482" s="129"/>
      <c r="O482" s="129"/>
      <c r="P482" s="129"/>
      <c r="Q482" s="129"/>
      <c r="R482" s="129"/>
      <c r="S482" s="129"/>
      <c r="T482" s="129"/>
      <c r="U482" s="129"/>
      <c r="V482" s="129"/>
      <c r="W482" s="129"/>
      <c r="X482" s="129"/>
      <c r="Y482" s="129"/>
      <c r="Z482" s="129"/>
      <c r="AA482" s="129"/>
      <c r="AB482" s="129"/>
      <c r="AC482" s="129"/>
      <c r="AD482" s="129"/>
      <c r="AE482" s="129"/>
      <c r="AF482" s="129"/>
      <c r="AG482" s="129"/>
      <c r="AH482" s="129"/>
      <c r="AI482" s="129"/>
    </row>
    <row r="483" spans="13:35" x14ac:dyDescent="0.15">
      <c r="M483" s="129"/>
      <c r="N483" s="129"/>
      <c r="O483" s="129"/>
      <c r="P483" s="129"/>
      <c r="Q483" s="129"/>
      <c r="R483" s="129"/>
      <c r="S483" s="129"/>
      <c r="T483" s="129"/>
      <c r="U483" s="129"/>
      <c r="V483" s="129"/>
      <c r="W483" s="129"/>
      <c r="X483" s="129"/>
      <c r="Y483" s="129"/>
      <c r="Z483" s="129"/>
      <c r="AA483" s="129"/>
      <c r="AB483" s="129"/>
      <c r="AC483" s="129"/>
      <c r="AD483" s="129"/>
      <c r="AE483" s="129"/>
      <c r="AF483" s="129"/>
      <c r="AG483" s="129"/>
      <c r="AH483" s="129"/>
      <c r="AI483" s="129"/>
    </row>
    <row r="484" spans="13:35" x14ac:dyDescent="0.15">
      <c r="M484" s="129"/>
      <c r="N484" s="129"/>
      <c r="O484" s="129"/>
      <c r="P484" s="129"/>
      <c r="Q484" s="129"/>
      <c r="R484" s="129"/>
      <c r="S484" s="129"/>
      <c r="T484" s="129"/>
      <c r="U484" s="129"/>
      <c r="V484" s="129"/>
      <c r="W484" s="129"/>
      <c r="X484" s="129"/>
      <c r="Y484" s="129"/>
      <c r="Z484" s="129"/>
      <c r="AA484" s="129"/>
      <c r="AB484" s="129"/>
      <c r="AC484" s="129"/>
      <c r="AD484" s="129"/>
      <c r="AE484" s="129"/>
      <c r="AF484" s="129"/>
      <c r="AG484" s="129"/>
      <c r="AH484" s="129"/>
      <c r="AI484" s="129"/>
    </row>
    <row r="485" spans="13:35" x14ac:dyDescent="0.15">
      <c r="M485" s="129"/>
      <c r="N485" s="129"/>
      <c r="O485" s="129"/>
      <c r="P485" s="129"/>
      <c r="Q485" s="129"/>
      <c r="R485" s="129"/>
      <c r="S485" s="129"/>
      <c r="T485" s="129"/>
      <c r="U485" s="129"/>
      <c r="V485" s="129"/>
      <c r="W485" s="129"/>
      <c r="X485" s="129"/>
      <c r="Y485" s="129"/>
      <c r="Z485" s="129"/>
      <c r="AA485" s="129"/>
      <c r="AB485" s="129"/>
      <c r="AC485" s="129"/>
      <c r="AD485" s="129"/>
      <c r="AE485" s="129"/>
      <c r="AF485" s="129"/>
      <c r="AG485" s="129"/>
      <c r="AH485" s="129"/>
      <c r="AI485" s="129"/>
    </row>
    <row r="486" spans="13:35" x14ac:dyDescent="0.15">
      <c r="M486" s="129"/>
      <c r="N486" s="129"/>
      <c r="O486" s="129"/>
      <c r="P486" s="129"/>
      <c r="Q486" s="129"/>
      <c r="R486" s="129"/>
      <c r="S486" s="129"/>
      <c r="T486" s="129"/>
      <c r="U486" s="129"/>
      <c r="V486" s="129"/>
      <c r="W486" s="129"/>
      <c r="X486" s="129"/>
      <c r="Y486" s="129"/>
      <c r="Z486" s="129"/>
      <c r="AA486" s="129"/>
      <c r="AB486" s="129"/>
      <c r="AC486" s="129"/>
      <c r="AD486" s="129"/>
      <c r="AE486" s="129"/>
      <c r="AF486" s="129"/>
      <c r="AG486" s="129"/>
      <c r="AH486" s="129"/>
      <c r="AI486" s="129"/>
    </row>
    <row r="487" spans="13:35" x14ac:dyDescent="0.15">
      <c r="M487" s="129"/>
      <c r="N487" s="129"/>
      <c r="O487" s="129"/>
      <c r="P487" s="129"/>
      <c r="Q487" s="129"/>
      <c r="R487" s="129"/>
      <c r="S487" s="129"/>
      <c r="T487" s="129"/>
      <c r="U487" s="129"/>
      <c r="V487" s="129"/>
      <c r="W487" s="129"/>
      <c r="X487" s="129"/>
      <c r="Y487" s="129"/>
      <c r="Z487" s="129"/>
      <c r="AA487" s="129"/>
      <c r="AB487" s="129"/>
      <c r="AC487" s="129"/>
      <c r="AD487" s="129"/>
      <c r="AE487" s="129"/>
      <c r="AF487" s="129"/>
      <c r="AG487" s="129"/>
      <c r="AH487" s="129"/>
      <c r="AI487" s="129"/>
    </row>
    <row r="488" spans="13:35" x14ac:dyDescent="0.15">
      <c r="M488" s="129"/>
      <c r="N488" s="129"/>
      <c r="O488" s="129"/>
      <c r="P488" s="129"/>
      <c r="Q488" s="129"/>
      <c r="R488" s="129"/>
      <c r="S488" s="129"/>
      <c r="T488" s="129"/>
      <c r="U488" s="129"/>
      <c r="V488" s="129"/>
      <c r="W488" s="129"/>
      <c r="X488" s="129"/>
      <c r="Y488" s="129"/>
      <c r="Z488" s="129"/>
      <c r="AA488" s="129"/>
      <c r="AB488" s="129"/>
      <c r="AC488" s="129"/>
      <c r="AD488" s="129"/>
      <c r="AE488" s="129"/>
      <c r="AF488" s="129"/>
      <c r="AG488" s="129"/>
      <c r="AH488" s="129"/>
      <c r="AI488" s="129"/>
    </row>
    <row r="489" spans="13:35" x14ac:dyDescent="0.15">
      <c r="M489" s="129"/>
      <c r="N489" s="129"/>
      <c r="O489" s="129"/>
      <c r="P489" s="129"/>
      <c r="Q489" s="129"/>
      <c r="R489" s="129"/>
      <c r="S489" s="129"/>
      <c r="T489" s="129"/>
      <c r="U489" s="129"/>
      <c r="V489" s="129"/>
      <c r="W489" s="129"/>
      <c r="X489" s="129"/>
      <c r="Y489" s="129"/>
      <c r="Z489" s="129"/>
      <c r="AA489" s="129"/>
      <c r="AB489" s="129"/>
      <c r="AC489" s="129"/>
      <c r="AD489" s="129"/>
      <c r="AE489" s="129"/>
      <c r="AF489" s="129"/>
      <c r="AG489" s="129"/>
      <c r="AH489" s="129"/>
      <c r="AI489" s="129"/>
    </row>
    <row r="490" spans="13:35" x14ac:dyDescent="0.15">
      <c r="M490" s="129"/>
      <c r="N490" s="129"/>
      <c r="O490" s="129"/>
      <c r="P490" s="129"/>
      <c r="Q490" s="129"/>
      <c r="R490" s="129"/>
      <c r="S490" s="129"/>
      <c r="T490" s="129"/>
      <c r="U490" s="129"/>
      <c r="V490" s="129"/>
      <c r="W490" s="129"/>
      <c r="X490" s="129"/>
      <c r="Y490" s="129"/>
      <c r="Z490" s="129"/>
      <c r="AA490" s="129"/>
      <c r="AB490" s="129"/>
      <c r="AC490" s="129"/>
      <c r="AD490" s="129"/>
      <c r="AE490" s="129"/>
      <c r="AF490" s="129"/>
      <c r="AG490" s="129"/>
      <c r="AH490" s="129"/>
      <c r="AI490" s="129"/>
    </row>
    <row r="491" spans="13:35" x14ac:dyDescent="0.15">
      <c r="M491" s="129"/>
      <c r="N491" s="129"/>
      <c r="O491" s="129"/>
      <c r="P491" s="129"/>
      <c r="Q491" s="129"/>
      <c r="R491" s="129"/>
      <c r="S491" s="129"/>
      <c r="T491" s="129"/>
      <c r="U491" s="129"/>
      <c r="V491" s="129"/>
      <c r="W491" s="129"/>
      <c r="X491" s="129"/>
      <c r="Y491" s="129"/>
      <c r="Z491" s="129"/>
      <c r="AA491" s="129"/>
      <c r="AB491" s="129"/>
      <c r="AC491" s="129"/>
      <c r="AD491" s="129"/>
      <c r="AE491" s="129"/>
      <c r="AF491" s="129"/>
      <c r="AG491" s="129"/>
      <c r="AH491" s="129"/>
      <c r="AI491" s="129"/>
    </row>
    <row r="492" spans="13:35" x14ac:dyDescent="0.15">
      <c r="M492" s="129"/>
      <c r="N492" s="129"/>
      <c r="O492" s="129"/>
      <c r="P492" s="129"/>
      <c r="Q492" s="129"/>
      <c r="R492" s="129"/>
      <c r="S492" s="129"/>
      <c r="T492" s="129"/>
      <c r="U492" s="129"/>
      <c r="V492" s="129"/>
      <c r="W492" s="129"/>
      <c r="X492" s="129"/>
      <c r="Y492" s="129"/>
      <c r="Z492" s="129"/>
      <c r="AA492" s="129"/>
      <c r="AB492" s="129"/>
      <c r="AC492" s="129"/>
      <c r="AD492" s="129"/>
      <c r="AE492" s="129"/>
      <c r="AF492" s="129"/>
      <c r="AG492" s="129"/>
      <c r="AH492" s="129"/>
      <c r="AI492" s="129"/>
    </row>
    <row r="493" spans="13:35" x14ac:dyDescent="0.15">
      <c r="M493" s="129"/>
      <c r="N493" s="129"/>
      <c r="O493" s="129"/>
      <c r="P493" s="129"/>
      <c r="Q493" s="129"/>
      <c r="R493" s="129"/>
      <c r="S493" s="129"/>
      <c r="T493" s="129"/>
      <c r="U493" s="129"/>
      <c r="V493" s="129"/>
      <c r="W493" s="129"/>
      <c r="X493" s="129"/>
      <c r="Y493" s="129"/>
      <c r="Z493" s="129"/>
      <c r="AA493" s="129"/>
      <c r="AB493" s="129"/>
      <c r="AC493" s="129"/>
      <c r="AD493" s="129"/>
      <c r="AE493" s="129"/>
      <c r="AF493" s="129"/>
      <c r="AG493" s="129"/>
      <c r="AH493" s="129"/>
      <c r="AI493" s="129"/>
    </row>
    <row r="494" spans="13:35" x14ac:dyDescent="0.15">
      <c r="M494" s="129"/>
      <c r="N494" s="129"/>
      <c r="O494" s="129"/>
      <c r="P494" s="129"/>
      <c r="Q494" s="129"/>
      <c r="R494" s="129"/>
      <c r="S494" s="129"/>
      <c r="T494" s="129"/>
      <c r="U494" s="129"/>
      <c r="V494" s="129"/>
      <c r="W494" s="129"/>
      <c r="X494" s="129"/>
      <c r="Y494" s="129"/>
      <c r="Z494" s="129"/>
      <c r="AA494" s="129"/>
      <c r="AB494" s="129"/>
      <c r="AC494" s="129"/>
      <c r="AD494" s="129"/>
      <c r="AE494" s="129"/>
      <c r="AF494" s="129"/>
      <c r="AG494" s="129"/>
      <c r="AH494" s="129"/>
      <c r="AI494" s="129"/>
    </row>
    <row r="495" spans="13:35" x14ac:dyDescent="0.15">
      <c r="M495" s="129"/>
      <c r="N495" s="129"/>
      <c r="O495" s="129"/>
      <c r="P495" s="129"/>
      <c r="Q495" s="129"/>
      <c r="R495" s="129"/>
      <c r="S495" s="129"/>
      <c r="T495" s="129"/>
      <c r="U495" s="129"/>
      <c r="V495" s="129"/>
      <c r="W495" s="129"/>
      <c r="X495" s="129"/>
      <c r="Y495" s="129"/>
      <c r="Z495" s="129"/>
      <c r="AA495" s="129"/>
      <c r="AB495" s="129"/>
      <c r="AC495" s="129"/>
      <c r="AD495" s="129"/>
      <c r="AE495" s="129"/>
      <c r="AF495" s="129"/>
      <c r="AG495" s="129"/>
      <c r="AH495" s="129"/>
      <c r="AI495" s="129"/>
    </row>
    <row r="496" spans="13:35" x14ac:dyDescent="0.15">
      <c r="M496" s="129"/>
      <c r="N496" s="129"/>
      <c r="O496" s="129"/>
      <c r="P496" s="129"/>
      <c r="Q496" s="129"/>
      <c r="R496" s="129"/>
      <c r="S496" s="129"/>
      <c r="T496" s="129"/>
      <c r="U496" s="129"/>
      <c r="V496" s="129"/>
      <c r="W496" s="129"/>
      <c r="X496" s="129"/>
      <c r="Y496" s="129"/>
      <c r="Z496" s="129"/>
      <c r="AA496" s="129"/>
      <c r="AB496" s="129"/>
      <c r="AC496" s="129"/>
      <c r="AD496" s="129"/>
      <c r="AE496" s="129"/>
      <c r="AF496" s="129"/>
      <c r="AG496" s="129"/>
      <c r="AH496" s="129"/>
      <c r="AI496" s="129"/>
    </row>
    <row r="497" spans="13:35" x14ac:dyDescent="0.15">
      <c r="M497" s="129"/>
      <c r="N497" s="129"/>
      <c r="O497" s="129"/>
      <c r="P497" s="129"/>
      <c r="Q497" s="129"/>
      <c r="R497" s="129"/>
      <c r="S497" s="129"/>
      <c r="T497" s="129"/>
      <c r="U497" s="129"/>
      <c r="V497" s="129"/>
      <c r="W497" s="129"/>
      <c r="X497" s="129"/>
      <c r="Y497" s="129"/>
      <c r="Z497" s="129"/>
      <c r="AA497" s="129"/>
      <c r="AB497" s="129"/>
      <c r="AC497" s="129"/>
      <c r="AD497" s="129"/>
      <c r="AE497" s="129"/>
      <c r="AF497" s="129"/>
      <c r="AG497" s="129"/>
      <c r="AH497" s="129"/>
      <c r="AI497" s="129"/>
    </row>
    <row r="498" spans="13:35" x14ac:dyDescent="0.15">
      <c r="M498" s="129"/>
      <c r="N498" s="129"/>
      <c r="O498" s="129"/>
      <c r="P498" s="129"/>
      <c r="Q498" s="129"/>
      <c r="R498" s="129"/>
      <c r="S498" s="129"/>
      <c r="T498" s="129"/>
      <c r="U498" s="129"/>
      <c r="V498" s="129"/>
      <c r="W498" s="129"/>
      <c r="X498" s="129"/>
      <c r="Y498" s="129"/>
      <c r="Z498" s="129"/>
      <c r="AA498" s="129"/>
      <c r="AB498" s="129"/>
      <c r="AC498" s="129"/>
      <c r="AD498" s="129"/>
      <c r="AE498" s="129"/>
      <c r="AF498" s="129"/>
      <c r="AG498" s="129"/>
      <c r="AH498" s="129"/>
      <c r="AI498" s="129"/>
    </row>
    <row r="499" spans="13:35" x14ac:dyDescent="0.15">
      <c r="M499" s="129"/>
      <c r="N499" s="129"/>
      <c r="O499" s="129"/>
      <c r="P499" s="129"/>
      <c r="Q499" s="129"/>
      <c r="R499" s="129"/>
      <c r="S499" s="129"/>
      <c r="T499" s="129"/>
      <c r="U499" s="129"/>
      <c r="V499" s="129"/>
      <c r="W499" s="129"/>
      <c r="X499" s="129"/>
      <c r="Y499" s="129"/>
      <c r="Z499" s="129"/>
      <c r="AA499" s="129"/>
      <c r="AB499" s="129"/>
      <c r="AC499" s="129"/>
      <c r="AD499" s="129"/>
      <c r="AE499" s="129"/>
      <c r="AF499" s="129"/>
      <c r="AG499" s="129"/>
      <c r="AH499" s="129"/>
      <c r="AI499" s="129"/>
    </row>
    <row r="500" spans="13:35" x14ac:dyDescent="0.15">
      <c r="M500" s="129"/>
      <c r="N500" s="129"/>
      <c r="O500" s="129"/>
      <c r="P500" s="129"/>
      <c r="Q500" s="129"/>
      <c r="R500" s="129"/>
      <c r="S500" s="129"/>
      <c r="T500" s="129"/>
      <c r="U500" s="129"/>
      <c r="V500" s="129"/>
      <c r="W500" s="129"/>
      <c r="X500" s="129"/>
      <c r="Y500" s="129"/>
      <c r="Z500" s="129"/>
      <c r="AA500" s="129"/>
      <c r="AB500" s="129"/>
      <c r="AC500" s="129"/>
      <c r="AD500" s="129"/>
      <c r="AE500" s="129"/>
      <c r="AF500" s="129"/>
      <c r="AG500" s="129"/>
      <c r="AH500" s="129"/>
      <c r="AI500" s="129"/>
    </row>
    <row r="501" spans="13:35" x14ac:dyDescent="0.15">
      <c r="M501" s="129"/>
      <c r="N501" s="129"/>
      <c r="O501" s="129"/>
      <c r="P501" s="129"/>
      <c r="Q501" s="129"/>
      <c r="R501" s="129"/>
      <c r="S501" s="129"/>
      <c r="T501" s="129"/>
      <c r="U501" s="129"/>
      <c r="V501" s="129"/>
      <c r="W501" s="129"/>
      <c r="X501" s="129"/>
      <c r="Y501" s="129"/>
      <c r="Z501" s="129"/>
      <c r="AA501" s="129"/>
      <c r="AB501" s="129"/>
      <c r="AC501" s="129"/>
      <c r="AD501" s="129"/>
      <c r="AE501" s="129"/>
      <c r="AF501" s="129"/>
      <c r="AG501" s="129"/>
      <c r="AH501" s="129"/>
      <c r="AI501" s="129"/>
    </row>
    <row r="502" spans="13:35" x14ac:dyDescent="0.15">
      <c r="M502" s="129"/>
      <c r="N502" s="129"/>
      <c r="O502" s="129"/>
      <c r="P502" s="129"/>
      <c r="Q502" s="129"/>
      <c r="R502" s="129"/>
      <c r="S502" s="129"/>
      <c r="T502" s="129"/>
      <c r="U502" s="129"/>
      <c r="V502" s="129"/>
      <c r="W502" s="129"/>
      <c r="X502" s="129"/>
      <c r="Y502" s="129"/>
      <c r="Z502" s="129"/>
      <c r="AA502" s="129"/>
      <c r="AB502" s="129"/>
      <c r="AC502" s="129"/>
      <c r="AD502" s="129"/>
      <c r="AE502" s="129"/>
      <c r="AF502" s="129"/>
      <c r="AG502" s="129"/>
      <c r="AH502" s="129"/>
      <c r="AI502" s="129"/>
    </row>
    <row r="503" spans="13:35" x14ac:dyDescent="0.15">
      <c r="M503" s="129"/>
      <c r="N503" s="129"/>
      <c r="O503" s="129"/>
      <c r="P503" s="129"/>
      <c r="Q503" s="129"/>
      <c r="R503" s="129"/>
      <c r="S503" s="129"/>
      <c r="T503" s="129"/>
      <c r="U503" s="129"/>
      <c r="V503" s="129"/>
      <c r="W503" s="129"/>
      <c r="X503" s="129"/>
      <c r="Y503" s="129"/>
      <c r="Z503" s="129"/>
      <c r="AA503" s="129"/>
      <c r="AB503" s="129"/>
      <c r="AC503" s="129"/>
      <c r="AD503" s="129"/>
      <c r="AE503" s="129"/>
      <c r="AF503" s="129"/>
      <c r="AG503" s="129"/>
      <c r="AH503" s="129"/>
      <c r="AI503" s="129"/>
    </row>
    <row r="504" spans="13:35" x14ac:dyDescent="0.15">
      <c r="M504" s="129"/>
      <c r="N504" s="129"/>
      <c r="O504" s="129"/>
      <c r="P504" s="129"/>
      <c r="Q504" s="129"/>
      <c r="R504" s="129"/>
      <c r="S504" s="129"/>
      <c r="T504" s="129"/>
      <c r="U504" s="129"/>
      <c r="V504" s="129"/>
      <c r="W504" s="129"/>
      <c r="X504" s="129"/>
      <c r="Y504" s="129"/>
      <c r="Z504" s="129"/>
      <c r="AA504" s="129"/>
      <c r="AB504" s="129"/>
      <c r="AC504" s="129"/>
      <c r="AD504" s="129"/>
      <c r="AE504" s="129"/>
      <c r="AF504" s="129"/>
      <c r="AG504" s="129"/>
      <c r="AH504" s="129"/>
      <c r="AI504" s="129"/>
    </row>
    <row r="505" spans="13:35" x14ac:dyDescent="0.15">
      <c r="M505" s="129"/>
      <c r="N505" s="129"/>
      <c r="O505" s="129"/>
      <c r="P505" s="129"/>
      <c r="Q505" s="129"/>
      <c r="R505" s="129"/>
      <c r="S505" s="129"/>
      <c r="T505" s="129"/>
      <c r="U505" s="129"/>
      <c r="V505" s="129"/>
      <c r="W505" s="129"/>
      <c r="X505" s="129"/>
      <c r="Y505" s="129"/>
      <c r="Z505" s="129"/>
      <c r="AA505" s="129"/>
      <c r="AB505" s="129"/>
      <c r="AC505" s="129"/>
      <c r="AD505" s="129"/>
      <c r="AE505" s="129"/>
      <c r="AF505" s="129"/>
      <c r="AG505" s="129"/>
      <c r="AH505" s="129"/>
      <c r="AI505" s="129"/>
    </row>
    <row r="506" spans="13:35" x14ac:dyDescent="0.15">
      <c r="M506" s="129"/>
      <c r="N506" s="129"/>
      <c r="O506" s="129"/>
      <c r="P506" s="129"/>
      <c r="Q506" s="129"/>
      <c r="R506" s="129"/>
      <c r="S506" s="129"/>
      <c r="T506" s="129"/>
      <c r="U506" s="129"/>
      <c r="V506" s="129"/>
      <c r="W506" s="129"/>
      <c r="X506" s="129"/>
      <c r="Y506" s="129"/>
      <c r="Z506" s="129"/>
      <c r="AA506" s="129"/>
      <c r="AB506" s="129"/>
      <c r="AC506" s="129"/>
      <c r="AD506" s="129"/>
      <c r="AE506" s="129"/>
      <c r="AF506" s="129"/>
      <c r="AG506" s="129"/>
      <c r="AH506" s="129"/>
      <c r="AI506" s="129"/>
    </row>
    <row r="507" spans="13:35" x14ac:dyDescent="0.15">
      <c r="M507" s="129"/>
      <c r="N507" s="129"/>
      <c r="O507" s="129"/>
      <c r="P507" s="129"/>
      <c r="Q507" s="129"/>
      <c r="R507" s="129"/>
      <c r="S507" s="129"/>
      <c r="T507" s="129"/>
      <c r="U507" s="129"/>
      <c r="V507" s="129"/>
      <c r="W507" s="129"/>
      <c r="X507" s="129"/>
      <c r="Y507" s="129"/>
      <c r="Z507" s="129"/>
      <c r="AA507" s="129"/>
      <c r="AB507" s="129"/>
      <c r="AC507" s="129"/>
      <c r="AD507" s="129"/>
      <c r="AE507" s="129"/>
      <c r="AF507" s="129"/>
      <c r="AG507" s="129"/>
      <c r="AH507" s="129"/>
      <c r="AI507" s="129"/>
    </row>
    <row r="508" spans="13:35" x14ac:dyDescent="0.15">
      <c r="M508" s="129"/>
      <c r="N508" s="129"/>
      <c r="O508" s="129"/>
      <c r="P508" s="129"/>
      <c r="Q508" s="129"/>
      <c r="R508" s="129"/>
      <c r="S508" s="129"/>
      <c r="T508" s="129"/>
      <c r="U508" s="129"/>
      <c r="V508" s="129"/>
      <c r="W508" s="129"/>
      <c r="X508" s="129"/>
      <c r="Y508" s="129"/>
      <c r="Z508" s="129"/>
      <c r="AA508" s="129"/>
      <c r="AB508" s="129"/>
      <c r="AC508" s="129"/>
      <c r="AD508" s="129"/>
      <c r="AE508" s="129"/>
      <c r="AF508" s="129"/>
      <c r="AG508" s="129"/>
      <c r="AH508" s="129"/>
      <c r="AI508" s="129"/>
    </row>
    <row r="509" spans="13:35" x14ac:dyDescent="0.15">
      <c r="M509" s="129"/>
      <c r="N509" s="129"/>
      <c r="O509" s="129"/>
      <c r="P509" s="129"/>
      <c r="Q509" s="129"/>
      <c r="R509" s="129"/>
      <c r="S509" s="129"/>
      <c r="T509" s="129"/>
      <c r="U509" s="129"/>
      <c r="V509" s="129"/>
      <c r="W509" s="129"/>
      <c r="X509" s="129"/>
      <c r="Y509" s="129"/>
      <c r="Z509" s="129"/>
      <c r="AA509" s="129"/>
      <c r="AB509" s="129"/>
      <c r="AC509" s="129"/>
      <c r="AD509" s="129"/>
      <c r="AE509" s="129"/>
      <c r="AF509" s="129"/>
      <c r="AG509" s="129"/>
      <c r="AH509" s="129"/>
      <c r="AI509" s="129"/>
    </row>
    <row r="510" spans="13:35" x14ac:dyDescent="0.15">
      <c r="M510" s="129"/>
      <c r="N510" s="129"/>
      <c r="O510" s="129"/>
      <c r="P510" s="129"/>
      <c r="Q510" s="129"/>
      <c r="R510" s="129"/>
      <c r="S510" s="129"/>
      <c r="T510" s="129"/>
      <c r="U510" s="129"/>
      <c r="V510" s="129"/>
      <c r="W510" s="129"/>
      <c r="X510" s="129"/>
      <c r="Y510" s="129"/>
      <c r="Z510" s="129"/>
      <c r="AA510" s="129"/>
      <c r="AB510" s="129"/>
      <c r="AC510" s="129"/>
      <c r="AD510" s="129"/>
      <c r="AE510" s="129"/>
      <c r="AF510" s="129"/>
      <c r="AG510" s="129"/>
      <c r="AH510" s="129"/>
      <c r="AI510" s="129"/>
    </row>
    <row r="511" spans="13:35" x14ac:dyDescent="0.15">
      <c r="M511" s="129"/>
      <c r="N511" s="129"/>
      <c r="O511" s="129"/>
      <c r="P511" s="129"/>
      <c r="Q511" s="129"/>
      <c r="R511" s="129"/>
      <c r="S511" s="129"/>
      <c r="T511" s="129"/>
      <c r="U511" s="129"/>
      <c r="V511" s="129"/>
      <c r="W511" s="129"/>
      <c r="X511" s="129"/>
      <c r="Y511" s="129"/>
      <c r="Z511" s="129"/>
      <c r="AA511" s="129"/>
      <c r="AB511" s="129"/>
      <c r="AC511" s="129"/>
      <c r="AD511" s="129"/>
      <c r="AE511" s="129"/>
      <c r="AF511" s="129"/>
      <c r="AG511" s="129"/>
      <c r="AH511" s="129"/>
      <c r="AI511" s="129"/>
    </row>
    <row r="512" spans="13:35" x14ac:dyDescent="0.15">
      <c r="M512" s="129"/>
      <c r="N512" s="129"/>
      <c r="O512" s="129"/>
      <c r="P512" s="129"/>
      <c r="Q512" s="129"/>
      <c r="R512" s="129"/>
      <c r="S512" s="129"/>
      <c r="T512" s="129"/>
      <c r="U512" s="129"/>
      <c r="V512" s="129"/>
      <c r="W512" s="129"/>
      <c r="X512" s="129"/>
      <c r="Y512" s="129"/>
      <c r="Z512" s="129"/>
      <c r="AA512" s="129"/>
      <c r="AB512" s="129"/>
      <c r="AC512" s="129"/>
      <c r="AD512" s="129"/>
      <c r="AE512" s="129"/>
      <c r="AF512" s="129"/>
      <c r="AG512" s="129"/>
      <c r="AH512" s="129"/>
      <c r="AI512" s="129"/>
    </row>
    <row r="513" spans="13:35" x14ac:dyDescent="0.15">
      <c r="M513" s="129"/>
      <c r="N513" s="129"/>
      <c r="O513" s="129"/>
      <c r="P513" s="129"/>
      <c r="Q513" s="129"/>
      <c r="R513" s="129"/>
      <c r="S513" s="129"/>
      <c r="T513" s="129"/>
      <c r="U513" s="129"/>
      <c r="V513" s="129"/>
      <c r="W513" s="129"/>
      <c r="X513" s="129"/>
      <c r="Y513" s="129"/>
      <c r="Z513" s="129"/>
      <c r="AA513" s="129"/>
      <c r="AB513" s="129"/>
      <c r="AC513" s="129"/>
      <c r="AD513" s="129"/>
      <c r="AE513" s="129"/>
      <c r="AF513" s="129"/>
      <c r="AG513" s="129"/>
      <c r="AH513" s="129"/>
      <c r="AI513" s="129"/>
    </row>
    <row r="514" spans="13:35" x14ac:dyDescent="0.15">
      <c r="M514" s="129"/>
      <c r="N514" s="129"/>
      <c r="O514" s="129"/>
      <c r="P514" s="129"/>
      <c r="Q514" s="129"/>
      <c r="R514" s="129"/>
      <c r="S514" s="129"/>
      <c r="T514" s="129"/>
      <c r="U514" s="129"/>
      <c r="V514" s="129"/>
      <c r="W514" s="129"/>
      <c r="X514" s="129"/>
      <c r="Y514" s="129"/>
      <c r="Z514" s="129"/>
      <c r="AA514" s="129"/>
      <c r="AB514" s="129"/>
      <c r="AC514" s="129"/>
      <c r="AD514" s="129"/>
      <c r="AE514" s="129"/>
      <c r="AF514" s="129"/>
      <c r="AG514" s="129"/>
      <c r="AH514" s="129"/>
      <c r="AI514" s="129"/>
    </row>
    <row r="515" spans="13:35" x14ac:dyDescent="0.15">
      <c r="M515" s="129"/>
      <c r="N515" s="129"/>
      <c r="O515" s="129"/>
      <c r="P515" s="129"/>
      <c r="Q515" s="129"/>
      <c r="R515" s="129"/>
      <c r="S515" s="129"/>
      <c r="T515" s="129"/>
      <c r="U515" s="129"/>
      <c r="V515" s="129"/>
      <c r="W515" s="129"/>
      <c r="X515" s="129"/>
      <c r="Y515" s="129"/>
      <c r="Z515" s="129"/>
      <c r="AA515" s="129"/>
      <c r="AB515" s="129"/>
      <c r="AC515" s="129"/>
      <c r="AD515" s="129"/>
      <c r="AE515" s="129"/>
      <c r="AF515" s="129"/>
      <c r="AG515" s="129"/>
      <c r="AH515" s="129"/>
      <c r="AI515" s="129"/>
    </row>
    <row r="516" spans="13:35" x14ac:dyDescent="0.15">
      <c r="M516" s="129"/>
      <c r="N516" s="129"/>
      <c r="O516" s="129"/>
      <c r="P516" s="129"/>
      <c r="Q516" s="129"/>
      <c r="R516" s="129"/>
      <c r="S516" s="129"/>
      <c r="T516" s="129"/>
      <c r="U516" s="129"/>
      <c r="V516" s="129"/>
      <c r="W516" s="129"/>
      <c r="X516" s="129"/>
      <c r="Y516" s="129"/>
      <c r="Z516" s="129"/>
      <c r="AA516" s="129"/>
      <c r="AB516" s="129"/>
      <c r="AC516" s="129"/>
      <c r="AD516" s="129"/>
      <c r="AE516" s="129"/>
      <c r="AF516" s="129"/>
      <c r="AG516" s="129"/>
      <c r="AH516" s="129"/>
      <c r="AI516" s="129"/>
    </row>
    <row r="517" spans="13:35" x14ac:dyDescent="0.15">
      <c r="M517" s="129"/>
      <c r="N517" s="129"/>
      <c r="O517" s="129"/>
      <c r="P517" s="129"/>
      <c r="Q517" s="129"/>
      <c r="R517" s="129"/>
      <c r="S517" s="129"/>
      <c r="T517" s="129"/>
      <c r="U517" s="129"/>
      <c r="V517" s="129"/>
      <c r="W517" s="129"/>
      <c r="X517" s="129"/>
      <c r="Y517" s="129"/>
      <c r="Z517" s="129"/>
      <c r="AA517" s="129"/>
      <c r="AB517" s="129"/>
      <c r="AC517" s="129"/>
      <c r="AD517" s="129"/>
      <c r="AE517" s="129"/>
      <c r="AF517" s="129"/>
      <c r="AG517" s="129"/>
      <c r="AH517" s="129"/>
      <c r="AI517" s="129"/>
    </row>
    <row r="518" spans="13:35" x14ac:dyDescent="0.15">
      <c r="M518" s="129"/>
      <c r="N518" s="129"/>
      <c r="O518" s="129"/>
      <c r="P518" s="129"/>
      <c r="Q518" s="129"/>
      <c r="R518" s="129"/>
      <c r="S518" s="129"/>
      <c r="T518" s="129"/>
      <c r="U518" s="129"/>
      <c r="V518" s="129"/>
      <c r="W518" s="129"/>
      <c r="X518" s="129"/>
      <c r="Y518" s="129"/>
      <c r="Z518" s="129"/>
      <c r="AA518" s="129"/>
      <c r="AB518" s="129"/>
      <c r="AC518" s="129"/>
      <c r="AD518" s="129"/>
      <c r="AE518" s="129"/>
      <c r="AF518" s="129"/>
      <c r="AG518" s="129"/>
      <c r="AH518" s="129"/>
      <c r="AI518" s="129"/>
    </row>
    <row r="519" spans="13:35" x14ac:dyDescent="0.15">
      <c r="M519" s="129"/>
      <c r="N519" s="129"/>
      <c r="O519" s="129"/>
      <c r="P519" s="129"/>
      <c r="Q519" s="129"/>
      <c r="R519" s="129"/>
      <c r="S519" s="129"/>
      <c r="T519" s="129"/>
      <c r="U519" s="129"/>
      <c r="V519" s="129"/>
      <c r="W519" s="129"/>
      <c r="X519" s="129"/>
      <c r="Y519" s="129"/>
      <c r="Z519" s="129"/>
      <c r="AA519" s="129"/>
      <c r="AB519" s="129"/>
      <c r="AC519" s="129"/>
      <c r="AD519" s="129"/>
      <c r="AE519" s="129"/>
      <c r="AF519" s="129"/>
      <c r="AG519" s="129"/>
      <c r="AH519" s="129"/>
      <c r="AI519" s="129"/>
    </row>
    <row r="520" spans="13:35" x14ac:dyDescent="0.15">
      <c r="M520" s="129"/>
      <c r="N520" s="129"/>
      <c r="O520" s="129"/>
      <c r="P520" s="129"/>
      <c r="Q520" s="129"/>
      <c r="R520" s="129"/>
      <c r="S520" s="129"/>
      <c r="T520" s="129"/>
      <c r="U520" s="129"/>
      <c r="V520" s="129"/>
      <c r="W520" s="129"/>
      <c r="X520" s="129"/>
      <c r="Y520" s="129"/>
      <c r="Z520" s="129"/>
      <c r="AA520" s="129"/>
      <c r="AB520" s="129"/>
      <c r="AC520" s="129"/>
      <c r="AD520" s="129"/>
      <c r="AE520" s="129"/>
      <c r="AF520" s="129"/>
      <c r="AG520" s="129"/>
      <c r="AH520" s="129"/>
      <c r="AI520" s="129"/>
    </row>
    <row r="521" spans="13:35" x14ac:dyDescent="0.15">
      <c r="M521" s="129"/>
      <c r="N521" s="129"/>
      <c r="O521" s="129"/>
      <c r="P521" s="129"/>
      <c r="Q521" s="129"/>
      <c r="R521" s="129"/>
      <c r="S521" s="129"/>
      <c r="T521" s="129"/>
      <c r="U521" s="129"/>
      <c r="V521" s="129"/>
      <c r="W521" s="129"/>
      <c r="X521" s="129"/>
      <c r="Y521" s="129"/>
      <c r="Z521" s="129"/>
      <c r="AA521" s="129"/>
      <c r="AB521" s="129"/>
      <c r="AC521" s="129"/>
      <c r="AD521" s="129"/>
      <c r="AE521" s="129"/>
      <c r="AF521" s="129"/>
      <c r="AG521" s="129"/>
      <c r="AH521" s="129"/>
      <c r="AI521" s="129"/>
    </row>
    <row r="522" spans="13:35" x14ac:dyDescent="0.15">
      <c r="M522" s="129"/>
      <c r="N522" s="129"/>
      <c r="O522" s="129"/>
      <c r="P522" s="129"/>
      <c r="Q522" s="129"/>
      <c r="R522" s="129"/>
      <c r="S522" s="129"/>
      <c r="T522" s="129"/>
      <c r="U522" s="129"/>
      <c r="V522" s="129"/>
      <c r="W522" s="129"/>
      <c r="X522" s="129"/>
      <c r="Y522" s="129"/>
      <c r="Z522" s="129"/>
      <c r="AA522" s="129"/>
      <c r="AB522" s="129"/>
      <c r="AC522" s="129"/>
      <c r="AD522" s="129"/>
      <c r="AE522" s="129"/>
      <c r="AF522" s="129"/>
      <c r="AG522" s="129"/>
      <c r="AH522" s="129"/>
      <c r="AI522" s="129"/>
    </row>
    <row r="523" spans="13:35" x14ac:dyDescent="0.15">
      <c r="M523" s="129"/>
      <c r="N523" s="129"/>
      <c r="O523" s="129"/>
      <c r="P523" s="129"/>
      <c r="Q523" s="129"/>
      <c r="R523" s="129"/>
      <c r="S523" s="129"/>
      <c r="T523" s="129"/>
      <c r="U523" s="129"/>
      <c r="V523" s="129"/>
      <c r="W523" s="129"/>
      <c r="X523" s="129"/>
      <c r="Y523" s="129"/>
      <c r="Z523" s="129"/>
      <c r="AA523" s="129"/>
      <c r="AB523" s="129"/>
      <c r="AC523" s="129"/>
      <c r="AD523" s="129"/>
      <c r="AE523" s="129"/>
      <c r="AF523" s="129"/>
      <c r="AG523" s="129"/>
      <c r="AH523" s="129"/>
      <c r="AI523" s="129"/>
    </row>
    <row r="524" spans="13:35" x14ac:dyDescent="0.15">
      <c r="M524" s="129"/>
      <c r="N524" s="129"/>
      <c r="O524" s="129"/>
      <c r="P524" s="129"/>
      <c r="Q524" s="129"/>
      <c r="R524" s="129"/>
      <c r="S524" s="129"/>
      <c r="T524" s="129"/>
      <c r="U524" s="129"/>
      <c r="V524" s="129"/>
      <c r="W524" s="129"/>
      <c r="X524" s="129"/>
      <c r="Y524" s="129"/>
      <c r="Z524" s="129"/>
      <c r="AA524" s="129"/>
      <c r="AB524" s="129"/>
      <c r="AC524" s="129"/>
      <c r="AD524" s="129"/>
      <c r="AE524" s="129"/>
      <c r="AF524" s="129"/>
      <c r="AG524" s="129"/>
      <c r="AH524" s="129"/>
      <c r="AI524" s="129"/>
    </row>
    <row r="525" spans="13:35" x14ac:dyDescent="0.15">
      <c r="M525" s="129"/>
      <c r="N525" s="129"/>
      <c r="O525" s="129"/>
      <c r="P525" s="129"/>
      <c r="Q525" s="129"/>
      <c r="R525" s="129"/>
      <c r="S525" s="129"/>
      <c r="T525" s="129"/>
      <c r="U525" s="129"/>
      <c r="V525" s="129"/>
      <c r="W525" s="129"/>
      <c r="X525" s="129"/>
      <c r="Y525" s="129"/>
      <c r="Z525" s="129"/>
      <c r="AA525" s="129"/>
      <c r="AB525" s="129"/>
      <c r="AC525" s="129"/>
      <c r="AD525" s="129"/>
      <c r="AE525" s="129"/>
      <c r="AF525" s="129"/>
      <c r="AG525" s="129"/>
      <c r="AH525" s="129"/>
      <c r="AI525" s="129"/>
    </row>
    <row r="526" spans="13:35" x14ac:dyDescent="0.15">
      <c r="M526" s="129"/>
      <c r="N526" s="129"/>
      <c r="O526" s="129"/>
      <c r="P526" s="129"/>
      <c r="Q526" s="129"/>
      <c r="R526" s="129"/>
      <c r="S526" s="129"/>
      <c r="T526" s="129"/>
      <c r="U526" s="129"/>
      <c r="V526" s="129"/>
      <c r="W526" s="129"/>
      <c r="X526" s="129"/>
      <c r="Y526" s="129"/>
      <c r="Z526" s="129"/>
      <c r="AA526" s="129"/>
      <c r="AB526" s="129"/>
      <c r="AC526" s="129"/>
      <c r="AD526" s="129"/>
      <c r="AE526" s="129"/>
      <c r="AF526" s="129"/>
      <c r="AG526" s="129"/>
      <c r="AH526" s="129"/>
      <c r="AI526" s="129"/>
    </row>
    <row r="527" spans="13:35" x14ac:dyDescent="0.15">
      <c r="M527" s="129"/>
      <c r="N527" s="129"/>
      <c r="O527" s="129"/>
      <c r="P527" s="129"/>
      <c r="Q527" s="129"/>
      <c r="R527" s="129"/>
      <c r="S527" s="129"/>
      <c r="T527" s="129"/>
      <c r="U527" s="129"/>
      <c r="V527" s="129"/>
      <c r="W527" s="129"/>
      <c r="X527" s="129"/>
      <c r="Y527" s="129"/>
      <c r="Z527" s="129"/>
      <c r="AA527" s="129"/>
      <c r="AB527" s="129"/>
      <c r="AC527" s="129"/>
      <c r="AD527" s="129"/>
      <c r="AE527" s="129"/>
      <c r="AF527" s="129"/>
      <c r="AG527" s="129"/>
      <c r="AH527" s="129"/>
      <c r="AI527" s="129"/>
    </row>
    <row r="528" spans="13:35" x14ac:dyDescent="0.15">
      <c r="M528" s="129"/>
      <c r="N528" s="129"/>
      <c r="O528" s="129"/>
      <c r="P528" s="129"/>
      <c r="Q528" s="129"/>
      <c r="R528" s="129"/>
      <c r="S528" s="129"/>
      <c r="T528" s="129"/>
      <c r="U528" s="129"/>
      <c r="V528" s="129"/>
      <c r="W528" s="129"/>
      <c r="X528" s="129"/>
      <c r="Y528" s="129"/>
      <c r="Z528" s="129"/>
      <c r="AA528" s="129"/>
      <c r="AB528" s="129"/>
      <c r="AC528" s="129"/>
      <c r="AD528" s="129"/>
      <c r="AE528" s="129"/>
      <c r="AF528" s="129"/>
      <c r="AG528" s="129"/>
      <c r="AH528" s="129"/>
      <c r="AI528" s="129"/>
    </row>
    <row r="529" spans="13:35" x14ac:dyDescent="0.15">
      <c r="M529" s="129"/>
      <c r="N529" s="129"/>
      <c r="O529" s="129"/>
      <c r="P529" s="129"/>
      <c r="Q529" s="129"/>
      <c r="R529" s="129"/>
      <c r="S529" s="129"/>
      <c r="T529" s="129"/>
      <c r="U529" s="129"/>
      <c r="V529" s="129"/>
      <c r="W529" s="129"/>
      <c r="X529" s="129"/>
      <c r="Y529" s="129"/>
      <c r="Z529" s="129"/>
      <c r="AA529" s="129"/>
      <c r="AB529" s="129"/>
      <c r="AC529" s="129"/>
      <c r="AD529" s="129"/>
      <c r="AE529" s="129"/>
      <c r="AF529" s="129"/>
      <c r="AG529" s="129"/>
      <c r="AH529" s="129"/>
      <c r="AI529" s="129"/>
    </row>
    <row r="530" spans="13:35" x14ac:dyDescent="0.15">
      <c r="M530" s="129"/>
      <c r="N530" s="129"/>
      <c r="O530" s="129"/>
      <c r="P530" s="129"/>
      <c r="Q530" s="129"/>
      <c r="R530" s="129"/>
      <c r="S530" s="129"/>
      <c r="T530" s="129"/>
      <c r="U530" s="129"/>
      <c r="V530" s="129"/>
      <c r="W530" s="129"/>
      <c r="X530" s="129"/>
      <c r="Y530" s="129"/>
      <c r="Z530" s="129"/>
      <c r="AA530" s="129"/>
      <c r="AB530" s="129"/>
      <c r="AC530" s="129"/>
      <c r="AD530" s="129"/>
      <c r="AE530" s="129"/>
      <c r="AF530" s="129"/>
      <c r="AG530" s="129"/>
      <c r="AH530" s="129"/>
      <c r="AI530" s="129"/>
    </row>
    <row r="531" spans="13:35" x14ac:dyDescent="0.15">
      <c r="M531" s="129"/>
      <c r="N531" s="129"/>
      <c r="O531" s="129"/>
      <c r="P531" s="129"/>
      <c r="Q531" s="129"/>
      <c r="R531" s="129"/>
      <c r="S531" s="129"/>
      <c r="T531" s="129"/>
      <c r="U531" s="129"/>
      <c r="V531" s="129"/>
      <c r="W531" s="129"/>
      <c r="X531" s="129"/>
      <c r="Y531" s="129"/>
      <c r="Z531" s="129"/>
      <c r="AA531" s="129"/>
      <c r="AB531" s="129"/>
      <c r="AC531" s="129"/>
      <c r="AD531" s="129"/>
      <c r="AE531" s="129"/>
      <c r="AF531" s="129"/>
      <c r="AG531" s="129"/>
      <c r="AH531" s="129"/>
      <c r="AI531" s="129"/>
    </row>
    <row r="532" spans="13:35" x14ac:dyDescent="0.15">
      <c r="M532" s="129"/>
      <c r="N532" s="129"/>
      <c r="O532" s="129"/>
      <c r="P532" s="129"/>
      <c r="Q532" s="129"/>
      <c r="R532" s="129"/>
      <c r="S532" s="129"/>
      <c r="T532" s="129"/>
      <c r="U532" s="129"/>
      <c r="V532" s="129"/>
      <c r="W532" s="129"/>
      <c r="X532" s="129"/>
      <c r="Y532" s="129"/>
      <c r="Z532" s="129"/>
      <c r="AA532" s="129"/>
      <c r="AB532" s="129"/>
      <c r="AC532" s="129"/>
      <c r="AD532" s="129"/>
      <c r="AE532" s="129"/>
      <c r="AF532" s="129"/>
      <c r="AG532" s="129"/>
      <c r="AH532" s="129"/>
      <c r="AI532" s="129"/>
    </row>
    <row r="533" spans="13:35" x14ac:dyDescent="0.15">
      <c r="M533" s="129"/>
      <c r="N533" s="129"/>
      <c r="O533" s="129"/>
      <c r="P533" s="129"/>
      <c r="Q533" s="129"/>
      <c r="R533" s="129"/>
      <c r="S533" s="129"/>
      <c r="T533" s="129"/>
      <c r="U533" s="129"/>
      <c r="V533" s="129"/>
      <c r="W533" s="129"/>
      <c r="X533" s="129"/>
      <c r="Y533" s="129"/>
      <c r="Z533" s="129"/>
      <c r="AA533" s="129"/>
      <c r="AB533" s="129"/>
      <c r="AC533" s="129"/>
      <c r="AD533" s="129"/>
      <c r="AE533" s="129"/>
      <c r="AF533" s="129"/>
      <c r="AG533" s="129"/>
      <c r="AH533" s="129"/>
      <c r="AI533" s="129"/>
    </row>
    <row r="534" spans="13:35" x14ac:dyDescent="0.15">
      <c r="M534" s="129"/>
      <c r="N534" s="129"/>
      <c r="O534" s="129"/>
      <c r="P534" s="129"/>
      <c r="Q534" s="129"/>
      <c r="R534" s="129"/>
      <c r="S534" s="129"/>
      <c r="T534" s="129"/>
      <c r="U534" s="129"/>
      <c r="V534" s="129"/>
      <c r="W534" s="129"/>
      <c r="X534" s="129"/>
      <c r="Y534" s="129"/>
      <c r="Z534" s="129"/>
      <c r="AA534" s="129"/>
      <c r="AB534" s="129"/>
      <c r="AC534" s="129"/>
      <c r="AD534" s="129"/>
      <c r="AE534" s="129"/>
      <c r="AF534" s="129"/>
      <c r="AG534" s="129"/>
      <c r="AH534" s="129"/>
      <c r="AI534" s="129"/>
    </row>
    <row r="535" spans="13:35" x14ac:dyDescent="0.15">
      <c r="M535" s="129"/>
      <c r="N535" s="129"/>
      <c r="O535" s="129"/>
      <c r="P535" s="129"/>
      <c r="Q535" s="129"/>
      <c r="R535" s="129"/>
      <c r="S535" s="129"/>
      <c r="T535" s="129"/>
      <c r="U535" s="129"/>
      <c r="V535" s="129"/>
      <c r="W535" s="129"/>
      <c r="X535" s="129"/>
      <c r="Y535" s="129"/>
      <c r="Z535" s="129"/>
      <c r="AA535" s="129"/>
      <c r="AB535" s="129"/>
      <c r="AC535" s="129"/>
      <c r="AD535" s="129"/>
      <c r="AE535" s="129"/>
      <c r="AF535" s="129"/>
      <c r="AG535" s="129"/>
      <c r="AH535" s="129"/>
      <c r="AI535" s="129"/>
    </row>
    <row r="536" spans="13:35" x14ac:dyDescent="0.15">
      <c r="M536" s="129"/>
      <c r="N536" s="129"/>
      <c r="O536" s="129"/>
      <c r="P536" s="129"/>
      <c r="Q536" s="129"/>
      <c r="R536" s="129"/>
      <c r="S536" s="129"/>
      <c r="T536" s="129"/>
      <c r="U536" s="129"/>
      <c r="V536" s="129"/>
      <c r="W536" s="129"/>
      <c r="X536" s="129"/>
      <c r="Y536" s="129"/>
      <c r="Z536" s="129"/>
      <c r="AA536" s="129"/>
      <c r="AB536" s="129"/>
      <c r="AC536" s="129"/>
      <c r="AD536" s="129"/>
      <c r="AE536" s="129"/>
      <c r="AF536" s="129"/>
      <c r="AG536" s="129"/>
      <c r="AH536" s="129"/>
      <c r="AI536" s="129"/>
    </row>
    <row r="537" spans="13:35" x14ac:dyDescent="0.15">
      <c r="M537" s="129"/>
      <c r="N537" s="129"/>
      <c r="O537" s="129"/>
      <c r="P537" s="129"/>
      <c r="Q537" s="129"/>
      <c r="R537" s="129"/>
      <c r="S537" s="129"/>
      <c r="T537" s="129"/>
      <c r="U537" s="129"/>
      <c r="V537" s="129"/>
      <c r="W537" s="129"/>
      <c r="X537" s="129"/>
      <c r="Y537" s="129"/>
      <c r="Z537" s="129"/>
      <c r="AA537" s="129"/>
      <c r="AB537" s="129"/>
      <c r="AC537" s="129"/>
      <c r="AD537" s="129"/>
      <c r="AE537" s="129"/>
      <c r="AF537" s="129"/>
      <c r="AG537" s="129"/>
      <c r="AH537" s="129"/>
      <c r="AI537" s="129"/>
    </row>
    <row r="538" spans="13:35" x14ac:dyDescent="0.15">
      <c r="M538" s="129"/>
      <c r="N538" s="129"/>
      <c r="O538" s="129"/>
      <c r="P538" s="129"/>
      <c r="Q538" s="129"/>
      <c r="R538" s="129"/>
      <c r="S538" s="129"/>
      <c r="T538" s="129"/>
      <c r="U538" s="129"/>
      <c r="V538" s="129"/>
      <c r="W538" s="129"/>
      <c r="X538" s="129"/>
      <c r="Y538" s="129"/>
      <c r="Z538" s="129"/>
      <c r="AA538" s="129"/>
      <c r="AB538" s="129"/>
      <c r="AC538" s="129"/>
      <c r="AD538" s="129"/>
      <c r="AE538" s="129"/>
      <c r="AF538" s="129"/>
      <c r="AG538" s="129"/>
      <c r="AH538" s="129"/>
      <c r="AI538" s="129"/>
    </row>
    <row r="539" spans="13:35" x14ac:dyDescent="0.15">
      <c r="M539" s="129"/>
      <c r="N539" s="129"/>
      <c r="O539" s="129"/>
      <c r="P539" s="129"/>
      <c r="Q539" s="129"/>
      <c r="R539" s="129"/>
      <c r="S539" s="129"/>
      <c r="T539" s="129"/>
      <c r="U539" s="129"/>
      <c r="V539" s="129"/>
      <c r="W539" s="129"/>
      <c r="X539" s="129"/>
      <c r="Y539" s="129"/>
      <c r="Z539" s="129"/>
      <c r="AA539" s="129"/>
      <c r="AB539" s="129"/>
      <c r="AC539" s="129"/>
      <c r="AD539" s="129"/>
      <c r="AE539" s="129"/>
      <c r="AF539" s="129"/>
      <c r="AG539" s="129"/>
      <c r="AH539" s="129"/>
      <c r="AI539" s="129"/>
    </row>
    <row r="540" spans="13:35" x14ac:dyDescent="0.15">
      <c r="M540" s="129"/>
      <c r="N540" s="129"/>
      <c r="O540" s="129"/>
      <c r="P540" s="129"/>
      <c r="Q540" s="129"/>
      <c r="R540" s="129"/>
      <c r="S540" s="129"/>
      <c r="T540" s="129"/>
      <c r="U540" s="129"/>
      <c r="V540" s="129"/>
      <c r="W540" s="129"/>
      <c r="X540" s="129"/>
      <c r="Y540" s="129"/>
      <c r="Z540" s="129"/>
      <c r="AA540" s="129"/>
      <c r="AB540" s="129"/>
      <c r="AC540" s="129"/>
      <c r="AD540" s="129"/>
      <c r="AE540" s="129"/>
      <c r="AF540" s="129"/>
      <c r="AG540" s="129"/>
      <c r="AH540" s="129"/>
      <c r="AI540" s="129"/>
    </row>
    <row r="541" spans="13:35" x14ac:dyDescent="0.15">
      <c r="M541" s="129"/>
      <c r="N541" s="129"/>
      <c r="O541" s="129"/>
      <c r="P541" s="129"/>
      <c r="Q541" s="129"/>
      <c r="R541" s="129"/>
      <c r="S541" s="129"/>
      <c r="T541" s="129"/>
      <c r="U541" s="129"/>
      <c r="V541" s="129"/>
      <c r="W541" s="129"/>
      <c r="X541" s="129"/>
      <c r="Y541" s="129"/>
      <c r="Z541" s="129"/>
      <c r="AA541" s="129"/>
      <c r="AB541" s="129"/>
      <c r="AC541" s="129"/>
      <c r="AD541" s="129"/>
      <c r="AE541" s="129"/>
      <c r="AF541" s="129"/>
      <c r="AG541" s="129"/>
      <c r="AH541" s="129"/>
      <c r="AI541" s="129"/>
    </row>
    <row r="542" spans="13:35" x14ac:dyDescent="0.15">
      <c r="M542" s="129"/>
      <c r="N542" s="129"/>
      <c r="O542" s="129"/>
      <c r="P542" s="129"/>
      <c r="Q542" s="129"/>
      <c r="R542" s="129"/>
      <c r="S542" s="129"/>
      <c r="T542" s="129"/>
      <c r="U542" s="129"/>
      <c r="V542" s="129"/>
      <c r="W542" s="129"/>
      <c r="X542" s="129"/>
      <c r="Y542" s="129"/>
      <c r="Z542" s="129"/>
      <c r="AA542" s="129"/>
      <c r="AB542" s="129"/>
      <c r="AC542" s="129"/>
      <c r="AD542" s="129"/>
      <c r="AE542" s="129"/>
      <c r="AF542" s="129"/>
      <c r="AG542" s="129"/>
      <c r="AH542" s="129"/>
      <c r="AI542" s="129"/>
    </row>
    <row r="543" spans="13:35" x14ac:dyDescent="0.15">
      <c r="M543" s="129"/>
      <c r="N543" s="129"/>
      <c r="O543" s="129"/>
      <c r="P543" s="129"/>
      <c r="Q543" s="129"/>
      <c r="R543" s="129"/>
      <c r="S543" s="129"/>
      <c r="T543" s="129"/>
      <c r="U543" s="129"/>
      <c r="V543" s="129"/>
      <c r="W543" s="129"/>
      <c r="X543" s="129"/>
      <c r="Y543" s="129"/>
      <c r="Z543" s="129"/>
      <c r="AA543" s="129"/>
      <c r="AB543" s="129"/>
      <c r="AC543" s="129"/>
      <c r="AD543" s="129"/>
      <c r="AE543" s="129"/>
      <c r="AF543" s="129"/>
      <c r="AG543" s="129"/>
      <c r="AH543" s="129"/>
      <c r="AI543" s="129"/>
    </row>
    <row r="544" spans="13:35" x14ac:dyDescent="0.15">
      <c r="M544" s="129"/>
      <c r="N544" s="129"/>
      <c r="O544" s="129"/>
      <c r="P544" s="129"/>
      <c r="Q544" s="129"/>
      <c r="R544" s="129"/>
      <c r="S544" s="129"/>
      <c r="T544" s="129"/>
      <c r="U544" s="129"/>
      <c r="V544" s="129"/>
      <c r="W544" s="129"/>
      <c r="X544" s="129"/>
      <c r="Y544" s="129"/>
      <c r="Z544" s="129"/>
      <c r="AA544" s="129"/>
      <c r="AB544" s="129"/>
      <c r="AC544" s="129"/>
      <c r="AD544" s="129"/>
      <c r="AE544" s="129"/>
      <c r="AF544" s="129"/>
      <c r="AG544" s="129"/>
      <c r="AH544" s="129"/>
      <c r="AI544" s="129"/>
    </row>
    <row r="545" spans="13:35" x14ac:dyDescent="0.15">
      <c r="M545" s="129"/>
      <c r="N545" s="129"/>
      <c r="O545" s="129"/>
      <c r="P545" s="129"/>
      <c r="Q545" s="129"/>
      <c r="R545" s="129"/>
      <c r="S545" s="129"/>
      <c r="T545" s="129"/>
      <c r="U545" s="129"/>
      <c r="V545" s="129"/>
      <c r="W545" s="129"/>
      <c r="X545" s="129"/>
      <c r="Y545" s="129"/>
      <c r="Z545" s="129"/>
      <c r="AA545" s="129"/>
      <c r="AB545" s="129"/>
      <c r="AC545" s="129"/>
      <c r="AD545" s="129"/>
      <c r="AE545" s="129"/>
      <c r="AF545" s="129"/>
      <c r="AG545" s="129"/>
      <c r="AH545" s="129"/>
      <c r="AI545" s="129"/>
    </row>
    <row r="546" spans="13:35" x14ac:dyDescent="0.15">
      <c r="M546" s="129"/>
      <c r="N546" s="129"/>
      <c r="O546" s="129"/>
      <c r="P546" s="129"/>
      <c r="Q546" s="129"/>
      <c r="R546" s="129"/>
      <c r="S546" s="129"/>
      <c r="T546" s="129"/>
      <c r="U546" s="129"/>
      <c r="V546" s="129"/>
      <c r="W546" s="129"/>
      <c r="X546" s="129"/>
      <c r="Y546" s="129"/>
      <c r="Z546" s="129"/>
      <c r="AA546" s="129"/>
      <c r="AB546" s="129"/>
      <c r="AC546" s="129"/>
      <c r="AD546" s="129"/>
      <c r="AE546" s="129"/>
      <c r="AF546" s="129"/>
      <c r="AG546" s="129"/>
      <c r="AH546" s="129"/>
      <c r="AI546" s="129"/>
    </row>
    <row r="547" spans="13:35" x14ac:dyDescent="0.15">
      <c r="M547" s="129"/>
      <c r="N547" s="129"/>
      <c r="O547" s="129"/>
      <c r="P547" s="129"/>
      <c r="Q547" s="129"/>
      <c r="R547" s="129"/>
      <c r="S547" s="129"/>
      <c r="T547" s="129"/>
      <c r="U547" s="129"/>
      <c r="V547" s="129"/>
      <c r="W547" s="129"/>
      <c r="X547" s="129"/>
      <c r="Y547" s="129"/>
      <c r="Z547" s="129"/>
      <c r="AA547" s="129"/>
      <c r="AB547" s="129"/>
      <c r="AC547" s="129"/>
      <c r="AD547" s="129"/>
      <c r="AE547" s="129"/>
      <c r="AF547" s="129"/>
      <c r="AG547" s="129"/>
      <c r="AH547" s="129"/>
      <c r="AI547" s="129"/>
    </row>
    <row r="548" spans="13:35" x14ac:dyDescent="0.15">
      <c r="M548" s="129"/>
      <c r="N548" s="129"/>
      <c r="O548" s="129"/>
      <c r="P548" s="129"/>
      <c r="Q548" s="129"/>
      <c r="R548" s="129"/>
      <c r="S548" s="129"/>
      <c r="T548" s="129"/>
      <c r="U548" s="129"/>
      <c r="V548" s="129"/>
      <c r="W548" s="129"/>
      <c r="X548" s="129"/>
      <c r="Y548" s="129"/>
      <c r="Z548" s="129"/>
      <c r="AA548" s="129"/>
      <c r="AB548" s="129"/>
      <c r="AC548" s="129"/>
      <c r="AD548" s="129"/>
      <c r="AE548" s="129"/>
      <c r="AF548" s="129"/>
      <c r="AG548" s="129"/>
      <c r="AH548" s="129"/>
      <c r="AI548" s="129"/>
    </row>
    <row r="549" spans="13:35" x14ac:dyDescent="0.15">
      <c r="M549" s="129"/>
      <c r="N549" s="129"/>
      <c r="O549" s="129"/>
      <c r="P549" s="129"/>
      <c r="Q549" s="129"/>
      <c r="R549" s="129"/>
      <c r="S549" s="129"/>
      <c r="T549" s="129"/>
      <c r="U549" s="129"/>
      <c r="V549" s="129"/>
      <c r="W549" s="129"/>
      <c r="X549" s="129"/>
      <c r="Y549" s="129"/>
      <c r="Z549" s="129"/>
      <c r="AA549" s="129"/>
      <c r="AB549" s="129"/>
      <c r="AC549" s="129"/>
      <c r="AD549" s="129"/>
      <c r="AE549" s="129"/>
      <c r="AF549" s="129"/>
      <c r="AG549" s="129"/>
      <c r="AH549" s="129"/>
      <c r="AI549" s="129"/>
    </row>
    <row r="550" spans="13:35" x14ac:dyDescent="0.15">
      <c r="M550" s="129"/>
      <c r="N550" s="129"/>
      <c r="O550" s="129"/>
      <c r="P550" s="129"/>
      <c r="Q550" s="129"/>
      <c r="R550" s="129"/>
      <c r="S550" s="129"/>
      <c r="T550" s="129"/>
      <c r="U550" s="129"/>
      <c r="V550" s="129"/>
      <c r="W550" s="129"/>
      <c r="X550" s="129"/>
      <c r="Y550" s="129"/>
      <c r="Z550" s="129"/>
      <c r="AA550" s="129"/>
      <c r="AB550" s="129"/>
      <c r="AC550" s="129"/>
      <c r="AD550" s="129"/>
      <c r="AE550" s="129"/>
      <c r="AF550" s="129"/>
      <c r="AG550" s="129"/>
      <c r="AH550" s="129"/>
      <c r="AI550" s="129"/>
    </row>
    <row r="551" spans="13:35" x14ac:dyDescent="0.15">
      <c r="M551" s="129"/>
      <c r="N551" s="129"/>
      <c r="O551" s="129"/>
      <c r="P551" s="129"/>
      <c r="Q551" s="129"/>
      <c r="R551" s="129"/>
      <c r="S551" s="129"/>
      <c r="T551" s="129"/>
      <c r="U551" s="129"/>
      <c r="V551" s="129"/>
      <c r="W551" s="129"/>
      <c r="X551" s="129"/>
      <c r="Y551" s="129"/>
      <c r="Z551" s="129"/>
      <c r="AA551" s="129"/>
      <c r="AB551" s="129"/>
      <c r="AC551" s="129"/>
      <c r="AD551" s="129"/>
      <c r="AE551" s="129"/>
      <c r="AF551" s="129"/>
      <c r="AG551" s="129"/>
      <c r="AH551" s="129"/>
      <c r="AI551" s="129"/>
    </row>
    <row r="552" spans="13:35" x14ac:dyDescent="0.15">
      <c r="M552" s="129"/>
      <c r="N552" s="129"/>
      <c r="O552" s="129"/>
      <c r="P552" s="129"/>
      <c r="Q552" s="129"/>
      <c r="R552" s="129"/>
      <c r="S552" s="129"/>
      <c r="T552" s="129"/>
      <c r="U552" s="129"/>
      <c r="V552" s="129"/>
      <c r="W552" s="129"/>
      <c r="X552" s="129"/>
      <c r="Y552" s="129"/>
      <c r="Z552" s="129"/>
      <c r="AA552" s="129"/>
      <c r="AB552" s="129"/>
      <c r="AC552" s="129"/>
      <c r="AD552" s="129"/>
      <c r="AE552" s="129"/>
      <c r="AF552" s="129"/>
      <c r="AG552" s="129"/>
      <c r="AH552" s="129"/>
      <c r="AI552" s="129"/>
    </row>
    <row r="553" spans="13:35" x14ac:dyDescent="0.15">
      <c r="M553" s="129"/>
      <c r="N553" s="129"/>
      <c r="O553" s="129"/>
      <c r="P553" s="129"/>
      <c r="Q553" s="129"/>
      <c r="R553" s="129"/>
      <c r="S553" s="129"/>
      <c r="T553" s="129"/>
      <c r="U553" s="129"/>
      <c r="V553" s="129"/>
      <c r="W553" s="129"/>
      <c r="X553" s="129"/>
      <c r="Y553" s="129"/>
      <c r="Z553" s="129"/>
      <c r="AA553" s="129"/>
      <c r="AB553" s="129"/>
      <c r="AC553" s="129"/>
      <c r="AD553" s="129"/>
      <c r="AE553" s="129"/>
      <c r="AF553" s="129"/>
      <c r="AG553" s="129"/>
      <c r="AH553" s="129"/>
      <c r="AI553" s="129"/>
    </row>
    <row r="554" spans="13:35" x14ac:dyDescent="0.15">
      <c r="M554" s="129"/>
      <c r="N554" s="129"/>
      <c r="O554" s="129"/>
      <c r="P554" s="129"/>
      <c r="Q554" s="129"/>
      <c r="R554" s="129"/>
      <c r="S554" s="129"/>
      <c r="T554" s="129"/>
      <c r="U554" s="129"/>
      <c r="V554" s="129"/>
      <c r="W554" s="129"/>
      <c r="X554" s="129"/>
      <c r="Y554" s="129"/>
      <c r="Z554" s="129"/>
      <c r="AA554" s="129"/>
      <c r="AB554" s="129"/>
      <c r="AC554" s="129"/>
      <c r="AD554" s="129"/>
      <c r="AE554" s="129"/>
      <c r="AF554" s="129"/>
      <c r="AG554" s="129"/>
      <c r="AH554" s="129"/>
      <c r="AI554" s="129"/>
    </row>
    <row r="555" spans="13:35" x14ac:dyDescent="0.15">
      <c r="M555" s="129"/>
      <c r="N555" s="129"/>
      <c r="O555" s="129"/>
      <c r="P555" s="129"/>
      <c r="Q555" s="129"/>
      <c r="R555" s="129"/>
      <c r="S555" s="129"/>
      <c r="T555" s="129"/>
      <c r="U555" s="129"/>
      <c r="V555" s="129"/>
      <c r="W555" s="129"/>
      <c r="X555" s="129"/>
      <c r="Y555" s="129"/>
      <c r="Z555" s="129"/>
      <c r="AA555" s="129"/>
      <c r="AB555" s="129"/>
      <c r="AC555" s="129"/>
      <c r="AD555" s="129"/>
      <c r="AE555" s="129"/>
      <c r="AF555" s="129"/>
      <c r="AG555" s="129"/>
      <c r="AH555" s="129"/>
      <c r="AI555" s="129"/>
    </row>
    <row r="556" spans="13:35" x14ac:dyDescent="0.15">
      <c r="M556" s="129"/>
      <c r="N556" s="129"/>
      <c r="O556" s="129"/>
      <c r="P556" s="129"/>
      <c r="Q556" s="129"/>
      <c r="R556" s="129"/>
      <c r="S556" s="129"/>
      <c r="T556" s="129"/>
      <c r="U556" s="129"/>
      <c r="V556" s="129"/>
      <c r="W556" s="129"/>
      <c r="X556" s="129"/>
      <c r="Y556" s="129"/>
      <c r="Z556" s="129"/>
      <c r="AA556" s="129"/>
      <c r="AB556" s="129"/>
      <c r="AC556" s="129"/>
      <c r="AD556" s="129"/>
      <c r="AE556" s="129"/>
      <c r="AF556" s="129"/>
      <c r="AG556" s="129"/>
      <c r="AH556" s="129"/>
      <c r="AI556" s="129"/>
    </row>
    <row r="557" spans="13:35" x14ac:dyDescent="0.15">
      <c r="M557" s="129"/>
      <c r="N557" s="129"/>
      <c r="O557" s="129"/>
      <c r="P557" s="129"/>
      <c r="Q557" s="129"/>
      <c r="R557" s="129"/>
      <c r="S557" s="129"/>
      <c r="T557" s="129"/>
      <c r="U557" s="129"/>
      <c r="V557" s="129"/>
      <c r="W557" s="129"/>
      <c r="X557" s="129"/>
      <c r="Y557" s="129"/>
      <c r="Z557" s="129"/>
      <c r="AA557" s="129"/>
      <c r="AB557" s="129"/>
      <c r="AC557" s="129"/>
      <c r="AD557" s="129"/>
      <c r="AE557" s="129"/>
      <c r="AF557" s="129"/>
      <c r="AG557" s="129"/>
      <c r="AH557" s="129"/>
      <c r="AI557" s="129"/>
    </row>
    <row r="558" spans="13:35" x14ac:dyDescent="0.15">
      <c r="M558" s="129"/>
      <c r="N558" s="129"/>
      <c r="O558" s="129"/>
      <c r="P558" s="129"/>
      <c r="Q558" s="129"/>
      <c r="R558" s="129"/>
      <c r="S558" s="129"/>
      <c r="T558" s="129"/>
      <c r="U558" s="129"/>
      <c r="V558" s="129"/>
      <c r="W558" s="129"/>
      <c r="X558" s="129"/>
      <c r="Y558" s="129"/>
      <c r="Z558" s="129"/>
      <c r="AA558" s="129"/>
      <c r="AB558" s="129"/>
      <c r="AC558" s="129"/>
      <c r="AD558" s="129"/>
      <c r="AE558" s="129"/>
      <c r="AF558" s="129"/>
      <c r="AG558" s="129"/>
      <c r="AH558" s="129"/>
      <c r="AI558" s="129"/>
    </row>
    <row r="559" spans="13:35" x14ac:dyDescent="0.15">
      <c r="M559" s="129"/>
      <c r="N559" s="129"/>
      <c r="O559" s="129"/>
      <c r="P559" s="129"/>
      <c r="Q559" s="129"/>
      <c r="R559" s="129"/>
      <c r="S559" s="129"/>
      <c r="T559" s="129"/>
      <c r="U559" s="129"/>
      <c r="V559" s="129"/>
      <c r="W559" s="129"/>
      <c r="X559" s="129"/>
      <c r="Y559" s="129"/>
      <c r="Z559" s="129"/>
      <c r="AA559" s="129"/>
      <c r="AB559" s="129"/>
      <c r="AC559" s="129"/>
      <c r="AD559" s="129"/>
      <c r="AE559" s="129"/>
      <c r="AF559" s="129"/>
      <c r="AG559" s="129"/>
      <c r="AH559" s="129"/>
      <c r="AI559" s="129"/>
    </row>
    <row r="560" spans="13:35" x14ac:dyDescent="0.15">
      <c r="M560" s="129"/>
      <c r="N560" s="129"/>
      <c r="O560" s="129"/>
      <c r="P560" s="129"/>
      <c r="Q560" s="129"/>
      <c r="R560" s="129"/>
      <c r="S560" s="129"/>
      <c r="T560" s="129"/>
      <c r="U560" s="129"/>
      <c r="V560" s="129"/>
      <c r="W560" s="129"/>
      <c r="X560" s="129"/>
      <c r="Y560" s="129"/>
      <c r="Z560" s="129"/>
      <c r="AA560" s="129"/>
      <c r="AB560" s="129"/>
      <c r="AC560" s="129"/>
      <c r="AD560" s="129"/>
      <c r="AE560" s="129"/>
      <c r="AF560" s="129"/>
      <c r="AG560" s="129"/>
      <c r="AH560" s="129"/>
      <c r="AI560" s="129"/>
    </row>
    <row r="561" spans="13:35" x14ac:dyDescent="0.15">
      <c r="M561" s="129"/>
      <c r="N561" s="129"/>
      <c r="O561" s="129"/>
      <c r="P561" s="129"/>
      <c r="Q561" s="129"/>
      <c r="R561" s="129"/>
      <c r="S561" s="129"/>
      <c r="T561" s="129"/>
      <c r="U561" s="129"/>
      <c r="V561" s="129"/>
      <c r="W561" s="129"/>
      <c r="X561" s="129"/>
      <c r="Y561" s="129"/>
      <c r="Z561" s="129"/>
      <c r="AA561" s="129"/>
      <c r="AB561" s="129"/>
      <c r="AC561" s="129"/>
      <c r="AD561" s="129"/>
      <c r="AE561" s="129"/>
      <c r="AF561" s="129"/>
      <c r="AG561" s="129"/>
      <c r="AH561" s="129"/>
      <c r="AI561" s="129"/>
    </row>
    <row r="562" spans="13:35" x14ac:dyDescent="0.15">
      <c r="M562" s="129"/>
      <c r="N562" s="129"/>
      <c r="O562" s="129"/>
      <c r="P562" s="129"/>
      <c r="Q562" s="129"/>
      <c r="R562" s="129"/>
      <c r="S562" s="129"/>
      <c r="T562" s="129"/>
      <c r="U562" s="129"/>
      <c r="V562" s="129"/>
      <c r="W562" s="129"/>
      <c r="X562" s="129"/>
      <c r="Y562" s="129"/>
      <c r="Z562" s="129"/>
      <c r="AA562" s="129"/>
      <c r="AB562" s="129"/>
      <c r="AC562" s="129"/>
      <c r="AD562" s="129"/>
      <c r="AE562" s="129"/>
      <c r="AF562" s="129"/>
      <c r="AG562" s="129"/>
      <c r="AH562" s="129"/>
      <c r="AI562" s="129"/>
    </row>
    <row r="563" spans="13:35" x14ac:dyDescent="0.15">
      <c r="M563" s="129"/>
      <c r="N563" s="129"/>
      <c r="O563" s="129"/>
      <c r="P563" s="129"/>
      <c r="Q563" s="129"/>
      <c r="R563" s="129"/>
      <c r="S563" s="129"/>
      <c r="T563" s="129"/>
      <c r="U563" s="129"/>
      <c r="V563" s="129"/>
      <c r="W563" s="129"/>
      <c r="X563" s="129"/>
      <c r="Y563" s="129"/>
      <c r="Z563" s="129"/>
      <c r="AA563" s="129"/>
      <c r="AB563" s="129"/>
      <c r="AC563" s="129"/>
      <c r="AD563" s="129"/>
      <c r="AE563" s="129"/>
      <c r="AF563" s="129"/>
      <c r="AG563" s="129"/>
      <c r="AH563" s="129"/>
      <c r="AI563" s="129"/>
    </row>
    <row r="564" spans="13:35" x14ac:dyDescent="0.15">
      <c r="M564" s="129"/>
      <c r="N564" s="129"/>
      <c r="O564" s="129"/>
      <c r="P564" s="129"/>
      <c r="Q564" s="129"/>
      <c r="R564" s="129"/>
      <c r="S564" s="129"/>
      <c r="T564" s="129"/>
      <c r="U564" s="129"/>
      <c r="V564" s="129"/>
      <c r="W564" s="129"/>
      <c r="X564" s="129"/>
      <c r="Y564" s="129"/>
      <c r="Z564" s="129"/>
      <c r="AA564" s="129"/>
      <c r="AB564" s="129"/>
      <c r="AC564" s="129"/>
      <c r="AD564" s="129"/>
      <c r="AE564" s="129"/>
      <c r="AF564" s="129"/>
      <c r="AG564" s="129"/>
      <c r="AH564" s="129"/>
      <c r="AI564" s="129"/>
    </row>
    <row r="565" spans="13:35" x14ac:dyDescent="0.15">
      <c r="M565" s="129"/>
      <c r="N565" s="129"/>
      <c r="O565" s="129"/>
      <c r="P565" s="129"/>
      <c r="Q565" s="129"/>
      <c r="R565" s="129"/>
      <c r="S565" s="129"/>
      <c r="T565" s="129"/>
      <c r="U565" s="129"/>
      <c r="V565" s="129"/>
      <c r="W565" s="129"/>
      <c r="X565" s="129"/>
      <c r="Y565" s="129"/>
      <c r="Z565" s="129"/>
      <c r="AA565" s="129"/>
      <c r="AB565" s="129"/>
      <c r="AC565" s="129"/>
      <c r="AD565" s="129"/>
      <c r="AE565" s="129"/>
      <c r="AF565" s="129"/>
      <c r="AG565" s="129"/>
      <c r="AH565" s="129"/>
      <c r="AI565" s="129"/>
    </row>
    <row r="566" spans="13:35" x14ac:dyDescent="0.15">
      <c r="M566" s="129"/>
      <c r="N566" s="129"/>
      <c r="O566" s="129"/>
      <c r="P566" s="129"/>
      <c r="Q566" s="129"/>
      <c r="R566" s="129"/>
      <c r="S566" s="129"/>
      <c r="T566" s="129"/>
      <c r="U566" s="129"/>
      <c r="V566" s="129"/>
      <c r="W566" s="129"/>
      <c r="X566" s="129"/>
      <c r="Y566" s="129"/>
      <c r="Z566" s="129"/>
      <c r="AA566" s="129"/>
      <c r="AB566" s="129"/>
      <c r="AC566" s="129"/>
      <c r="AD566" s="129"/>
      <c r="AE566" s="129"/>
      <c r="AF566" s="129"/>
      <c r="AG566" s="129"/>
      <c r="AH566" s="129"/>
      <c r="AI566" s="129"/>
    </row>
    <row r="567" spans="13:35" x14ac:dyDescent="0.15">
      <c r="M567" s="129"/>
      <c r="N567" s="129"/>
      <c r="O567" s="129"/>
      <c r="P567" s="129"/>
      <c r="Q567" s="129"/>
      <c r="R567" s="129"/>
      <c r="S567" s="129"/>
      <c r="T567" s="129"/>
      <c r="U567" s="129"/>
      <c r="V567" s="129"/>
      <c r="W567" s="129"/>
      <c r="X567" s="129"/>
      <c r="Y567" s="129"/>
      <c r="Z567" s="129"/>
      <c r="AA567" s="129"/>
      <c r="AB567" s="129"/>
      <c r="AC567" s="129"/>
      <c r="AD567" s="129"/>
      <c r="AE567" s="129"/>
      <c r="AF567" s="129"/>
      <c r="AG567" s="129"/>
      <c r="AH567" s="129"/>
      <c r="AI567" s="129"/>
    </row>
    <row r="568" spans="13:35" x14ac:dyDescent="0.15">
      <c r="M568" s="129"/>
      <c r="N568" s="129"/>
      <c r="O568" s="129"/>
      <c r="P568" s="129"/>
      <c r="Q568" s="129"/>
      <c r="R568" s="129"/>
      <c r="S568" s="129"/>
      <c r="T568" s="129"/>
      <c r="U568" s="129"/>
      <c r="V568" s="129"/>
      <c r="W568" s="129"/>
      <c r="X568" s="129"/>
      <c r="Y568" s="129"/>
      <c r="Z568" s="129"/>
      <c r="AA568" s="129"/>
      <c r="AB568" s="129"/>
      <c r="AC568" s="129"/>
      <c r="AD568" s="129"/>
      <c r="AE568" s="129"/>
      <c r="AF568" s="129"/>
      <c r="AG568" s="129"/>
      <c r="AH568" s="129"/>
      <c r="AI568" s="129"/>
    </row>
    <row r="569" spans="13:35" x14ac:dyDescent="0.15">
      <c r="M569" s="129"/>
      <c r="N569" s="129"/>
      <c r="O569" s="129"/>
      <c r="P569" s="129"/>
      <c r="Q569" s="129"/>
      <c r="R569" s="129"/>
      <c r="S569" s="129"/>
      <c r="T569" s="129"/>
      <c r="U569" s="129"/>
      <c r="V569" s="129"/>
      <c r="W569" s="129"/>
      <c r="X569" s="129"/>
      <c r="Y569" s="129"/>
      <c r="Z569" s="129"/>
      <c r="AA569" s="129"/>
      <c r="AB569" s="129"/>
      <c r="AC569" s="129"/>
      <c r="AD569" s="129"/>
      <c r="AE569" s="129"/>
      <c r="AF569" s="129"/>
      <c r="AG569" s="129"/>
      <c r="AH569" s="129"/>
      <c r="AI569" s="129"/>
    </row>
    <row r="570" spans="13:35" x14ac:dyDescent="0.15">
      <c r="M570" s="129"/>
      <c r="N570" s="129"/>
      <c r="O570" s="129"/>
      <c r="P570" s="129"/>
      <c r="Q570" s="129"/>
      <c r="R570" s="129"/>
      <c r="S570" s="129"/>
      <c r="T570" s="129"/>
      <c r="U570" s="129"/>
      <c r="V570" s="129"/>
      <c r="W570" s="129"/>
      <c r="X570" s="129"/>
      <c r="Y570" s="129"/>
      <c r="Z570" s="129"/>
      <c r="AA570" s="129"/>
      <c r="AB570" s="129"/>
      <c r="AC570" s="129"/>
      <c r="AD570" s="129"/>
      <c r="AE570" s="129"/>
      <c r="AF570" s="129"/>
      <c r="AG570" s="129"/>
      <c r="AH570" s="129"/>
      <c r="AI570" s="129"/>
    </row>
    <row r="571" spans="13:35" x14ac:dyDescent="0.15">
      <c r="M571" s="129"/>
      <c r="N571" s="129"/>
      <c r="O571" s="129"/>
      <c r="P571" s="129"/>
      <c r="Q571" s="129"/>
      <c r="R571" s="129"/>
      <c r="S571" s="129"/>
      <c r="T571" s="129"/>
      <c r="U571" s="129"/>
      <c r="V571" s="129"/>
      <c r="W571" s="129"/>
      <c r="X571" s="129"/>
      <c r="Y571" s="129"/>
      <c r="Z571" s="129"/>
      <c r="AA571" s="129"/>
      <c r="AB571" s="129"/>
      <c r="AC571" s="129"/>
      <c r="AD571" s="129"/>
      <c r="AE571" s="129"/>
      <c r="AF571" s="129"/>
      <c r="AG571" s="129"/>
      <c r="AH571" s="129"/>
      <c r="AI571" s="129"/>
    </row>
    <row r="572" spans="13:35" x14ac:dyDescent="0.15">
      <c r="M572" s="129"/>
      <c r="N572" s="129"/>
      <c r="O572" s="129"/>
      <c r="P572" s="129"/>
      <c r="Q572" s="129"/>
      <c r="R572" s="129"/>
      <c r="S572" s="129"/>
      <c r="T572" s="129"/>
      <c r="U572" s="129"/>
      <c r="V572" s="129"/>
      <c r="W572" s="129"/>
      <c r="X572" s="129"/>
      <c r="Y572" s="129"/>
      <c r="Z572" s="129"/>
      <c r="AA572" s="129"/>
      <c r="AB572" s="129"/>
      <c r="AC572" s="129"/>
      <c r="AD572" s="129"/>
      <c r="AE572" s="129"/>
      <c r="AF572" s="129"/>
      <c r="AG572" s="129"/>
      <c r="AH572" s="129"/>
      <c r="AI572" s="129"/>
    </row>
    <row r="573" spans="13:35" x14ac:dyDescent="0.15">
      <c r="M573" s="129"/>
      <c r="N573" s="129"/>
      <c r="O573" s="129"/>
      <c r="P573" s="129"/>
      <c r="Q573" s="129"/>
      <c r="R573" s="129"/>
      <c r="S573" s="129"/>
      <c r="T573" s="129"/>
      <c r="U573" s="129"/>
      <c r="V573" s="129"/>
      <c r="W573" s="129"/>
      <c r="X573" s="129"/>
      <c r="Y573" s="129"/>
      <c r="Z573" s="129"/>
      <c r="AA573" s="129"/>
      <c r="AB573" s="129"/>
      <c r="AC573" s="129"/>
      <c r="AD573" s="129"/>
      <c r="AE573" s="129"/>
      <c r="AF573" s="129"/>
      <c r="AG573" s="129"/>
      <c r="AH573" s="129"/>
      <c r="AI573" s="129"/>
    </row>
    <row r="574" spans="13:35" x14ac:dyDescent="0.15">
      <c r="M574" s="129"/>
      <c r="N574" s="129"/>
      <c r="O574" s="129"/>
      <c r="P574" s="129"/>
      <c r="Q574" s="129"/>
      <c r="R574" s="129"/>
      <c r="S574" s="129"/>
      <c r="T574" s="129"/>
      <c r="U574" s="129"/>
      <c r="V574" s="129"/>
      <c r="W574" s="129"/>
      <c r="X574" s="129"/>
      <c r="Y574" s="129"/>
      <c r="Z574" s="129"/>
      <c r="AA574" s="129"/>
      <c r="AB574" s="129"/>
      <c r="AC574" s="129"/>
      <c r="AD574" s="129"/>
      <c r="AE574" s="129"/>
      <c r="AF574" s="129"/>
      <c r="AG574" s="129"/>
      <c r="AH574" s="129"/>
      <c r="AI574" s="129"/>
    </row>
    <row r="575" spans="13:35" x14ac:dyDescent="0.15">
      <c r="M575" s="129"/>
      <c r="N575" s="129"/>
      <c r="O575" s="129"/>
      <c r="P575" s="129"/>
      <c r="Q575" s="129"/>
      <c r="R575" s="129"/>
      <c r="S575" s="129"/>
      <c r="T575" s="129"/>
      <c r="U575" s="129"/>
      <c r="V575" s="129"/>
      <c r="W575" s="129"/>
      <c r="X575" s="129"/>
      <c r="Y575" s="129"/>
      <c r="Z575" s="129"/>
      <c r="AA575" s="129"/>
      <c r="AB575" s="129"/>
      <c r="AC575" s="129"/>
      <c r="AD575" s="129"/>
      <c r="AE575" s="129"/>
      <c r="AF575" s="129"/>
      <c r="AG575" s="129"/>
      <c r="AH575" s="129"/>
      <c r="AI575" s="129"/>
    </row>
    <row r="576" spans="13:35" x14ac:dyDescent="0.15">
      <c r="M576" s="129"/>
      <c r="N576" s="129"/>
      <c r="O576" s="129"/>
      <c r="P576" s="129"/>
      <c r="Q576" s="129"/>
      <c r="R576" s="129"/>
      <c r="S576" s="129"/>
      <c r="T576" s="129"/>
      <c r="U576" s="129"/>
      <c r="V576" s="129"/>
      <c r="W576" s="129"/>
      <c r="X576" s="129"/>
      <c r="Y576" s="129"/>
      <c r="Z576" s="129"/>
      <c r="AA576" s="129"/>
      <c r="AB576" s="129"/>
      <c r="AC576" s="129"/>
      <c r="AD576" s="129"/>
      <c r="AE576" s="129"/>
      <c r="AF576" s="129"/>
      <c r="AG576" s="129"/>
      <c r="AH576" s="129"/>
      <c r="AI576" s="129"/>
    </row>
    <row r="577" spans="13:35" x14ac:dyDescent="0.15">
      <c r="M577" s="129"/>
      <c r="N577" s="129"/>
      <c r="O577" s="129"/>
      <c r="P577" s="129"/>
      <c r="Q577" s="129"/>
      <c r="R577" s="129"/>
      <c r="S577" s="129"/>
      <c r="T577" s="129"/>
      <c r="U577" s="129"/>
      <c r="V577" s="129"/>
      <c r="W577" s="129"/>
      <c r="X577" s="129"/>
      <c r="Y577" s="129"/>
      <c r="Z577" s="129"/>
      <c r="AA577" s="129"/>
      <c r="AB577" s="129"/>
      <c r="AC577" s="129"/>
      <c r="AD577" s="129"/>
      <c r="AE577" s="129"/>
      <c r="AF577" s="129"/>
      <c r="AG577" s="129"/>
      <c r="AH577" s="129"/>
      <c r="AI577" s="129"/>
    </row>
    <row r="578" spans="13:35" x14ac:dyDescent="0.15">
      <c r="M578" s="129"/>
      <c r="N578" s="129"/>
      <c r="O578" s="129"/>
      <c r="P578" s="129"/>
      <c r="Q578" s="129"/>
      <c r="R578" s="129"/>
      <c r="S578" s="129"/>
      <c r="T578" s="129"/>
      <c r="U578" s="129"/>
      <c r="V578" s="129"/>
      <c r="W578" s="129"/>
      <c r="X578" s="129"/>
      <c r="Y578" s="129"/>
      <c r="Z578" s="129"/>
      <c r="AA578" s="129"/>
      <c r="AB578" s="129"/>
      <c r="AC578" s="129"/>
      <c r="AD578" s="129"/>
      <c r="AE578" s="129"/>
      <c r="AF578" s="129"/>
      <c r="AG578" s="129"/>
      <c r="AH578" s="129"/>
      <c r="AI578" s="129"/>
    </row>
    <row r="579" spans="13:35" x14ac:dyDescent="0.15">
      <c r="M579" s="129"/>
      <c r="N579" s="129"/>
      <c r="O579" s="129"/>
      <c r="P579" s="129"/>
      <c r="Q579" s="129"/>
      <c r="R579" s="129"/>
      <c r="S579" s="129"/>
      <c r="T579" s="129"/>
      <c r="U579" s="129"/>
      <c r="V579" s="129"/>
      <c r="W579" s="129"/>
      <c r="X579" s="129"/>
      <c r="Y579" s="129"/>
      <c r="Z579" s="129"/>
      <c r="AA579" s="129"/>
      <c r="AB579" s="129"/>
      <c r="AC579" s="129"/>
      <c r="AD579" s="129"/>
      <c r="AE579" s="129"/>
      <c r="AF579" s="129"/>
      <c r="AG579" s="129"/>
      <c r="AH579" s="129"/>
      <c r="AI579" s="129"/>
    </row>
    <row r="580" spans="13:35" x14ac:dyDescent="0.15">
      <c r="M580" s="129"/>
      <c r="N580" s="129"/>
      <c r="O580" s="129"/>
      <c r="P580" s="129"/>
      <c r="Q580" s="129"/>
      <c r="R580" s="129"/>
      <c r="S580" s="129"/>
      <c r="T580" s="129"/>
      <c r="U580" s="129"/>
      <c r="V580" s="129"/>
      <c r="W580" s="129"/>
      <c r="X580" s="129"/>
      <c r="Y580" s="129"/>
      <c r="Z580" s="129"/>
      <c r="AA580" s="129"/>
      <c r="AB580" s="129"/>
      <c r="AC580" s="129"/>
      <c r="AD580" s="129"/>
      <c r="AE580" s="129"/>
      <c r="AF580" s="129"/>
      <c r="AG580" s="129"/>
      <c r="AH580" s="129"/>
      <c r="AI580" s="129"/>
    </row>
    <row r="581" spans="13:35" x14ac:dyDescent="0.15">
      <c r="M581" s="129"/>
      <c r="N581" s="129"/>
      <c r="O581" s="129"/>
      <c r="P581" s="129"/>
      <c r="Q581" s="129"/>
      <c r="R581" s="129"/>
      <c r="S581" s="129"/>
      <c r="T581" s="129"/>
      <c r="U581" s="129"/>
      <c r="V581" s="129"/>
      <c r="W581" s="129"/>
      <c r="X581" s="129"/>
      <c r="Y581" s="129"/>
      <c r="Z581" s="129"/>
      <c r="AA581" s="129"/>
      <c r="AB581" s="129"/>
      <c r="AC581" s="129"/>
      <c r="AD581" s="129"/>
      <c r="AE581" s="129"/>
      <c r="AF581" s="129"/>
      <c r="AG581" s="129"/>
      <c r="AH581" s="129"/>
      <c r="AI581" s="129"/>
    </row>
    <row r="582" spans="13:35" x14ac:dyDescent="0.15">
      <c r="M582" s="129"/>
      <c r="N582" s="129"/>
      <c r="O582" s="129"/>
      <c r="P582" s="129"/>
      <c r="Q582" s="129"/>
      <c r="R582" s="129"/>
      <c r="S582" s="129"/>
      <c r="T582" s="129"/>
      <c r="U582" s="129"/>
      <c r="V582" s="129"/>
      <c r="W582" s="129"/>
      <c r="X582" s="129"/>
      <c r="Y582" s="129"/>
      <c r="Z582" s="129"/>
      <c r="AA582" s="129"/>
      <c r="AB582" s="129"/>
      <c r="AC582" s="129"/>
      <c r="AD582" s="129"/>
      <c r="AE582" s="129"/>
      <c r="AF582" s="129"/>
      <c r="AG582" s="129"/>
      <c r="AH582" s="129"/>
      <c r="AI582" s="129"/>
    </row>
    <row r="583" spans="13:35" x14ac:dyDescent="0.15">
      <c r="M583" s="129"/>
      <c r="N583" s="129"/>
      <c r="O583" s="129"/>
      <c r="P583" s="129"/>
      <c r="Q583" s="129"/>
      <c r="R583" s="129"/>
      <c r="S583" s="129"/>
      <c r="T583" s="129"/>
      <c r="U583" s="129"/>
      <c r="V583" s="129"/>
      <c r="W583" s="129"/>
      <c r="X583" s="129"/>
      <c r="Y583" s="129"/>
      <c r="Z583" s="129"/>
      <c r="AA583" s="129"/>
      <c r="AB583" s="129"/>
      <c r="AC583" s="129"/>
      <c r="AD583" s="129"/>
      <c r="AE583" s="129"/>
      <c r="AF583" s="129"/>
      <c r="AG583" s="129"/>
      <c r="AH583" s="129"/>
      <c r="AI583" s="129"/>
    </row>
    <row r="584" spans="13:35" x14ac:dyDescent="0.15">
      <c r="M584" s="129"/>
      <c r="N584" s="129"/>
      <c r="O584" s="129"/>
      <c r="P584" s="129"/>
      <c r="Q584" s="129"/>
      <c r="R584" s="129"/>
      <c r="S584" s="129"/>
      <c r="T584" s="129"/>
      <c r="U584" s="129"/>
      <c r="V584" s="129"/>
      <c r="W584" s="129"/>
      <c r="X584" s="129"/>
      <c r="Y584" s="129"/>
      <c r="Z584" s="129"/>
      <c r="AA584" s="129"/>
      <c r="AB584" s="129"/>
      <c r="AC584" s="129"/>
      <c r="AD584" s="129"/>
      <c r="AE584" s="129"/>
      <c r="AF584" s="129"/>
      <c r="AG584" s="129"/>
      <c r="AH584" s="129"/>
      <c r="AI584" s="129"/>
    </row>
    <row r="585" spans="13:35" x14ac:dyDescent="0.15">
      <c r="M585" s="129"/>
      <c r="N585" s="129"/>
      <c r="O585" s="129"/>
      <c r="P585" s="129"/>
      <c r="Q585" s="129"/>
      <c r="R585" s="129"/>
      <c r="S585" s="129"/>
      <c r="T585" s="129"/>
      <c r="U585" s="129"/>
      <c r="V585" s="129"/>
      <c r="W585" s="129"/>
      <c r="X585" s="129"/>
      <c r="Y585" s="129"/>
      <c r="Z585" s="129"/>
      <c r="AA585" s="129"/>
      <c r="AB585" s="129"/>
      <c r="AC585" s="129"/>
      <c r="AD585" s="129"/>
      <c r="AE585" s="129"/>
      <c r="AF585" s="129"/>
      <c r="AG585" s="129"/>
      <c r="AH585" s="129"/>
      <c r="AI585" s="129"/>
    </row>
    <row r="586" spans="13:35" x14ac:dyDescent="0.15">
      <c r="M586" s="129"/>
      <c r="N586" s="129"/>
      <c r="O586" s="129"/>
      <c r="P586" s="129"/>
      <c r="Q586" s="129"/>
      <c r="R586" s="129"/>
      <c r="S586" s="129"/>
      <c r="T586" s="129"/>
      <c r="U586" s="129"/>
      <c r="V586" s="129"/>
      <c r="W586" s="129"/>
      <c r="X586" s="129"/>
      <c r="Y586" s="129"/>
      <c r="Z586" s="129"/>
      <c r="AA586" s="129"/>
      <c r="AB586" s="129"/>
      <c r="AC586" s="129"/>
      <c r="AD586" s="129"/>
      <c r="AE586" s="129"/>
      <c r="AF586" s="129"/>
      <c r="AG586" s="129"/>
      <c r="AH586" s="129"/>
      <c r="AI586" s="129"/>
    </row>
    <row r="587" spans="13:35" x14ac:dyDescent="0.15">
      <c r="M587" s="129"/>
      <c r="N587" s="129"/>
      <c r="O587" s="129"/>
      <c r="P587" s="129"/>
      <c r="Q587" s="129"/>
      <c r="R587" s="129"/>
      <c r="S587" s="129"/>
      <c r="T587" s="129"/>
      <c r="U587" s="129"/>
      <c r="V587" s="129"/>
      <c r="W587" s="129"/>
      <c r="X587" s="129"/>
      <c r="Y587" s="129"/>
      <c r="Z587" s="129"/>
      <c r="AA587" s="129"/>
      <c r="AB587" s="129"/>
      <c r="AC587" s="129"/>
      <c r="AD587" s="129"/>
      <c r="AE587" s="129"/>
      <c r="AF587" s="129"/>
      <c r="AG587" s="129"/>
      <c r="AH587" s="129"/>
      <c r="AI587" s="129"/>
    </row>
    <row r="588" spans="13:35" x14ac:dyDescent="0.15">
      <c r="M588" s="129"/>
      <c r="N588" s="129"/>
      <c r="O588" s="129"/>
      <c r="P588" s="129"/>
      <c r="Q588" s="129"/>
      <c r="R588" s="129"/>
      <c r="S588" s="129"/>
      <c r="T588" s="129"/>
      <c r="U588" s="129"/>
      <c r="V588" s="129"/>
      <c r="W588" s="129"/>
      <c r="X588" s="129"/>
      <c r="Y588" s="129"/>
      <c r="Z588" s="129"/>
      <c r="AA588" s="129"/>
      <c r="AB588" s="129"/>
      <c r="AC588" s="129"/>
      <c r="AD588" s="129"/>
      <c r="AE588" s="129"/>
      <c r="AF588" s="129"/>
      <c r="AG588" s="129"/>
      <c r="AH588" s="129"/>
      <c r="AI588" s="129"/>
    </row>
    <row r="589" spans="13:35" x14ac:dyDescent="0.15">
      <c r="M589" s="129"/>
      <c r="N589" s="129"/>
      <c r="O589" s="129"/>
      <c r="P589" s="129"/>
      <c r="Q589" s="129"/>
      <c r="R589" s="129"/>
      <c r="S589" s="129"/>
      <c r="T589" s="129"/>
      <c r="U589" s="129"/>
      <c r="V589" s="129"/>
      <c r="W589" s="129"/>
      <c r="X589" s="129"/>
      <c r="Y589" s="129"/>
      <c r="Z589" s="129"/>
      <c r="AA589" s="129"/>
      <c r="AB589" s="129"/>
      <c r="AC589" s="129"/>
      <c r="AD589" s="129"/>
      <c r="AE589" s="129"/>
      <c r="AF589" s="129"/>
      <c r="AG589" s="129"/>
      <c r="AH589" s="129"/>
      <c r="AI589" s="129"/>
    </row>
    <row r="590" spans="13:35" x14ac:dyDescent="0.15">
      <c r="M590" s="129"/>
      <c r="N590" s="129"/>
      <c r="O590" s="129"/>
      <c r="P590" s="129"/>
      <c r="Q590" s="129"/>
      <c r="R590" s="129"/>
      <c r="S590" s="129"/>
      <c r="T590" s="129"/>
      <c r="U590" s="129"/>
      <c r="V590" s="129"/>
      <c r="W590" s="129"/>
      <c r="X590" s="129"/>
      <c r="Y590" s="129"/>
      <c r="Z590" s="129"/>
      <c r="AA590" s="129"/>
      <c r="AB590" s="129"/>
      <c r="AC590" s="129"/>
      <c r="AD590" s="129"/>
      <c r="AE590" s="129"/>
      <c r="AF590" s="129"/>
      <c r="AG590" s="129"/>
      <c r="AH590" s="129"/>
      <c r="AI590" s="129"/>
    </row>
    <row r="591" spans="13:35" x14ac:dyDescent="0.15">
      <c r="M591" s="129"/>
      <c r="N591" s="129"/>
      <c r="O591" s="129"/>
      <c r="P591" s="129"/>
      <c r="Q591" s="129"/>
      <c r="R591" s="129"/>
      <c r="S591" s="129"/>
      <c r="T591" s="129"/>
      <c r="U591" s="129"/>
      <c r="V591" s="129"/>
      <c r="W591" s="129"/>
      <c r="X591" s="129"/>
      <c r="Y591" s="129"/>
      <c r="Z591" s="129"/>
      <c r="AA591" s="129"/>
      <c r="AB591" s="129"/>
      <c r="AC591" s="129"/>
      <c r="AD591" s="129"/>
      <c r="AE591" s="129"/>
      <c r="AF591" s="129"/>
      <c r="AG591" s="129"/>
      <c r="AH591" s="129"/>
      <c r="AI591" s="129"/>
    </row>
    <row r="592" spans="13:35" x14ac:dyDescent="0.15">
      <c r="M592" s="129"/>
      <c r="N592" s="129"/>
      <c r="O592" s="129"/>
      <c r="P592" s="129"/>
      <c r="Q592" s="129"/>
      <c r="R592" s="129"/>
      <c r="S592" s="129"/>
      <c r="T592" s="129"/>
      <c r="U592" s="129"/>
      <c r="V592" s="129"/>
      <c r="W592" s="129"/>
      <c r="X592" s="129"/>
      <c r="Y592" s="129"/>
      <c r="Z592" s="129"/>
      <c r="AA592" s="129"/>
      <c r="AB592" s="129"/>
      <c r="AC592" s="129"/>
      <c r="AD592" s="129"/>
      <c r="AE592" s="129"/>
      <c r="AF592" s="129"/>
      <c r="AG592" s="129"/>
      <c r="AH592" s="129"/>
      <c r="AI592" s="129"/>
    </row>
    <row r="593" spans="13:35" x14ac:dyDescent="0.15">
      <c r="M593" s="129"/>
      <c r="N593" s="129"/>
      <c r="O593" s="129"/>
      <c r="P593" s="129"/>
      <c r="Q593" s="129"/>
      <c r="R593" s="129"/>
      <c r="S593" s="129"/>
      <c r="T593" s="129"/>
      <c r="U593" s="129"/>
      <c r="V593" s="129"/>
      <c r="W593" s="129"/>
      <c r="X593" s="129"/>
      <c r="Y593" s="129"/>
      <c r="Z593" s="129"/>
      <c r="AA593" s="129"/>
      <c r="AB593" s="129"/>
      <c r="AC593" s="129"/>
      <c r="AD593" s="129"/>
      <c r="AE593" s="129"/>
      <c r="AF593" s="129"/>
      <c r="AG593" s="129"/>
      <c r="AH593" s="129"/>
      <c r="AI593" s="129"/>
    </row>
    <row r="594" spans="13:35" x14ac:dyDescent="0.15">
      <c r="M594" s="129"/>
      <c r="N594" s="129"/>
      <c r="O594" s="129"/>
      <c r="P594" s="129"/>
      <c r="Q594" s="129"/>
      <c r="R594" s="129"/>
      <c r="S594" s="129"/>
      <c r="T594" s="129"/>
      <c r="U594" s="129"/>
      <c r="V594" s="129"/>
      <c r="W594" s="129"/>
      <c r="X594" s="129"/>
      <c r="Y594" s="129"/>
      <c r="Z594" s="129"/>
      <c r="AA594" s="129"/>
      <c r="AB594" s="129"/>
      <c r="AC594" s="129"/>
      <c r="AD594" s="129"/>
      <c r="AE594" s="129"/>
      <c r="AF594" s="129"/>
      <c r="AG594" s="129"/>
      <c r="AH594" s="129"/>
      <c r="AI594" s="129"/>
    </row>
    <row r="595" spans="13:35" x14ac:dyDescent="0.15">
      <c r="M595" s="129"/>
      <c r="N595" s="129"/>
      <c r="O595" s="129"/>
      <c r="P595" s="129"/>
      <c r="Q595" s="129"/>
      <c r="R595" s="129"/>
      <c r="S595" s="129"/>
      <c r="T595" s="129"/>
      <c r="U595" s="129"/>
      <c r="V595" s="129"/>
      <c r="W595" s="129"/>
      <c r="X595" s="129"/>
      <c r="Y595" s="129"/>
      <c r="Z595" s="129"/>
      <c r="AA595" s="129"/>
      <c r="AB595" s="129"/>
      <c r="AC595" s="129"/>
      <c r="AD595" s="129"/>
      <c r="AE595" s="129"/>
      <c r="AF595" s="129"/>
      <c r="AG595" s="129"/>
      <c r="AH595" s="129"/>
      <c r="AI595" s="129"/>
    </row>
    <row r="596" spans="13:35" x14ac:dyDescent="0.15">
      <c r="M596" s="129"/>
      <c r="N596" s="129"/>
      <c r="O596" s="129"/>
      <c r="P596" s="129"/>
      <c r="Q596" s="129"/>
      <c r="R596" s="129"/>
      <c r="S596" s="129"/>
      <c r="T596" s="129"/>
      <c r="U596" s="129"/>
      <c r="V596" s="129"/>
      <c r="W596" s="129"/>
      <c r="X596" s="129"/>
      <c r="Y596" s="129"/>
      <c r="Z596" s="129"/>
      <c r="AA596" s="129"/>
      <c r="AB596" s="129"/>
      <c r="AC596" s="129"/>
      <c r="AD596" s="129"/>
      <c r="AE596" s="129"/>
      <c r="AF596" s="129"/>
      <c r="AG596" s="129"/>
      <c r="AH596" s="129"/>
      <c r="AI596" s="129"/>
    </row>
    <row r="597" spans="13:35" x14ac:dyDescent="0.15">
      <c r="M597" s="129"/>
      <c r="N597" s="129"/>
      <c r="O597" s="129"/>
      <c r="P597" s="129"/>
      <c r="Q597" s="129"/>
      <c r="R597" s="129"/>
      <c r="S597" s="129"/>
      <c r="T597" s="129"/>
      <c r="U597" s="129"/>
      <c r="V597" s="129"/>
      <c r="W597" s="129"/>
      <c r="X597" s="129"/>
      <c r="Y597" s="129"/>
      <c r="Z597" s="129"/>
      <c r="AA597" s="129"/>
      <c r="AB597" s="129"/>
      <c r="AC597" s="129"/>
      <c r="AD597" s="129"/>
      <c r="AE597" s="129"/>
      <c r="AF597" s="129"/>
      <c r="AG597" s="129"/>
      <c r="AH597" s="129"/>
      <c r="AI597" s="129"/>
    </row>
    <row r="598" spans="13:35" x14ac:dyDescent="0.15">
      <c r="M598" s="129"/>
      <c r="N598" s="129"/>
      <c r="O598" s="129"/>
      <c r="P598" s="129"/>
      <c r="Q598" s="129"/>
      <c r="R598" s="129"/>
      <c r="S598" s="129"/>
      <c r="T598" s="129"/>
      <c r="U598" s="129"/>
      <c r="V598" s="129"/>
      <c r="W598" s="129"/>
      <c r="X598" s="129"/>
      <c r="Y598" s="129"/>
      <c r="Z598" s="129"/>
      <c r="AA598" s="129"/>
      <c r="AB598" s="129"/>
      <c r="AC598" s="129"/>
      <c r="AD598" s="129"/>
      <c r="AE598" s="129"/>
      <c r="AF598" s="129"/>
      <c r="AG598" s="129"/>
      <c r="AH598" s="129"/>
      <c r="AI598" s="129"/>
    </row>
    <row r="599" spans="13:35" x14ac:dyDescent="0.15">
      <c r="M599" s="129"/>
      <c r="N599" s="129"/>
      <c r="O599" s="129"/>
      <c r="P599" s="129"/>
      <c r="Q599" s="129"/>
      <c r="R599" s="129"/>
      <c r="S599" s="129"/>
      <c r="T599" s="129"/>
      <c r="U599" s="129"/>
      <c r="V599" s="129"/>
      <c r="W599" s="129"/>
      <c r="X599" s="129"/>
      <c r="Y599" s="129"/>
      <c r="Z599" s="129"/>
      <c r="AA599" s="129"/>
      <c r="AB599" s="129"/>
      <c r="AC599" s="129"/>
      <c r="AD599" s="129"/>
      <c r="AE599" s="129"/>
      <c r="AF599" s="129"/>
      <c r="AG599" s="129"/>
      <c r="AH599" s="129"/>
      <c r="AI599" s="129"/>
    </row>
    <row r="600" spans="13:35" x14ac:dyDescent="0.15">
      <c r="M600" s="129"/>
      <c r="N600" s="129"/>
      <c r="O600" s="129"/>
      <c r="P600" s="129"/>
      <c r="Q600" s="129"/>
      <c r="R600" s="129"/>
      <c r="S600" s="129"/>
      <c r="T600" s="129"/>
      <c r="U600" s="129"/>
      <c r="V600" s="129"/>
      <c r="W600" s="129"/>
      <c r="X600" s="129"/>
      <c r="Y600" s="129"/>
      <c r="Z600" s="129"/>
      <c r="AA600" s="129"/>
      <c r="AB600" s="129"/>
      <c r="AC600" s="129"/>
      <c r="AD600" s="129"/>
      <c r="AE600" s="129"/>
      <c r="AF600" s="129"/>
      <c r="AG600" s="129"/>
      <c r="AH600" s="129"/>
      <c r="AI600" s="129"/>
    </row>
    <row r="601" spans="13:35" x14ac:dyDescent="0.15">
      <c r="M601" s="129"/>
      <c r="N601" s="129"/>
      <c r="O601" s="129"/>
      <c r="P601" s="129"/>
      <c r="Q601" s="129"/>
      <c r="R601" s="129"/>
      <c r="S601" s="129"/>
      <c r="T601" s="129"/>
      <c r="U601" s="129"/>
      <c r="V601" s="129"/>
      <c r="W601" s="129"/>
      <c r="X601" s="129"/>
      <c r="Y601" s="129"/>
      <c r="Z601" s="129"/>
      <c r="AA601" s="129"/>
      <c r="AB601" s="129"/>
      <c r="AC601" s="129"/>
      <c r="AD601" s="129"/>
      <c r="AE601" s="129"/>
      <c r="AF601" s="129"/>
      <c r="AG601" s="129"/>
      <c r="AH601" s="129"/>
      <c r="AI601" s="129"/>
    </row>
    <row r="602" spans="13:35" x14ac:dyDescent="0.15">
      <c r="M602" s="129"/>
      <c r="N602" s="129"/>
      <c r="O602" s="129"/>
      <c r="P602" s="129"/>
      <c r="Q602" s="129"/>
      <c r="R602" s="129"/>
      <c r="S602" s="129"/>
      <c r="T602" s="129"/>
      <c r="U602" s="129"/>
      <c r="V602" s="129"/>
      <c r="W602" s="129"/>
      <c r="X602" s="129"/>
      <c r="Y602" s="129"/>
      <c r="Z602" s="129"/>
      <c r="AA602" s="129"/>
      <c r="AB602" s="129"/>
      <c r="AC602" s="129"/>
      <c r="AD602" s="129"/>
      <c r="AE602" s="129"/>
      <c r="AF602" s="129"/>
      <c r="AG602" s="129"/>
      <c r="AH602" s="129"/>
      <c r="AI602" s="129"/>
    </row>
    <row r="603" spans="13:35" x14ac:dyDescent="0.15">
      <c r="M603" s="129"/>
      <c r="N603" s="129"/>
      <c r="O603" s="129"/>
      <c r="P603" s="129"/>
      <c r="Q603" s="129"/>
      <c r="R603" s="129"/>
      <c r="S603" s="129"/>
      <c r="T603" s="129"/>
      <c r="U603" s="129"/>
      <c r="V603" s="129"/>
      <c r="W603" s="129"/>
      <c r="X603" s="129"/>
      <c r="Y603" s="129"/>
      <c r="Z603" s="129"/>
      <c r="AA603" s="129"/>
      <c r="AB603" s="129"/>
      <c r="AC603" s="129"/>
      <c r="AD603" s="129"/>
      <c r="AE603" s="129"/>
      <c r="AF603" s="129"/>
      <c r="AG603" s="129"/>
      <c r="AH603" s="129"/>
      <c r="AI603" s="129"/>
    </row>
    <row r="604" spans="13:35" x14ac:dyDescent="0.15">
      <c r="M604" s="129"/>
      <c r="N604" s="129"/>
      <c r="O604" s="129"/>
      <c r="P604" s="129"/>
      <c r="Q604" s="129"/>
      <c r="R604" s="129"/>
      <c r="S604" s="129"/>
      <c r="T604" s="129"/>
      <c r="U604" s="129"/>
      <c r="V604" s="129"/>
      <c r="W604" s="129"/>
      <c r="X604" s="129"/>
      <c r="Y604" s="129"/>
      <c r="Z604" s="129"/>
      <c r="AA604" s="129"/>
      <c r="AB604" s="129"/>
      <c r="AC604" s="129"/>
      <c r="AD604" s="129"/>
      <c r="AE604" s="129"/>
      <c r="AF604" s="129"/>
      <c r="AG604" s="129"/>
      <c r="AH604" s="129"/>
      <c r="AI604" s="129"/>
    </row>
    <row r="605" spans="13:35" x14ac:dyDescent="0.15">
      <c r="M605" s="129"/>
      <c r="N605" s="129"/>
      <c r="O605" s="129"/>
      <c r="P605" s="129"/>
      <c r="Q605" s="129"/>
      <c r="R605" s="129"/>
      <c r="S605" s="129"/>
      <c r="T605" s="129"/>
      <c r="U605" s="129"/>
      <c r="V605" s="129"/>
      <c r="W605" s="129"/>
      <c r="X605" s="129"/>
      <c r="Y605" s="129"/>
      <c r="Z605" s="129"/>
      <c r="AA605" s="129"/>
      <c r="AB605" s="129"/>
      <c r="AC605" s="129"/>
      <c r="AD605" s="129"/>
      <c r="AE605" s="129"/>
      <c r="AF605" s="129"/>
      <c r="AG605" s="129"/>
      <c r="AH605" s="129"/>
      <c r="AI605" s="129"/>
    </row>
    <row r="606" spans="13:35" x14ac:dyDescent="0.15">
      <c r="M606" s="129"/>
      <c r="N606" s="129"/>
      <c r="O606" s="129"/>
      <c r="P606" s="129"/>
      <c r="Q606" s="129"/>
      <c r="R606" s="129"/>
      <c r="S606" s="129"/>
      <c r="T606" s="129"/>
      <c r="U606" s="129"/>
      <c r="V606" s="129"/>
      <c r="W606" s="129"/>
      <c r="X606" s="129"/>
      <c r="Y606" s="129"/>
      <c r="Z606" s="129"/>
      <c r="AA606" s="129"/>
      <c r="AB606" s="129"/>
      <c r="AC606" s="129"/>
      <c r="AD606" s="129"/>
      <c r="AE606" s="129"/>
      <c r="AF606" s="129"/>
      <c r="AG606" s="129"/>
      <c r="AH606" s="129"/>
      <c r="AI606" s="129"/>
    </row>
    <row r="607" spans="13:35" x14ac:dyDescent="0.15">
      <c r="M607" s="129"/>
      <c r="N607" s="129"/>
      <c r="O607" s="129"/>
      <c r="P607" s="129"/>
      <c r="Q607" s="129"/>
      <c r="R607" s="129"/>
      <c r="S607" s="129"/>
      <c r="T607" s="129"/>
      <c r="U607" s="129"/>
      <c r="V607" s="129"/>
      <c r="W607" s="129"/>
      <c r="X607" s="129"/>
      <c r="Y607" s="129"/>
      <c r="Z607" s="129"/>
      <c r="AA607" s="129"/>
      <c r="AB607" s="129"/>
      <c r="AC607" s="129"/>
      <c r="AD607" s="129"/>
      <c r="AE607" s="129"/>
      <c r="AF607" s="129"/>
      <c r="AG607" s="129"/>
      <c r="AH607" s="129"/>
      <c r="AI607" s="129"/>
    </row>
    <row r="608" spans="13:35" x14ac:dyDescent="0.15">
      <c r="M608" s="129"/>
      <c r="N608" s="129"/>
      <c r="O608" s="129"/>
      <c r="P608" s="129"/>
      <c r="Q608" s="129"/>
      <c r="R608" s="129"/>
      <c r="S608" s="129"/>
      <c r="T608" s="129"/>
      <c r="U608" s="129"/>
      <c r="V608" s="129"/>
      <c r="W608" s="129"/>
      <c r="X608" s="129"/>
      <c r="Y608" s="129"/>
      <c r="Z608" s="129"/>
      <c r="AA608" s="129"/>
      <c r="AB608" s="129"/>
      <c r="AC608" s="129"/>
      <c r="AD608" s="129"/>
      <c r="AE608" s="129"/>
      <c r="AF608" s="129"/>
      <c r="AG608" s="129"/>
      <c r="AH608" s="129"/>
      <c r="AI608" s="129"/>
    </row>
    <row r="609" spans="13:35" x14ac:dyDescent="0.15">
      <c r="M609" s="129"/>
      <c r="N609" s="129"/>
      <c r="O609" s="129"/>
      <c r="P609" s="129"/>
      <c r="Q609" s="129"/>
      <c r="R609" s="129"/>
      <c r="S609" s="129"/>
      <c r="T609" s="129"/>
      <c r="U609" s="129"/>
      <c r="V609" s="129"/>
      <c r="W609" s="129"/>
      <c r="X609" s="129"/>
      <c r="Y609" s="129"/>
      <c r="Z609" s="129"/>
      <c r="AA609" s="129"/>
      <c r="AB609" s="129"/>
      <c r="AC609" s="129"/>
      <c r="AD609" s="129"/>
      <c r="AE609" s="129"/>
      <c r="AF609" s="129"/>
      <c r="AG609" s="129"/>
      <c r="AH609" s="129"/>
      <c r="AI609" s="129"/>
    </row>
    <row r="610" spans="13:35" x14ac:dyDescent="0.15">
      <c r="M610" s="129"/>
      <c r="N610" s="129"/>
      <c r="O610" s="129"/>
      <c r="P610" s="129"/>
      <c r="Q610" s="129"/>
      <c r="R610" s="129"/>
      <c r="S610" s="129"/>
      <c r="T610" s="129"/>
      <c r="U610" s="129"/>
      <c r="V610" s="129"/>
      <c r="W610" s="129"/>
      <c r="X610" s="129"/>
      <c r="Y610" s="129"/>
      <c r="Z610" s="129"/>
      <c r="AA610" s="129"/>
      <c r="AB610" s="129"/>
      <c r="AC610" s="129"/>
      <c r="AD610" s="129"/>
      <c r="AE610" s="129"/>
      <c r="AF610" s="129"/>
      <c r="AG610" s="129"/>
      <c r="AH610" s="129"/>
      <c r="AI610" s="129"/>
    </row>
    <row r="611" spans="13:35" x14ac:dyDescent="0.15">
      <c r="M611" s="129"/>
      <c r="N611" s="129"/>
      <c r="O611" s="129"/>
      <c r="P611" s="129"/>
      <c r="Q611" s="129"/>
      <c r="R611" s="129"/>
      <c r="S611" s="129"/>
      <c r="T611" s="129"/>
      <c r="U611" s="129"/>
      <c r="V611" s="129"/>
      <c r="W611" s="129"/>
      <c r="X611" s="129"/>
      <c r="Y611" s="129"/>
      <c r="Z611" s="129"/>
      <c r="AA611" s="129"/>
      <c r="AB611" s="129"/>
      <c r="AC611" s="129"/>
      <c r="AD611" s="129"/>
      <c r="AE611" s="129"/>
      <c r="AF611" s="129"/>
      <c r="AG611" s="129"/>
      <c r="AH611" s="129"/>
      <c r="AI611" s="129"/>
    </row>
    <row r="612" spans="13:35" x14ac:dyDescent="0.15">
      <c r="M612" s="129"/>
      <c r="N612" s="129"/>
      <c r="O612" s="129"/>
      <c r="P612" s="129"/>
      <c r="Q612" s="129"/>
      <c r="R612" s="129"/>
      <c r="S612" s="129"/>
      <c r="T612" s="129"/>
      <c r="U612" s="129"/>
      <c r="V612" s="129"/>
      <c r="W612" s="129"/>
      <c r="X612" s="129"/>
      <c r="Y612" s="129"/>
      <c r="Z612" s="129"/>
      <c r="AA612" s="129"/>
      <c r="AB612" s="129"/>
      <c r="AC612" s="129"/>
      <c r="AD612" s="129"/>
      <c r="AE612" s="129"/>
      <c r="AF612" s="129"/>
      <c r="AG612" s="129"/>
      <c r="AH612" s="129"/>
      <c r="AI612" s="129"/>
    </row>
    <row r="613" spans="13:35" x14ac:dyDescent="0.15">
      <c r="M613" s="129"/>
      <c r="N613" s="129"/>
      <c r="O613" s="129"/>
      <c r="P613" s="129"/>
      <c r="Q613" s="129"/>
      <c r="R613" s="129"/>
      <c r="S613" s="129"/>
      <c r="T613" s="129"/>
      <c r="U613" s="129"/>
      <c r="V613" s="129"/>
      <c r="W613" s="129"/>
      <c r="X613" s="129"/>
      <c r="Y613" s="129"/>
      <c r="Z613" s="129"/>
      <c r="AA613" s="129"/>
      <c r="AB613" s="129"/>
      <c r="AC613" s="129"/>
      <c r="AD613" s="129"/>
      <c r="AE613" s="129"/>
      <c r="AF613" s="129"/>
      <c r="AG613" s="129"/>
      <c r="AH613" s="129"/>
      <c r="AI613" s="129"/>
    </row>
    <row r="614" spans="13:35" x14ac:dyDescent="0.15">
      <c r="M614" s="129"/>
      <c r="N614" s="129"/>
      <c r="O614" s="129"/>
      <c r="P614" s="129"/>
      <c r="Q614" s="129"/>
      <c r="R614" s="129"/>
      <c r="S614" s="129"/>
      <c r="T614" s="129"/>
      <c r="U614" s="129"/>
      <c r="V614" s="129"/>
      <c r="W614" s="129"/>
      <c r="X614" s="129"/>
      <c r="Y614" s="129"/>
      <c r="Z614" s="129"/>
      <c r="AA614" s="129"/>
      <c r="AB614" s="129"/>
      <c r="AC614" s="129"/>
      <c r="AD614" s="129"/>
      <c r="AE614" s="129"/>
      <c r="AF614" s="129"/>
      <c r="AG614" s="129"/>
      <c r="AH614" s="129"/>
      <c r="AI614" s="129"/>
    </row>
    <row r="615" spans="13:35" x14ac:dyDescent="0.15">
      <c r="M615" s="129"/>
      <c r="N615" s="129"/>
      <c r="O615" s="129"/>
      <c r="P615" s="129"/>
      <c r="Q615" s="129"/>
      <c r="R615" s="129"/>
      <c r="S615" s="129"/>
      <c r="T615" s="129"/>
      <c r="U615" s="129"/>
      <c r="V615" s="129"/>
      <c r="W615" s="129"/>
      <c r="X615" s="129"/>
      <c r="Y615" s="129"/>
      <c r="Z615" s="129"/>
      <c r="AA615" s="129"/>
      <c r="AB615" s="129"/>
      <c r="AC615" s="129"/>
      <c r="AD615" s="129"/>
      <c r="AE615" s="129"/>
      <c r="AF615" s="129"/>
      <c r="AG615" s="129"/>
      <c r="AH615" s="129"/>
      <c r="AI615" s="129"/>
    </row>
    <row r="616" spans="13:35" x14ac:dyDescent="0.15">
      <c r="M616" s="129"/>
      <c r="N616" s="129"/>
      <c r="O616" s="129"/>
      <c r="P616" s="129"/>
      <c r="Q616" s="129"/>
      <c r="R616" s="129"/>
      <c r="S616" s="129"/>
      <c r="T616" s="129"/>
      <c r="U616" s="129"/>
      <c r="V616" s="129"/>
      <c r="W616" s="129"/>
      <c r="X616" s="129"/>
      <c r="Y616" s="129"/>
      <c r="Z616" s="129"/>
      <c r="AA616" s="129"/>
      <c r="AB616" s="129"/>
      <c r="AC616" s="129"/>
      <c r="AD616" s="129"/>
      <c r="AE616" s="129"/>
      <c r="AF616" s="129"/>
      <c r="AG616" s="129"/>
      <c r="AH616" s="129"/>
      <c r="AI616" s="129"/>
    </row>
    <row r="617" spans="13:35" x14ac:dyDescent="0.15">
      <c r="M617" s="129"/>
      <c r="N617" s="129"/>
      <c r="O617" s="129"/>
      <c r="P617" s="129"/>
      <c r="Q617" s="129"/>
      <c r="R617" s="129"/>
      <c r="S617" s="129"/>
      <c r="T617" s="129"/>
      <c r="U617" s="129"/>
      <c r="V617" s="129"/>
      <c r="W617" s="129"/>
      <c r="X617" s="129"/>
      <c r="Y617" s="129"/>
      <c r="Z617" s="129"/>
      <c r="AA617" s="129"/>
      <c r="AB617" s="129"/>
      <c r="AC617" s="129"/>
      <c r="AD617" s="129"/>
      <c r="AE617" s="129"/>
      <c r="AF617" s="129"/>
      <c r="AG617" s="129"/>
      <c r="AH617" s="129"/>
      <c r="AI617" s="129"/>
    </row>
    <row r="618" spans="13:35" x14ac:dyDescent="0.15">
      <c r="M618" s="129"/>
      <c r="N618" s="129"/>
      <c r="O618" s="129"/>
      <c r="P618" s="129"/>
      <c r="Q618" s="129"/>
      <c r="R618" s="129"/>
      <c r="S618" s="129"/>
      <c r="T618" s="129"/>
      <c r="U618" s="129"/>
      <c r="V618" s="129"/>
      <c r="W618" s="129"/>
      <c r="X618" s="129"/>
      <c r="Y618" s="129"/>
      <c r="Z618" s="129"/>
      <c r="AA618" s="129"/>
      <c r="AB618" s="129"/>
      <c r="AC618" s="129"/>
      <c r="AD618" s="129"/>
      <c r="AE618" s="129"/>
      <c r="AF618" s="129"/>
      <c r="AG618" s="129"/>
      <c r="AH618" s="129"/>
      <c r="AI618" s="129"/>
    </row>
    <row r="619" spans="13:35" x14ac:dyDescent="0.15">
      <c r="M619" s="129"/>
      <c r="N619" s="129"/>
      <c r="O619" s="129"/>
      <c r="P619" s="129"/>
      <c r="Q619" s="129"/>
      <c r="R619" s="129"/>
      <c r="S619" s="129"/>
      <c r="T619" s="129"/>
      <c r="U619" s="129"/>
      <c r="V619" s="129"/>
      <c r="W619" s="129"/>
      <c r="X619" s="129"/>
      <c r="Y619" s="129"/>
      <c r="Z619" s="129"/>
      <c r="AA619" s="129"/>
      <c r="AB619" s="129"/>
      <c r="AC619" s="129"/>
      <c r="AD619" s="129"/>
      <c r="AE619" s="129"/>
      <c r="AF619" s="129"/>
      <c r="AG619" s="129"/>
      <c r="AH619" s="129"/>
      <c r="AI619" s="129"/>
    </row>
    <row r="620" spans="13:35" x14ac:dyDescent="0.15">
      <c r="M620" s="129"/>
      <c r="N620" s="129"/>
      <c r="O620" s="129"/>
      <c r="P620" s="129"/>
      <c r="Q620" s="129"/>
      <c r="R620" s="129"/>
      <c r="S620" s="129"/>
      <c r="T620" s="129"/>
      <c r="U620" s="129"/>
      <c r="V620" s="129"/>
      <c r="W620" s="129"/>
      <c r="X620" s="129"/>
      <c r="Y620" s="129"/>
      <c r="Z620" s="129"/>
      <c r="AA620" s="129"/>
      <c r="AB620" s="129"/>
      <c r="AC620" s="129"/>
      <c r="AD620" s="129"/>
      <c r="AE620" s="129"/>
      <c r="AF620" s="129"/>
      <c r="AG620" s="129"/>
      <c r="AH620" s="129"/>
      <c r="AI620" s="129"/>
    </row>
    <row r="621" spans="13:35" x14ac:dyDescent="0.15">
      <c r="M621" s="129"/>
      <c r="N621" s="129"/>
      <c r="O621" s="129"/>
      <c r="P621" s="129"/>
      <c r="Q621" s="129"/>
      <c r="R621" s="129"/>
      <c r="S621" s="129"/>
      <c r="T621" s="129"/>
      <c r="U621" s="129"/>
      <c r="V621" s="129"/>
      <c r="W621" s="129"/>
      <c r="X621" s="129"/>
      <c r="Y621" s="129"/>
      <c r="Z621" s="129"/>
      <c r="AA621" s="129"/>
      <c r="AB621" s="129"/>
      <c r="AC621" s="129"/>
      <c r="AD621" s="129"/>
      <c r="AE621" s="129"/>
      <c r="AF621" s="129"/>
      <c r="AG621" s="129"/>
      <c r="AH621" s="129"/>
      <c r="AI621" s="129"/>
    </row>
    <row r="622" spans="13:35" x14ac:dyDescent="0.15">
      <c r="M622" s="129"/>
      <c r="N622" s="129"/>
      <c r="O622" s="129"/>
      <c r="P622" s="129"/>
      <c r="Q622" s="129"/>
      <c r="R622" s="129"/>
      <c r="S622" s="129"/>
      <c r="T622" s="129"/>
      <c r="U622" s="129"/>
      <c r="V622" s="129"/>
      <c r="W622" s="129"/>
      <c r="X622" s="129"/>
      <c r="Y622" s="129"/>
      <c r="Z622" s="129"/>
      <c r="AA622" s="129"/>
      <c r="AB622" s="129"/>
      <c r="AC622" s="129"/>
      <c r="AD622" s="129"/>
      <c r="AE622" s="129"/>
      <c r="AF622" s="129"/>
      <c r="AG622" s="129"/>
      <c r="AH622" s="129"/>
      <c r="AI622" s="129"/>
    </row>
    <row r="623" spans="13:35" x14ac:dyDescent="0.15">
      <c r="M623" s="129"/>
      <c r="N623" s="129"/>
      <c r="O623" s="129"/>
      <c r="P623" s="129"/>
      <c r="Q623" s="129"/>
      <c r="R623" s="129"/>
      <c r="S623" s="129"/>
      <c r="T623" s="129"/>
      <c r="U623" s="129"/>
      <c r="V623" s="129"/>
      <c r="W623" s="129"/>
      <c r="X623" s="129"/>
      <c r="Y623" s="129"/>
      <c r="Z623" s="129"/>
      <c r="AA623" s="129"/>
      <c r="AB623" s="129"/>
      <c r="AC623" s="129"/>
      <c r="AD623" s="129"/>
      <c r="AE623" s="129"/>
      <c r="AF623" s="129"/>
      <c r="AG623" s="129"/>
      <c r="AH623" s="129"/>
      <c r="AI623" s="129"/>
    </row>
    <row r="624" spans="13:35" x14ac:dyDescent="0.15">
      <c r="M624" s="129"/>
      <c r="N624" s="129"/>
      <c r="O624" s="129"/>
      <c r="P624" s="129"/>
      <c r="Q624" s="129"/>
      <c r="R624" s="129"/>
      <c r="S624" s="129"/>
      <c r="T624" s="129"/>
      <c r="U624" s="129"/>
      <c r="V624" s="129"/>
      <c r="W624" s="129"/>
      <c r="X624" s="129"/>
      <c r="Y624" s="129"/>
      <c r="Z624" s="129"/>
      <c r="AA624" s="129"/>
      <c r="AB624" s="129"/>
      <c r="AC624" s="129"/>
      <c r="AD624" s="129"/>
      <c r="AE624" s="129"/>
      <c r="AF624" s="129"/>
      <c r="AG624" s="129"/>
      <c r="AH624" s="129"/>
      <c r="AI624" s="129"/>
    </row>
    <row r="625" spans="13:35" x14ac:dyDescent="0.15">
      <c r="M625" s="129"/>
      <c r="N625" s="129"/>
      <c r="O625" s="129"/>
      <c r="P625" s="129"/>
      <c r="Q625" s="129"/>
      <c r="R625" s="129"/>
      <c r="S625" s="129"/>
      <c r="T625" s="129"/>
      <c r="U625" s="129"/>
      <c r="V625" s="129"/>
      <c r="W625" s="129"/>
      <c r="X625" s="129"/>
      <c r="Y625" s="129"/>
      <c r="Z625" s="129"/>
      <c r="AA625" s="129"/>
      <c r="AB625" s="129"/>
      <c r="AC625" s="129"/>
      <c r="AD625" s="129"/>
      <c r="AE625" s="129"/>
      <c r="AF625" s="129"/>
      <c r="AG625" s="129"/>
      <c r="AH625" s="129"/>
      <c r="AI625" s="129"/>
    </row>
    <row r="626" spans="13:35" x14ac:dyDescent="0.15">
      <c r="M626" s="129"/>
      <c r="N626" s="129"/>
      <c r="O626" s="129"/>
      <c r="P626" s="129"/>
      <c r="Q626" s="129"/>
      <c r="R626" s="129"/>
      <c r="S626" s="129"/>
      <c r="T626" s="129"/>
      <c r="U626" s="129"/>
      <c r="V626" s="129"/>
      <c r="W626" s="129"/>
      <c r="X626" s="129"/>
      <c r="Y626" s="129"/>
      <c r="Z626" s="129"/>
      <c r="AA626" s="129"/>
      <c r="AB626" s="129"/>
      <c r="AC626" s="129"/>
      <c r="AD626" s="129"/>
      <c r="AE626" s="129"/>
      <c r="AF626" s="129"/>
      <c r="AG626" s="129"/>
      <c r="AH626" s="129"/>
      <c r="AI626" s="129"/>
    </row>
    <row r="627" spans="13:35" x14ac:dyDescent="0.15">
      <c r="M627" s="129"/>
      <c r="N627" s="129"/>
      <c r="O627" s="129"/>
      <c r="P627" s="129"/>
      <c r="Q627" s="129"/>
      <c r="R627" s="129"/>
      <c r="S627" s="129"/>
      <c r="T627" s="129"/>
      <c r="U627" s="129"/>
      <c r="V627" s="129"/>
      <c r="W627" s="129"/>
      <c r="X627" s="129"/>
      <c r="Y627" s="129"/>
      <c r="Z627" s="129"/>
      <c r="AA627" s="129"/>
      <c r="AB627" s="129"/>
      <c r="AC627" s="129"/>
      <c r="AD627" s="129"/>
      <c r="AE627" s="129"/>
      <c r="AF627" s="129"/>
      <c r="AG627" s="129"/>
      <c r="AH627" s="129"/>
      <c r="AI627" s="129"/>
    </row>
    <row r="628" spans="13:35" x14ac:dyDescent="0.15">
      <c r="M628" s="129"/>
      <c r="N628" s="129"/>
      <c r="O628" s="129"/>
      <c r="P628" s="129"/>
      <c r="Q628" s="129"/>
      <c r="R628" s="129"/>
      <c r="S628" s="129"/>
      <c r="T628" s="129"/>
      <c r="U628" s="129"/>
      <c r="V628" s="129"/>
      <c r="W628" s="129"/>
      <c r="X628" s="129"/>
      <c r="Y628" s="129"/>
      <c r="Z628" s="129"/>
      <c r="AA628" s="129"/>
      <c r="AB628" s="129"/>
      <c r="AC628" s="129"/>
      <c r="AD628" s="129"/>
      <c r="AE628" s="129"/>
      <c r="AF628" s="129"/>
      <c r="AG628" s="129"/>
      <c r="AH628" s="129"/>
      <c r="AI628" s="129"/>
    </row>
    <row r="629" spans="13:35" x14ac:dyDescent="0.15">
      <c r="M629" s="129"/>
      <c r="N629" s="129"/>
      <c r="O629" s="129"/>
      <c r="P629" s="129"/>
      <c r="Q629" s="129"/>
      <c r="R629" s="129"/>
      <c r="S629" s="129"/>
      <c r="T629" s="129"/>
      <c r="U629" s="129"/>
      <c r="V629" s="129"/>
      <c r="W629" s="129"/>
      <c r="X629" s="129"/>
      <c r="Y629" s="129"/>
      <c r="Z629" s="129"/>
      <c r="AA629" s="129"/>
      <c r="AB629" s="129"/>
      <c r="AC629" s="129"/>
      <c r="AD629" s="129"/>
      <c r="AE629" s="129"/>
      <c r="AF629" s="129"/>
      <c r="AG629" s="129"/>
      <c r="AH629" s="129"/>
      <c r="AI629" s="129"/>
    </row>
    <row r="630" spans="13:35" x14ac:dyDescent="0.15">
      <c r="M630" s="129"/>
      <c r="N630" s="129"/>
      <c r="O630" s="129"/>
      <c r="P630" s="129"/>
      <c r="Q630" s="129"/>
      <c r="R630" s="129"/>
      <c r="S630" s="129"/>
      <c r="T630" s="129"/>
      <c r="U630" s="129"/>
      <c r="V630" s="129"/>
      <c r="W630" s="129"/>
      <c r="X630" s="129"/>
      <c r="Y630" s="129"/>
      <c r="Z630" s="129"/>
      <c r="AA630" s="129"/>
      <c r="AB630" s="129"/>
      <c r="AC630" s="129"/>
      <c r="AD630" s="129"/>
      <c r="AE630" s="129"/>
      <c r="AF630" s="129"/>
      <c r="AG630" s="129"/>
      <c r="AH630" s="129"/>
      <c r="AI630" s="129"/>
    </row>
    <row r="631" spans="13:35" x14ac:dyDescent="0.15">
      <c r="M631" s="129"/>
      <c r="N631" s="129"/>
      <c r="O631" s="129"/>
      <c r="P631" s="129"/>
      <c r="Q631" s="129"/>
      <c r="R631" s="129"/>
      <c r="S631" s="129"/>
      <c r="T631" s="129"/>
      <c r="U631" s="129"/>
      <c r="V631" s="129"/>
      <c r="W631" s="129"/>
      <c r="X631" s="129"/>
      <c r="Y631" s="129"/>
      <c r="Z631" s="129"/>
      <c r="AA631" s="129"/>
      <c r="AB631" s="129"/>
      <c r="AC631" s="129"/>
      <c r="AD631" s="129"/>
      <c r="AE631" s="129"/>
      <c r="AF631" s="129"/>
      <c r="AG631" s="129"/>
      <c r="AH631" s="129"/>
      <c r="AI631" s="129"/>
    </row>
    <row r="632" spans="13:35" x14ac:dyDescent="0.15">
      <c r="M632" s="129"/>
      <c r="N632" s="129"/>
      <c r="O632" s="129"/>
      <c r="P632" s="129"/>
      <c r="Q632" s="129"/>
      <c r="R632" s="129"/>
      <c r="S632" s="129"/>
      <c r="T632" s="129"/>
      <c r="U632" s="129"/>
      <c r="V632" s="129"/>
      <c r="W632" s="129"/>
      <c r="X632" s="129"/>
      <c r="Y632" s="129"/>
      <c r="Z632" s="129"/>
      <c r="AA632" s="129"/>
      <c r="AB632" s="129"/>
      <c r="AC632" s="129"/>
      <c r="AD632" s="129"/>
      <c r="AE632" s="129"/>
      <c r="AF632" s="129"/>
      <c r="AG632" s="129"/>
      <c r="AH632" s="129"/>
      <c r="AI632" s="129"/>
    </row>
    <row r="633" spans="13:35" x14ac:dyDescent="0.15">
      <c r="M633" s="129"/>
      <c r="N633" s="129"/>
      <c r="O633" s="129"/>
      <c r="P633" s="129"/>
      <c r="Q633" s="129"/>
      <c r="R633" s="129"/>
      <c r="S633" s="129"/>
      <c r="T633" s="129"/>
      <c r="U633" s="129"/>
      <c r="V633" s="129"/>
      <c r="W633" s="129"/>
      <c r="X633" s="129"/>
      <c r="Y633" s="129"/>
      <c r="Z633" s="129"/>
      <c r="AA633" s="129"/>
      <c r="AB633" s="129"/>
      <c r="AC633" s="129"/>
      <c r="AD633" s="129"/>
      <c r="AE633" s="129"/>
      <c r="AF633" s="129"/>
      <c r="AG633" s="129"/>
      <c r="AH633" s="129"/>
      <c r="AI633" s="129"/>
    </row>
    <row r="634" spans="13:35" x14ac:dyDescent="0.15">
      <c r="M634" s="129"/>
      <c r="N634" s="129"/>
      <c r="O634" s="129"/>
      <c r="P634" s="129"/>
      <c r="Q634" s="129"/>
      <c r="R634" s="129"/>
      <c r="S634" s="129"/>
      <c r="T634" s="129"/>
      <c r="U634" s="129"/>
      <c r="V634" s="129"/>
      <c r="W634" s="129"/>
      <c r="X634" s="129"/>
      <c r="Y634" s="129"/>
      <c r="Z634" s="129"/>
      <c r="AA634" s="129"/>
      <c r="AB634" s="129"/>
      <c r="AC634" s="129"/>
      <c r="AD634" s="129"/>
      <c r="AE634" s="129"/>
      <c r="AF634" s="129"/>
      <c r="AG634" s="129"/>
      <c r="AH634" s="129"/>
      <c r="AI634" s="129"/>
    </row>
    <row r="635" spans="13:35" x14ac:dyDescent="0.15">
      <c r="M635" s="129"/>
      <c r="N635" s="129"/>
      <c r="O635" s="129"/>
      <c r="P635" s="129"/>
      <c r="Q635" s="129"/>
      <c r="R635" s="129"/>
      <c r="S635" s="129"/>
      <c r="T635" s="129"/>
      <c r="U635" s="129"/>
      <c r="V635" s="129"/>
      <c r="W635" s="129"/>
      <c r="X635" s="129"/>
      <c r="Y635" s="129"/>
      <c r="Z635" s="129"/>
      <c r="AA635" s="129"/>
      <c r="AB635" s="129"/>
      <c r="AC635" s="129"/>
      <c r="AD635" s="129"/>
      <c r="AE635" s="129"/>
      <c r="AF635" s="129"/>
      <c r="AG635" s="129"/>
      <c r="AH635" s="129"/>
      <c r="AI635" s="129"/>
    </row>
    <row r="636" spans="13:35" x14ac:dyDescent="0.15">
      <c r="M636" s="129"/>
      <c r="N636" s="129"/>
      <c r="O636" s="129"/>
      <c r="P636" s="129"/>
      <c r="Q636" s="129"/>
      <c r="R636" s="129"/>
      <c r="S636" s="129"/>
      <c r="T636" s="129"/>
      <c r="U636" s="129"/>
      <c r="V636" s="129"/>
      <c r="W636" s="129"/>
      <c r="X636" s="129"/>
      <c r="Y636" s="129"/>
      <c r="Z636" s="129"/>
      <c r="AA636" s="129"/>
      <c r="AB636" s="129"/>
      <c r="AC636" s="129"/>
      <c r="AD636" s="129"/>
      <c r="AE636" s="129"/>
      <c r="AF636" s="129"/>
      <c r="AG636" s="129"/>
      <c r="AH636" s="129"/>
      <c r="AI636" s="129"/>
    </row>
    <row r="637" spans="13:35" x14ac:dyDescent="0.15">
      <c r="M637" s="129"/>
      <c r="N637" s="129"/>
      <c r="O637" s="129"/>
      <c r="P637" s="129"/>
      <c r="Q637" s="129"/>
      <c r="R637" s="129"/>
      <c r="S637" s="129"/>
      <c r="T637" s="129"/>
      <c r="U637" s="129"/>
      <c r="V637" s="129"/>
      <c r="W637" s="129"/>
      <c r="X637" s="129"/>
      <c r="Y637" s="129"/>
      <c r="Z637" s="129"/>
      <c r="AA637" s="129"/>
      <c r="AB637" s="129"/>
      <c r="AC637" s="129"/>
      <c r="AD637" s="129"/>
      <c r="AE637" s="129"/>
      <c r="AF637" s="129"/>
      <c r="AG637" s="129"/>
      <c r="AH637" s="129"/>
      <c r="AI637" s="129"/>
    </row>
    <row r="638" spans="13:35" x14ac:dyDescent="0.15">
      <c r="M638" s="129"/>
      <c r="N638" s="129"/>
      <c r="O638" s="129"/>
      <c r="P638" s="129"/>
      <c r="Q638" s="129"/>
      <c r="R638" s="129"/>
      <c r="S638" s="129"/>
      <c r="T638" s="129"/>
      <c r="U638" s="129"/>
      <c r="V638" s="129"/>
      <c r="W638" s="129"/>
      <c r="X638" s="129"/>
      <c r="Y638" s="129"/>
      <c r="Z638" s="129"/>
      <c r="AA638" s="129"/>
      <c r="AB638" s="129"/>
      <c r="AC638" s="129"/>
      <c r="AD638" s="129"/>
      <c r="AE638" s="129"/>
      <c r="AF638" s="129"/>
      <c r="AG638" s="129"/>
      <c r="AH638" s="129"/>
      <c r="AI638" s="129"/>
    </row>
    <row r="639" spans="13:35" x14ac:dyDescent="0.15">
      <c r="M639" s="129"/>
      <c r="N639" s="129"/>
      <c r="O639" s="129"/>
      <c r="P639" s="129"/>
      <c r="Q639" s="129"/>
      <c r="R639" s="129"/>
      <c r="S639" s="129"/>
      <c r="T639" s="129"/>
      <c r="U639" s="129"/>
      <c r="V639" s="129"/>
      <c r="W639" s="129"/>
      <c r="X639" s="129"/>
      <c r="Y639" s="129"/>
      <c r="Z639" s="129"/>
      <c r="AA639" s="129"/>
      <c r="AB639" s="129"/>
      <c r="AC639" s="129"/>
      <c r="AD639" s="129"/>
      <c r="AE639" s="129"/>
      <c r="AF639" s="129"/>
      <c r="AG639" s="129"/>
      <c r="AH639" s="129"/>
      <c r="AI639" s="129"/>
    </row>
    <row r="640" spans="13:35" x14ac:dyDescent="0.15">
      <c r="M640" s="129"/>
      <c r="N640" s="129"/>
      <c r="O640" s="129"/>
      <c r="P640" s="129"/>
      <c r="Q640" s="129"/>
      <c r="R640" s="129"/>
      <c r="S640" s="129"/>
      <c r="T640" s="129"/>
      <c r="U640" s="129"/>
      <c r="V640" s="129"/>
      <c r="W640" s="129"/>
      <c r="X640" s="129"/>
      <c r="Y640" s="129"/>
      <c r="Z640" s="129"/>
      <c r="AA640" s="129"/>
      <c r="AB640" s="129"/>
      <c r="AC640" s="129"/>
      <c r="AD640" s="129"/>
      <c r="AE640" s="129"/>
      <c r="AF640" s="129"/>
      <c r="AG640" s="129"/>
      <c r="AH640" s="129"/>
      <c r="AI640" s="129"/>
    </row>
    <row r="641" spans="13:35" x14ac:dyDescent="0.15">
      <c r="M641" s="129"/>
      <c r="N641" s="129"/>
      <c r="O641" s="129"/>
      <c r="P641" s="129"/>
      <c r="Q641" s="129"/>
      <c r="R641" s="129"/>
      <c r="S641" s="129"/>
      <c r="T641" s="129"/>
      <c r="U641" s="129"/>
      <c r="V641" s="129"/>
      <c r="W641" s="129"/>
      <c r="X641" s="129"/>
      <c r="Y641" s="129"/>
      <c r="Z641" s="129"/>
      <c r="AA641" s="129"/>
      <c r="AB641" s="129"/>
      <c r="AC641" s="129"/>
      <c r="AD641" s="129"/>
      <c r="AE641" s="129"/>
      <c r="AF641" s="129"/>
      <c r="AG641" s="129"/>
      <c r="AH641" s="129"/>
      <c r="AI641" s="129"/>
    </row>
    <row r="642" spans="13:35" x14ac:dyDescent="0.15">
      <c r="M642" s="129"/>
      <c r="N642" s="129"/>
      <c r="O642" s="129"/>
      <c r="P642" s="129"/>
      <c r="Q642" s="129"/>
      <c r="R642" s="129"/>
      <c r="S642" s="129"/>
      <c r="T642" s="129"/>
      <c r="U642" s="129"/>
      <c r="V642" s="129"/>
      <c r="W642" s="129"/>
      <c r="X642" s="129"/>
      <c r="Y642" s="129"/>
      <c r="Z642" s="129"/>
      <c r="AA642" s="129"/>
      <c r="AB642" s="129"/>
      <c r="AC642" s="129"/>
      <c r="AD642" s="129"/>
      <c r="AE642" s="129"/>
      <c r="AF642" s="129"/>
      <c r="AG642" s="129"/>
      <c r="AH642" s="129"/>
      <c r="AI642" s="129"/>
    </row>
    <row r="643" spans="13:35" x14ac:dyDescent="0.15">
      <c r="M643" s="129"/>
      <c r="N643" s="129"/>
      <c r="O643" s="129"/>
      <c r="P643" s="129"/>
      <c r="Q643" s="129"/>
      <c r="R643" s="129"/>
      <c r="S643" s="129"/>
      <c r="T643" s="129"/>
      <c r="U643" s="129"/>
      <c r="V643" s="129"/>
      <c r="W643" s="129"/>
      <c r="X643" s="129"/>
      <c r="Y643" s="129"/>
      <c r="Z643" s="129"/>
      <c r="AA643" s="129"/>
      <c r="AB643" s="129"/>
      <c r="AC643" s="129"/>
      <c r="AD643" s="129"/>
      <c r="AE643" s="129"/>
      <c r="AF643" s="129"/>
      <c r="AG643" s="129"/>
      <c r="AH643" s="129"/>
      <c r="AI643" s="129"/>
    </row>
    <row r="644" spans="13:35" x14ac:dyDescent="0.15">
      <c r="M644" s="129"/>
      <c r="N644" s="129"/>
      <c r="O644" s="129"/>
      <c r="P644" s="129"/>
      <c r="Q644" s="129"/>
      <c r="R644" s="129"/>
      <c r="S644" s="129"/>
      <c r="T644" s="129"/>
      <c r="U644" s="129"/>
      <c r="V644" s="129"/>
      <c r="W644" s="129"/>
      <c r="X644" s="129"/>
      <c r="Y644" s="129"/>
      <c r="Z644" s="129"/>
      <c r="AA644" s="129"/>
      <c r="AB644" s="129"/>
      <c r="AC644" s="129"/>
      <c r="AD644" s="129"/>
      <c r="AE644" s="129"/>
      <c r="AF644" s="129"/>
      <c r="AG644" s="129"/>
      <c r="AH644" s="129"/>
      <c r="AI644" s="129"/>
    </row>
    <row r="645" spans="13:35" x14ac:dyDescent="0.15">
      <c r="M645" s="129"/>
      <c r="N645" s="129"/>
      <c r="O645" s="129"/>
      <c r="P645" s="129"/>
      <c r="Q645" s="129"/>
      <c r="R645" s="129"/>
      <c r="S645" s="129"/>
      <c r="T645" s="129"/>
      <c r="U645" s="129"/>
      <c r="V645" s="129"/>
      <c r="W645" s="129"/>
      <c r="X645" s="129"/>
      <c r="Y645" s="129"/>
      <c r="Z645" s="129"/>
      <c r="AA645" s="129"/>
      <c r="AB645" s="129"/>
      <c r="AC645" s="129"/>
      <c r="AD645" s="129"/>
      <c r="AE645" s="129"/>
      <c r="AF645" s="129"/>
      <c r="AG645" s="129"/>
      <c r="AH645" s="129"/>
      <c r="AI645" s="129"/>
    </row>
    <row r="646" spans="13:35" x14ac:dyDescent="0.15">
      <c r="M646" s="129"/>
      <c r="N646" s="129"/>
      <c r="O646" s="129"/>
      <c r="P646" s="129"/>
      <c r="Q646" s="129"/>
      <c r="R646" s="129"/>
      <c r="S646" s="129"/>
      <c r="T646" s="129"/>
      <c r="U646" s="129"/>
      <c r="V646" s="129"/>
      <c r="W646" s="129"/>
      <c r="X646" s="129"/>
      <c r="Y646" s="129"/>
      <c r="Z646" s="129"/>
      <c r="AA646" s="129"/>
      <c r="AB646" s="129"/>
      <c r="AC646" s="129"/>
      <c r="AD646" s="129"/>
      <c r="AE646" s="129"/>
      <c r="AF646" s="129"/>
      <c r="AG646" s="129"/>
      <c r="AH646" s="129"/>
      <c r="AI646" s="129"/>
    </row>
    <row r="647" spans="13:35" x14ac:dyDescent="0.15">
      <c r="M647" s="129"/>
      <c r="N647" s="129"/>
      <c r="O647" s="129"/>
      <c r="P647" s="129"/>
      <c r="Q647" s="129"/>
      <c r="R647" s="129"/>
      <c r="S647" s="129"/>
      <c r="T647" s="129"/>
      <c r="U647" s="129"/>
      <c r="V647" s="129"/>
      <c r="W647" s="129"/>
      <c r="X647" s="129"/>
      <c r="Y647" s="129"/>
      <c r="Z647" s="129"/>
      <c r="AA647" s="129"/>
      <c r="AB647" s="129"/>
      <c r="AC647" s="129"/>
      <c r="AD647" s="129"/>
      <c r="AE647" s="129"/>
      <c r="AF647" s="129"/>
      <c r="AG647" s="129"/>
      <c r="AH647" s="129"/>
      <c r="AI647" s="129"/>
    </row>
    <row r="648" spans="13:35" x14ac:dyDescent="0.15">
      <c r="M648" s="129"/>
      <c r="N648" s="129"/>
      <c r="O648" s="129"/>
      <c r="P648" s="129"/>
      <c r="Q648" s="129"/>
      <c r="R648" s="129"/>
      <c r="S648" s="129"/>
      <c r="T648" s="129"/>
      <c r="U648" s="129"/>
      <c r="V648" s="129"/>
      <c r="W648" s="129"/>
      <c r="X648" s="129"/>
      <c r="Y648" s="129"/>
      <c r="Z648" s="129"/>
      <c r="AA648" s="129"/>
      <c r="AB648" s="129"/>
      <c r="AC648" s="129"/>
      <c r="AD648" s="129"/>
      <c r="AE648" s="129"/>
      <c r="AF648" s="129"/>
      <c r="AG648" s="129"/>
      <c r="AH648" s="129"/>
      <c r="AI648" s="129"/>
    </row>
    <row r="649" spans="13:35" x14ac:dyDescent="0.15">
      <c r="M649" s="129"/>
      <c r="N649" s="129"/>
      <c r="O649" s="129"/>
      <c r="P649" s="129"/>
      <c r="Q649" s="129"/>
      <c r="R649" s="129"/>
      <c r="S649" s="129"/>
      <c r="T649" s="129"/>
      <c r="U649" s="129"/>
      <c r="V649" s="129"/>
      <c r="W649" s="129"/>
      <c r="X649" s="129"/>
      <c r="Y649" s="129"/>
      <c r="Z649" s="129"/>
      <c r="AA649" s="129"/>
      <c r="AB649" s="129"/>
      <c r="AC649" s="129"/>
      <c r="AD649" s="129"/>
      <c r="AE649" s="129"/>
      <c r="AF649" s="129"/>
      <c r="AG649" s="129"/>
      <c r="AH649" s="129"/>
      <c r="AI649" s="129"/>
    </row>
    <row r="650" spans="13:35" x14ac:dyDescent="0.15">
      <c r="M650" s="129"/>
      <c r="N650" s="129"/>
      <c r="O650" s="129"/>
      <c r="P650" s="129"/>
      <c r="Q650" s="129"/>
      <c r="R650" s="129"/>
      <c r="S650" s="129"/>
      <c r="T650" s="129"/>
      <c r="U650" s="129"/>
      <c r="V650" s="129"/>
      <c r="W650" s="129"/>
      <c r="X650" s="129"/>
      <c r="Y650" s="129"/>
      <c r="Z650" s="129"/>
      <c r="AA650" s="129"/>
      <c r="AB650" s="129"/>
      <c r="AC650" s="129"/>
      <c r="AD650" s="129"/>
      <c r="AE650" s="129"/>
      <c r="AF650" s="129"/>
      <c r="AG650" s="129"/>
      <c r="AH650" s="129"/>
      <c r="AI650" s="129"/>
    </row>
    <row r="651" spans="13:35" x14ac:dyDescent="0.15">
      <c r="M651" s="129"/>
      <c r="N651" s="129"/>
      <c r="O651" s="129"/>
      <c r="P651" s="129"/>
      <c r="Q651" s="129"/>
      <c r="R651" s="129"/>
      <c r="S651" s="129"/>
      <c r="T651" s="129"/>
      <c r="U651" s="129"/>
      <c r="V651" s="129"/>
      <c r="W651" s="129"/>
      <c r="X651" s="129"/>
      <c r="Y651" s="129"/>
      <c r="Z651" s="129"/>
      <c r="AA651" s="129"/>
      <c r="AB651" s="129"/>
      <c r="AC651" s="129"/>
      <c r="AD651" s="129"/>
      <c r="AE651" s="129"/>
      <c r="AF651" s="129"/>
      <c r="AG651" s="129"/>
      <c r="AH651" s="129"/>
      <c r="AI651" s="129"/>
    </row>
    <row r="652" spans="13:35" x14ac:dyDescent="0.15">
      <c r="M652" s="129"/>
      <c r="N652" s="129"/>
      <c r="O652" s="129"/>
      <c r="P652" s="129"/>
      <c r="Q652" s="129"/>
      <c r="R652" s="129"/>
      <c r="S652" s="129"/>
      <c r="T652" s="129"/>
      <c r="U652" s="129"/>
      <c r="V652" s="129"/>
      <c r="W652" s="129"/>
      <c r="X652" s="129"/>
      <c r="Y652" s="129"/>
      <c r="Z652" s="129"/>
      <c r="AA652" s="129"/>
      <c r="AB652" s="129"/>
      <c r="AC652" s="129"/>
      <c r="AD652" s="129"/>
      <c r="AE652" s="129"/>
      <c r="AF652" s="129"/>
      <c r="AG652" s="129"/>
      <c r="AH652" s="129"/>
      <c r="AI652" s="129"/>
    </row>
    <row r="653" spans="13:35" x14ac:dyDescent="0.15">
      <c r="M653" s="129"/>
      <c r="N653" s="129"/>
      <c r="O653" s="129"/>
      <c r="P653" s="129"/>
      <c r="Q653" s="129"/>
      <c r="R653" s="129"/>
      <c r="S653" s="129"/>
      <c r="T653" s="129"/>
      <c r="U653" s="129"/>
      <c r="V653" s="129"/>
      <c r="W653" s="129"/>
      <c r="X653" s="129"/>
      <c r="Y653" s="129"/>
      <c r="Z653" s="129"/>
      <c r="AA653" s="129"/>
      <c r="AB653" s="129"/>
      <c r="AC653" s="129"/>
      <c r="AD653" s="129"/>
      <c r="AE653" s="129"/>
      <c r="AF653" s="129"/>
      <c r="AG653" s="129"/>
      <c r="AH653" s="129"/>
      <c r="AI653" s="129"/>
    </row>
    <row r="654" spans="13:35" x14ac:dyDescent="0.15">
      <c r="M654" s="129"/>
      <c r="N654" s="129"/>
      <c r="O654" s="129"/>
      <c r="P654" s="129"/>
      <c r="Q654" s="129"/>
      <c r="R654" s="129"/>
      <c r="S654" s="129"/>
      <c r="T654" s="129"/>
      <c r="U654" s="129"/>
      <c r="V654" s="129"/>
      <c r="W654" s="129"/>
      <c r="X654" s="129"/>
      <c r="Y654" s="129"/>
      <c r="Z654" s="129"/>
      <c r="AA654" s="129"/>
      <c r="AB654" s="129"/>
      <c r="AC654" s="129"/>
      <c r="AD654" s="129"/>
      <c r="AE654" s="129"/>
      <c r="AF654" s="129"/>
      <c r="AG654" s="129"/>
      <c r="AH654" s="129"/>
      <c r="AI654" s="129"/>
    </row>
    <row r="655" spans="13:35" x14ac:dyDescent="0.15">
      <c r="M655" s="129"/>
      <c r="N655" s="129"/>
      <c r="O655" s="129"/>
      <c r="P655" s="129"/>
      <c r="Q655" s="129"/>
      <c r="R655" s="129"/>
      <c r="S655" s="129"/>
      <c r="T655" s="129"/>
      <c r="U655" s="129"/>
      <c r="V655" s="129"/>
      <c r="W655" s="129"/>
      <c r="X655" s="129"/>
      <c r="Y655" s="129"/>
      <c r="Z655" s="129"/>
      <c r="AA655" s="129"/>
      <c r="AB655" s="129"/>
      <c r="AC655" s="129"/>
      <c r="AD655" s="129"/>
      <c r="AE655" s="129"/>
      <c r="AF655" s="129"/>
      <c r="AG655" s="129"/>
      <c r="AH655" s="129"/>
      <c r="AI655" s="129"/>
    </row>
    <row r="656" spans="13:35" x14ac:dyDescent="0.15">
      <c r="M656" s="129"/>
      <c r="N656" s="129"/>
      <c r="O656" s="129"/>
      <c r="P656" s="129"/>
      <c r="Q656" s="129"/>
      <c r="R656" s="129"/>
      <c r="S656" s="129"/>
      <c r="T656" s="129"/>
      <c r="U656" s="129"/>
      <c r="V656" s="129"/>
      <c r="W656" s="129"/>
      <c r="X656" s="129"/>
      <c r="Y656" s="129"/>
      <c r="Z656" s="129"/>
      <c r="AA656" s="129"/>
      <c r="AB656" s="129"/>
      <c r="AC656" s="129"/>
      <c r="AD656" s="129"/>
      <c r="AE656" s="129"/>
      <c r="AF656" s="129"/>
      <c r="AG656" s="129"/>
      <c r="AH656" s="129"/>
      <c r="AI656" s="129"/>
    </row>
    <row r="657" spans="13:35" x14ac:dyDescent="0.15">
      <c r="M657" s="129"/>
      <c r="N657" s="129"/>
      <c r="O657" s="129"/>
      <c r="P657" s="129"/>
      <c r="Q657" s="129"/>
      <c r="R657" s="129"/>
      <c r="S657" s="129"/>
      <c r="T657" s="129"/>
      <c r="U657" s="129"/>
      <c r="V657" s="129"/>
      <c r="W657" s="129"/>
      <c r="X657" s="129"/>
      <c r="Y657" s="129"/>
      <c r="Z657" s="129"/>
      <c r="AA657" s="129"/>
      <c r="AB657" s="129"/>
      <c r="AC657" s="129"/>
      <c r="AD657" s="129"/>
      <c r="AE657" s="129"/>
      <c r="AF657" s="129"/>
      <c r="AG657" s="129"/>
      <c r="AH657" s="129"/>
      <c r="AI657" s="129"/>
    </row>
    <row r="658" spans="13:35" x14ac:dyDescent="0.15">
      <c r="M658" s="129"/>
      <c r="N658" s="129"/>
      <c r="O658" s="129"/>
      <c r="P658" s="129"/>
      <c r="Q658" s="129"/>
      <c r="R658" s="129"/>
      <c r="S658" s="129"/>
      <c r="T658" s="129"/>
      <c r="U658" s="129"/>
      <c r="V658" s="129"/>
      <c r="W658" s="129"/>
      <c r="X658" s="129"/>
      <c r="Y658" s="129"/>
      <c r="Z658" s="129"/>
      <c r="AA658" s="129"/>
      <c r="AB658" s="129"/>
      <c r="AC658" s="129"/>
      <c r="AD658" s="129"/>
      <c r="AE658" s="129"/>
      <c r="AF658" s="129"/>
      <c r="AG658" s="129"/>
      <c r="AH658" s="129"/>
      <c r="AI658" s="129"/>
    </row>
    <row r="659" spans="13:35" x14ac:dyDescent="0.15">
      <c r="M659" s="129"/>
      <c r="N659" s="129"/>
      <c r="O659" s="129"/>
      <c r="P659" s="129"/>
      <c r="Q659" s="129"/>
      <c r="R659" s="129"/>
      <c r="S659" s="129"/>
      <c r="T659" s="129"/>
      <c r="U659" s="129"/>
      <c r="V659" s="129"/>
      <c r="W659" s="129"/>
      <c r="X659" s="129"/>
      <c r="Y659" s="129"/>
      <c r="Z659" s="129"/>
      <c r="AA659" s="129"/>
      <c r="AB659" s="129"/>
      <c r="AC659" s="129"/>
      <c r="AD659" s="129"/>
      <c r="AE659" s="129"/>
      <c r="AF659" s="129"/>
      <c r="AG659" s="129"/>
      <c r="AH659" s="129"/>
      <c r="AI659" s="129"/>
    </row>
    <row r="660" spans="13:35" x14ac:dyDescent="0.15">
      <c r="M660" s="129"/>
      <c r="N660" s="129"/>
      <c r="O660" s="129"/>
      <c r="P660" s="129"/>
      <c r="Q660" s="129"/>
      <c r="R660" s="129"/>
      <c r="S660" s="129"/>
      <c r="T660" s="129"/>
      <c r="U660" s="129"/>
      <c r="V660" s="129"/>
      <c r="W660" s="129"/>
      <c r="X660" s="129"/>
      <c r="Y660" s="129"/>
      <c r="Z660" s="129"/>
      <c r="AA660" s="129"/>
      <c r="AB660" s="129"/>
      <c r="AC660" s="129"/>
      <c r="AD660" s="129"/>
      <c r="AE660" s="129"/>
      <c r="AF660" s="129"/>
      <c r="AG660" s="129"/>
      <c r="AH660" s="129"/>
      <c r="AI660" s="129"/>
    </row>
    <row r="661" spans="13:35" x14ac:dyDescent="0.15">
      <c r="M661" s="129"/>
      <c r="N661" s="129"/>
      <c r="O661" s="129"/>
      <c r="P661" s="129"/>
      <c r="Q661" s="129"/>
      <c r="R661" s="129"/>
      <c r="S661" s="129"/>
      <c r="T661" s="129"/>
      <c r="U661" s="129"/>
      <c r="V661" s="129"/>
      <c r="W661" s="129"/>
      <c r="X661" s="129"/>
      <c r="Y661" s="129"/>
      <c r="Z661" s="129"/>
      <c r="AA661" s="129"/>
      <c r="AB661" s="129"/>
      <c r="AC661" s="129"/>
      <c r="AD661" s="129"/>
      <c r="AE661" s="129"/>
      <c r="AF661" s="129"/>
      <c r="AG661" s="129"/>
      <c r="AH661" s="129"/>
      <c r="AI661" s="129"/>
    </row>
    <row r="662" spans="13:35" x14ac:dyDescent="0.15">
      <c r="M662" s="129"/>
      <c r="N662" s="129"/>
      <c r="O662" s="129"/>
      <c r="P662" s="129"/>
      <c r="Q662" s="129"/>
      <c r="R662" s="129"/>
      <c r="S662" s="129"/>
      <c r="T662" s="129"/>
      <c r="U662" s="129"/>
      <c r="V662" s="129"/>
      <c r="W662" s="129"/>
      <c r="X662" s="129"/>
      <c r="Y662" s="129"/>
      <c r="Z662" s="129"/>
      <c r="AA662" s="129"/>
      <c r="AB662" s="129"/>
      <c r="AC662" s="129"/>
      <c r="AD662" s="129"/>
      <c r="AE662" s="129"/>
      <c r="AF662" s="129"/>
      <c r="AG662" s="129"/>
      <c r="AH662" s="129"/>
      <c r="AI662" s="129"/>
    </row>
    <row r="663" spans="13:35" x14ac:dyDescent="0.15">
      <c r="M663" s="129"/>
      <c r="N663" s="129"/>
      <c r="O663" s="129"/>
      <c r="P663" s="129"/>
      <c r="Q663" s="129"/>
      <c r="R663" s="129"/>
      <c r="S663" s="129"/>
      <c r="T663" s="129"/>
      <c r="U663" s="129"/>
      <c r="V663" s="129"/>
      <c r="W663" s="129"/>
      <c r="X663" s="129"/>
      <c r="Y663" s="129"/>
      <c r="Z663" s="129"/>
      <c r="AA663" s="129"/>
      <c r="AB663" s="129"/>
      <c r="AC663" s="129"/>
      <c r="AD663" s="129"/>
      <c r="AE663" s="129"/>
      <c r="AF663" s="129"/>
      <c r="AG663" s="129"/>
      <c r="AH663" s="129"/>
      <c r="AI663" s="129"/>
    </row>
    <row r="664" spans="13:35" x14ac:dyDescent="0.15">
      <c r="M664" s="129"/>
      <c r="N664" s="129"/>
      <c r="O664" s="129"/>
      <c r="P664" s="129"/>
      <c r="Q664" s="129"/>
      <c r="R664" s="129"/>
      <c r="S664" s="129"/>
      <c r="T664" s="129"/>
      <c r="U664" s="129"/>
      <c r="V664" s="129"/>
      <c r="W664" s="129"/>
      <c r="X664" s="129"/>
      <c r="Y664" s="129"/>
      <c r="Z664" s="129"/>
      <c r="AA664" s="129"/>
      <c r="AB664" s="129"/>
      <c r="AC664" s="129"/>
      <c r="AD664" s="129"/>
      <c r="AE664" s="129"/>
      <c r="AF664" s="129"/>
      <c r="AG664" s="129"/>
      <c r="AH664" s="129"/>
      <c r="AI664" s="129"/>
    </row>
    <row r="665" spans="13:35" x14ac:dyDescent="0.15"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  <c r="AA665" s="129"/>
      <c r="AB665" s="129"/>
      <c r="AC665" s="129"/>
      <c r="AD665" s="129"/>
      <c r="AE665" s="129"/>
      <c r="AF665" s="129"/>
      <c r="AG665" s="129"/>
      <c r="AH665" s="129"/>
      <c r="AI665" s="129"/>
    </row>
    <row r="666" spans="13:35" x14ac:dyDescent="0.15">
      <c r="M666" s="129"/>
      <c r="N666" s="129"/>
      <c r="O666" s="129"/>
      <c r="P666" s="129"/>
      <c r="Q666" s="129"/>
      <c r="R666" s="129"/>
      <c r="S666" s="129"/>
      <c r="T666" s="129"/>
      <c r="U666" s="129"/>
      <c r="V666" s="129"/>
      <c r="W666" s="129"/>
      <c r="X666" s="129"/>
      <c r="Y666" s="129"/>
      <c r="Z666" s="129"/>
      <c r="AA666" s="129"/>
      <c r="AB666" s="129"/>
      <c r="AC666" s="129"/>
      <c r="AD666" s="129"/>
      <c r="AE666" s="129"/>
      <c r="AF666" s="129"/>
      <c r="AG666" s="129"/>
      <c r="AH666" s="129"/>
      <c r="AI666" s="129"/>
    </row>
    <row r="667" spans="13:35" x14ac:dyDescent="0.15">
      <c r="M667" s="129"/>
      <c r="N667" s="129"/>
      <c r="O667" s="129"/>
      <c r="P667" s="129"/>
      <c r="Q667" s="129"/>
      <c r="R667" s="129"/>
      <c r="S667" s="129"/>
      <c r="T667" s="129"/>
      <c r="U667" s="129"/>
      <c r="V667" s="129"/>
      <c r="W667" s="129"/>
      <c r="X667" s="129"/>
      <c r="Y667" s="129"/>
      <c r="Z667" s="129"/>
      <c r="AA667" s="129"/>
      <c r="AB667" s="129"/>
      <c r="AC667" s="129"/>
      <c r="AD667" s="129"/>
      <c r="AE667" s="129"/>
      <c r="AF667" s="129"/>
      <c r="AG667" s="129"/>
      <c r="AH667" s="129"/>
      <c r="AI667" s="129"/>
    </row>
    <row r="668" spans="13:35" x14ac:dyDescent="0.15">
      <c r="M668" s="129"/>
      <c r="N668" s="129"/>
      <c r="O668" s="129"/>
      <c r="P668" s="129"/>
      <c r="Q668" s="129"/>
      <c r="R668" s="129"/>
      <c r="S668" s="129"/>
      <c r="T668" s="129"/>
      <c r="U668" s="129"/>
      <c r="V668" s="129"/>
      <c r="W668" s="129"/>
      <c r="X668" s="129"/>
      <c r="Y668" s="129"/>
      <c r="Z668" s="129"/>
      <c r="AA668" s="129"/>
      <c r="AB668" s="129"/>
      <c r="AC668" s="129"/>
      <c r="AD668" s="129"/>
      <c r="AE668" s="129"/>
      <c r="AF668" s="129"/>
      <c r="AG668" s="129"/>
      <c r="AH668" s="129"/>
      <c r="AI668" s="129"/>
    </row>
    <row r="669" spans="13:35" x14ac:dyDescent="0.15">
      <c r="M669" s="129"/>
      <c r="N669" s="129"/>
      <c r="O669" s="129"/>
      <c r="P669" s="129"/>
      <c r="Q669" s="129"/>
      <c r="R669" s="129"/>
      <c r="S669" s="129"/>
      <c r="T669" s="129"/>
      <c r="U669" s="129"/>
      <c r="V669" s="129"/>
      <c r="W669" s="129"/>
      <c r="X669" s="129"/>
      <c r="Y669" s="129"/>
      <c r="Z669" s="129"/>
      <c r="AA669" s="129"/>
      <c r="AB669" s="129"/>
      <c r="AC669" s="129"/>
      <c r="AD669" s="129"/>
      <c r="AE669" s="129"/>
      <c r="AF669" s="129"/>
      <c r="AG669" s="129"/>
      <c r="AH669" s="129"/>
      <c r="AI669" s="129"/>
    </row>
    <row r="670" spans="13:35" x14ac:dyDescent="0.15">
      <c r="M670" s="129"/>
      <c r="N670" s="129"/>
      <c r="O670" s="129"/>
      <c r="P670" s="129"/>
      <c r="Q670" s="129"/>
      <c r="R670" s="129"/>
      <c r="S670" s="129"/>
      <c r="T670" s="129"/>
      <c r="U670" s="129"/>
      <c r="V670" s="129"/>
      <c r="W670" s="129"/>
      <c r="X670" s="129"/>
      <c r="Y670" s="129"/>
      <c r="Z670" s="129"/>
      <c r="AA670" s="129"/>
      <c r="AB670" s="129"/>
      <c r="AC670" s="129"/>
      <c r="AD670" s="129"/>
      <c r="AE670" s="129"/>
      <c r="AF670" s="129"/>
      <c r="AG670" s="129"/>
      <c r="AH670" s="129"/>
      <c r="AI670" s="129"/>
    </row>
    <row r="671" spans="13:35" x14ac:dyDescent="0.15">
      <c r="M671" s="129"/>
      <c r="N671" s="129"/>
      <c r="O671" s="129"/>
      <c r="P671" s="129"/>
      <c r="Q671" s="129"/>
      <c r="R671" s="129"/>
      <c r="S671" s="129"/>
      <c r="T671" s="129"/>
      <c r="U671" s="129"/>
      <c r="V671" s="129"/>
      <c r="W671" s="129"/>
      <c r="X671" s="129"/>
      <c r="Y671" s="129"/>
      <c r="Z671" s="129"/>
      <c r="AA671" s="129"/>
      <c r="AB671" s="129"/>
      <c r="AC671" s="129"/>
      <c r="AD671" s="129"/>
      <c r="AE671" s="129"/>
      <c r="AF671" s="129"/>
      <c r="AG671" s="129"/>
      <c r="AH671" s="129"/>
      <c r="AI671" s="129"/>
    </row>
    <row r="672" spans="13:35" x14ac:dyDescent="0.15">
      <c r="M672" s="129"/>
      <c r="N672" s="129"/>
      <c r="O672" s="129"/>
      <c r="P672" s="129"/>
      <c r="Q672" s="129"/>
      <c r="R672" s="129"/>
      <c r="S672" s="129"/>
      <c r="T672" s="129"/>
      <c r="U672" s="129"/>
      <c r="V672" s="129"/>
      <c r="W672" s="129"/>
      <c r="X672" s="129"/>
      <c r="Y672" s="129"/>
      <c r="Z672" s="129"/>
      <c r="AA672" s="129"/>
      <c r="AB672" s="129"/>
      <c r="AC672" s="129"/>
      <c r="AD672" s="129"/>
      <c r="AE672" s="129"/>
      <c r="AF672" s="129"/>
      <c r="AG672" s="129"/>
      <c r="AH672" s="129"/>
      <c r="AI672" s="129"/>
    </row>
    <row r="673" spans="13:35" x14ac:dyDescent="0.15">
      <c r="M673" s="129"/>
      <c r="N673" s="129"/>
      <c r="O673" s="129"/>
      <c r="P673" s="129"/>
      <c r="Q673" s="129"/>
      <c r="R673" s="129"/>
      <c r="S673" s="129"/>
      <c r="T673" s="129"/>
      <c r="U673" s="129"/>
      <c r="V673" s="129"/>
      <c r="W673" s="129"/>
      <c r="X673" s="129"/>
      <c r="Y673" s="129"/>
      <c r="Z673" s="129"/>
      <c r="AA673" s="129"/>
      <c r="AB673" s="129"/>
      <c r="AC673" s="129"/>
      <c r="AD673" s="129"/>
      <c r="AE673" s="129"/>
      <c r="AF673" s="129"/>
      <c r="AG673" s="129"/>
      <c r="AH673" s="129"/>
      <c r="AI673" s="129"/>
    </row>
    <row r="674" spans="13:35" x14ac:dyDescent="0.15">
      <c r="M674" s="129"/>
      <c r="N674" s="129"/>
      <c r="O674" s="129"/>
      <c r="P674" s="129"/>
      <c r="Q674" s="129"/>
      <c r="R674" s="129"/>
      <c r="S674" s="129"/>
      <c r="T674" s="129"/>
      <c r="U674" s="129"/>
      <c r="V674" s="129"/>
      <c r="W674" s="129"/>
      <c r="X674" s="129"/>
      <c r="Y674" s="129"/>
      <c r="Z674" s="129"/>
      <c r="AA674" s="129"/>
      <c r="AB674" s="129"/>
      <c r="AC674" s="129"/>
      <c r="AD674" s="129"/>
      <c r="AE674" s="129"/>
      <c r="AF674" s="129"/>
      <c r="AG674" s="129"/>
      <c r="AH674" s="129"/>
      <c r="AI674" s="129"/>
    </row>
    <row r="675" spans="13:35" x14ac:dyDescent="0.15">
      <c r="M675" s="129"/>
      <c r="N675" s="129"/>
      <c r="O675" s="129"/>
      <c r="P675" s="129"/>
      <c r="Q675" s="129"/>
      <c r="R675" s="129"/>
      <c r="S675" s="129"/>
      <c r="T675" s="129"/>
      <c r="U675" s="129"/>
      <c r="V675" s="129"/>
      <c r="W675" s="129"/>
      <c r="X675" s="129"/>
      <c r="Y675" s="129"/>
      <c r="Z675" s="129"/>
      <c r="AA675" s="129"/>
      <c r="AB675" s="129"/>
      <c r="AC675" s="129"/>
      <c r="AD675" s="129"/>
      <c r="AE675" s="129"/>
      <c r="AF675" s="129"/>
      <c r="AG675" s="129"/>
      <c r="AH675" s="129"/>
      <c r="AI675" s="129"/>
    </row>
    <row r="676" spans="13:35" x14ac:dyDescent="0.15">
      <c r="M676" s="129"/>
      <c r="N676" s="129"/>
      <c r="O676" s="129"/>
      <c r="P676" s="129"/>
      <c r="Q676" s="129"/>
      <c r="R676" s="129"/>
      <c r="S676" s="129"/>
      <c r="T676" s="129"/>
      <c r="U676" s="129"/>
      <c r="V676" s="129"/>
      <c r="W676" s="129"/>
      <c r="X676" s="129"/>
      <c r="Y676" s="129"/>
      <c r="Z676" s="129"/>
      <c r="AA676" s="129"/>
      <c r="AB676" s="129"/>
      <c r="AC676" s="129"/>
      <c r="AD676" s="129"/>
      <c r="AE676" s="129"/>
      <c r="AF676" s="129"/>
      <c r="AG676" s="129"/>
      <c r="AH676" s="129"/>
      <c r="AI676" s="129"/>
    </row>
    <row r="677" spans="13:35" x14ac:dyDescent="0.15">
      <c r="M677" s="129"/>
      <c r="N677" s="129"/>
      <c r="O677" s="129"/>
      <c r="P677" s="129"/>
      <c r="Q677" s="129"/>
      <c r="R677" s="129"/>
      <c r="S677" s="129"/>
      <c r="T677" s="129"/>
      <c r="U677" s="129"/>
      <c r="V677" s="129"/>
      <c r="W677" s="129"/>
      <c r="X677" s="129"/>
      <c r="Y677" s="129"/>
      <c r="Z677" s="129"/>
      <c r="AA677" s="129"/>
      <c r="AB677" s="129"/>
      <c r="AC677" s="129"/>
      <c r="AD677" s="129"/>
      <c r="AE677" s="129"/>
      <c r="AF677" s="129"/>
      <c r="AG677" s="129"/>
      <c r="AH677" s="129"/>
      <c r="AI677" s="129"/>
    </row>
    <row r="678" spans="13:35" x14ac:dyDescent="0.15">
      <c r="M678" s="129"/>
      <c r="N678" s="129"/>
      <c r="O678" s="129"/>
      <c r="P678" s="129"/>
      <c r="Q678" s="129"/>
      <c r="R678" s="129"/>
      <c r="S678" s="129"/>
      <c r="T678" s="129"/>
      <c r="U678" s="129"/>
      <c r="V678" s="129"/>
      <c r="W678" s="129"/>
      <c r="X678" s="129"/>
      <c r="Y678" s="129"/>
      <c r="Z678" s="129"/>
      <c r="AA678" s="129"/>
      <c r="AB678" s="129"/>
      <c r="AC678" s="129"/>
      <c r="AD678" s="129"/>
      <c r="AE678" s="129"/>
      <c r="AF678" s="129"/>
      <c r="AG678" s="129"/>
      <c r="AH678" s="129"/>
      <c r="AI678" s="129"/>
    </row>
    <row r="679" spans="13:35" x14ac:dyDescent="0.15">
      <c r="M679" s="129"/>
      <c r="N679" s="129"/>
      <c r="O679" s="129"/>
      <c r="P679" s="129"/>
      <c r="Q679" s="129"/>
      <c r="R679" s="129"/>
      <c r="S679" s="129"/>
      <c r="T679" s="129"/>
      <c r="U679" s="129"/>
      <c r="V679" s="129"/>
      <c r="W679" s="129"/>
      <c r="X679" s="129"/>
      <c r="Y679" s="129"/>
      <c r="Z679" s="129"/>
      <c r="AA679" s="129"/>
      <c r="AB679" s="129"/>
      <c r="AC679" s="129"/>
      <c r="AD679" s="129"/>
      <c r="AE679" s="129"/>
      <c r="AF679" s="129"/>
      <c r="AG679" s="129"/>
      <c r="AH679" s="129"/>
      <c r="AI679" s="129"/>
    </row>
    <row r="680" spans="13:35" x14ac:dyDescent="0.15">
      <c r="M680" s="129"/>
      <c r="N680" s="129"/>
      <c r="O680" s="129"/>
      <c r="P680" s="129"/>
      <c r="Q680" s="129"/>
      <c r="R680" s="129"/>
      <c r="S680" s="129"/>
      <c r="T680" s="129"/>
      <c r="U680" s="129"/>
      <c r="V680" s="129"/>
      <c r="W680" s="129"/>
      <c r="X680" s="129"/>
      <c r="Y680" s="129"/>
      <c r="Z680" s="129"/>
      <c r="AA680" s="129"/>
      <c r="AB680" s="129"/>
      <c r="AC680" s="129"/>
      <c r="AD680" s="129"/>
      <c r="AE680" s="129"/>
      <c r="AF680" s="129"/>
      <c r="AG680" s="129"/>
      <c r="AH680" s="129"/>
      <c r="AI680" s="129"/>
    </row>
    <row r="681" spans="13:35" x14ac:dyDescent="0.15">
      <c r="M681" s="129"/>
      <c r="N681" s="129"/>
      <c r="O681" s="129"/>
      <c r="P681" s="129"/>
      <c r="Q681" s="129"/>
      <c r="R681" s="129"/>
      <c r="S681" s="129"/>
      <c r="T681" s="129"/>
      <c r="U681" s="129"/>
      <c r="V681" s="129"/>
      <c r="W681" s="129"/>
      <c r="X681" s="129"/>
      <c r="Y681" s="129"/>
      <c r="Z681" s="129"/>
      <c r="AA681" s="129"/>
      <c r="AB681" s="129"/>
      <c r="AC681" s="129"/>
      <c r="AD681" s="129"/>
      <c r="AE681" s="129"/>
      <c r="AF681" s="129"/>
      <c r="AG681" s="129"/>
      <c r="AH681" s="129"/>
      <c r="AI681" s="129"/>
    </row>
    <row r="682" spans="13:35" x14ac:dyDescent="0.15">
      <c r="M682" s="129"/>
      <c r="N682" s="129"/>
      <c r="O682" s="129"/>
      <c r="P682" s="129"/>
      <c r="Q682" s="129"/>
      <c r="R682" s="129"/>
      <c r="S682" s="129"/>
      <c r="T682" s="129"/>
      <c r="U682" s="129"/>
      <c r="V682" s="129"/>
      <c r="W682" s="129"/>
      <c r="X682" s="129"/>
      <c r="Y682" s="129"/>
      <c r="Z682" s="129"/>
      <c r="AA682" s="129"/>
      <c r="AB682" s="129"/>
      <c r="AC682" s="129"/>
      <c r="AD682" s="129"/>
      <c r="AE682" s="129"/>
      <c r="AF682" s="129"/>
      <c r="AG682" s="129"/>
      <c r="AH682" s="129"/>
      <c r="AI682" s="129"/>
    </row>
    <row r="683" spans="13:35" x14ac:dyDescent="0.15">
      <c r="M683" s="129"/>
      <c r="N683" s="129"/>
      <c r="O683" s="129"/>
      <c r="P683" s="129"/>
      <c r="Q683" s="129"/>
      <c r="R683" s="129"/>
      <c r="S683" s="129"/>
      <c r="T683" s="129"/>
      <c r="U683" s="129"/>
      <c r="V683" s="129"/>
      <c r="W683" s="129"/>
      <c r="X683" s="129"/>
      <c r="Y683" s="129"/>
      <c r="Z683" s="129"/>
      <c r="AA683" s="129"/>
      <c r="AB683" s="129"/>
      <c r="AC683" s="129"/>
      <c r="AD683" s="129"/>
      <c r="AE683" s="129"/>
      <c r="AF683" s="129"/>
      <c r="AG683" s="129"/>
      <c r="AH683" s="129"/>
      <c r="AI683" s="129"/>
    </row>
    <row r="684" spans="13:35" x14ac:dyDescent="0.15">
      <c r="M684" s="129"/>
      <c r="N684" s="129"/>
      <c r="O684" s="129"/>
      <c r="P684" s="129"/>
      <c r="Q684" s="129"/>
      <c r="R684" s="129"/>
      <c r="S684" s="129"/>
      <c r="T684" s="129"/>
      <c r="U684" s="129"/>
      <c r="V684" s="129"/>
      <c r="W684" s="129"/>
      <c r="X684" s="129"/>
      <c r="Y684" s="129"/>
      <c r="Z684" s="129"/>
      <c r="AA684" s="129"/>
      <c r="AB684" s="129"/>
      <c r="AC684" s="129"/>
      <c r="AD684" s="129"/>
      <c r="AE684" s="129"/>
      <c r="AF684" s="129"/>
      <c r="AG684" s="129"/>
      <c r="AH684" s="129"/>
      <c r="AI684" s="129"/>
    </row>
    <row r="685" spans="13:35" x14ac:dyDescent="0.15">
      <c r="M685" s="129"/>
      <c r="N685" s="129"/>
      <c r="O685" s="129"/>
      <c r="P685" s="129"/>
      <c r="Q685" s="129"/>
      <c r="R685" s="129"/>
      <c r="S685" s="129"/>
      <c r="T685" s="129"/>
      <c r="U685" s="129"/>
      <c r="V685" s="129"/>
      <c r="W685" s="129"/>
      <c r="X685" s="129"/>
      <c r="Y685" s="129"/>
      <c r="Z685" s="129"/>
      <c r="AA685" s="129"/>
      <c r="AB685" s="129"/>
      <c r="AC685" s="129"/>
      <c r="AD685" s="129"/>
      <c r="AE685" s="129"/>
      <c r="AF685" s="129"/>
      <c r="AG685" s="129"/>
      <c r="AH685" s="129"/>
      <c r="AI685" s="129"/>
    </row>
    <row r="686" spans="13:35" x14ac:dyDescent="0.15"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  <c r="AA686" s="129"/>
      <c r="AB686" s="129"/>
      <c r="AC686" s="129"/>
      <c r="AD686" s="129"/>
      <c r="AE686" s="129"/>
      <c r="AF686" s="129"/>
      <c r="AG686" s="129"/>
      <c r="AH686" s="129"/>
      <c r="AI686" s="129"/>
    </row>
    <row r="687" spans="13:35" x14ac:dyDescent="0.15">
      <c r="M687" s="129"/>
      <c r="N687" s="129"/>
      <c r="O687" s="129"/>
      <c r="P687" s="129"/>
      <c r="Q687" s="129"/>
      <c r="R687" s="129"/>
      <c r="S687" s="129"/>
      <c r="T687" s="129"/>
      <c r="U687" s="129"/>
      <c r="V687" s="129"/>
      <c r="W687" s="129"/>
      <c r="X687" s="129"/>
      <c r="Y687" s="129"/>
      <c r="Z687" s="129"/>
      <c r="AA687" s="129"/>
      <c r="AB687" s="129"/>
      <c r="AC687" s="129"/>
      <c r="AD687" s="129"/>
      <c r="AE687" s="129"/>
      <c r="AF687" s="129"/>
      <c r="AG687" s="129"/>
      <c r="AH687" s="129"/>
      <c r="AI687" s="129"/>
    </row>
    <row r="688" spans="13:35" x14ac:dyDescent="0.15">
      <c r="M688" s="129"/>
      <c r="N688" s="129"/>
      <c r="O688" s="129"/>
      <c r="P688" s="129"/>
      <c r="Q688" s="129"/>
      <c r="R688" s="129"/>
      <c r="S688" s="129"/>
      <c r="T688" s="129"/>
      <c r="U688" s="129"/>
      <c r="V688" s="129"/>
      <c r="W688" s="129"/>
      <c r="X688" s="129"/>
      <c r="Y688" s="129"/>
      <c r="Z688" s="129"/>
      <c r="AA688" s="129"/>
      <c r="AB688" s="129"/>
      <c r="AC688" s="129"/>
      <c r="AD688" s="129"/>
      <c r="AE688" s="129"/>
      <c r="AF688" s="129"/>
      <c r="AG688" s="129"/>
      <c r="AH688" s="129"/>
      <c r="AI688" s="129"/>
    </row>
    <row r="689" spans="13:35" x14ac:dyDescent="0.15">
      <c r="M689" s="129"/>
      <c r="N689" s="129"/>
      <c r="O689" s="129"/>
      <c r="P689" s="129"/>
      <c r="Q689" s="129"/>
      <c r="R689" s="129"/>
      <c r="S689" s="129"/>
      <c r="T689" s="129"/>
      <c r="U689" s="129"/>
      <c r="V689" s="129"/>
      <c r="W689" s="129"/>
      <c r="X689" s="129"/>
      <c r="Y689" s="129"/>
      <c r="Z689" s="129"/>
      <c r="AA689" s="129"/>
      <c r="AB689" s="129"/>
      <c r="AC689" s="129"/>
      <c r="AD689" s="129"/>
      <c r="AE689" s="129"/>
      <c r="AF689" s="129"/>
      <c r="AG689" s="129"/>
      <c r="AH689" s="129"/>
      <c r="AI689" s="129"/>
    </row>
    <row r="690" spans="13:35" x14ac:dyDescent="0.15">
      <c r="M690" s="129"/>
      <c r="N690" s="129"/>
      <c r="O690" s="129"/>
      <c r="P690" s="129"/>
      <c r="Q690" s="129"/>
      <c r="R690" s="129"/>
      <c r="S690" s="129"/>
      <c r="T690" s="129"/>
      <c r="U690" s="129"/>
      <c r="V690" s="129"/>
      <c r="W690" s="129"/>
      <c r="X690" s="129"/>
      <c r="Y690" s="129"/>
      <c r="Z690" s="129"/>
      <c r="AA690" s="129"/>
      <c r="AB690" s="129"/>
      <c r="AC690" s="129"/>
      <c r="AD690" s="129"/>
      <c r="AE690" s="129"/>
      <c r="AF690" s="129"/>
      <c r="AG690" s="129"/>
      <c r="AH690" s="129"/>
      <c r="AI690" s="129"/>
    </row>
    <row r="691" spans="13:35" x14ac:dyDescent="0.15">
      <c r="M691" s="129"/>
      <c r="N691" s="129"/>
      <c r="O691" s="129"/>
      <c r="P691" s="129"/>
      <c r="Q691" s="129"/>
      <c r="R691" s="129"/>
      <c r="S691" s="129"/>
      <c r="T691" s="129"/>
      <c r="U691" s="129"/>
      <c r="V691" s="129"/>
      <c r="W691" s="129"/>
      <c r="X691" s="129"/>
      <c r="Y691" s="129"/>
      <c r="Z691" s="129"/>
      <c r="AA691" s="129"/>
      <c r="AB691" s="129"/>
      <c r="AC691" s="129"/>
      <c r="AD691" s="129"/>
      <c r="AE691" s="129"/>
      <c r="AF691" s="129"/>
      <c r="AG691" s="129"/>
      <c r="AH691" s="129"/>
      <c r="AI691" s="129"/>
    </row>
    <row r="692" spans="13:35" x14ac:dyDescent="0.15">
      <c r="M692" s="129"/>
      <c r="N692" s="129"/>
      <c r="O692" s="129"/>
      <c r="P692" s="129"/>
      <c r="Q692" s="129"/>
      <c r="R692" s="129"/>
      <c r="S692" s="129"/>
      <c r="T692" s="129"/>
      <c r="U692" s="129"/>
      <c r="V692" s="129"/>
      <c r="W692" s="129"/>
      <c r="X692" s="129"/>
      <c r="Y692" s="129"/>
      <c r="Z692" s="129"/>
      <c r="AA692" s="129"/>
      <c r="AB692" s="129"/>
      <c r="AC692" s="129"/>
      <c r="AD692" s="129"/>
      <c r="AE692" s="129"/>
      <c r="AF692" s="129"/>
      <c r="AG692" s="129"/>
      <c r="AH692" s="129"/>
      <c r="AI692" s="129"/>
    </row>
    <row r="693" spans="13:35" x14ac:dyDescent="0.15">
      <c r="M693" s="129"/>
      <c r="N693" s="129"/>
      <c r="O693" s="129"/>
      <c r="P693" s="129"/>
      <c r="Q693" s="129"/>
      <c r="R693" s="129"/>
      <c r="S693" s="129"/>
      <c r="T693" s="129"/>
      <c r="U693" s="129"/>
      <c r="V693" s="129"/>
      <c r="W693" s="129"/>
      <c r="X693" s="129"/>
      <c r="Y693" s="129"/>
      <c r="Z693" s="129"/>
      <c r="AA693" s="129"/>
      <c r="AB693" s="129"/>
      <c r="AC693" s="129"/>
      <c r="AD693" s="129"/>
      <c r="AE693" s="129"/>
      <c r="AF693" s="129"/>
      <c r="AG693" s="129"/>
      <c r="AH693" s="129"/>
      <c r="AI693" s="129"/>
    </row>
    <row r="694" spans="13:35" x14ac:dyDescent="0.15">
      <c r="M694" s="129"/>
      <c r="N694" s="129"/>
      <c r="O694" s="129"/>
      <c r="P694" s="129"/>
      <c r="Q694" s="129"/>
      <c r="R694" s="129"/>
      <c r="S694" s="129"/>
      <c r="T694" s="129"/>
      <c r="U694" s="129"/>
      <c r="V694" s="129"/>
      <c r="W694" s="129"/>
      <c r="X694" s="129"/>
      <c r="Y694" s="129"/>
      <c r="Z694" s="129"/>
      <c r="AA694" s="129"/>
      <c r="AB694" s="129"/>
      <c r="AC694" s="129"/>
      <c r="AD694" s="129"/>
      <c r="AE694" s="129"/>
      <c r="AF694" s="129"/>
      <c r="AG694" s="129"/>
      <c r="AH694" s="129"/>
      <c r="AI694" s="129"/>
    </row>
    <row r="695" spans="13:35" x14ac:dyDescent="0.15">
      <c r="M695" s="129"/>
      <c r="N695" s="129"/>
      <c r="O695" s="129"/>
      <c r="P695" s="129"/>
      <c r="Q695" s="129"/>
      <c r="R695" s="129"/>
      <c r="S695" s="129"/>
      <c r="T695" s="129"/>
      <c r="U695" s="129"/>
      <c r="V695" s="129"/>
      <c r="W695" s="129"/>
      <c r="X695" s="129"/>
      <c r="Y695" s="129"/>
      <c r="Z695" s="129"/>
      <c r="AA695" s="129"/>
      <c r="AB695" s="129"/>
      <c r="AC695" s="129"/>
      <c r="AD695" s="129"/>
      <c r="AE695" s="129"/>
      <c r="AF695" s="129"/>
      <c r="AG695" s="129"/>
      <c r="AH695" s="129"/>
      <c r="AI695" s="129"/>
    </row>
    <row r="696" spans="13:35" x14ac:dyDescent="0.15">
      <c r="M696" s="129"/>
      <c r="N696" s="129"/>
      <c r="O696" s="129"/>
      <c r="P696" s="129"/>
      <c r="Q696" s="129"/>
      <c r="R696" s="129"/>
      <c r="S696" s="129"/>
      <c r="T696" s="129"/>
      <c r="U696" s="129"/>
      <c r="V696" s="129"/>
      <c r="W696" s="129"/>
      <c r="X696" s="129"/>
      <c r="Y696" s="129"/>
      <c r="Z696" s="129"/>
      <c r="AA696" s="129"/>
      <c r="AB696" s="129"/>
      <c r="AC696" s="129"/>
      <c r="AD696" s="129"/>
      <c r="AE696" s="129"/>
      <c r="AF696" s="129"/>
      <c r="AG696" s="129"/>
      <c r="AH696" s="129"/>
      <c r="AI696" s="129"/>
    </row>
    <row r="697" spans="13:35" x14ac:dyDescent="0.15">
      <c r="M697" s="129"/>
      <c r="N697" s="129"/>
      <c r="O697" s="129"/>
      <c r="P697" s="129"/>
      <c r="Q697" s="129"/>
      <c r="R697" s="129"/>
      <c r="S697" s="129"/>
      <c r="T697" s="129"/>
      <c r="U697" s="129"/>
      <c r="V697" s="129"/>
      <c r="W697" s="129"/>
      <c r="X697" s="129"/>
      <c r="Y697" s="129"/>
      <c r="Z697" s="129"/>
      <c r="AA697" s="129"/>
      <c r="AB697" s="129"/>
      <c r="AC697" s="129"/>
      <c r="AD697" s="129"/>
      <c r="AE697" s="129"/>
      <c r="AF697" s="129"/>
      <c r="AG697" s="129"/>
      <c r="AH697" s="129"/>
      <c r="AI697" s="129"/>
    </row>
    <row r="698" spans="13:35" x14ac:dyDescent="0.15">
      <c r="M698" s="129"/>
      <c r="N698" s="129"/>
      <c r="O698" s="129"/>
      <c r="P698" s="129"/>
      <c r="Q698" s="129"/>
      <c r="R698" s="129"/>
      <c r="S698" s="129"/>
      <c r="T698" s="129"/>
      <c r="U698" s="129"/>
      <c r="V698" s="129"/>
      <c r="W698" s="129"/>
      <c r="X698" s="129"/>
      <c r="Y698" s="129"/>
      <c r="Z698" s="129"/>
      <c r="AA698" s="129"/>
      <c r="AB698" s="129"/>
      <c r="AC698" s="129"/>
      <c r="AD698" s="129"/>
      <c r="AE698" s="129"/>
      <c r="AF698" s="129"/>
      <c r="AG698" s="129"/>
      <c r="AH698" s="129"/>
      <c r="AI698" s="129"/>
    </row>
    <row r="699" spans="13:35" x14ac:dyDescent="0.15">
      <c r="M699" s="129"/>
      <c r="N699" s="129"/>
      <c r="O699" s="129"/>
      <c r="P699" s="129"/>
      <c r="Q699" s="129"/>
      <c r="R699" s="129"/>
      <c r="S699" s="129"/>
      <c r="T699" s="129"/>
      <c r="U699" s="129"/>
      <c r="V699" s="129"/>
      <c r="W699" s="129"/>
      <c r="X699" s="129"/>
      <c r="Y699" s="129"/>
      <c r="Z699" s="129"/>
      <c r="AA699" s="129"/>
      <c r="AB699" s="129"/>
      <c r="AC699" s="129"/>
      <c r="AD699" s="129"/>
      <c r="AE699" s="129"/>
      <c r="AF699" s="129"/>
      <c r="AG699" s="129"/>
      <c r="AH699" s="129"/>
      <c r="AI699" s="129"/>
    </row>
    <row r="700" spans="13:35" x14ac:dyDescent="0.15"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  <c r="AA700" s="129"/>
      <c r="AB700" s="129"/>
      <c r="AC700" s="129"/>
      <c r="AD700" s="129"/>
      <c r="AE700" s="129"/>
      <c r="AF700" s="129"/>
      <c r="AG700" s="129"/>
      <c r="AH700" s="129"/>
      <c r="AI700" s="129"/>
    </row>
    <row r="701" spans="13:35" x14ac:dyDescent="0.15">
      <c r="M701" s="129"/>
      <c r="N701" s="129"/>
      <c r="O701" s="129"/>
      <c r="P701" s="129"/>
      <c r="Q701" s="129"/>
      <c r="R701" s="129"/>
      <c r="S701" s="129"/>
      <c r="T701" s="129"/>
      <c r="U701" s="129"/>
      <c r="V701" s="129"/>
      <c r="W701" s="129"/>
      <c r="X701" s="129"/>
      <c r="Y701" s="129"/>
      <c r="Z701" s="129"/>
      <c r="AA701" s="129"/>
      <c r="AB701" s="129"/>
      <c r="AC701" s="129"/>
      <c r="AD701" s="129"/>
      <c r="AE701" s="129"/>
      <c r="AF701" s="129"/>
      <c r="AG701" s="129"/>
      <c r="AH701" s="129"/>
      <c r="AI701" s="129"/>
    </row>
    <row r="702" spans="13:35" x14ac:dyDescent="0.15">
      <c r="M702" s="129"/>
      <c r="N702" s="129"/>
      <c r="O702" s="129"/>
      <c r="P702" s="129"/>
      <c r="Q702" s="129"/>
      <c r="R702" s="129"/>
      <c r="S702" s="129"/>
      <c r="T702" s="129"/>
      <c r="U702" s="129"/>
      <c r="V702" s="129"/>
      <c r="W702" s="129"/>
      <c r="X702" s="129"/>
      <c r="Y702" s="129"/>
      <c r="Z702" s="129"/>
      <c r="AA702" s="129"/>
      <c r="AB702" s="129"/>
      <c r="AC702" s="129"/>
      <c r="AD702" s="129"/>
      <c r="AE702" s="129"/>
      <c r="AF702" s="129"/>
      <c r="AG702" s="129"/>
      <c r="AH702" s="129"/>
      <c r="AI702" s="129"/>
    </row>
    <row r="703" spans="13:35" x14ac:dyDescent="0.15">
      <c r="M703" s="129"/>
      <c r="N703" s="129"/>
      <c r="O703" s="129"/>
      <c r="P703" s="129"/>
      <c r="Q703" s="129"/>
      <c r="R703" s="129"/>
      <c r="S703" s="129"/>
      <c r="T703" s="129"/>
      <c r="U703" s="129"/>
      <c r="V703" s="129"/>
      <c r="W703" s="129"/>
      <c r="X703" s="129"/>
      <c r="Y703" s="129"/>
      <c r="Z703" s="129"/>
      <c r="AA703" s="129"/>
      <c r="AB703" s="129"/>
      <c r="AC703" s="129"/>
      <c r="AD703" s="129"/>
      <c r="AE703" s="129"/>
      <c r="AF703" s="129"/>
      <c r="AG703" s="129"/>
      <c r="AH703" s="129"/>
      <c r="AI703" s="129"/>
    </row>
    <row r="704" spans="13:35" x14ac:dyDescent="0.15">
      <c r="M704" s="129"/>
      <c r="N704" s="129"/>
      <c r="O704" s="129"/>
      <c r="P704" s="129"/>
      <c r="V704" s="129"/>
      <c r="W704" s="129"/>
      <c r="X704" s="129"/>
      <c r="Y704" s="129"/>
      <c r="Z704" s="129"/>
      <c r="AA704" s="129"/>
      <c r="AB704" s="129"/>
      <c r="AC704" s="129"/>
      <c r="AD704" s="129"/>
      <c r="AE704" s="129"/>
      <c r="AF704" s="129"/>
      <c r="AG704" s="129"/>
      <c r="AH704" s="129"/>
      <c r="AI704" s="129"/>
    </row>
    <row r="705" spans="23:34" x14ac:dyDescent="0.15">
      <c r="W705" s="129"/>
      <c r="X705" s="129"/>
      <c r="Y705" s="129"/>
      <c r="Z705" s="129"/>
      <c r="AA705" s="129"/>
      <c r="AB705" s="129"/>
      <c r="AC705" s="129"/>
      <c r="AD705" s="129"/>
      <c r="AE705" s="129"/>
      <c r="AF705" s="129"/>
      <c r="AG705" s="129"/>
      <c r="AH705" s="129"/>
    </row>
    <row r="706" spans="23:34" x14ac:dyDescent="0.15">
      <c r="W706" s="129"/>
      <c r="X706" s="129"/>
      <c r="Y706" s="129"/>
      <c r="Z706" s="129"/>
      <c r="AA706" s="129"/>
      <c r="AB706" s="129"/>
      <c r="AC706" s="129"/>
      <c r="AD706" s="129"/>
      <c r="AE706" s="129"/>
      <c r="AF706" s="129"/>
      <c r="AG706" s="129"/>
      <c r="AH706" s="129"/>
    </row>
    <row r="707" spans="23:34" x14ac:dyDescent="0.15">
      <c r="W707" s="129"/>
      <c r="X707" s="129"/>
      <c r="Y707" s="129"/>
      <c r="Z707" s="129"/>
      <c r="AA707" s="129"/>
      <c r="AB707" s="129"/>
      <c r="AC707" s="129"/>
      <c r="AD707" s="129"/>
      <c r="AE707" s="129"/>
      <c r="AF707" s="129"/>
      <c r="AG707" s="129"/>
      <c r="AH707" s="129"/>
    </row>
    <row r="708" spans="23:34" x14ac:dyDescent="0.15">
      <c r="W708" s="129"/>
      <c r="X708" s="129"/>
      <c r="Y708" s="129"/>
      <c r="Z708" s="129"/>
      <c r="AA708" s="129"/>
      <c r="AB708" s="129"/>
      <c r="AC708" s="129"/>
      <c r="AD708" s="129"/>
      <c r="AE708" s="129"/>
      <c r="AF708" s="129"/>
      <c r="AG708" s="129"/>
      <c r="AH708" s="129"/>
    </row>
    <row r="709" spans="23:34" x14ac:dyDescent="0.15">
      <c r="W709" s="129"/>
      <c r="X709" s="129"/>
      <c r="Y709" s="129"/>
      <c r="Z709" s="129"/>
      <c r="AA709" s="129"/>
      <c r="AB709" s="129"/>
      <c r="AC709" s="129"/>
      <c r="AD709" s="129"/>
      <c r="AE709" s="129"/>
      <c r="AF709" s="129"/>
      <c r="AG709" s="129"/>
      <c r="AH709" s="129"/>
    </row>
    <row r="710" spans="23:34" x14ac:dyDescent="0.15">
      <c r="W710" s="129"/>
      <c r="X710" s="129"/>
      <c r="Y710" s="129"/>
      <c r="Z710" s="129"/>
      <c r="AA710" s="129"/>
      <c r="AB710" s="129"/>
      <c r="AC710" s="129"/>
      <c r="AD710" s="129"/>
      <c r="AE710" s="129"/>
      <c r="AF710" s="129"/>
      <c r="AG710" s="129"/>
      <c r="AH710" s="129"/>
    </row>
    <row r="711" spans="23:34" x14ac:dyDescent="0.15">
      <c r="W711" s="129"/>
      <c r="X711" s="129"/>
      <c r="Y711" s="129"/>
      <c r="Z711" s="129"/>
      <c r="AA711" s="129"/>
      <c r="AB711" s="129"/>
      <c r="AC711" s="129"/>
      <c r="AD711" s="129"/>
      <c r="AE711" s="129"/>
      <c r="AF711" s="129"/>
      <c r="AG711" s="129"/>
      <c r="AH711" s="129"/>
    </row>
    <row r="712" spans="23:34" x14ac:dyDescent="0.15">
      <c r="W712" s="129"/>
      <c r="X712" s="129"/>
      <c r="Y712" s="129"/>
      <c r="Z712" s="129"/>
      <c r="AA712" s="129"/>
      <c r="AB712" s="129"/>
      <c r="AC712" s="129"/>
      <c r="AD712" s="129"/>
      <c r="AE712" s="129"/>
      <c r="AF712" s="129"/>
      <c r="AG712" s="129"/>
      <c r="AH712" s="129"/>
    </row>
    <row r="713" spans="23:34" x14ac:dyDescent="0.15">
      <c r="W713" s="129"/>
      <c r="X713" s="129"/>
      <c r="Y713" s="129"/>
      <c r="Z713" s="129"/>
      <c r="AA713" s="129"/>
      <c r="AB713" s="129"/>
      <c r="AC713" s="129"/>
      <c r="AD713" s="129"/>
      <c r="AE713" s="129"/>
      <c r="AF713" s="129"/>
      <c r="AG713" s="129"/>
      <c r="AH713" s="129"/>
    </row>
    <row r="714" spans="23:34" x14ac:dyDescent="0.15">
      <c r="W714" s="129"/>
      <c r="X714" s="129"/>
      <c r="Y714" s="129"/>
      <c r="Z714" s="129"/>
      <c r="AA714" s="129"/>
      <c r="AB714" s="129"/>
      <c r="AC714" s="129"/>
      <c r="AD714" s="129"/>
      <c r="AE714" s="129"/>
      <c r="AF714" s="129"/>
      <c r="AG714" s="129"/>
      <c r="AH714" s="129"/>
    </row>
    <row r="715" spans="23:34" x14ac:dyDescent="0.15">
      <c r="W715" s="129"/>
      <c r="X715" s="129"/>
      <c r="Y715" s="129"/>
      <c r="Z715" s="129"/>
      <c r="AA715" s="129"/>
      <c r="AB715" s="129"/>
      <c r="AC715" s="129"/>
      <c r="AD715" s="129"/>
      <c r="AE715" s="129"/>
      <c r="AF715" s="129"/>
      <c r="AG715" s="129"/>
      <c r="AH715" s="129"/>
    </row>
    <row r="716" spans="23:34" x14ac:dyDescent="0.15">
      <c r="W716" s="129"/>
      <c r="X716" s="129"/>
      <c r="Y716" s="129"/>
      <c r="Z716" s="129"/>
      <c r="AA716" s="129"/>
      <c r="AB716" s="129"/>
      <c r="AC716" s="129"/>
      <c r="AD716" s="129"/>
      <c r="AE716" s="129"/>
      <c r="AF716" s="129"/>
      <c r="AG716" s="129"/>
      <c r="AH716" s="129"/>
    </row>
    <row r="717" spans="23:34" x14ac:dyDescent="0.15">
      <c r="W717" s="129"/>
      <c r="X717" s="129"/>
      <c r="Y717" s="129"/>
      <c r="Z717" s="129"/>
      <c r="AA717" s="129"/>
      <c r="AB717" s="129"/>
      <c r="AC717" s="129"/>
      <c r="AD717" s="129"/>
      <c r="AE717" s="129"/>
      <c r="AF717" s="129"/>
      <c r="AG717" s="129"/>
      <c r="AH717" s="129"/>
    </row>
    <row r="718" spans="23:34" x14ac:dyDescent="0.15">
      <c r="W718" s="129"/>
      <c r="X718" s="129"/>
      <c r="Y718" s="129"/>
      <c r="Z718" s="129"/>
      <c r="AA718" s="129"/>
      <c r="AB718" s="129"/>
      <c r="AC718" s="129"/>
      <c r="AD718" s="129"/>
      <c r="AE718" s="129"/>
      <c r="AF718" s="129"/>
      <c r="AG718" s="129"/>
      <c r="AH718" s="129"/>
    </row>
    <row r="719" spans="23:34" x14ac:dyDescent="0.15">
      <c r="W719" s="129"/>
      <c r="X719" s="129"/>
      <c r="Y719" s="129"/>
      <c r="Z719" s="129"/>
      <c r="AA719" s="129"/>
      <c r="AB719" s="129"/>
      <c r="AC719" s="129"/>
      <c r="AD719" s="129"/>
      <c r="AE719" s="129"/>
      <c r="AF719" s="129"/>
      <c r="AG719" s="129"/>
      <c r="AH719" s="129"/>
    </row>
    <row r="720" spans="23:34" x14ac:dyDescent="0.15">
      <c r="W720" s="129"/>
      <c r="X720" s="129"/>
      <c r="Y720" s="129"/>
      <c r="Z720" s="129"/>
      <c r="AA720" s="129"/>
      <c r="AB720" s="129"/>
      <c r="AC720" s="129"/>
      <c r="AD720" s="129"/>
      <c r="AE720" s="129"/>
      <c r="AF720" s="129"/>
      <c r="AG720" s="129"/>
      <c r="AH720" s="129"/>
    </row>
    <row r="721" spans="23:34" x14ac:dyDescent="0.15">
      <c r="W721" s="129"/>
      <c r="X721" s="129"/>
      <c r="Y721" s="129"/>
      <c r="Z721" s="129"/>
      <c r="AA721" s="129"/>
      <c r="AB721" s="129"/>
      <c r="AC721" s="129"/>
      <c r="AD721" s="129"/>
      <c r="AE721" s="129"/>
      <c r="AF721" s="129"/>
      <c r="AG721" s="129"/>
      <c r="AH721" s="129"/>
    </row>
    <row r="722" spans="23:34" x14ac:dyDescent="0.15">
      <c r="W722" s="129"/>
      <c r="X722" s="129"/>
      <c r="Y722" s="129"/>
      <c r="Z722" s="129"/>
      <c r="AA722" s="129"/>
      <c r="AB722" s="129"/>
      <c r="AC722" s="129"/>
      <c r="AD722" s="129"/>
      <c r="AE722" s="129"/>
      <c r="AF722" s="129"/>
      <c r="AG722" s="129"/>
      <c r="AH722" s="129"/>
    </row>
  </sheetData>
  <mergeCells count="1">
    <mergeCell ref="A1:B1"/>
  </mergeCells>
  <conditionalFormatting sqref="C31:M31">
    <cfRule type="cellIs" dxfId="0" priority="1" stopIfTrue="1" operator="equal">
      <formula>"Yes"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9081C-3AFA-9C4E-90ED-B2877EA8BC73}">
  <dimension ref="A1:AF49"/>
  <sheetViews>
    <sheetView zoomScale="75" zoomScaleNormal="125" workbookViewId="0">
      <selection activeCell="I27" sqref="I27"/>
    </sheetView>
  </sheetViews>
  <sheetFormatPr baseColWidth="10" defaultRowHeight="16" x14ac:dyDescent="0.2"/>
  <cols>
    <col min="1" max="1" width="37.6640625" customWidth="1"/>
    <col min="2" max="2" width="32.1640625" customWidth="1"/>
    <col min="3" max="3" width="31.33203125" customWidth="1"/>
    <col min="4" max="4" width="28.6640625" customWidth="1"/>
    <col min="5" max="5" width="28.33203125" customWidth="1"/>
    <col min="6" max="6" width="26.6640625" customWidth="1"/>
    <col min="7" max="7" width="20.33203125" customWidth="1"/>
    <col min="8" max="8" width="27.1640625" customWidth="1"/>
    <col min="15" max="15" width="51.5" customWidth="1"/>
  </cols>
  <sheetData>
    <row r="1" spans="1:32" ht="17" thickBot="1" x14ac:dyDescent="0.25">
      <c r="A1" s="320" t="s">
        <v>250</v>
      </c>
      <c r="B1" s="125"/>
      <c r="C1" s="323">
        <v>44196</v>
      </c>
      <c r="F1" s="320" t="s">
        <v>132</v>
      </c>
      <c r="G1" s="125"/>
      <c r="H1" s="323">
        <v>44196</v>
      </c>
    </row>
    <row r="2" spans="1:32" x14ac:dyDescent="0.2">
      <c r="A2" s="1099" t="s">
        <v>251</v>
      </c>
      <c r="B2" s="1100"/>
      <c r="C2" s="78">
        <f>Competitors!AG40</f>
        <v>1784.912</v>
      </c>
      <c r="F2" s="1099" t="s">
        <v>133</v>
      </c>
      <c r="G2" s="1100"/>
      <c r="H2" s="139">
        <f>C9*1</f>
        <v>0.15366483734134695</v>
      </c>
    </row>
    <row r="3" spans="1:32" x14ac:dyDescent="0.2">
      <c r="A3" s="1097" t="s">
        <v>252</v>
      </c>
      <c r="B3" s="1101"/>
      <c r="C3" s="78">
        <f>2323</f>
        <v>2323</v>
      </c>
      <c r="F3" s="1097" t="s">
        <v>257</v>
      </c>
      <c r="G3" s="1101"/>
      <c r="H3" s="140">
        <f>H5-H4</f>
        <v>1926.4668072924644</v>
      </c>
    </row>
    <row r="4" spans="1:32" ht="17" thickBot="1" x14ac:dyDescent="0.25">
      <c r="A4" s="1097" t="s">
        <v>134</v>
      </c>
      <c r="B4" s="1101"/>
      <c r="C4" s="78">
        <f>Competitors!AF20</f>
        <v>107.7</v>
      </c>
      <c r="F4" s="1097" t="s">
        <v>251</v>
      </c>
      <c r="G4" s="1101"/>
      <c r="H4" s="141">
        <f>(H2*(C6+C2)-C2+C8)/(1-H2)+C2</f>
        <v>1784.912</v>
      </c>
    </row>
    <row r="5" spans="1:32" ht="17" thickBot="1" x14ac:dyDescent="0.25">
      <c r="A5" s="1097" t="s">
        <v>253</v>
      </c>
      <c r="B5" s="1101"/>
      <c r="C5" s="629">
        <f>72.5</f>
        <v>72.5</v>
      </c>
      <c r="F5" s="1102" t="s">
        <v>255</v>
      </c>
      <c r="G5" s="1103"/>
      <c r="H5" s="1337">
        <f>B33</f>
        <v>3711.3788072924644</v>
      </c>
      <c r="I5" s="1338">
        <v>3711</v>
      </c>
      <c r="J5" s="135"/>
      <c r="K5" s="135"/>
      <c r="L5" s="135"/>
      <c r="M5" s="136"/>
      <c r="N5" s="136"/>
      <c r="O5" s="76"/>
    </row>
    <row r="6" spans="1:32" x14ac:dyDescent="0.2">
      <c r="A6" s="1097" t="s">
        <v>418</v>
      </c>
      <c r="B6" s="1101"/>
      <c r="C6" s="137">
        <f>Competitors!AG20*1.1</f>
        <v>8807.7000000000007</v>
      </c>
      <c r="D6" s="760" t="s">
        <v>417</v>
      </c>
      <c r="F6" s="75"/>
      <c r="G6" s="75"/>
      <c r="H6" s="75"/>
    </row>
    <row r="7" spans="1:32" x14ac:dyDescent="0.2">
      <c r="A7" s="1097" t="s">
        <v>255</v>
      </c>
      <c r="B7" s="1101"/>
      <c r="C7" s="137">
        <f>Competitors!AH20</f>
        <v>3711.3788072924644</v>
      </c>
    </row>
    <row r="8" spans="1:32" x14ac:dyDescent="0.2">
      <c r="A8" s="1097" t="s">
        <v>256</v>
      </c>
      <c r="B8" s="1101"/>
      <c r="C8" s="78">
        <f>Competitors!AJ40</f>
        <v>157.19999999999999</v>
      </c>
    </row>
    <row r="9" spans="1:32" ht="17" thickBot="1" x14ac:dyDescent="0.25">
      <c r="A9" s="1102" t="s">
        <v>133</v>
      </c>
      <c r="B9" s="1103"/>
      <c r="C9" s="138">
        <f>(C2-C8)/(C6+C2)</f>
        <v>0.15366483734134695</v>
      </c>
      <c r="J9" s="75"/>
      <c r="K9" s="75"/>
      <c r="L9" s="431"/>
      <c r="M9" s="431"/>
      <c r="N9" s="431"/>
      <c r="O9" s="431"/>
      <c r="P9" s="431"/>
      <c r="Q9" s="431"/>
      <c r="R9" s="431"/>
      <c r="S9" s="431"/>
      <c r="T9" s="431"/>
      <c r="U9" s="431"/>
      <c r="V9" s="431"/>
      <c r="W9" s="75"/>
      <c r="X9" s="75"/>
      <c r="Y9" s="75"/>
      <c r="Z9" s="75"/>
      <c r="AA9" s="75"/>
      <c r="AB9" s="75"/>
      <c r="AC9" s="75"/>
      <c r="AD9" s="75"/>
      <c r="AE9" s="75"/>
      <c r="AF9" s="75"/>
    </row>
    <row r="10" spans="1:32" x14ac:dyDescent="0.2">
      <c r="J10" s="75"/>
      <c r="K10" s="75"/>
      <c r="L10" s="431"/>
      <c r="M10" s="431"/>
      <c r="N10" s="431"/>
      <c r="O10" s="431"/>
      <c r="P10" s="431"/>
      <c r="Q10" s="431"/>
      <c r="R10" s="431"/>
      <c r="S10" s="431"/>
      <c r="T10" s="431"/>
      <c r="U10" s="431"/>
      <c r="V10" s="431"/>
      <c r="W10" s="75"/>
      <c r="X10" s="75"/>
      <c r="Y10" s="75"/>
      <c r="Z10" s="75"/>
      <c r="AA10" s="75"/>
      <c r="AB10" s="75"/>
      <c r="AC10" s="75"/>
      <c r="AD10" s="75"/>
      <c r="AE10" s="75"/>
      <c r="AF10" s="75"/>
    </row>
    <row r="11" spans="1:32" ht="17" customHeight="1" thickBot="1" x14ac:dyDescent="0.25">
      <c r="J11" s="103"/>
      <c r="K11" s="103"/>
      <c r="L11" s="31"/>
      <c r="M11" s="541"/>
      <c r="N11" s="541"/>
      <c r="O11" s="541"/>
      <c r="P11" s="31"/>
      <c r="Q11" s="31"/>
      <c r="R11" s="31"/>
      <c r="S11" s="31"/>
      <c r="T11" s="31"/>
      <c r="U11" s="31"/>
      <c r="V11" s="31"/>
      <c r="W11" s="77"/>
      <c r="X11" s="77"/>
      <c r="Y11" s="77"/>
      <c r="Z11" s="77"/>
      <c r="AA11" s="77"/>
      <c r="AB11" s="77"/>
      <c r="AC11" s="77"/>
      <c r="AD11" s="77"/>
      <c r="AE11" s="75"/>
      <c r="AF11" s="75"/>
    </row>
    <row r="12" spans="1:32" ht="17" customHeight="1" thickBot="1" x14ac:dyDescent="0.25">
      <c r="A12" s="1105" t="s">
        <v>0</v>
      </c>
      <c r="B12" s="1106"/>
      <c r="C12" s="323">
        <v>44196</v>
      </c>
      <c r="D12" s="324">
        <v>44561</v>
      </c>
      <c r="E12" s="324">
        <v>44926</v>
      </c>
      <c r="F12" s="324">
        <v>45291</v>
      </c>
      <c r="G12" s="324">
        <v>45657</v>
      </c>
      <c r="J12" s="76"/>
      <c r="K12" s="76"/>
      <c r="L12" s="143"/>
      <c r="M12" s="439"/>
      <c r="N12" s="28"/>
      <c r="O12" s="540"/>
      <c r="P12" s="431"/>
      <c r="Q12" s="431"/>
      <c r="R12" s="431"/>
      <c r="S12" s="431"/>
      <c r="T12" s="431"/>
      <c r="U12" s="431"/>
      <c r="V12" s="431"/>
    </row>
    <row r="13" spans="1:32" ht="16" customHeight="1" x14ac:dyDescent="0.2">
      <c r="A13" s="1097" t="s">
        <v>133</v>
      </c>
      <c r="B13" s="1098"/>
      <c r="C13" s="376">
        <f>H2</f>
        <v>0.15366483734134695</v>
      </c>
      <c r="D13" s="300">
        <f>C13+D14</f>
        <v>0.17473142510367107</v>
      </c>
      <c r="E13" s="300">
        <f>D13+E14</f>
        <v>0.19579801286599519</v>
      </c>
      <c r="F13" s="300">
        <f t="shared" ref="F13" si="0">E13+F14</f>
        <v>0.2168646006283193</v>
      </c>
      <c r="G13" s="377">
        <f>F13+G14</f>
        <v>0.23793118839064342</v>
      </c>
      <c r="I13" s="564"/>
      <c r="J13" s="564"/>
      <c r="K13" s="564"/>
      <c r="L13" s="143"/>
      <c r="M13" s="439"/>
      <c r="N13" s="28"/>
      <c r="O13" s="540"/>
      <c r="P13" s="572"/>
      <c r="Q13" s="572"/>
      <c r="R13" s="572"/>
      <c r="S13" s="572"/>
      <c r="T13" s="572"/>
      <c r="U13" s="572"/>
      <c r="V13" s="572"/>
      <c r="W13" s="564"/>
    </row>
    <row r="14" spans="1:32" ht="16" customHeight="1" x14ac:dyDescent="0.2">
      <c r="A14" s="1097" t="s">
        <v>135</v>
      </c>
      <c r="B14" s="1098"/>
      <c r="C14" s="614">
        <f>C24</f>
        <v>0</v>
      </c>
      <c r="D14" s="615">
        <f>D24</f>
        <v>2.1066587762324104E-2</v>
      </c>
      <c r="E14" s="615">
        <f>E24</f>
        <v>2.1066587762324104E-2</v>
      </c>
      <c r="F14" s="615">
        <f>F24</f>
        <v>2.1066587762324104E-2</v>
      </c>
      <c r="G14" s="616">
        <f>G24</f>
        <v>2.1066587762324104E-2</v>
      </c>
      <c r="J14" s="76"/>
      <c r="K14" s="76"/>
      <c r="L14" s="143"/>
      <c r="M14" s="439"/>
      <c r="N14" s="28"/>
      <c r="O14" s="540"/>
      <c r="P14" s="431"/>
      <c r="Q14" s="431"/>
      <c r="R14" s="431"/>
      <c r="S14" s="431"/>
      <c r="T14" s="431"/>
      <c r="U14" s="431"/>
      <c r="V14" s="431"/>
    </row>
    <row r="15" spans="1:32" ht="16" customHeight="1" x14ac:dyDescent="0.2">
      <c r="A15" s="1097" t="s">
        <v>256</v>
      </c>
      <c r="B15" s="1098"/>
      <c r="C15" s="665">
        <f>NWC!W7</f>
        <v>175.16875884102495</v>
      </c>
      <c r="D15" s="585">
        <f>NWC!X7</f>
        <v>195.19143812916764</v>
      </c>
      <c r="E15" s="585">
        <f>NWC!Y7</f>
        <v>217.50281140891224</v>
      </c>
      <c r="F15" s="585">
        <f>NWC!Z7</f>
        <v>242.36448803392284</v>
      </c>
      <c r="G15" s="578">
        <f>NWC!AA7</f>
        <v>270.06798063640395</v>
      </c>
      <c r="L15" s="143"/>
      <c r="M15" s="439"/>
      <c r="N15" s="28"/>
      <c r="O15" s="540"/>
      <c r="P15" s="431"/>
      <c r="Q15" s="431"/>
      <c r="R15" s="431"/>
      <c r="S15" s="431"/>
      <c r="T15" s="431"/>
      <c r="U15" s="431"/>
      <c r="V15" s="431"/>
    </row>
    <row r="16" spans="1:32" ht="16" customHeight="1" x14ac:dyDescent="0.2">
      <c r="A16" s="1097" t="s">
        <v>251</v>
      </c>
      <c r="B16" s="1098"/>
      <c r="C16" s="772">
        <f>H4</f>
        <v>1784.912</v>
      </c>
      <c r="D16" s="773">
        <f>C16+$I5*D24</f>
        <v>1863.0901071859848</v>
      </c>
      <c r="E16" s="773">
        <f t="shared" ref="E16:F16" si="1">D16+$I5*E24</f>
        <v>1941.2682143719696</v>
      </c>
      <c r="F16" s="773">
        <f t="shared" si="1"/>
        <v>2019.4463215579544</v>
      </c>
      <c r="G16" s="774">
        <f>F16+$I5*G24</f>
        <v>2097.624428743939</v>
      </c>
      <c r="H16" s="227"/>
      <c r="L16" s="143"/>
      <c r="M16" s="439"/>
      <c r="N16" s="28"/>
      <c r="O16" s="540"/>
      <c r="P16" s="431"/>
      <c r="Q16" s="431"/>
      <c r="R16" s="431"/>
      <c r="S16" s="431"/>
      <c r="T16" s="431"/>
      <c r="U16" s="431"/>
      <c r="V16" s="431"/>
    </row>
    <row r="17" spans="1:22" ht="17" customHeight="1" x14ac:dyDescent="0.2">
      <c r="A17" s="692" t="s">
        <v>393</v>
      </c>
      <c r="B17" s="693"/>
      <c r="C17" s="772">
        <f>C16-'WACC CALCULATION'!$I$7</f>
        <v>999.99975800000004</v>
      </c>
      <c r="D17" s="773">
        <f>D16-'WACC CALCULATION'!$I$7</f>
        <v>1078.177865185985</v>
      </c>
      <c r="E17" s="773">
        <f>E16-'WACC CALCULATION'!$I$7</f>
        <v>1156.3559723719695</v>
      </c>
      <c r="F17" s="773">
        <f>F16-'WACC CALCULATION'!$I$7</f>
        <v>1234.5340795579546</v>
      </c>
      <c r="G17" s="774">
        <f>G16-'WACC CALCULATION'!$I$7</f>
        <v>1312.7121867439391</v>
      </c>
      <c r="H17" s="593"/>
      <c r="L17" s="143"/>
      <c r="M17" s="439"/>
      <c r="N17" s="28"/>
      <c r="O17" s="540"/>
      <c r="P17" s="431"/>
      <c r="Q17" s="431"/>
      <c r="R17" s="431"/>
      <c r="S17" s="431"/>
      <c r="T17" s="431"/>
      <c r="U17" s="431"/>
      <c r="V17" s="431"/>
    </row>
    <row r="18" spans="1:22" ht="16" customHeight="1" thickBot="1" x14ac:dyDescent="0.25">
      <c r="A18" s="1102" t="s">
        <v>254</v>
      </c>
      <c r="B18" s="1104"/>
      <c r="C18" s="322">
        <f>B32</f>
        <v>1926.4668072924644</v>
      </c>
      <c r="D18" s="111">
        <f>C32</f>
        <v>1749.0743827651468</v>
      </c>
      <c r="E18" s="111">
        <f t="shared" ref="E18:G18" si="2">D32</f>
        <v>1752.1655248891955</v>
      </c>
      <c r="F18" s="111">
        <f t="shared" si="2"/>
        <v>1794.1682654896445</v>
      </c>
      <c r="G18" s="112">
        <f t="shared" si="2"/>
        <v>1776.118939368972</v>
      </c>
      <c r="H18" s="229"/>
      <c r="L18" s="143"/>
      <c r="M18" s="439"/>
      <c r="N18" s="28"/>
      <c r="O18" s="540"/>
      <c r="P18" s="431"/>
      <c r="Q18" s="431"/>
      <c r="R18" s="431"/>
      <c r="S18" s="431"/>
      <c r="T18" s="431"/>
      <c r="U18" s="431"/>
      <c r="V18" s="431"/>
    </row>
    <row r="19" spans="1:22" ht="16" customHeight="1" x14ac:dyDescent="0.2">
      <c r="F19" s="564"/>
      <c r="H19" s="229"/>
      <c r="L19" s="143"/>
      <c r="M19" s="439"/>
      <c r="N19" s="28"/>
      <c r="O19" s="540"/>
      <c r="P19" s="431"/>
      <c r="Q19" s="431"/>
      <c r="R19" s="431"/>
      <c r="S19" s="431"/>
      <c r="T19" s="431"/>
      <c r="U19" s="431"/>
      <c r="V19" s="431"/>
    </row>
    <row r="20" spans="1:22" ht="16" customHeight="1" x14ac:dyDescent="0.2">
      <c r="H20" s="240"/>
      <c r="L20" s="143"/>
      <c r="M20" s="439"/>
      <c r="N20" s="28"/>
      <c r="O20" s="540"/>
      <c r="P20" s="431"/>
      <c r="Q20" s="431"/>
      <c r="R20" s="431"/>
      <c r="S20" s="431"/>
      <c r="T20" s="431"/>
      <c r="U20" s="431"/>
      <c r="V20" s="431"/>
    </row>
    <row r="21" spans="1:22" ht="17" customHeight="1" x14ac:dyDescent="0.2">
      <c r="F21" s="564"/>
      <c r="H21" s="241"/>
      <c r="L21" s="143"/>
      <c r="M21" s="439"/>
      <c r="N21" s="28"/>
      <c r="O21" s="540"/>
      <c r="P21" s="431"/>
      <c r="Q21" s="431"/>
      <c r="R21" s="431"/>
      <c r="S21" s="431"/>
      <c r="T21" s="431"/>
      <c r="U21" s="431"/>
      <c r="V21" s="431"/>
    </row>
    <row r="22" spans="1:22" ht="17" customHeight="1" thickBot="1" x14ac:dyDescent="0.25">
      <c r="H22" s="242"/>
      <c r="L22" s="143"/>
      <c r="M22" s="439"/>
      <c r="N22" s="28"/>
      <c r="O22" s="540"/>
      <c r="P22" s="431"/>
      <c r="Q22" s="431"/>
      <c r="R22" s="431"/>
      <c r="S22" s="431"/>
      <c r="T22" s="431"/>
      <c r="U22" s="431"/>
      <c r="V22" s="431"/>
    </row>
    <row r="23" spans="1:22" ht="17" customHeight="1" thickBot="1" x14ac:dyDescent="0.25">
      <c r="A23" s="1074" t="s">
        <v>0</v>
      </c>
      <c r="B23" s="1096"/>
      <c r="C23" s="324">
        <v>44196</v>
      </c>
      <c r="D23" s="324">
        <v>44561</v>
      </c>
      <c r="E23" s="324">
        <v>44926</v>
      </c>
      <c r="F23" s="324">
        <v>45291</v>
      </c>
      <c r="G23" s="325">
        <v>45657</v>
      </c>
      <c r="H23" s="243"/>
      <c r="I23" s="593"/>
      <c r="J23" s="593"/>
      <c r="K23" s="593"/>
      <c r="L23" s="593"/>
      <c r="M23" s="593"/>
      <c r="N23" s="593"/>
      <c r="O23" s="593"/>
      <c r="P23" s="593"/>
      <c r="Q23" s="593"/>
      <c r="R23" s="593"/>
      <c r="S23" s="593"/>
      <c r="T23" s="593"/>
      <c r="U23" s="593"/>
      <c r="V23" s="593"/>
    </row>
    <row r="24" spans="1:22" ht="16" customHeight="1" thickBot="1" x14ac:dyDescent="0.25">
      <c r="A24" s="1094" t="s">
        <v>135</v>
      </c>
      <c r="B24" s="1095"/>
      <c r="C24" s="594">
        <f>0</f>
        <v>0</v>
      </c>
      <c r="D24" s="594">
        <f>(Competitors!$AQ$41-$C$13)/4</f>
        <v>2.1066587762324104E-2</v>
      </c>
      <c r="E24" s="594">
        <f>(Competitors!$AQ$41-$C$13)/4</f>
        <v>2.1066587762324104E-2</v>
      </c>
      <c r="F24" s="594">
        <f>(Competitors!$AQ$41-$C$13)/4</f>
        <v>2.1066587762324104E-2</v>
      </c>
      <c r="G24" s="617">
        <f>(Competitors!$AQ$41-$C$13)/4</f>
        <v>2.1066587762324104E-2</v>
      </c>
      <c r="H24" s="244"/>
      <c r="L24" s="143"/>
      <c r="M24" s="439"/>
      <c r="N24" s="28"/>
      <c r="O24" s="540"/>
      <c r="P24" s="431"/>
      <c r="Q24" s="431"/>
      <c r="R24" s="431"/>
      <c r="S24" s="431"/>
      <c r="T24" s="431"/>
      <c r="U24" s="431"/>
      <c r="V24" s="431"/>
    </row>
    <row r="25" spans="1:22" ht="17" customHeight="1" x14ac:dyDescent="0.2">
      <c r="H25" s="245"/>
      <c r="L25" s="143"/>
      <c r="M25" s="439"/>
      <c r="N25" s="28"/>
      <c r="O25" s="540"/>
      <c r="P25" s="431"/>
      <c r="Q25" s="431"/>
      <c r="R25" s="431"/>
      <c r="S25" s="431"/>
      <c r="T25" s="431"/>
      <c r="U25" s="431"/>
      <c r="V25" s="431"/>
    </row>
    <row r="26" spans="1:22" ht="17" customHeight="1" thickBot="1" x14ac:dyDescent="0.25">
      <c r="H26" s="246"/>
      <c r="L26" s="143"/>
      <c r="M26" s="439"/>
      <c r="N26" s="28"/>
      <c r="O26" s="540"/>
      <c r="P26" s="431"/>
      <c r="Q26" s="431"/>
      <c r="R26" s="431"/>
      <c r="S26" s="431"/>
      <c r="T26" s="431"/>
      <c r="U26" s="431"/>
      <c r="V26" s="431"/>
    </row>
    <row r="27" spans="1:22" ht="16" customHeight="1" thickBot="1" x14ac:dyDescent="0.25">
      <c r="A27" s="385"/>
      <c r="B27" s="324">
        <v>44196</v>
      </c>
      <c r="C27" s="326">
        <v>44561</v>
      </c>
      <c r="D27" s="326">
        <v>44926</v>
      </c>
      <c r="E27" s="326">
        <v>45291</v>
      </c>
      <c r="F27" s="779">
        <v>45657</v>
      </c>
      <c r="H27" s="246"/>
      <c r="L27" s="143"/>
      <c r="M27" s="439"/>
      <c r="N27" s="28"/>
      <c r="O27" s="540"/>
      <c r="P27" s="431"/>
      <c r="Q27" s="431"/>
      <c r="R27" s="431"/>
      <c r="S27" s="431"/>
      <c r="T27" s="431"/>
      <c r="U27" s="431"/>
      <c r="V27" s="431"/>
    </row>
    <row r="28" spans="1:22" ht="16" customHeight="1" x14ac:dyDescent="0.2">
      <c r="A28" s="793" t="s">
        <v>419</v>
      </c>
      <c r="B28" s="780">
        <f>C13</f>
        <v>0.15366483734134695</v>
      </c>
      <c r="C28" s="375">
        <f>D13</f>
        <v>0.17473142510367107</v>
      </c>
      <c r="D28" s="375">
        <f>E13</f>
        <v>0.19579801286599519</v>
      </c>
      <c r="E28" s="375">
        <f>F13</f>
        <v>0.2168646006283193</v>
      </c>
      <c r="F28" s="375">
        <f>G13</f>
        <v>0.23793118839064342</v>
      </c>
      <c r="H28" s="247"/>
      <c r="L28" s="143"/>
      <c r="M28" s="439"/>
      <c r="N28" s="28"/>
      <c r="O28" s="540"/>
      <c r="P28" s="431"/>
      <c r="Q28" s="431"/>
      <c r="R28" s="431"/>
      <c r="S28" s="431"/>
      <c r="T28" s="431"/>
      <c r="U28" s="431"/>
      <c r="V28" s="431"/>
    </row>
    <row r="29" spans="1:22" ht="16" customHeight="1" thickBot="1" x14ac:dyDescent="0.25">
      <c r="A29" s="798" t="s">
        <v>270</v>
      </c>
      <c r="B29" s="781">
        <f>C15</f>
        <v>175.16875884102495</v>
      </c>
      <c r="C29" s="699">
        <f>D15</f>
        <v>195.19143812916764</v>
      </c>
      <c r="D29" s="699">
        <f>E15</f>
        <v>217.50281140891224</v>
      </c>
      <c r="E29" s="699">
        <f>F15</f>
        <v>242.36448803392284</v>
      </c>
      <c r="F29" s="699">
        <f>G15</f>
        <v>270.06798063640395</v>
      </c>
      <c r="H29" s="248"/>
      <c r="L29" s="143"/>
      <c r="M29" s="439"/>
      <c r="N29" s="28"/>
      <c r="O29" s="540"/>
      <c r="P29" s="431"/>
      <c r="Q29" s="431"/>
      <c r="R29" s="431"/>
      <c r="S29" s="431"/>
      <c r="T29" s="431"/>
      <c r="U29" s="431"/>
      <c r="V29" s="431"/>
    </row>
    <row r="30" spans="1:22" ht="16" customHeight="1" x14ac:dyDescent="0.2">
      <c r="A30" s="797"/>
      <c r="B30" s="782"/>
      <c r="C30" s="422"/>
      <c r="D30" s="419"/>
      <c r="E30" s="419"/>
      <c r="F30" s="419"/>
      <c r="H30" s="761"/>
      <c r="L30" s="143"/>
      <c r="M30" s="439"/>
      <c r="N30" s="440"/>
      <c r="O30" s="540"/>
      <c r="P30" s="431"/>
      <c r="Q30" s="441"/>
      <c r="R30" s="431"/>
      <c r="S30" s="431"/>
      <c r="T30" s="431"/>
      <c r="U30" s="431"/>
      <c r="V30" s="431"/>
    </row>
    <row r="31" spans="1:22" ht="16" customHeight="1" x14ac:dyDescent="0.2">
      <c r="A31" s="795" t="s">
        <v>271</v>
      </c>
      <c r="B31" s="783">
        <f>C16</f>
        <v>1784.912</v>
      </c>
      <c r="C31" s="424">
        <f>D16</f>
        <v>1863.0901071859848</v>
      </c>
      <c r="D31" s="424">
        <f>E16</f>
        <v>1941.2682143719696</v>
      </c>
      <c r="E31" s="424">
        <f>F16</f>
        <v>2019.4463215579544</v>
      </c>
      <c r="F31" s="424">
        <f>G16</f>
        <v>2097.624428743939</v>
      </c>
      <c r="H31" s="248"/>
      <c r="L31" s="143"/>
      <c r="M31" s="439"/>
      <c r="N31" s="440"/>
      <c r="O31" s="540"/>
      <c r="P31" s="431"/>
      <c r="Q31" s="431"/>
      <c r="R31" s="431"/>
      <c r="S31" s="431"/>
      <c r="T31" s="431"/>
      <c r="U31" s="431"/>
      <c r="V31" s="431"/>
    </row>
    <row r="32" spans="1:22" ht="16" customHeight="1" x14ac:dyDescent="0.2">
      <c r="A32" s="795" t="s">
        <v>433</v>
      </c>
      <c r="B32" s="784">
        <f>B33-B31</f>
        <v>1926.4668072924644</v>
      </c>
      <c r="C32" s="425">
        <f>C33-C31</f>
        <v>1749.0743827651468</v>
      </c>
      <c r="D32" s="425">
        <f>D33-D31</f>
        <v>1752.1655248891955</v>
      </c>
      <c r="E32" s="425">
        <f>E33-E31</f>
        <v>1794.1682654896445</v>
      </c>
      <c r="F32" s="425">
        <f t="shared" ref="F32" si="3">F33-F31</f>
        <v>1776.118939368972</v>
      </c>
      <c r="H32" s="249"/>
      <c r="L32" s="143"/>
      <c r="M32" s="439"/>
      <c r="N32" s="440"/>
      <c r="O32" s="540"/>
      <c r="P32" s="431"/>
      <c r="Q32" s="431"/>
      <c r="R32" s="431"/>
      <c r="S32" s="431"/>
      <c r="T32" s="431"/>
      <c r="U32" s="431"/>
      <c r="V32" s="431"/>
    </row>
    <row r="33" spans="1:22" ht="16" customHeight="1" x14ac:dyDescent="0.2">
      <c r="A33" s="796" t="s">
        <v>434</v>
      </c>
      <c r="B33" s="785">
        <f>'APV CALCULATION '!E21+'APV CALCULATION '!E34</f>
        <v>3711.3788072924644</v>
      </c>
      <c r="C33" s="425">
        <f>'APV CALCULATION '!F21+'APV CALCULATION '!F34</f>
        <v>3612.1644899511316</v>
      </c>
      <c r="D33" s="425">
        <f>'APV CALCULATION '!G21+'APV CALCULATION '!G34</f>
        <v>3693.4337392611651</v>
      </c>
      <c r="E33" s="425">
        <f>'APV CALCULATION '!H21+'APV CALCULATION '!H34</f>
        <v>3813.6145870475989</v>
      </c>
      <c r="F33" s="425">
        <f>'APV CALCULATION '!I21+'APV CALCULATION '!I34</f>
        <v>3873.743368112911</v>
      </c>
      <c r="H33" s="250"/>
      <c r="L33" s="143"/>
      <c r="M33" s="439"/>
      <c r="N33" s="440"/>
      <c r="O33" s="540"/>
      <c r="P33" s="431"/>
      <c r="Q33" s="431"/>
      <c r="R33" s="431"/>
      <c r="S33" s="431"/>
      <c r="T33" s="431"/>
      <c r="U33" s="431"/>
      <c r="V33" s="431"/>
    </row>
    <row r="34" spans="1:22" ht="16" customHeight="1" x14ac:dyDescent="0.2">
      <c r="A34" s="795" t="s">
        <v>435</v>
      </c>
      <c r="B34" s="786">
        <f>(B31-B29)/B33</f>
        <v>0.43373186213059167</v>
      </c>
      <c r="C34" s="420">
        <f>(C31-C29)/C33</f>
        <v>0.4617449381656985</v>
      </c>
      <c r="D34" s="420">
        <f>(D31-D29)/D33</f>
        <v>0.46671079668749643</v>
      </c>
      <c r="E34" s="420">
        <f>(E31-E29)/E33</f>
        <v>0.46598359455610378</v>
      </c>
      <c r="F34" s="420">
        <f>(F31-F29)/F33</f>
        <v>0.47178046515709865</v>
      </c>
      <c r="H34" s="229"/>
      <c r="L34" s="143"/>
      <c r="M34" s="439"/>
      <c r="N34" s="440"/>
      <c r="O34" s="540"/>
      <c r="P34" s="431"/>
      <c r="Q34" s="431"/>
      <c r="R34" s="431"/>
      <c r="S34" s="431"/>
      <c r="T34" s="431"/>
      <c r="U34" s="431"/>
      <c r="V34" s="431"/>
    </row>
    <row r="35" spans="1:22" x14ac:dyDescent="0.2">
      <c r="A35" s="795"/>
      <c r="B35" s="787"/>
      <c r="C35" s="421"/>
      <c r="D35" s="421"/>
      <c r="E35" s="421"/>
      <c r="F35" s="421"/>
      <c r="H35" s="229"/>
      <c r="L35" s="6"/>
      <c r="M35" s="431"/>
      <c r="N35" s="431"/>
      <c r="O35" s="22"/>
      <c r="P35" s="431"/>
      <c r="Q35" s="431"/>
      <c r="R35" s="431"/>
      <c r="S35" s="431"/>
      <c r="T35" s="431"/>
      <c r="U35" s="431"/>
      <c r="V35" s="431"/>
    </row>
    <row r="36" spans="1:22" x14ac:dyDescent="0.2">
      <c r="A36" s="794" t="s">
        <v>272</v>
      </c>
      <c r="B36" s="788">
        <f>C5</f>
        <v>72.5</v>
      </c>
      <c r="C36" s="421">
        <f>C5</f>
        <v>72.5</v>
      </c>
      <c r="D36" s="421">
        <f>C39</f>
        <v>72.5</v>
      </c>
      <c r="E36" s="421">
        <f t="shared" ref="E36:F36" si="4">D39</f>
        <v>72.5</v>
      </c>
      <c r="F36" s="421">
        <f t="shared" si="4"/>
        <v>72.5</v>
      </c>
      <c r="H36" s="229"/>
      <c r="L36" s="6"/>
      <c r="M36" s="431"/>
      <c r="N36" s="431"/>
      <c r="O36" s="431"/>
      <c r="P36" s="431"/>
      <c r="Q36" s="431"/>
      <c r="R36" s="431"/>
      <c r="S36" s="431"/>
      <c r="T36" s="431"/>
      <c r="U36" s="431"/>
      <c r="V36" s="431"/>
    </row>
    <row r="37" spans="1:22" x14ac:dyDescent="0.2">
      <c r="A37" s="794" t="s">
        <v>379</v>
      </c>
      <c r="B37" s="789">
        <f>C4</f>
        <v>107.7</v>
      </c>
      <c r="C37" s="755">
        <f>B37</f>
        <v>107.7</v>
      </c>
      <c r="D37" s="755">
        <f>C42</f>
        <v>25.185820145742426</v>
      </c>
      <c r="E37" s="755">
        <f>D42</f>
        <v>24.469245867299197</v>
      </c>
      <c r="F37" s="755">
        <f>E42</f>
        <v>24.360669101070272</v>
      </c>
      <c r="H37" s="229"/>
      <c r="L37" s="6"/>
      <c r="M37" s="431"/>
      <c r="N37" s="431"/>
      <c r="O37" s="431"/>
      <c r="P37" s="431"/>
      <c r="Q37" s="431"/>
      <c r="R37" s="431"/>
      <c r="S37" s="431"/>
      <c r="T37" s="431"/>
      <c r="U37" s="431"/>
      <c r="V37" s="431"/>
    </row>
    <row r="38" spans="1:22" x14ac:dyDescent="0.2">
      <c r="A38" s="794" t="s">
        <v>413</v>
      </c>
      <c r="B38" s="790">
        <f>B32/'Restructuration cap'!X72</f>
        <v>11.57131120827529</v>
      </c>
      <c r="C38" s="609">
        <f>C32/'Restructuration cap'!Y72</f>
        <v>10.076369012569049</v>
      </c>
      <c r="D38" s="609">
        <f>D32/'Restructuration cap'!Z72</f>
        <v>9.0474859674817818</v>
      </c>
      <c r="E38" s="609">
        <f>E32/'Restructuration cap'!AA72</f>
        <v>8.3554757788657241</v>
      </c>
      <c r="F38" s="609">
        <f>F32/'Restructuration cap'!AB72</f>
        <v>7.5093204085029157</v>
      </c>
      <c r="L38" s="6"/>
      <c r="M38" s="431"/>
      <c r="N38" s="431"/>
      <c r="O38" s="431"/>
      <c r="P38" s="431"/>
      <c r="Q38" s="431"/>
      <c r="R38" s="431"/>
      <c r="S38" s="431"/>
      <c r="T38" s="431"/>
      <c r="U38" s="431"/>
      <c r="V38" s="431"/>
    </row>
    <row r="39" spans="1:22" x14ac:dyDescent="0.2">
      <c r="A39" s="795" t="s">
        <v>424</v>
      </c>
      <c r="B39" s="791">
        <f>C5</f>
        <v>72.5</v>
      </c>
      <c r="C39" s="610">
        <f>$B$39</f>
        <v>72.5</v>
      </c>
      <c r="D39" s="610">
        <f t="shared" ref="D39:F39" si="5">$B$39</f>
        <v>72.5</v>
      </c>
      <c r="E39" s="610">
        <f t="shared" si="5"/>
        <v>72.5</v>
      </c>
      <c r="F39" s="610">
        <f t="shared" si="5"/>
        <v>72.5</v>
      </c>
      <c r="J39" s="757"/>
      <c r="L39" s="6"/>
      <c r="M39" s="431"/>
      <c r="N39" s="431"/>
      <c r="O39" s="431"/>
      <c r="P39" s="431"/>
      <c r="Q39" s="431"/>
      <c r="R39" s="431"/>
      <c r="S39" s="431"/>
      <c r="T39" s="431"/>
      <c r="U39" s="431"/>
      <c r="V39" s="431"/>
    </row>
    <row r="40" spans="1:22" s="767" customFormat="1" x14ac:dyDescent="0.2">
      <c r="A40" s="795" t="s">
        <v>421</v>
      </c>
      <c r="B40" s="791"/>
      <c r="C40" s="775">
        <f>(B33-B31+B29)/(C39*1.1)</f>
        <v>26.352797067504568</v>
      </c>
      <c r="D40" s="775">
        <f>(C33-C31+C29)/(D39*1.1)</f>
        <v>24.379508725947517</v>
      </c>
      <c r="E40" s="775">
        <f>(D33-D31+D29)/(E39*1.1)</f>
        <v>24.698035564866554</v>
      </c>
      <c r="F40" s="775">
        <f>(E33-E31+E29)/(F39*1.1)</f>
        <v>25.536460859229685</v>
      </c>
      <c r="J40" s="757"/>
      <c r="L40" s="6"/>
      <c r="M40" s="768"/>
      <c r="N40" s="768"/>
      <c r="O40" s="768"/>
      <c r="P40" s="768"/>
      <c r="Q40" s="768"/>
      <c r="R40" s="768"/>
      <c r="S40" s="768"/>
      <c r="T40" s="768"/>
      <c r="U40" s="768"/>
      <c r="V40" s="768"/>
    </row>
    <row r="41" spans="1:22" s="767" customFormat="1" x14ac:dyDescent="0.2">
      <c r="A41" s="795" t="s">
        <v>422</v>
      </c>
      <c r="B41" s="791"/>
      <c r="C41" s="775">
        <f>('WACC CALCULATION'!D19-'WACC CALCULATION'!D5+B29)/(C39*1.1)</f>
        <v>27.153906632029162</v>
      </c>
      <c r="D41" s="610"/>
      <c r="E41" s="610"/>
      <c r="F41" s="610"/>
      <c r="J41" s="757"/>
      <c r="L41" s="6"/>
      <c r="M41" s="768"/>
      <c r="N41" s="768"/>
      <c r="O41" s="768"/>
      <c r="P41" s="768"/>
      <c r="Q41" s="768"/>
      <c r="R41" s="768"/>
      <c r="S41" s="768"/>
      <c r="T41" s="768"/>
      <c r="U41" s="768"/>
      <c r="V41" s="768"/>
    </row>
    <row r="42" spans="1:22" ht="17" thickBot="1" x14ac:dyDescent="0.25">
      <c r="A42" s="796" t="s">
        <v>420</v>
      </c>
      <c r="B42" s="792" t="s">
        <v>32</v>
      </c>
      <c r="C42" s="775">
        <f>B38*'Restructuration cap'!Y72/(1.1*C39)</f>
        <v>25.185820145742426</v>
      </c>
      <c r="D42" s="775">
        <f>C38*'Restructuration cap'!Z72/(1.1*D39)</f>
        <v>24.469245867299197</v>
      </c>
      <c r="E42" s="775">
        <f>D38*'Restructuration cap'!AA72/(1.1*E39)</f>
        <v>24.360669101070272</v>
      </c>
      <c r="F42" s="775">
        <f>E38*'Restructuration cap'!AB72/(1.1*F39)</f>
        <v>24.780604874886617</v>
      </c>
      <c r="L42" s="6"/>
      <c r="M42" s="431"/>
      <c r="N42" s="431"/>
      <c r="O42" s="431"/>
      <c r="P42" s="431"/>
      <c r="Q42" s="431"/>
      <c r="R42" s="431"/>
      <c r="S42" s="431"/>
      <c r="T42" s="431"/>
      <c r="U42" s="431"/>
      <c r="V42" s="431"/>
    </row>
    <row r="43" spans="1:22" s="767" customFormat="1" ht="17" thickBot="1" x14ac:dyDescent="0.25">
      <c r="A43" s="799" t="s">
        <v>423</v>
      </c>
      <c r="B43" s="800"/>
      <c r="C43" s="801">
        <f>0.6*C41+0.2*C42+0.2*C40</f>
        <v>26.600067421866896</v>
      </c>
      <c r="D43" s="801">
        <f>AVERAGE(D40:D42)</f>
        <v>24.424377296623355</v>
      </c>
      <c r="E43" s="801">
        <f>AVERAGE(E40:E42)</f>
        <v>24.529352332968415</v>
      </c>
      <c r="F43" s="801">
        <f>AVERAGE(F40:F42)</f>
        <v>25.158532867058149</v>
      </c>
      <c r="L43" s="6"/>
      <c r="M43" s="768"/>
      <c r="N43" s="768"/>
      <c r="O43" s="768"/>
      <c r="P43" s="768"/>
      <c r="Q43" s="768"/>
      <c r="R43" s="768"/>
      <c r="S43" s="768"/>
      <c r="T43" s="768"/>
      <c r="U43" s="768"/>
      <c r="V43" s="768"/>
    </row>
    <row r="44" spans="1:22" ht="17" thickBot="1" x14ac:dyDescent="0.25">
      <c r="A44" s="776"/>
      <c r="B44" s="777"/>
      <c r="C44" s="778"/>
      <c r="D44" s="778"/>
      <c r="E44" s="778"/>
      <c r="F44" s="778"/>
      <c r="L44" s="6"/>
      <c r="M44" s="431"/>
      <c r="N44" s="431"/>
      <c r="O44" s="431"/>
      <c r="P44" s="431"/>
      <c r="Q44" s="431"/>
      <c r="R44" s="431"/>
      <c r="S44" s="431"/>
      <c r="T44" s="431"/>
      <c r="U44" s="431"/>
      <c r="V44" s="431"/>
    </row>
    <row r="45" spans="1:22" ht="17" thickBot="1" x14ac:dyDescent="0.25">
      <c r="A45" s="321"/>
      <c r="B45" s="756">
        <v>44196</v>
      </c>
      <c r="C45" s="756">
        <v>44561</v>
      </c>
      <c r="D45" s="326">
        <v>44926</v>
      </c>
      <c r="E45" s="326">
        <v>45291</v>
      </c>
      <c r="F45" s="611">
        <v>45657</v>
      </c>
      <c r="L45" s="6"/>
      <c r="M45" s="431"/>
      <c r="N45" s="431"/>
      <c r="O45" s="431"/>
      <c r="P45" s="431"/>
      <c r="Q45" s="431"/>
      <c r="R45" s="431"/>
      <c r="S45" s="431"/>
      <c r="T45" s="431"/>
      <c r="U45" s="431"/>
      <c r="V45" s="431"/>
    </row>
    <row r="46" spans="1:22" x14ac:dyDescent="0.2">
      <c r="A46" s="298" t="s">
        <v>178</v>
      </c>
      <c r="B46" s="238">
        <f>B31/B33</f>
        <v>0.48092962014355362</v>
      </c>
      <c r="C46" s="238">
        <f>C31/C33</f>
        <v>0.51578218887013927</v>
      </c>
      <c r="D46" s="238">
        <f>D31/D33</f>
        <v>0.52559984865473752</v>
      </c>
      <c r="E46" s="238">
        <f>E31/E33</f>
        <v>0.529536028212373</v>
      </c>
      <c r="F46" s="612">
        <f>F31/F33</f>
        <v>0.54149803675967156</v>
      </c>
      <c r="L46" s="6"/>
      <c r="M46" s="431"/>
      <c r="N46" s="431"/>
      <c r="O46" s="431"/>
      <c r="P46" s="431"/>
      <c r="Q46" s="431"/>
      <c r="R46" s="431"/>
      <c r="S46" s="431"/>
      <c r="T46" s="431"/>
      <c r="U46" s="431"/>
      <c r="V46" s="431"/>
    </row>
    <row r="47" spans="1:22" ht="17" thickBot="1" x14ac:dyDescent="0.25">
      <c r="A47" s="297" t="s">
        <v>179</v>
      </c>
      <c r="B47" s="239">
        <f t="shared" ref="B47:F47" si="6">1-B46</f>
        <v>0.51907037985644644</v>
      </c>
      <c r="C47" s="239">
        <f t="shared" si="6"/>
        <v>0.48421781112986073</v>
      </c>
      <c r="D47" s="239">
        <f t="shared" si="6"/>
        <v>0.47440015134526248</v>
      </c>
      <c r="E47" s="239">
        <f t="shared" si="6"/>
        <v>0.470463971787627</v>
      </c>
      <c r="F47" s="613">
        <f t="shared" si="6"/>
        <v>0.45850196324032844</v>
      </c>
      <c r="L47" s="6"/>
      <c r="M47" s="431"/>
      <c r="N47" s="431"/>
      <c r="O47" s="431"/>
      <c r="P47" s="431"/>
      <c r="Q47" s="431"/>
      <c r="R47" s="431"/>
      <c r="S47" s="431"/>
      <c r="T47" s="431"/>
      <c r="U47" s="431"/>
      <c r="V47" s="431"/>
    </row>
    <row r="48" spans="1:22" x14ac:dyDescent="0.2">
      <c r="M48" s="431"/>
      <c r="N48" s="431"/>
      <c r="O48" s="431"/>
      <c r="P48" s="431"/>
      <c r="Q48" s="431"/>
      <c r="R48" s="431"/>
      <c r="S48" s="431"/>
      <c r="T48" s="431"/>
      <c r="U48" s="431"/>
      <c r="V48" s="431"/>
    </row>
    <row r="49" spans="13:22" x14ac:dyDescent="0.2">
      <c r="M49" s="431"/>
      <c r="N49" s="431"/>
      <c r="O49" s="431"/>
      <c r="P49" s="431"/>
      <c r="Q49" s="431"/>
      <c r="R49" s="431"/>
      <c r="S49" s="431"/>
      <c r="T49" s="431"/>
      <c r="U49" s="431"/>
      <c r="V49" s="431"/>
    </row>
  </sheetData>
  <mergeCells count="20">
    <mergeCell ref="A9:B9"/>
    <mergeCell ref="A12:B12"/>
    <mergeCell ref="A13:B13"/>
    <mergeCell ref="A14:B14"/>
    <mergeCell ref="A24:B24"/>
    <mergeCell ref="A23:B23"/>
    <mergeCell ref="A15:B15"/>
    <mergeCell ref="A16:B16"/>
    <mergeCell ref="F2:G2"/>
    <mergeCell ref="F3:G3"/>
    <mergeCell ref="F4:G4"/>
    <mergeCell ref="F5:G5"/>
    <mergeCell ref="A18:B18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40BB8-24B6-C343-8C4F-9E26CC4BD023}">
  <dimension ref="A1:AH44"/>
  <sheetViews>
    <sheetView topLeftCell="L9" zoomScale="135" zoomScaleNormal="135" workbookViewId="0">
      <selection activeCell="Z41" sqref="Z41"/>
    </sheetView>
  </sheetViews>
  <sheetFormatPr baseColWidth="10" defaultRowHeight="16" x14ac:dyDescent="0.2"/>
  <cols>
    <col min="2" max="2" width="15.5" customWidth="1"/>
    <col min="30" max="30" width="33.6640625" customWidth="1"/>
  </cols>
  <sheetData>
    <row r="1" spans="1:32" x14ac:dyDescent="0.2">
      <c r="A1" s="259" t="s">
        <v>294</v>
      </c>
      <c r="B1" s="48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87"/>
      <c r="N1" s="187"/>
      <c r="O1" s="187"/>
      <c r="P1" s="187"/>
      <c r="Q1" s="187"/>
      <c r="R1" s="187"/>
      <c r="S1" s="187"/>
      <c r="T1" s="187"/>
      <c r="U1" s="187"/>
      <c r="V1" s="627"/>
      <c r="W1" s="626"/>
      <c r="X1" s="187"/>
      <c r="Y1" s="187"/>
      <c r="Z1" s="187"/>
      <c r="AA1" s="627"/>
    </row>
    <row r="2" spans="1:32" x14ac:dyDescent="0.2">
      <c r="A2" s="1133" t="s">
        <v>237</v>
      </c>
      <c r="B2" s="1134"/>
      <c r="C2" s="197">
        <v>2000</v>
      </c>
      <c r="D2" s="197">
        <v>2001</v>
      </c>
      <c r="E2" s="197">
        <v>2002</v>
      </c>
      <c r="F2" s="197">
        <v>2003</v>
      </c>
      <c r="G2" s="197">
        <v>2004</v>
      </c>
      <c r="H2" s="197">
        <v>2005</v>
      </c>
      <c r="I2" s="197">
        <v>2006</v>
      </c>
      <c r="J2" s="197">
        <v>2007</v>
      </c>
      <c r="K2" s="197">
        <v>2008</v>
      </c>
      <c r="L2" s="197">
        <v>2009</v>
      </c>
      <c r="M2" s="197">
        <v>2010</v>
      </c>
      <c r="N2" s="197">
        <v>2011</v>
      </c>
      <c r="O2" s="197">
        <v>2012</v>
      </c>
      <c r="P2" s="197">
        <v>2013</v>
      </c>
      <c r="Q2" s="197">
        <v>2014</v>
      </c>
      <c r="R2" s="197">
        <v>2015</v>
      </c>
      <c r="S2" s="197">
        <v>2016</v>
      </c>
      <c r="T2" s="197">
        <v>2017</v>
      </c>
      <c r="U2" s="197">
        <v>2018</v>
      </c>
      <c r="V2" s="198">
        <v>2019</v>
      </c>
      <c r="W2" s="203">
        <v>2020</v>
      </c>
      <c r="X2" s="197">
        <v>2021</v>
      </c>
      <c r="Y2" s="197">
        <v>2022</v>
      </c>
      <c r="Z2" s="197">
        <v>2023</v>
      </c>
      <c r="AA2" s="198">
        <v>2025</v>
      </c>
    </row>
    <row r="3" spans="1:32" x14ac:dyDescent="0.2">
      <c r="A3" s="487" t="s">
        <v>283</v>
      </c>
      <c r="B3" s="482"/>
      <c r="C3" s="189" t="s">
        <v>94</v>
      </c>
      <c r="D3" s="189" t="s">
        <v>94</v>
      </c>
      <c r="E3" s="189" t="s">
        <v>94</v>
      </c>
      <c r="F3" s="189" t="s">
        <v>94</v>
      </c>
      <c r="G3" s="189" t="s">
        <v>94</v>
      </c>
      <c r="H3" s="189" t="s">
        <v>94</v>
      </c>
      <c r="I3" s="189" t="s">
        <v>94</v>
      </c>
      <c r="J3" s="189" t="s">
        <v>94</v>
      </c>
      <c r="K3" s="189" t="s">
        <v>94</v>
      </c>
      <c r="L3" s="189" t="s">
        <v>94</v>
      </c>
      <c r="M3" s="189" t="s">
        <v>94</v>
      </c>
      <c r="N3" s="189" t="s">
        <v>94</v>
      </c>
      <c r="O3" s="189" t="s">
        <v>94</v>
      </c>
      <c r="P3" s="189" t="s">
        <v>94</v>
      </c>
      <c r="Q3" s="189" t="s">
        <v>94</v>
      </c>
      <c r="R3" s="189" t="s">
        <v>94</v>
      </c>
      <c r="S3" s="189" t="s">
        <v>94</v>
      </c>
      <c r="T3" s="189" t="s">
        <v>94</v>
      </c>
      <c r="U3" s="189" t="s">
        <v>94</v>
      </c>
      <c r="V3" s="190" t="s">
        <v>94</v>
      </c>
      <c r="W3" s="188" t="s">
        <v>94</v>
      </c>
      <c r="X3" s="189" t="s">
        <v>94</v>
      </c>
      <c r="Y3" s="189" t="s">
        <v>94</v>
      </c>
      <c r="Z3" s="189" t="s">
        <v>94</v>
      </c>
      <c r="AA3" s="190" t="s">
        <v>94</v>
      </c>
    </row>
    <row r="4" spans="1:32" x14ac:dyDescent="0.2">
      <c r="A4" s="1135" t="s">
        <v>104</v>
      </c>
      <c r="B4" s="1136"/>
      <c r="C4" s="628"/>
      <c r="D4" s="628"/>
      <c r="E4" s="628"/>
      <c r="F4" s="628"/>
      <c r="G4" s="628"/>
      <c r="H4" s="628"/>
      <c r="I4" s="628"/>
      <c r="J4" s="628"/>
      <c r="K4" s="628"/>
      <c r="L4" s="628"/>
      <c r="M4" s="624"/>
      <c r="N4" s="624"/>
      <c r="O4" s="624"/>
      <c r="P4" s="624"/>
      <c r="Q4" s="624"/>
      <c r="R4" s="624"/>
      <c r="S4" s="624"/>
      <c r="T4" s="624"/>
      <c r="U4" s="624"/>
      <c r="V4" s="488"/>
      <c r="W4" s="623"/>
      <c r="X4" s="624"/>
      <c r="Y4" s="624"/>
      <c r="Z4" s="624"/>
      <c r="AA4" s="435"/>
      <c r="AD4" s="434"/>
      <c r="AE4" s="434"/>
    </row>
    <row r="5" spans="1:32" x14ac:dyDescent="0.2">
      <c r="A5" s="993" t="s">
        <v>105</v>
      </c>
      <c r="B5" s="994"/>
      <c r="C5" s="4">
        <v>1.4</v>
      </c>
      <c r="D5" s="4">
        <v>65.3</v>
      </c>
      <c r="E5" s="4">
        <v>24</v>
      </c>
      <c r="F5" s="4">
        <v>31.7</v>
      </c>
      <c r="G5" s="4">
        <v>30.8</v>
      </c>
      <c r="H5" s="4">
        <v>15.6</v>
      </c>
      <c r="I5" s="4">
        <v>111.4</v>
      </c>
      <c r="J5" s="4">
        <v>93.1</v>
      </c>
      <c r="K5" s="4">
        <v>65.599999999999994</v>
      </c>
      <c r="L5" s="4">
        <v>142.69999999999999</v>
      </c>
      <c r="M5" s="4">
        <v>160.30000000000001</v>
      </c>
      <c r="N5" s="4">
        <v>155</v>
      </c>
      <c r="O5" s="4">
        <v>117.7</v>
      </c>
      <c r="P5" s="4">
        <v>27.4</v>
      </c>
      <c r="Q5" s="4">
        <v>182.6</v>
      </c>
      <c r="R5" s="4">
        <f>173.1+20.2</f>
        <v>193.29999999999998</v>
      </c>
      <c r="S5" s="4">
        <v>140.30000000000001</v>
      </c>
      <c r="T5" s="4">
        <v>103.5</v>
      </c>
      <c r="U5" s="4">
        <v>189.9</v>
      </c>
      <c r="V5" s="97">
        <v>131.5</v>
      </c>
      <c r="W5" s="485">
        <f>V5*(1+W8)</f>
        <v>146.53111824169707</v>
      </c>
      <c r="X5" s="660">
        <f t="shared" ref="X5:AA5" si="0">W5*(1+X8)</f>
        <v>163.28036968184188</v>
      </c>
      <c r="Y5" s="660">
        <f t="shared" si="0"/>
        <v>181.94414567603027</v>
      </c>
      <c r="Z5" s="660">
        <f t="shared" si="0"/>
        <v>202.74128610980188</v>
      </c>
      <c r="AA5" s="661">
        <f t="shared" si="0"/>
        <v>225.91564537968907</v>
      </c>
      <c r="AB5" s="230"/>
      <c r="AC5" s="230"/>
      <c r="AD5" s="484"/>
      <c r="AE5" s="434"/>
    </row>
    <row r="6" spans="1:32" ht="17" thickBot="1" x14ac:dyDescent="0.25">
      <c r="A6" s="993" t="s">
        <v>106</v>
      </c>
      <c r="B6" s="994"/>
      <c r="C6" s="181" t="s">
        <v>284</v>
      </c>
      <c r="D6" s="181" t="s">
        <v>284</v>
      </c>
      <c r="E6" s="181" t="s">
        <v>284</v>
      </c>
      <c r="F6" s="4">
        <v>0</v>
      </c>
      <c r="G6" s="4">
        <v>2.1</v>
      </c>
      <c r="H6" s="4">
        <v>0</v>
      </c>
      <c r="I6" s="4" t="s">
        <v>284</v>
      </c>
      <c r="J6" s="4" t="s">
        <v>284</v>
      </c>
      <c r="K6" s="4" t="s">
        <v>284</v>
      </c>
      <c r="L6" s="4" t="s">
        <v>284</v>
      </c>
      <c r="M6" s="4" t="s">
        <v>284</v>
      </c>
      <c r="N6" s="181" t="s">
        <v>284</v>
      </c>
      <c r="O6" s="181" t="s">
        <v>284</v>
      </c>
      <c r="P6" s="181">
        <v>88.2</v>
      </c>
      <c r="Q6" s="181">
        <v>13.1</v>
      </c>
      <c r="R6" s="181">
        <v>2.4</v>
      </c>
      <c r="S6" s="181">
        <v>57.9</v>
      </c>
      <c r="T6" s="181">
        <v>68.400000000000006</v>
      </c>
      <c r="U6" s="181">
        <v>104.1</v>
      </c>
      <c r="V6" s="191">
        <v>25.7</v>
      </c>
      <c r="W6" s="662">
        <f>V6*(1+W8)</f>
        <v>28.637640599327867</v>
      </c>
      <c r="X6" s="663">
        <f t="shared" ref="X6:AA6" si="1">W6*(1+X8)</f>
        <v>31.91106844732575</v>
      </c>
      <c r="Y6" s="663">
        <f t="shared" si="1"/>
        <v>35.558665732881963</v>
      </c>
      <c r="Z6" s="663">
        <f t="shared" si="1"/>
        <v>39.623201924120977</v>
      </c>
      <c r="AA6" s="664">
        <f t="shared" si="1"/>
        <v>44.152335256714899</v>
      </c>
      <c r="AB6" s="230"/>
      <c r="AC6" s="230"/>
      <c r="AD6" s="230"/>
      <c r="AE6" s="434"/>
    </row>
    <row r="7" spans="1:32" ht="17" thickBot="1" x14ac:dyDescent="0.25">
      <c r="A7" s="1112" t="s">
        <v>107</v>
      </c>
      <c r="B7" s="1113"/>
      <c r="C7" s="495">
        <f t="shared" ref="C7:V7" si="2">SUMIF(C5:C6,"&lt;&gt;-")</f>
        <v>1.4</v>
      </c>
      <c r="D7" s="495">
        <f t="shared" si="2"/>
        <v>65.3</v>
      </c>
      <c r="E7" s="495">
        <f t="shared" si="2"/>
        <v>24</v>
      </c>
      <c r="F7" s="495">
        <f t="shared" si="2"/>
        <v>31.7</v>
      </c>
      <c r="G7" s="495">
        <f t="shared" si="2"/>
        <v>32.9</v>
      </c>
      <c r="H7" s="495">
        <f t="shared" si="2"/>
        <v>15.6</v>
      </c>
      <c r="I7" s="495">
        <f t="shared" si="2"/>
        <v>111.4</v>
      </c>
      <c r="J7" s="495">
        <f t="shared" si="2"/>
        <v>93.1</v>
      </c>
      <c r="K7" s="495">
        <f t="shared" si="2"/>
        <v>65.599999999999994</v>
      </c>
      <c r="L7" s="495">
        <f t="shared" si="2"/>
        <v>142.69999999999999</v>
      </c>
      <c r="M7" s="495">
        <f t="shared" si="2"/>
        <v>160.30000000000001</v>
      </c>
      <c r="N7" s="495">
        <f t="shared" si="2"/>
        <v>155</v>
      </c>
      <c r="O7" s="495">
        <f t="shared" si="2"/>
        <v>117.7</v>
      </c>
      <c r="P7" s="495">
        <f t="shared" si="2"/>
        <v>115.6</v>
      </c>
      <c r="Q7" s="495">
        <f t="shared" si="2"/>
        <v>195.7</v>
      </c>
      <c r="R7" s="495">
        <f t="shared" si="2"/>
        <v>195.7</v>
      </c>
      <c r="S7" s="495">
        <f t="shared" si="2"/>
        <v>198.20000000000002</v>
      </c>
      <c r="T7" s="495">
        <f t="shared" si="2"/>
        <v>171.9</v>
      </c>
      <c r="U7" s="495">
        <f t="shared" si="2"/>
        <v>294</v>
      </c>
      <c r="V7" s="496">
        <f t="shared" si="2"/>
        <v>157.19999999999999</v>
      </c>
      <c r="W7" s="495">
        <f>W5+W6</f>
        <v>175.16875884102495</v>
      </c>
      <c r="X7" s="495">
        <f t="shared" ref="X7:AA7" si="3">X5+X6</f>
        <v>195.19143812916764</v>
      </c>
      <c r="Y7" s="495">
        <f t="shared" si="3"/>
        <v>217.50281140891224</v>
      </c>
      <c r="Z7" s="495">
        <f t="shared" si="3"/>
        <v>242.36448803392284</v>
      </c>
      <c r="AA7" s="495">
        <f t="shared" si="3"/>
        <v>270.06798063640395</v>
      </c>
      <c r="AB7" s="1110" t="s">
        <v>280</v>
      </c>
      <c r="AC7" s="1110"/>
      <c r="AD7" s="1111"/>
      <c r="AE7" s="1042">
        <f>AVERAGE(O11:V11)</f>
        <v>3.1610971464838288E-2</v>
      </c>
      <c r="AF7" s="1076"/>
    </row>
    <row r="8" spans="1:32" s="618" customFormat="1" ht="17" thickBot="1" x14ac:dyDescent="0.25">
      <c r="A8" s="1120" t="s">
        <v>147</v>
      </c>
      <c r="B8" s="1121"/>
      <c r="C8" s="200" t="s">
        <v>32</v>
      </c>
      <c r="D8" s="655">
        <f>(D7-C7)/C7</f>
        <v>45.642857142857146</v>
      </c>
      <c r="E8" s="655">
        <f t="shared" ref="E8:P8" si="4">(E7-D7)/D7</f>
        <v>-0.63246554364471663</v>
      </c>
      <c r="F8" s="655">
        <f t="shared" si="4"/>
        <v>0.3208333333333333</v>
      </c>
      <c r="G8" s="655">
        <f t="shared" si="4"/>
        <v>3.7854889589905343E-2</v>
      </c>
      <c r="H8" s="655">
        <f t="shared" si="4"/>
        <v>-0.52583586626139811</v>
      </c>
      <c r="I8" s="655">
        <f t="shared" si="4"/>
        <v>6.1410256410256423</v>
      </c>
      <c r="J8" s="655">
        <f t="shared" si="4"/>
        <v>-0.16427289048473978</v>
      </c>
      <c r="K8" s="655">
        <f t="shared" si="4"/>
        <v>-0.29538131041890442</v>
      </c>
      <c r="L8" s="655">
        <f t="shared" si="4"/>
        <v>1.1753048780487805</v>
      </c>
      <c r="M8" s="655">
        <f t="shared" si="4"/>
        <v>0.12333566923615995</v>
      </c>
      <c r="N8" s="655">
        <f t="shared" si="4"/>
        <v>-3.3063006862133565E-2</v>
      </c>
      <c r="O8" s="655">
        <f t="shared" si="4"/>
        <v>-0.24064516129032257</v>
      </c>
      <c r="P8" s="655">
        <f t="shared" si="4"/>
        <v>-1.7841971112999223E-2</v>
      </c>
      <c r="Q8" s="655">
        <f t="shared" ref="Q8:V8" si="5">(Q7-P7)/P7</f>
        <v>0.69290657439446368</v>
      </c>
      <c r="R8" s="655">
        <f t="shared" si="5"/>
        <v>0</v>
      </c>
      <c r="S8" s="655">
        <f t="shared" si="5"/>
        <v>1.277465508431287E-2</v>
      </c>
      <c r="T8" s="655">
        <f t="shared" si="5"/>
        <v>-0.132694248234107</v>
      </c>
      <c r="U8" s="655">
        <f t="shared" si="5"/>
        <v>0.71029668411867364</v>
      </c>
      <c r="V8" s="659">
        <f t="shared" si="5"/>
        <v>-0.46530612244897962</v>
      </c>
      <c r="W8" s="655">
        <f>$AE$13</f>
        <v>0.11430508168590918</v>
      </c>
      <c r="X8" s="655">
        <f t="shared" ref="X8:AA8" si="6">$AE$13</f>
        <v>0.11430508168590918</v>
      </c>
      <c r="Y8" s="655">
        <f t="shared" si="6"/>
        <v>0.11430508168590918</v>
      </c>
      <c r="Z8" s="655">
        <f t="shared" si="6"/>
        <v>0.11430508168590918</v>
      </c>
      <c r="AA8" s="655">
        <f t="shared" si="6"/>
        <v>0.11430508168590918</v>
      </c>
      <c r="AB8" s="1110" t="s">
        <v>249</v>
      </c>
      <c r="AC8" s="1110"/>
      <c r="AD8" s="1110"/>
      <c r="AE8" s="1116">
        <f>AVERAGE(O13:V13)</f>
        <v>1.913680348681266E-2</v>
      </c>
      <c r="AF8" s="1078"/>
    </row>
    <row r="9" spans="1:32" ht="17" thickBot="1" x14ac:dyDescent="0.25">
      <c r="A9" s="993"/>
      <c r="B9" s="994"/>
      <c r="C9" s="622"/>
      <c r="D9" s="622"/>
      <c r="E9" s="622"/>
      <c r="F9" s="622"/>
      <c r="G9" s="622"/>
      <c r="H9" s="622"/>
      <c r="I9" s="622"/>
      <c r="J9" s="622"/>
      <c r="K9" s="622"/>
      <c r="L9" s="622"/>
      <c r="M9" s="624"/>
      <c r="N9" s="624"/>
      <c r="O9" s="624"/>
      <c r="P9" s="624"/>
      <c r="Q9" s="624"/>
      <c r="R9" s="624"/>
      <c r="S9" s="624"/>
      <c r="T9" s="624"/>
      <c r="U9" s="624"/>
      <c r="V9" s="435"/>
      <c r="W9" s="624"/>
      <c r="X9" s="434"/>
      <c r="Y9" s="434"/>
      <c r="Z9" s="434"/>
      <c r="AA9" s="435"/>
      <c r="AB9" s="1109" t="s">
        <v>245</v>
      </c>
      <c r="AC9" s="1110"/>
      <c r="AD9" s="1111"/>
      <c r="AE9" s="1042">
        <f>AVERAGE(O19:V19)</f>
        <v>2.2379069668841199E-2</v>
      </c>
      <c r="AF9" s="1043"/>
    </row>
    <row r="10" spans="1:32" ht="17" thickBot="1" x14ac:dyDescent="0.25">
      <c r="A10" s="993" t="s">
        <v>108</v>
      </c>
      <c r="B10" s="994"/>
      <c r="C10" s="4">
        <v>24.8</v>
      </c>
      <c r="D10" s="4">
        <v>33.5</v>
      </c>
      <c r="E10" s="4">
        <v>20.5</v>
      </c>
      <c r="F10" s="4">
        <v>39.700000000000003</v>
      </c>
      <c r="G10" s="4">
        <v>52.3</v>
      </c>
      <c r="H10" s="4">
        <v>73.099999999999994</v>
      </c>
      <c r="I10" s="4">
        <v>138.69999999999999</v>
      </c>
      <c r="J10" s="4" t="s">
        <v>284</v>
      </c>
      <c r="K10" s="4">
        <v>286.60000000000002</v>
      </c>
      <c r="L10" s="4">
        <v>289</v>
      </c>
      <c r="M10" s="4">
        <v>293</v>
      </c>
      <c r="N10" s="4">
        <v>265.60000000000002</v>
      </c>
      <c r="O10" s="4">
        <v>237.5</v>
      </c>
      <c r="P10" s="4">
        <v>226</v>
      </c>
      <c r="Q10" s="4">
        <v>231.6</v>
      </c>
      <c r="R10" s="4">
        <v>218.6</v>
      </c>
      <c r="S10" s="4">
        <v>205.3</v>
      </c>
      <c r="T10" s="4">
        <v>230.2</v>
      </c>
      <c r="U10" s="4">
        <v>251.5</v>
      </c>
      <c r="V10" s="97">
        <v>323.3</v>
      </c>
      <c r="W10" s="4">
        <f t="shared" ref="W10:AA10" si="7">V10*(1+W11)</f>
        <v>333.51982707458222</v>
      </c>
      <c r="X10" s="4">
        <f t="shared" si="7"/>
        <v>344.06271281119461</v>
      </c>
      <c r="Y10" s="4">
        <f t="shared" si="7"/>
        <v>354.93886940798416</v>
      </c>
      <c r="Z10" s="4">
        <f t="shared" si="7"/>
        <v>366.15883188060189</v>
      </c>
      <c r="AA10" s="97">
        <f t="shared" si="7"/>
        <v>377.73346826677812</v>
      </c>
      <c r="AB10" s="1109" t="s">
        <v>246</v>
      </c>
      <c r="AC10" s="1110"/>
      <c r="AD10" s="1111"/>
      <c r="AE10" s="1117">
        <f>AVERAGE(O27:V27)</f>
        <v>0.15485298735687941</v>
      </c>
      <c r="AF10" s="846"/>
    </row>
    <row r="11" spans="1:32" s="145" customFormat="1" ht="17" thickBot="1" x14ac:dyDescent="0.25">
      <c r="A11" s="993" t="s">
        <v>147</v>
      </c>
      <c r="B11" s="994"/>
      <c r="C11" s="181">
        <v>0</v>
      </c>
      <c r="D11" s="84">
        <f>0</f>
        <v>0</v>
      </c>
      <c r="E11" s="84">
        <f t="shared" ref="E11:V11" si="8">(E10-D10)/D10</f>
        <v>-0.38805970149253732</v>
      </c>
      <c r="F11" s="84">
        <f t="shared" si="8"/>
        <v>0.9365853658536587</v>
      </c>
      <c r="G11" s="84">
        <f t="shared" si="8"/>
        <v>0.31738035264483611</v>
      </c>
      <c r="H11" s="84">
        <f t="shared" si="8"/>
        <v>0.39770554493307836</v>
      </c>
      <c r="I11" s="84">
        <f t="shared" si="8"/>
        <v>0.89740082079343364</v>
      </c>
      <c r="J11" s="84" t="s">
        <v>32</v>
      </c>
      <c r="K11" s="84" t="s">
        <v>32</v>
      </c>
      <c r="L11" s="84">
        <f>0</f>
        <v>0</v>
      </c>
      <c r="M11" s="84">
        <f t="shared" si="8"/>
        <v>1.384083044982699E-2</v>
      </c>
      <c r="N11" s="84">
        <f t="shared" si="8"/>
        <v>-9.3515358361774673E-2</v>
      </c>
      <c r="O11" s="84">
        <f t="shared" si="8"/>
        <v>-0.10579819277108442</v>
      </c>
      <c r="P11" s="84">
        <f t="shared" si="8"/>
        <v>-4.8421052631578948E-2</v>
      </c>
      <c r="Q11" s="84">
        <f t="shared" si="8"/>
        <v>2.4778761061946878E-2</v>
      </c>
      <c r="R11" s="84">
        <f t="shared" si="8"/>
        <v>-5.6131260794473233E-2</v>
      </c>
      <c r="S11" s="84">
        <f t="shared" si="8"/>
        <v>-6.084172003659645E-2</v>
      </c>
      <c r="T11" s="84">
        <f t="shared" si="8"/>
        <v>0.12128592303945433</v>
      </c>
      <c r="U11" s="84">
        <f t="shared" si="8"/>
        <v>9.2528236316246792E-2</v>
      </c>
      <c r="V11" s="101">
        <f t="shared" si="8"/>
        <v>0.2854870775347913</v>
      </c>
      <c r="W11" s="84">
        <f t="shared" ref="W11:AA11" si="9">$AE$7</f>
        <v>3.1610971464838288E-2</v>
      </c>
      <c r="X11" s="84">
        <f t="shared" si="9"/>
        <v>3.1610971464838288E-2</v>
      </c>
      <c r="Y11" s="84">
        <f t="shared" si="9"/>
        <v>3.1610971464838288E-2</v>
      </c>
      <c r="Z11" s="84">
        <f t="shared" si="9"/>
        <v>3.1610971464838288E-2</v>
      </c>
      <c r="AA11" s="101">
        <f t="shared" si="9"/>
        <v>3.1610971464838288E-2</v>
      </c>
      <c r="AB11" s="1109" t="s">
        <v>247</v>
      </c>
      <c r="AC11" s="1110"/>
      <c r="AD11" s="1111"/>
      <c r="AE11" s="1118">
        <f>AVERAGE(O30:V30)</f>
        <v>6.3199839962772772E-2</v>
      </c>
      <c r="AF11" s="1119"/>
    </row>
    <row r="12" spans="1:32" ht="17" thickBot="1" x14ac:dyDescent="0.25">
      <c r="A12" s="993" t="s">
        <v>109</v>
      </c>
      <c r="B12" s="994"/>
      <c r="C12" s="181">
        <v>14.3</v>
      </c>
      <c r="D12" s="181">
        <v>30.7</v>
      </c>
      <c r="E12" s="181">
        <v>20.3</v>
      </c>
      <c r="F12" s="181">
        <v>31</v>
      </c>
      <c r="G12" s="181">
        <v>22.6</v>
      </c>
      <c r="H12" s="181">
        <v>34.6</v>
      </c>
      <c r="I12" s="181">
        <f>0</f>
        <v>0</v>
      </c>
      <c r="J12" s="4">
        <v>192.8</v>
      </c>
      <c r="K12" s="4">
        <v>4.7</v>
      </c>
      <c r="L12" s="4">
        <v>4.8</v>
      </c>
      <c r="M12" s="4">
        <v>20.5</v>
      </c>
      <c r="N12" s="4">
        <v>20.6</v>
      </c>
      <c r="O12" s="4">
        <v>13.5</v>
      </c>
      <c r="P12" s="181">
        <v>15.7</v>
      </c>
      <c r="Q12" s="181">
        <f>0</f>
        <v>0</v>
      </c>
      <c r="R12" s="181">
        <v>14.3</v>
      </c>
      <c r="S12" s="181">
        <v>12</v>
      </c>
      <c r="T12" s="181">
        <v>13.3</v>
      </c>
      <c r="U12" s="181">
        <v>16.3</v>
      </c>
      <c r="V12" s="97">
        <v>6.6</v>
      </c>
      <c r="W12" s="4">
        <f>'Restructuration cap'!X11*$AE$8</f>
        <v>18.084279295037962</v>
      </c>
      <c r="X12" s="4">
        <f>'Restructuration cap'!Y11*$AE$8</f>
        <v>19.722084785955975</v>
      </c>
      <c r="Y12" s="4">
        <f>'Restructuration cap'!Z11*$AE$8</f>
        <v>21.427689369022492</v>
      </c>
      <c r="Z12" s="4">
        <f>'Restructuration cap'!AA11*$AE$8</f>
        <v>23.205276234658907</v>
      </c>
      <c r="AA12" s="97">
        <f>'Restructuration cap'!AB11*$AE$8</f>
        <v>25.05137970775376</v>
      </c>
      <c r="AB12" s="1109" t="s">
        <v>248</v>
      </c>
      <c r="AC12" s="1110"/>
      <c r="AD12" s="1111"/>
      <c r="AE12" s="1064">
        <f>AVERAGE(O33:V33)</f>
        <v>0.42713881906763584</v>
      </c>
      <c r="AF12" s="1066"/>
    </row>
    <row r="13" spans="1:32" s="145" customFormat="1" ht="17" thickBot="1" x14ac:dyDescent="0.25">
      <c r="A13" s="993" t="s">
        <v>148</v>
      </c>
      <c r="B13" s="994"/>
      <c r="C13" s="84">
        <f>C12/'Restructuration cap'!D11</f>
        <v>0.15005246589716686</v>
      </c>
      <c r="D13" s="84">
        <f>D12/'Restructuration cap'!E11</f>
        <v>0.21788502484031227</v>
      </c>
      <c r="E13" s="84">
        <f>E12/'Restructuration cap'!F11</f>
        <v>0.17917034421888792</v>
      </c>
      <c r="F13" s="84">
        <f>F12/'Restructuration cap'!G11</f>
        <v>0.21203830369357046</v>
      </c>
      <c r="G13" s="84">
        <f>G12/'Restructuration cap'!H11</f>
        <v>0.14713541666666669</v>
      </c>
      <c r="H13" s="84">
        <f>H12/'Restructuration cap'!I11</f>
        <v>0.20509780675755782</v>
      </c>
      <c r="I13" s="84">
        <f>I12/'Restructuration cap'!J11</f>
        <v>0</v>
      </c>
      <c r="J13" s="84">
        <f>J12/'Restructuration cap'!K11</f>
        <v>0.58441952106699002</v>
      </c>
      <c r="K13" s="84">
        <f>K12/'Restructuration cap'!L11</f>
        <v>1.1550749569918899E-2</v>
      </c>
      <c r="L13" s="84">
        <f>L12/'Restructuration cap'!M11</f>
        <v>1.2962462867944908E-2</v>
      </c>
      <c r="M13" s="84">
        <f>M12/'Restructuration cap'!N11</f>
        <v>4.5758928571428568E-2</v>
      </c>
      <c r="N13" s="84">
        <f>N12/'Restructuration cap'!O11</f>
        <v>4.3505807814149949E-2</v>
      </c>
      <c r="O13" s="84">
        <f>O12/'Restructuration cap'!P11</f>
        <v>2.9986672589960017E-2</v>
      </c>
      <c r="P13" s="84">
        <f>P12/'Restructuration cap'!Q11</f>
        <v>3.3561351004702859E-2</v>
      </c>
      <c r="Q13" s="84">
        <f>Q12/'Restructuration cap'!R11</f>
        <v>0</v>
      </c>
      <c r="R13" s="84">
        <f>R12/'Restructuration cap'!S11</f>
        <v>2.6359447004608298E-2</v>
      </c>
      <c r="S13" s="84">
        <f>S12/'Restructuration cap'!T11</f>
        <v>1.8927444794952682E-2</v>
      </c>
      <c r="T13" s="84">
        <f>T12/'Restructuration cap'!U11</f>
        <v>1.8085395703018765E-2</v>
      </c>
      <c r="U13" s="84">
        <f>U12/'Restructuration cap'!V11</f>
        <v>1.9383993340468548E-2</v>
      </c>
      <c r="V13" s="489">
        <f>V12/'Restructuration cap'!W11</f>
        <v>6.7901234567901234E-3</v>
      </c>
      <c r="W13" s="84">
        <f>W12/'Restructuration cap'!X11</f>
        <v>1.9136803486812657E-2</v>
      </c>
      <c r="X13" s="84">
        <f>X12/'Restructuration cap'!Y11</f>
        <v>1.913680348681266E-2</v>
      </c>
      <c r="Y13" s="84">
        <f>Y12/'Restructuration cap'!Z11</f>
        <v>1.913680348681266E-2</v>
      </c>
      <c r="Z13" s="84">
        <f>Z12/'Restructuration cap'!AA11</f>
        <v>1.913680348681266E-2</v>
      </c>
      <c r="AA13" s="101">
        <f>AA12/'Restructuration cap'!AB11</f>
        <v>1.913680348681266E-2</v>
      </c>
      <c r="AB13" s="1109" t="s">
        <v>341</v>
      </c>
      <c r="AC13" s="1110"/>
      <c r="AD13" s="1111"/>
      <c r="AE13" s="1065">
        <f>AVERAGE(P8:V8)</f>
        <v>0.11430508168590918</v>
      </c>
      <c r="AF13" s="1066"/>
    </row>
    <row r="14" spans="1:32" ht="17" thickBot="1" x14ac:dyDescent="0.25">
      <c r="A14" s="993"/>
      <c r="B14" s="994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624"/>
      <c r="N14" s="624"/>
      <c r="O14" s="624"/>
      <c r="P14" s="624"/>
      <c r="Q14" s="624"/>
      <c r="R14" s="624"/>
      <c r="S14" s="624"/>
      <c r="T14" s="624"/>
      <c r="U14" s="624"/>
      <c r="V14" s="435"/>
      <c r="W14" s="624"/>
      <c r="X14" s="434"/>
      <c r="Y14" s="434"/>
      <c r="Z14" s="434"/>
      <c r="AA14" s="435"/>
      <c r="AB14" s="744"/>
      <c r="AC14" s="744"/>
      <c r="AD14" s="744"/>
      <c r="AE14" s="744"/>
      <c r="AF14" s="744"/>
    </row>
    <row r="15" spans="1:32" ht="17" thickBot="1" x14ac:dyDescent="0.25">
      <c r="A15" s="1112" t="s">
        <v>120</v>
      </c>
      <c r="B15" s="1113"/>
      <c r="C15" s="495">
        <f t="shared" ref="C15:V15" si="10">C12+C10</f>
        <v>39.1</v>
      </c>
      <c r="D15" s="495">
        <f t="shared" si="10"/>
        <v>64.2</v>
      </c>
      <c r="E15" s="495">
        <f t="shared" si="10"/>
        <v>40.799999999999997</v>
      </c>
      <c r="F15" s="495">
        <f t="shared" si="10"/>
        <v>70.7</v>
      </c>
      <c r="G15" s="495">
        <f t="shared" si="10"/>
        <v>74.900000000000006</v>
      </c>
      <c r="H15" s="495">
        <f t="shared" si="10"/>
        <v>107.69999999999999</v>
      </c>
      <c r="I15" s="495">
        <f t="shared" si="10"/>
        <v>138.69999999999999</v>
      </c>
      <c r="J15" s="495">
        <f>J12</f>
        <v>192.8</v>
      </c>
      <c r="K15" s="495">
        <f t="shared" si="10"/>
        <v>291.3</v>
      </c>
      <c r="L15" s="495">
        <f t="shared" si="10"/>
        <v>293.8</v>
      </c>
      <c r="M15" s="495">
        <f t="shared" si="10"/>
        <v>313.5</v>
      </c>
      <c r="N15" s="495">
        <f t="shared" si="10"/>
        <v>286.20000000000005</v>
      </c>
      <c r="O15" s="495">
        <f t="shared" si="10"/>
        <v>251</v>
      </c>
      <c r="P15" s="495">
        <f t="shared" si="10"/>
        <v>241.7</v>
      </c>
      <c r="Q15" s="495">
        <f t="shared" si="10"/>
        <v>231.6</v>
      </c>
      <c r="R15" s="495">
        <f t="shared" si="10"/>
        <v>232.9</v>
      </c>
      <c r="S15" s="495">
        <f t="shared" si="10"/>
        <v>217.3</v>
      </c>
      <c r="T15" s="495">
        <f t="shared" si="10"/>
        <v>243.5</v>
      </c>
      <c r="U15" s="495">
        <f t="shared" si="10"/>
        <v>267.8</v>
      </c>
      <c r="V15" s="496">
        <f t="shared" si="10"/>
        <v>329.90000000000003</v>
      </c>
      <c r="W15" s="495">
        <f>W12+W10</f>
        <v>351.60410636962018</v>
      </c>
      <c r="X15" s="495">
        <f t="shared" ref="X15:Z15" si="11">X12+X10</f>
        <v>363.7847975971506</v>
      </c>
      <c r="Y15" s="495">
        <f t="shared" si="11"/>
        <v>376.36655877700667</v>
      </c>
      <c r="Z15" s="495">
        <f t="shared" si="11"/>
        <v>389.36410811526082</v>
      </c>
      <c r="AA15" s="496">
        <f t="shared" ref="AA15" si="12">AA12+AA10</f>
        <v>402.78484797453189</v>
      </c>
    </row>
    <row r="16" spans="1:32" x14ac:dyDescent="0.2">
      <c r="A16" s="993"/>
      <c r="B16" s="994"/>
      <c r="C16" s="622"/>
      <c r="D16" s="622"/>
      <c r="E16" s="622"/>
      <c r="F16" s="622"/>
      <c r="G16" s="622"/>
      <c r="H16" s="622"/>
      <c r="I16" s="622"/>
      <c r="J16" s="622"/>
      <c r="K16" s="622"/>
      <c r="L16" s="622"/>
      <c r="M16" s="624"/>
      <c r="N16" s="624"/>
      <c r="O16" s="624"/>
      <c r="P16" s="624"/>
      <c r="Q16" s="624"/>
      <c r="R16" s="624"/>
      <c r="S16" s="624"/>
      <c r="T16" s="624"/>
      <c r="U16" s="624"/>
      <c r="V16" s="435"/>
      <c r="W16" s="624"/>
      <c r="X16" s="434"/>
      <c r="Y16" s="434"/>
      <c r="Z16" s="434"/>
      <c r="AA16" s="435"/>
      <c r="AB16" s="230"/>
      <c r="AC16" s="230"/>
      <c r="AD16" s="230"/>
      <c r="AE16" s="434"/>
      <c r="AF16" s="434"/>
    </row>
    <row r="17" spans="1:34" x14ac:dyDescent="0.2">
      <c r="A17" s="993" t="s">
        <v>110</v>
      </c>
      <c r="B17" s="994"/>
      <c r="C17" s="4">
        <f>0</f>
        <v>0</v>
      </c>
      <c r="D17" s="4">
        <f>0</f>
        <v>0</v>
      </c>
      <c r="E17" s="4">
        <f>0</f>
        <v>0</v>
      </c>
      <c r="F17" s="4">
        <f>0</f>
        <v>0</v>
      </c>
      <c r="G17" s="4">
        <f>0</f>
        <v>0</v>
      </c>
      <c r="H17" s="4">
        <f>0</f>
        <v>0</v>
      </c>
      <c r="I17" s="4">
        <f>0</f>
        <v>0</v>
      </c>
      <c r="J17" s="4">
        <f>0</f>
        <v>0</v>
      </c>
      <c r="K17" s="4">
        <f>0</f>
        <v>0</v>
      </c>
      <c r="L17" s="4">
        <f>0</f>
        <v>0</v>
      </c>
      <c r="M17" s="4">
        <f>0</f>
        <v>0</v>
      </c>
      <c r="N17" s="4">
        <f>0</f>
        <v>0</v>
      </c>
      <c r="O17" s="4">
        <f>0</f>
        <v>0</v>
      </c>
      <c r="P17" s="4">
        <f>0</f>
        <v>0</v>
      </c>
      <c r="Q17" s="4">
        <f>0</f>
        <v>0</v>
      </c>
      <c r="R17" s="4">
        <f>0</f>
        <v>0</v>
      </c>
      <c r="S17" s="4">
        <f>0</f>
        <v>0</v>
      </c>
      <c r="T17" s="4">
        <f>0</f>
        <v>0</v>
      </c>
      <c r="U17" s="4">
        <f>0</f>
        <v>0</v>
      </c>
      <c r="V17" s="97">
        <f>0</f>
        <v>0</v>
      </c>
      <c r="W17" s="4">
        <f>_xlfn.FORECAST.ETS(W2,$C$17:V17,$C$2:V2)</f>
        <v>0</v>
      </c>
      <c r="X17" s="4">
        <f>_xlfn.FORECAST.ETS(X2,$C$17:W17,$C$2:W2)</f>
        <v>0</v>
      </c>
      <c r="Y17" s="4">
        <f>_xlfn.FORECAST.ETS(Y2,$C$17:X17,$C$2:X2)</f>
        <v>0</v>
      </c>
      <c r="Z17" s="4">
        <f>_xlfn.FORECAST.ETS(Z2,$C$17:Y17,$C$2:Y2)</f>
        <v>0</v>
      </c>
      <c r="AA17" s="97">
        <f>_xlfn.FORECAST.ETS(AA2,$C$17:Z17,$C$2:Z2)</f>
        <v>0</v>
      </c>
      <c r="AB17" s="434"/>
      <c r="AC17" s="434"/>
      <c r="AD17" s="434"/>
      <c r="AE17" s="434"/>
      <c r="AF17" s="434"/>
      <c r="AG17" s="434"/>
      <c r="AH17" s="434"/>
    </row>
    <row r="18" spans="1:34" x14ac:dyDescent="0.2">
      <c r="A18" s="993" t="s">
        <v>121</v>
      </c>
      <c r="B18" s="994"/>
      <c r="C18" s="4">
        <f>0</f>
        <v>0</v>
      </c>
      <c r="D18" s="4">
        <f>0</f>
        <v>0</v>
      </c>
      <c r="E18" s="4">
        <f>0</f>
        <v>0</v>
      </c>
      <c r="F18" s="4">
        <f>0</f>
        <v>0</v>
      </c>
      <c r="G18" s="4">
        <f>0</f>
        <v>0</v>
      </c>
      <c r="H18" s="4">
        <f>0</f>
        <v>0</v>
      </c>
      <c r="I18" s="4">
        <f>0</f>
        <v>0</v>
      </c>
      <c r="J18" s="4">
        <v>8.6</v>
      </c>
      <c r="K18" s="4">
        <v>9.1</v>
      </c>
      <c r="L18" s="4">
        <v>11</v>
      </c>
      <c r="M18" s="4">
        <v>17</v>
      </c>
      <c r="N18" s="4">
        <v>13.3</v>
      </c>
      <c r="O18" s="4">
        <v>12</v>
      </c>
      <c r="P18" s="4">
        <v>15.4</v>
      </c>
      <c r="Q18" s="4">
        <f>0</f>
        <v>0</v>
      </c>
      <c r="R18" s="181">
        <v>12.3</v>
      </c>
      <c r="S18" s="181">
        <v>14.7</v>
      </c>
      <c r="T18" s="181">
        <v>15.2</v>
      </c>
      <c r="U18" s="181">
        <v>15.7</v>
      </c>
      <c r="V18" s="97">
        <v>33.299999999999997</v>
      </c>
      <c r="W18" s="4">
        <f>W19*'Restructuration cap'!X11</f>
        <v>21.148220837054932</v>
      </c>
      <c r="X18" s="4">
        <f>X19*'Restructuration cap'!Y11</f>
        <v>23.063512657369774</v>
      </c>
      <c r="Y18" s="4">
        <f>Y19*'Restructuration cap'!Z11</f>
        <v>25.058090477967848</v>
      </c>
      <c r="Z18" s="4">
        <f>Z19*'Restructuration cap'!AA11</f>
        <v>27.136846229204341</v>
      </c>
      <c r="AA18" s="97">
        <f>AA19*'Restructuration cap'!AB11</f>
        <v>29.295727061562228</v>
      </c>
      <c r="AB18" s="434"/>
      <c r="AC18" s="434"/>
      <c r="AD18" s="434"/>
      <c r="AE18" s="434"/>
      <c r="AF18" s="434"/>
      <c r="AG18" s="434"/>
      <c r="AH18" s="434"/>
    </row>
    <row r="19" spans="1:34" s="145" customFormat="1" x14ac:dyDescent="0.2">
      <c r="A19" s="993" t="s">
        <v>148</v>
      </c>
      <c r="B19" s="994"/>
      <c r="C19" s="84">
        <f>C18/'Restructuration cap'!D11</f>
        <v>0</v>
      </c>
      <c r="D19" s="84">
        <f>D18/'Restructuration cap'!E11</f>
        <v>0</v>
      </c>
      <c r="E19" s="84">
        <f>E18/'Restructuration cap'!F11</f>
        <v>0</v>
      </c>
      <c r="F19" s="84">
        <f>F18/'Restructuration cap'!G11</f>
        <v>0</v>
      </c>
      <c r="G19" s="84">
        <f>G18/'Restructuration cap'!H11</f>
        <v>0</v>
      </c>
      <c r="H19" s="84">
        <f>H18/'Restructuration cap'!I11</f>
        <v>0</v>
      </c>
      <c r="I19" s="84">
        <f>I18/'Restructuration cap'!J11</f>
        <v>0</v>
      </c>
      <c r="J19" s="84">
        <f>J18/'Restructuration cap'!K11</f>
        <v>2.6068505607759928E-2</v>
      </c>
      <c r="K19" s="84">
        <f>K18/'Restructuration cap'!L11</f>
        <v>2.2364217252396165E-2</v>
      </c>
      <c r="L19" s="84">
        <f>L18/'Restructuration cap'!M11</f>
        <v>2.9705644072373749E-2</v>
      </c>
      <c r="M19" s="84">
        <f>M18/'Restructuration cap'!N11</f>
        <v>3.7946428571428568E-2</v>
      </c>
      <c r="N19" s="84">
        <f>N18/'Restructuration cap'!O11</f>
        <v>2.8088701161562833E-2</v>
      </c>
      <c r="O19" s="84">
        <f>O18/'Restructuration cap'!P11</f>
        <v>2.6654820079964461E-2</v>
      </c>
      <c r="P19" s="84">
        <f>P18/'Restructuration cap'!Q11</f>
        <v>3.2920051303976058E-2</v>
      </c>
      <c r="Q19" s="84">
        <f>Q18/'Restructuration cap'!R11</f>
        <v>0</v>
      </c>
      <c r="R19" s="84">
        <f>R18/'Restructuration cap'!S11</f>
        <v>2.2672811059907837E-2</v>
      </c>
      <c r="S19" s="84">
        <f>S18/'Restructuration cap'!T11</f>
        <v>2.3186119873817034E-2</v>
      </c>
      <c r="T19" s="84">
        <f>T18/'Restructuration cap'!U11</f>
        <v>2.0669023660592874E-2</v>
      </c>
      <c r="U19" s="84">
        <f>U18/'Restructuration cap'!V11</f>
        <v>1.8670472113212034E-2</v>
      </c>
      <c r="V19" s="101">
        <f>V18/'Restructuration cap'!W11</f>
        <v>3.4259259259259253E-2</v>
      </c>
      <c r="W19" s="84">
        <f t="shared" ref="W19:AA19" si="13">$AE$9</f>
        <v>2.2379069668841199E-2</v>
      </c>
      <c r="X19" s="84">
        <f t="shared" si="13"/>
        <v>2.2379069668841199E-2</v>
      </c>
      <c r="Y19" s="84">
        <f t="shared" si="13"/>
        <v>2.2379069668841199E-2</v>
      </c>
      <c r="Z19" s="84">
        <f t="shared" si="13"/>
        <v>2.2379069668841199E-2</v>
      </c>
      <c r="AA19" s="101">
        <f t="shared" si="13"/>
        <v>2.2379069668841199E-2</v>
      </c>
      <c r="AB19" s="434"/>
      <c r="AC19" s="434"/>
      <c r="AD19" s="434"/>
      <c r="AE19" s="434"/>
      <c r="AF19" s="434"/>
      <c r="AG19" s="434"/>
      <c r="AH19" s="434"/>
    </row>
    <row r="20" spans="1:34" ht="17" thickBot="1" x14ac:dyDescent="0.25">
      <c r="A20" s="993" t="s">
        <v>111</v>
      </c>
      <c r="B20" s="994"/>
      <c r="C20" s="4">
        <v>6.9</v>
      </c>
      <c r="D20" s="4">
        <v>3.3</v>
      </c>
      <c r="E20" s="4">
        <v>4.5999999999999996</v>
      </c>
      <c r="F20" s="4">
        <v>5.8</v>
      </c>
      <c r="G20" s="4">
        <v>6.8</v>
      </c>
      <c r="H20" s="4">
        <v>4.5</v>
      </c>
      <c r="I20" s="4">
        <v>12.6</v>
      </c>
      <c r="J20" s="4">
        <f>0</f>
        <v>0</v>
      </c>
      <c r="K20" s="4">
        <f>0</f>
        <v>0</v>
      </c>
      <c r="L20" s="4">
        <f>0</f>
        <v>0</v>
      </c>
      <c r="M20" s="4">
        <f>0</f>
        <v>0</v>
      </c>
      <c r="N20" s="4">
        <f>0</f>
        <v>0</v>
      </c>
      <c r="O20" s="4">
        <f>0</f>
        <v>0</v>
      </c>
      <c r="P20" s="4">
        <f>0</f>
        <v>0</v>
      </c>
      <c r="Q20" s="4">
        <f>0</f>
        <v>0</v>
      </c>
      <c r="R20" s="4">
        <f>0</f>
        <v>0</v>
      </c>
      <c r="S20" s="4">
        <f>0</f>
        <v>0</v>
      </c>
      <c r="T20" s="4">
        <f>0</f>
        <v>0</v>
      </c>
      <c r="U20" s="4">
        <f>0</f>
        <v>0</v>
      </c>
      <c r="V20" s="204">
        <v>21</v>
      </c>
      <c r="W20" s="595">
        <f>_xlfn.FORECAST.ETS(W2,D20:V20,D2:V2)</f>
        <v>20.944210526315789</v>
      </c>
      <c r="X20" s="595">
        <f>_xlfn.FORECAST.ETS(X2,E20:W20,E2:W2)</f>
        <v>21.174206832871654</v>
      </c>
      <c r="Y20" s="595">
        <f>_xlfn.FORECAST.ETS(Y2,F20:X20,F2:X2)</f>
        <v>14.215827240265252</v>
      </c>
      <c r="Z20" s="595">
        <f>_xlfn.FORECAST.ETS(Z2,G20:Y20,G2:Y2)</f>
        <v>28.801050023528862</v>
      </c>
      <c r="AA20" s="596">
        <f>_xlfn.FORECAST.ETS(AA2,H20:Z20,H2:Z2)</f>
        <v>19.565099060063844</v>
      </c>
      <c r="AB20" s="434"/>
      <c r="AC20" s="434"/>
      <c r="AD20" s="434"/>
      <c r="AE20" s="434"/>
      <c r="AF20" s="434"/>
      <c r="AG20" s="434"/>
      <c r="AH20" s="434"/>
    </row>
    <row r="21" spans="1:34" ht="17" thickBot="1" x14ac:dyDescent="0.25">
      <c r="A21" s="1112" t="s">
        <v>112</v>
      </c>
      <c r="B21" s="1113"/>
      <c r="C21" s="495">
        <f t="shared" ref="C21:T21" si="14">C7+C15+C17+C18+C20</f>
        <v>47.4</v>
      </c>
      <c r="D21" s="495">
        <f t="shared" si="14"/>
        <v>132.80000000000001</v>
      </c>
      <c r="E21" s="495">
        <f t="shared" si="14"/>
        <v>69.399999999999991</v>
      </c>
      <c r="F21" s="495">
        <f t="shared" si="14"/>
        <v>108.2</v>
      </c>
      <c r="G21" s="495">
        <f t="shared" si="14"/>
        <v>114.60000000000001</v>
      </c>
      <c r="H21" s="495">
        <f t="shared" si="14"/>
        <v>127.79999999999998</v>
      </c>
      <c r="I21" s="495">
        <f t="shared" si="14"/>
        <v>262.7</v>
      </c>
      <c r="J21" s="495">
        <f t="shared" si="14"/>
        <v>294.5</v>
      </c>
      <c r="K21" s="495">
        <f t="shared" si="14"/>
        <v>366</v>
      </c>
      <c r="L21" s="495">
        <f t="shared" si="14"/>
        <v>447.5</v>
      </c>
      <c r="M21" s="495">
        <f t="shared" si="14"/>
        <v>490.8</v>
      </c>
      <c r="N21" s="495">
        <f t="shared" si="14"/>
        <v>454.50000000000006</v>
      </c>
      <c r="O21" s="495">
        <f t="shared" si="14"/>
        <v>380.7</v>
      </c>
      <c r="P21" s="495">
        <f t="shared" si="14"/>
        <v>372.69999999999993</v>
      </c>
      <c r="Q21" s="495">
        <f t="shared" si="14"/>
        <v>427.29999999999995</v>
      </c>
      <c r="R21" s="495">
        <f t="shared" si="14"/>
        <v>440.90000000000003</v>
      </c>
      <c r="S21" s="495">
        <f t="shared" si="14"/>
        <v>430.2</v>
      </c>
      <c r="T21" s="495">
        <f t="shared" si="14"/>
        <v>430.59999999999997</v>
      </c>
      <c r="U21" s="495">
        <f>U7+U15+U17+U18+U20</f>
        <v>577.5</v>
      </c>
      <c r="V21" s="496">
        <f t="shared" ref="V21:Z21" si="15">V7+V15+V17+V18+V20</f>
        <v>541.4</v>
      </c>
      <c r="W21" s="495">
        <f>W7+W15+W17+W18+W20</f>
        <v>568.86529657401593</v>
      </c>
      <c r="X21" s="495">
        <f t="shared" si="15"/>
        <v>603.21395521655961</v>
      </c>
      <c r="Y21" s="495">
        <f t="shared" si="15"/>
        <v>633.14328790415209</v>
      </c>
      <c r="Z21" s="495">
        <f t="shared" si="15"/>
        <v>687.66649240191691</v>
      </c>
      <c r="AA21" s="496">
        <f t="shared" ref="AA21" si="16">AA7+AA15+AA17+AA18+AA20</f>
        <v>721.71365473256196</v>
      </c>
      <c r="AB21" s="434"/>
      <c r="AC21" s="434"/>
      <c r="AD21" s="434"/>
      <c r="AE21" s="434"/>
      <c r="AF21" s="434"/>
      <c r="AG21" s="434"/>
      <c r="AH21" s="434"/>
    </row>
    <row r="22" spans="1:34" x14ac:dyDescent="0.2">
      <c r="A22" s="1114"/>
      <c r="B22" s="1115"/>
      <c r="C22" s="200"/>
      <c r="D22" s="200"/>
      <c r="E22" s="200"/>
      <c r="F22" s="200"/>
      <c r="G22" s="200"/>
      <c r="H22" s="200"/>
      <c r="I22" s="200"/>
      <c r="J22" s="200"/>
      <c r="K22" s="200"/>
      <c r="L22" s="200"/>
      <c r="M22" s="624"/>
      <c r="N22" s="624"/>
      <c r="O22" s="624"/>
      <c r="P22" s="624"/>
      <c r="Q22" s="624"/>
      <c r="R22" s="624"/>
      <c r="S22" s="624"/>
      <c r="T22" s="624"/>
      <c r="U22" s="624"/>
      <c r="V22" s="435"/>
      <c r="W22" s="624"/>
      <c r="X22" s="434"/>
      <c r="Y22" s="434"/>
      <c r="Z22" s="434"/>
      <c r="AA22" s="435"/>
      <c r="AB22" s="434"/>
      <c r="AC22" s="434"/>
      <c r="AD22" s="434"/>
      <c r="AE22" s="434"/>
      <c r="AF22" s="434"/>
      <c r="AG22" s="434"/>
      <c r="AH22" s="434"/>
    </row>
    <row r="23" spans="1:34" x14ac:dyDescent="0.2">
      <c r="A23" s="1114"/>
      <c r="B23" s="1115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624"/>
      <c r="N23" s="624"/>
      <c r="O23" s="624"/>
      <c r="P23" s="624"/>
      <c r="Q23" s="624"/>
      <c r="R23" s="624"/>
      <c r="S23" s="624"/>
      <c r="T23" s="624"/>
      <c r="U23" s="624"/>
      <c r="V23" s="435"/>
      <c r="W23" s="624"/>
      <c r="X23" s="434"/>
      <c r="Y23" s="434"/>
      <c r="Z23" s="434"/>
      <c r="AA23" s="435"/>
      <c r="AB23" s="230"/>
      <c r="AC23" s="230"/>
      <c r="AD23" s="230"/>
      <c r="AE23" s="434"/>
      <c r="AF23" s="434"/>
      <c r="AG23" s="434"/>
      <c r="AH23" s="434"/>
    </row>
    <row r="24" spans="1:34" x14ac:dyDescent="0.2">
      <c r="A24" s="1127" t="s">
        <v>122</v>
      </c>
      <c r="B24" s="1128"/>
      <c r="C24" s="483">
        <f>0</f>
        <v>0</v>
      </c>
      <c r="D24" s="483">
        <f>0</f>
        <v>0</v>
      </c>
      <c r="E24" s="483">
        <f>0</f>
        <v>0</v>
      </c>
      <c r="F24" s="483">
        <f>0</f>
        <v>0</v>
      </c>
      <c r="G24" s="483">
        <f>0</f>
        <v>0</v>
      </c>
      <c r="H24" s="483">
        <f>0</f>
        <v>0</v>
      </c>
      <c r="I24" s="483">
        <f>0</f>
        <v>0</v>
      </c>
      <c r="J24" s="483">
        <f>0</f>
        <v>0</v>
      </c>
      <c r="K24" s="483">
        <f>0</f>
        <v>0</v>
      </c>
      <c r="L24" s="483">
        <f>0</f>
        <v>0</v>
      </c>
      <c r="M24" s="483">
        <f>0</f>
        <v>0</v>
      </c>
      <c r="N24" s="483">
        <f>0</f>
        <v>0</v>
      </c>
      <c r="O24" s="483">
        <f>0</f>
        <v>0</v>
      </c>
      <c r="P24" s="483">
        <f>0</f>
        <v>0</v>
      </c>
      <c r="Q24" s="483">
        <f>0</f>
        <v>0</v>
      </c>
      <c r="R24" s="483">
        <f>0</f>
        <v>0</v>
      </c>
      <c r="S24" s="483">
        <f>0</f>
        <v>0</v>
      </c>
      <c r="T24" s="483">
        <f>0</f>
        <v>0</v>
      </c>
      <c r="U24" s="483">
        <f>0</f>
        <v>0</v>
      </c>
      <c r="V24" s="490">
        <f>0</f>
        <v>0</v>
      </c>
      <c r="W24" s="4">
        <f>_xlfn.FORECAST.ETS(W2,$C$24:V24,$C$2:V2)</f>
        <v>0</v>
      </c>
      <c r="X24" s="4">
        <f>_xlfn.FORECAST.ETS(X2,$C$24:W24,$C$2:W2)</f>
        <v>0</v>
      </c>
      <c r="Y24" s="4">
        <f>_xlfn.FORECAST.ETS(Y2,$C$24:X24,$C$2:X2)</f>
        <v>0</v>
      </c>
      <c r="Z24" s="4">
        <f>_xlfn.FORECAST.ETS(Z2,$C$24:Y24,$C$2:Y2)</f>
        <v>0</v>
      </c>
      <c r="AA24" s="97">
        <f>_xlfn.FORECAST.ETS(AA2,$C$24:Z24,$C$2:Z2)</f>
        <v>0</v>
      </c>
      <c r="AB24" s="230"/>
      <c r="AC24" s="230"/>
      <c r="AD24" s="230"/>
      <c r="AE24" s="434"/>
      <c r="AF24" s="434"/>
      <c r="AG24" s="434"/>
      <c r="AH24" s="434"/>
    </row>
    <row r="25" spans="1:34" x14ac:dyDescent="0.2">
      <c r="A25" s="993" t="s">
        <v>113</v>
      </c>
      <c r="B25" s="994"/>
      <c r="C25" s="4">
        <f>10.2</f>
        <v>10.199999999999999</v>
      </c>
      <c r="D25" s="4">
        <f>13</f>
        <v>13</v>
      </c>
      <c r="E25" s="4">
        <f>17.6</f>
        <v>17.600000000000001</v>
      </c>
      <c r="F25" s="4">
        <f>16.9</f>
        <v>16.899999999999999</v>
      </c>
      <c r="G25" s="4">
        <f>18.4</f>
        <v>18.399999999999999</v>
      </c>
      <c r="H25" s="4">
        <f>20.9</f>
        <v>20.9</v>
      </c>
      <c r="I25" s="4">
        <f>55.2</f>
        <v>55.2</v>
      </c>
      <c r="J25" s="4">
        <f>0</f>
        <v>0</v>
      </c>
      <c r="K25" s="4">
        <f>0</f>
        <v>0</v>
      </c>
      <c r="L25" s="4">
        <f>0</f>
        <v>0</v>
      </c>
      <c r="M25" s="4">
        <f>28.7</f>
        <v>28.7</v>
      </c>
      <c r="N25" s="4">
        <f>39.5</f>
        <v>39.5</v>
      </c>
      <c r="O25" s="4">
        <f>0</f>
        <v>0</v>
      </c>
      <c r="P25" s="4">
        <f>14.2</f>
        <v>14.2</v>
      </c>
      <c r="Q25" s="4">
        <f>28.6</f>
        <v>28.6</v>
      </c>
      <c r="R25" s="4">
        <f>27.9</f>
        <v>27.9</v>
      </c>
      <c r="S25" s="4">
        <f>26.7</f>
        <v>26.7</v>
      </c>
      <c r="T25" s="4">
        <f>24.9</f>
        <v>24.9</v>
      </c>
      <c r="U25" s="4">
        <f>30.9</f>
        <v>30.9</v>
      </c>
      <c r="V25" s="204">
        <f>42.5</f>
        <v>42.5</v>
      </c>
      <c r="W25" s="595">
        <f>_xlfn.FORECAST.ETS(W2,$C$25:V25,$C$2:V2)</f>
        <v>28.568659431494382</v>
      </c>
      <c r="X25" s="595">
        <f>_xlfn.FORECAST.ETS(X2,$C$25:W25,$C$2:W2)</f>
        <v>25.448223223140449</v>
      </c>
      <c r="Y25" s="595">
        <f>_xlfn.FORECAST.ETS(Y2,$C$25:X25,$C$2:X2)</f>
        <v>48.892486540937227</v>
      </c>
      <c r="Z25" s="595">
        <f>_xlfn.FORECAST.ETS(Z2,$C$25:Y25,$C$2:Y2)</f>
        <v>33.742726911504654</v>
      </c>
      <c r="AA25" s="596">
        <f>_xlfn.FORECAST.ETS(AA2,$C$25:Z25,$C$2:Z2)</f>
        <v>35.607113454558551</v>
      </c>
      <c r="AB25" s="434"/>
      <c r="AC25" s="434"/>
      <c r="AD25" s="434"/>
      <c r="AE25" s="434"/>
      <c r="AF25" s="434"/>
      <c r="AG25" s="434"/>
      <c r="AH25" s="434"/>
    </row>
    <row r="26" spans="1:34" x14ac:dyDescent="0.2">
      <c r="A26" s="1131" t="s">
        <v>114</v>
      </c>
      <c r="B26" s="1132"/>
      <c r="C26" s="4">
        <v>7.2</v>
      </c>
      <c r="D26" s="4">
        <v>8.1999999999999993</v>
      </c>
      <c r="E26" s="4">
        <v>7.2</v>
      </c>
      <c r="F26" s="4">
        <v>14.5</v>
      </c>
      <c r="G26" s="4">
        <v>15.9</v>
      </c>
      <c r="H26" s="4">
        <v>16.7</v>
      </c>
      <c r="I26" s="4">
        <f>0</f>
        <v>0</v>
      </c>
      <c r="J26" s="4">
        <f>0</f>
        <v>0</v>
      </c>
      <c r="K26" s="4">
        <f>0</f>
        <v>0</v>
      </c>
      <c r="L26" s="4">
        <f>0</f>
        <v>0</v>
      </c>
      <c r="M26" s="4">
        <v>57.4</v>
      </c>
      <c r="N26" s="4">
        <v>61.1</v>
      </c>
      <c r="O26" s="4">
        <v>52.3</v>
      </c>
      <c r="P26" s="4">
        <v>61.6</v>
      </c>
      <c r="Q26" s="4">
        <v>38.700000000000003</v>
      </c>
      <c r="R26" s="4">
        <v>56.4</v>
      </c>
      <c r="S26" s="4">
        <v>61.4</v>
      </c>
      <c r="T26" s="4">
        <v>86.2</v>
      </c>
      <c r="U26" s="4">
        <v>116.2</v>
      </c>
      <c r="V26" s="205">
        <v>148.6</v>
      </c>
      <c r="W26" s="185">
        <f t="shared" ref="W26:AA26" si="17">V26*(1+W27)</f>
        <v>171.61115392123227</v>
      </c>
      <c r="X26" s="185">
        <f t="shared" si="17"/>
        <v>198.18565376969633</v>
      </c>
      <c r="Y26" s="185">
        <f t="shared" si="17"/>
        <v>228.87529430721</v>
      </c>
      <c r="Z26" s="185">
        <f t="shared" si="17"/>
        <v>264.31731736286645</v>
      </c>
      <c r="AA26" s="205">
        <f t="shared" si="17"/>
        <v>305.24764356666265</v>
      </c>
      <c r="AB26" s="434"/>
      <c r="AC26" s="434"/>
      <c r="AD26" s="434"/>
      <c r="AE26" s="434"/>
      <c r="AF26" s="434"/>
      <c r="AG26" s="434"/>
      <c r="AH26" s="434"/>
    </row>
    <row r="27" spans="1:34" s="145" customFormat="1" x14ac:dyDescent="0.2">
      <c r="A27" s="1107" t="s">
        <v>147</v>
      </c>
      <c r="B27" s="1108"/>
      <c r="C27" s="201">
        <f>0</f>
        <v>0</v>
      </c>
      <c r="D27" s="84">
        <f>(D26-C26)/C26</f>
        <v>0.13888888888888876</v>
      </c>
      <c r="E27" s="84">
        <f t="shared" ref="E27:V27" si="18">(E26-D26)/D26</f>
        <v>-0.12195121951219502</v>
      </c>
      <c r="F27" s="84">
        <f t="shared" si="18"/>
        <v>1.0138888888888888</v>
      </c>
      <c r="G27" s="84">
        <f t="shared" si="18"/>
        <v>9.6551724137931061E-2</v>
      </c>
      <c r="H27" s="84">
        <f t="shared" si="18"/>
        <v>5.0314465408804965E-2</v>
      </c>
      <c r="I27" s="84">
        <f>0</f>
        <v>0</v>
      </c>
      <c r="J27" s="84">
        <f>0</f>
        <v>0</v>
      </c>
      <c r="K27" s="84">
        <f>0</f>
        <v>0</v>
      </c>
      <c r="L27" s="84">
        <f>0</f>
        <v>0</v>
      </c>
      <c r="M27" s="84">
        <f>0</f>
        <v>0</v>
      </c>
      <c r="N27" s="84">
        <f t="shared" si="18"/>
        <v>6.4459930313588903E-2</v>
      </c>
      <c r="O27" s="84">
        <f t="shared" si="18"/>
        <v>-0.14402618657937813</v>
      </c>
      <c r="P27" s="84">
        <f t="shared" si="18"/>
        <v>0.17782026768642456</v>
      </c>
      <c r="Q27" s="84">
        <f t="shared" si="18"/>
        <v>-0.37175324675324672</v>
      </c>
      <c r="R27" s="84">
        <f t="shared" si="18"/>
        <v>0.45736434108527119</v>
      </c>
      <c r="S27" s="84">
        <f t="shared" si="18"/>
        <v>8.8652482269503549E-2</v>
      </c>
      <c r="T27" s="84">
        <f t="shared" si="18"/>
        <v>0.40390879478827368</v>
      </c>
      <c r="U27" s="84">
        <f t="shared" si="18"/>
        <v>0.3480278422273782</v>
      </c>
      <c r="V27" s="101">
        <f t="shared" si="18"/>
        <v>0.27882960413080887</v>
      </c>
      <c r="W27" s="193">
        <f t="shared" ref="W27:AA27" si="19">$AE$10</f>
        <v>0.15485298735687941</v>
      </c>
      <c r="X27" s="193">
        <f t="shared" si="19"/>
        <v>0.15485298735687941</v>
      </c>
      <c r="Y27" s="193">
        <f t="shared" si="19"/>
        <v>0.15485298735687941</v>
      </c>
      <c r="Z27" s="193">
        <f t="shared" si="19"/>
        <v>0.15485298735687941</v>
      </c>
      <c r="AA27" s="206">
        <f t="shared" si="19"/>
        <v>0.15485298735687941</v>
      </c>
      <c r="AB27" s="434"/>
      <c r="AC27" s="434"/>
      <c r="AD27" s="434"/>
      <c r="AE27" s="434"/>
      <c r="AF27" s="434"/>
      <c r="AG27" s="434"/>
      <c r="AH27" s="434"/>
    </row>
    <row r="28" spans="1:34" x14ac:dyDescent="0.2">
      <c r="A28" s="993" t="s">
        <v>115</v>
      </c>
      <c r="B28" s="994"/>
      <c r="C28" s="201">
        <f>0</f>
        <v>0</v>
      </c>
      <c r="D28" s="201">
        <f>0</f>
        <v>0</v>
      </c>
      <c r="E28" s="201">
        <f>0</f>
        <v>0</v>
      </c>
      <c r="F28" s="201">
        <f>0</f>
        <v>0</v>
      </c>
      <c r="G28" s="201">
        <f>0</f>
        <v>0</v>
      </c>
      <c r="H28" s="201">
        <f>0</f>
        <v>0</v>
      </c>
      <c r="I28" s="201">
        <f>0</f>
        <v>0</v>
      </c>
      <c r="J28" s="201">
        <f>0</f>
        <v>0</v>
      </c>
      <c r="K28" s="201">
        <f>0</f>
        <v>0</v>
      </c>
      <c r="L28" s="201">
        <f>0</f>
        <v>0</v>
      </c>
      <c r="M28" s="201">
        <f>0</f>
        <v>0</v>
      </c>
      <c r="N28" s="201">
        <f>0</f>
        <v>0</v>
      </c>
      <c r="O28" s="201">
        <f>0</f>
        <v>0</v>
      </c>
      <c r="P28" s="201">
        <f>0</f>
        <v>0</v>
      </c>
      <c r="Q28" s="201">
        <f>0</f>
        <v>0</v>
      </c>
      <c r="R28" s="201">
        <f>0</f>
        <v>0</v>
      </c>
      <c r="S28" s="201">
        <f>0</f>
        <v>0</v>
      </c>
      <c r="T28" s="201">
        <f>0</f>
        <v>0</v>
      </c>
      <c r="U28" s="201">
        <f>0</f>
        <v>0</v>
      </c>
      <c r="V28" s="207">
        <f>AVERAGE($C$28:$U$28)</f>
        <v>0</v>
      </c>
      <c r="W28" s="194">
        <f t="shared" ref="W28:AA28" si="20">AVERAGE($C$28:$U$28)</f>
        <v>0</v>
      </c>
      <c r="X28" s="194">
        <f t="shared" si="20"/>
        <v>0</v>
      </c>
      <c r="Y28" s="194">
        <f t="shared" si="20"/>
        <v>0</v>
      </c>
      <c r="Z28" s="194">
        <f t="shared" si="20"/>
        <v>0</v>
      </c>
      <c r="AA28" s="207">
        <f t="shared" si="20"/>
        <v>0</v>
      </c>
      <c r="AB28" s="434"/>
      <c r="AC28" s="434"/>
      <c r="AD28" s="434"/>
      <c r="AE28" s="434"/>
      <c r="AF28" s="434"/>
      <c r="AG28" s="434"/>
      <c r="AH28" s="434"/>
    </row>
    <row r="29" spans="1:34" x14ac:dyDescent="0.2">
      <c r="A29" s="1131" t="s">
        <v>116</v>
      </c>
      <c r="B29" s="1132"/>
      <c r="C29" s="4">
        <v>4.3</v>
      </c>
      <c r="D29" s="4">
        <v>0</v>
      </c>
      <c r="E29" s="4">
        <v>5</v>
      </c>
      <c r="F29" s="4">
        <v>15</v>
      </c>
      <c r="G29" s="4">
        <v>0</v>
      </c>
      <c r="H29" s="4">
        <v>0</v>
      </c>
      <c r="I29" s="4">
        <v>1.2</v>
      </c>
      <c r="J29" s="4">
        <v>1.8</v>
      </c>
      <c r="K29" s="4">
        <v>13.3</v>
      </c>
      <c r="L29" s="201">
        <v>36.4</v>
      </c>
      <c r="M29" s="201">
        <v>94.4</v>
      </c>
      <c r="N29" s="201">
        <v>11.1</v>
      </c>
      <c r="O29" s="4">
        <v>10.7</v>
      </c>
      <c r="P29" s="201">
        <v>11.6</v>
      </c>
      <c r="Q29" s="201">
        <v>12.9</v>
      </c>
      <c r="R29" s="4">
        <v>15</v>
      </c>
      <c r="S29" s="201">
        <v>102.8</v>
      </c>
      <c r="T29" s="4">
        <v>5.9</v>
      </c>
      <c r="U29" s="4">
        <v>107.8</v>
      </c>
      <c r="V29" s="208">
        <v>100.6</v>
      </c>
      <c r="W29" s="195">
        <f>W30*'Restructuration cap'!X11</f>
        <v>59.723848764820268</v>
      </c>
      <c r="X29" s="195">
        <f>X30*'Restructuration cap'!Y11</f>
        <v>65.132748165783326</v>
      </c>
      <c r="Y29" s="195">
        <f>Y30*'Restructuration cap'!Z11</f>
        <v>70.765556004556259</v>
      </c>
      <c r="Z29" s="195">
        <f>Z30*'Restructuration cap'!AA11</f>
        <v>76.636087386955893</v>
      </c>
      <c r="AA29" s="208">
        <f>AA30*'Restructuration cap'!AB11</f>
        <v>82.732896821964943</v>
      </c>
      <c r="AB29" s="434"/>
      <c r="AC29" s="434"/>
      <c r="AD29" s="434"/>
      <c r="AE29" s="434"/>
      <c r="AF29" s="434"/>
      <c r="AG29" s="434"/>
      <c r="AH29" s="434"/>
    </row>
    <row r="30" spans="1:34" s="145" customFormat="1" x14ac:dyDescent="0.2">
      <c r="A30" s="1107" t="s">
        <v>148</v>
      </c>
      <c r="B30" s="1108"/>
      <c r="C30" s="84">
        <f>C29/'Restructuration cap'!D11</f>
        <v>4.5120671563483733E-2</v>
      </c>
      <c r="D30" s="84">
        <f>D29/'Restructuration cap'!E11</f>
        <v>0</v>
      </c>
      <c r="E30" s="84">
        <f>E29/'Restructuration cap'!F11</f>
        <v>4.4130626654898503E-2</v>
      </c>
      <c r="F30" s="84">
        <f>F29/'Restructuration cap'!G11</f>
        <v>0.10259917920656636</v>
      </c>
      <c r="G30" s="84">
        <f>G29/'Restructuration cap'!H11</f>
        <v>0</v>
      </c>
      <c r="H30" s="84">
        <f>H29/'Restructuration cap'!I11</f>
        <v>0</v>
      </c>
      <c r="I30" s="84">
        <f>I29/'Restructuration cap'!J11</f>
        <v>5.5478502080443821E-3</v>
      </c>
      <c r="J30" s="84">
        <f>J29/'Restructuration cap'!K11</f>
        <v>5.4561988481357992E-3</v>
      </c>
      <c r="K30" s="84">
        <f>K29/'Restructuration cap'!L11</f>
        <v>3.2686163676579012E-2</v>
      </c>
      <c r="L30" s="84">
        <f>L29/'Restructuration cap'!M11</f>
        <v>9.8298676748582225E-2</v>
      </c>
      <c r="M30" s="84">
        <f>M29/'Restructuration cap'!N11</f>
        <v>0.21071428571428572</v>
      </c>
      <c r="N30" s="84">
        <f>N29/'Restructuration cap'!O11</f>
        <v>2.3442449841605068E-2</v>
      </c>
      <c r="O30" s="84">
        <f>O29/'Restructuration cap'!P11</f>
        <v>2.3767214571301643E-2</v>
      </c>
      <c r="P30" s="84">
        <f>P29/'Restructuration cap'!Q11</f>
        <v>2.4796921761436511E-2</v>
      </c>
      <c r="Q30" s="84">
        <f>Q29/'Restructuration cap'!R11</f>
        <v>2.7522935779816515E-2</v>
      </c>
      <c r="R30" s="84">
        <f>R29/'Restructuration cap'!S11</f>
        <v>2.7649769585253458E-2</v>
      </c>
      <c r="S30" s="84">
        <f>S29/'Restructuration cap'!T11</f>
        <v>0.16214511041009463</v>
      </c>
      <c r="T30" s="84">
        <f>T29/'Restructuration cap'!U11</f>
        <v>8.0228447103617082E-3</v>
      </c>
      <c r="U30" s="84">
        <f>U29/'Restructuration cap'!V11</f>
        <v>0.12819598049708644</v>
      </c>
      <c r="V30" s="101">
        <f>V29/'Restructuration cap'!W11</f>
        <v>0.10349794238683127</v>
      </c>
      <c r="W30" s="196">
        <f t="shared" ref="W30:AA30" si="21">$AE$11</f>
        <v>6.3199839962772772E-2</v>
      </c>
      <c r="X30" s="196">
        <f t="shared" si="21"/>
        <v>6.3199839962772772E-2</v>
      </c>
      <c r="Y30" s="196">
        <f t="shared" si="21"/>
        <v>6.3199839962772772E-2</v>
      </c>
      <c r="Z30" s="196">
        <f t="shared" si="21"/>
        <v>6.3199839962772772E-2</v>
      </c>
      <c r="AA30" s="209">
        <f t="shared" si="21"/>
        <v>6.3199839962772772E-2</v>
      </c>
      <c r="AB30" s="434"/>
      <c r="AC30" s="434"/>
      <c r="AD30" s="434"/>
      <c r="AE30" s="434"/>
      <c r="AF30" s="434"/>
      <c r="AG30" s="434"/>
      <c r="AH30" s="434"/>
    </row>
    <row r="31" spans="1:34" x14ac:dyDescent="0.2">
      <c r="A31" s="993" t="s">
        <v>117</v>
      </c>
      <c r="B31" s="994"/>
      <c r="C31" s="201">
        <f>0</f>
        <v>0</v>
      </c>
      <c r="D31" s="201">
        <f>0</f>
        <v>0</v>
      </c>
      <c r="E31" s="201">
        <f>0</f>
        <v>0</v>
      </c>
      <c r="F31" s="201">
        <f>0</f>
        <v>0</v>
      </c>
      <c r="G31" s="201">
        <f>0</f>
        <v>0</v>
      </c>
      <c r="H31" s="201">
        <f>0</f>
        <v>0</v>
      </c>
      <c r="I31" s="201">
        <f>0</f>
        <v>0</v>
      </c>
      <c r="J31" s="201">
        <f>0</f>
        <v>0</v>
      </c>
      <c r="K31" s="201">
        <f>0</f>
        <v>0</v>
      </c>
      <c r="L31" s="201">
        <f>0</f>
        <v>0</v>
      </c>
      <c r="M31" s="201">
        <f>0</f>
        <v>0</v>
      </c>
      <c r="N31" s="201">
        <f>0</f>
        <v>0</v>
      </c>
      <c r="O31" s="201">
        <f>0</f>
        <v>0</v>
      </c>
      <c r="P31" s="201">
        <f>0</f>
        <v>0</v>
      </c>
      <c r="Q31" s="201">
        <f>0</f>
        <v>0</v>
      </c>
      <c r="R31" s="201">
        <f>0</f>
        <v>0</v>
      </c>
      <c r="S31" s="201">
        <f>0</f>
        <v>0</v>
      </c>
      <c r="T31" s="201">
        <f>0</f>
        <v>0</v>
      </c>
      <c r="U31" s="201">
        <f>0</f>
        <v>0</v>
      </c>
      <c r="V31" s="202">
        <f>AVERAGE(C31:U31)</f>
        <v>0</v>
      </c>
      <c r="W31" s="201">
        <f t="shared" ref="W31:AA31" si="22">AVERAGE(D31:V31)</f>
        <v>0</v>
      </c>
      <c r="X31" s="201">
        <f t="shared" si="22"/>
        <v>0</v>
      </c>
      <c r="Y31" s="201">
        <f t="shared" si="22"/>
        <v>0</v>
      </c>
      <c r="Z31" s="201">
        <f t="shared" si="22"/>
        <v>0</v>
      </c>
      <c r="AA31" s="202">
        <f t="shared" si="22"/>
        <v>0</v>
      </c>
      <c r="AB31" s="230"/>
      <c r="AC31" s="230"/>
      <c r="AD31" s="230"/>
      <c r="AE31" s="434"/>
      <c r="AF31" s="434"/>
      <c r="AG31" s="434"/>
      <c r="AH31" s="434"/>
    </row>
    <row r="32" spans="1:34" x14ac:dyDescent="0.2">
      <c r="A32" s="993" t="s">
        <v>118</v>
      </c>
      <c r="B32" s="994"/>
      <c r="C32" s="656">
        <v>23.1</v>
      </c>
      <c r="D32" s="656">
        <v>20</v>
      </c>
      <c r="E32" s="656">
        <v>24.7</v>
      </c>
      <c r="F32" s="657">
        <v>39</v>
      </c>
      <c r="G32" s="656">
        <v>37</v>
      </c>
      <c r="H32" s="656">
        <v>37</v>
      </c>
      <c r="I32" s="656">
        <v>51</v>
      </c>
      <c r="J32" s="656">
        <v>77.599999999999994</v>
      </c>
      <c r="K32" s="656">
        <v>120</v>
      </c>
      <c r="L32" s="657">
        <v>126.5</v>
      </c>
      <c r="M32" s="657">
        <v>201.9</v>
      </c>
      <c r="N32" s="657">
        <v>233.8</v>
      </c>
      <c r="O32" s="657">
        <v>198.6</v>
      </c>
      <c r="P32" s="657">
        <v>210.9</v>
      </c>
      <c r="Q32" s="657">
        <v>210.1</v>
      </c>
      <c r="R32" s="657">
        <v>257.60000000000002</v>
      </c>
      <c r="S32" s="657">
        <v>271.39999999999998</v>
      </c>
      <c r="T32" s="657">
        <v>293.3</v>
      </c>
      <c r="U32" s="657">
        <v>320.89999999999998</v>
      </c>
      <c r="V32" s="658">
        <v>382.5</v>
      </c>
      <c r="W32" s="595">
        <f>'Restructuration cap'!X11*$AE$12</f>
        <v>403.64618401891585</v>
      </c>
      <c r="X32" s="595">
        <f>'Restructuration cap'!Y11*$AE$12</f>
        <v>440.20246175544008</v>
      </c>
      <c r="Y32" s="595">
        <f>'Restructuration cap'!Z11*$AE$12</f>
        <v>478.27203423704162</v>
      </c>
      <c r="Z32" s="595">
        <f>'Restructuration cap'!AA11*$AE$12</f>
        <v>517.94827144673559</v>
      </c>
      <c r="AA32" s="596">
        <f>'Restructuration cap'!AB11*$AE$12</f>
        <v>559.15381854438897</v>
      </c>
      <c r="AB32" s="434"/>
      <c r="AC32" s="434"/>
      <c r="AD32" s="434"/>
      <c r="AE32" s="434"/>
      <c r="AF32" s="434"/>
      <c r="AG32" s="434"/>
      <c r="AH32" s="434"/>
    </row>
    <row r="33" spans="1:34" s="145" customFormat="1" x14ac:dyDescent="0.2">
      <c r="A33" s="1107" t="s">
        <v>148</v>
      </c>
      <c r="B33" s="1108"/>
      <c r="C33" s="84">
        <f>C32/'Restructuration cap'!D11</f>
        <v>0.242392444910808</v>
      </c>
      <c r="D33" s="84">
        <f>D32/'Restructuration cap'!E11</f>
        <v>0.14194464158977999</v>
      </c>
      <c r="E33" s="84">
        <f>E32/'Restructuration cap'!F11</f>
        <v>0.21800529567519858</v>
      </c>
      <c r="F33" s="84">
        <f>F32/'Restructuration cap'!G11</f>
        <v>0.26675786593707251</v>
      </c>
      <c r="G33" s="84">
        <f>G32/'Restructuration cap'!H11</f>
        <v>0.24088541666666669</v>
      </c>
      <c r="H33" s="84">
        <f>H32/'Restructuration cap'!I11</f>
        <v>0.21932424422050981</v>
      </c>
      <c r="I33" s="84">
        <f>I32/'Restructuration cap'!J11</f>
        <v>0.23578363384188625</v>
      </c>
      <c r="J33" s="84">
        <f>J32/'Restructuration cap'!K11</f>
        <v>0.23522279478629887</v>
      </c>
      <c r="K33" s="84">
        <f>K32/'Restructuration cap'!L11</f>
        <v>0.29491275497665276</v>
      </c>
      <c r="L33" s="84">
        <f>L32/'Restructuration cap'!M11</f>
        <v>0.34161490683229812</v>
      </c>
      <c r="M33" s="84">
        <f>M32/'Restructuration cap'!N11</f>
        <v>0.45066964285714289</v>
      </c>
      <c r="N33" s="84">
        <f>N32/'Restructuration cap'!O11</f>
        <v>0.49376979936642029</v>
      </c>
      <c r="O33" s="84">
        <f>O32/'Restructuration cap'!P11</f>
        <v>0.44113727232341182</v>
      </c>
      <c r="P33" s="84">
        <f>P32/'Restructuration cap'!Q11</f>
        <v>0.45083368961094483</v>
      </c>
      <c r="Q33" s="84">
        <f>Q32/'Restructuration cap'!R11</f>
        <v>0.44826114785577126</v>
      </c>
      <c r="R33" s="84">
        <f>R32/'Restructuration cap'!S11</f>
        <v>0.47483870967741942</v>
      </c>
      <c r="S33" s="84">
        <f>S32/'Restructuration cap'!T11</f>
        <v>0.42807570977917975</v>
      </c>
      <c r="T33" s="84">
        <f>T32/'Restructuration cap'!U11</f>
        <v>0.39883056839815068</v>
      </c>
      <c r="U33" s="84">
        <f>U32/'Restructuration cap'!V11</f>
        <v>0.38161493637769056</v>
      </c>
      <c r="V33" s="101">
        <f>V32/'Restructuration cap'!W11</f>
        <v>0.39351851851851855</v>
      </c>
      <c r="W33" s="84">
        <f>W32/'Restructuration cap'!X11</f>
        <v>0.42713881906763579</v>
      </c>
      <c r="X33" s="84">
        <f>X32/'Restructuration cap'!Y11</f>
        <v>0.42713881906763584</v>
      </c>
      <c r="Y33" s="84">
        <f>Y32/'Restructuration cap'!Z11</f>
        <v>0.42713881906763584</v>
      </c>
      <c r="Z33" s="84">
        <f>Z32/'Restructuration cap'!AA11</f>
        <v>0.42713881906763579</v>
      </c>
      <c r="AA33" s="101">
        <f>AA32/'Restructuration cap'!AB11</f>
        <v>0.42713881906763584</v>
      </c>
      <c r="AB33" s="230"/>
      <c r="AC33" s="230"/>
      <c r="AD33" s="230"/>
      <c r="AE33" s="230"/>
      <c r="AF33" s="230"/>
      <c r="AG33" s="434"/>
      <c r="AH33" s="434"/>
    </row>
    <row r="34" spans="1:34" ht="17" thickBot="1" x14ac:dyDescent="0.25">
      <c r="A34" s="993"/>
      <c r="B34" s="994"/>
      <c r="C34" s="446"/>
      <c r="D34" s="446"/>
      <c r="E34" s="446"/>
      <c r="F34" s="446"/>
      <c r="G34" s="446"/>
      <c r="H34" s="446"/>
      <c r="I34" s="446"/>
      <c r="J34" s="446"/>
      <c r="K34" s="446"/>
      <c r="L34" s="446"/>
      <c r="M34" s="446"/>
      <c r="N34" s="446"/>
      <c r="O34" s="446"/>
      <c r="P34" s="446"/>
      <c r="Q34" s="446"/>
      <c r="R34" s="446"/>
      <c r="S34" s="446"/>
      <c r="T34" s="446"/>
      <c r="U34" s="446"/>
      <c r="V34" s="491"/>
      <c r="W34" s="28"/>
      <c r="X34" s="28"/>
      <c r="Y34" s="4"/>
      <c r="Z34" s="4"/>
      <c r="AA34" s="97"/>
      <c r="AB34" s="434"/>
      <c r="AC34" s="434"/>
      <c r="AD34" s="434"/>
      <c r="AE34" s="434"/>
      <c r="AF34" s="434"/>
      <c r="AG34" s="230"/>
      <c r="AH34" s="434"/>
    </row>
    <row r="35" spans="1:34" ht="17" thickBot="1" x14ac:dyDescent="0.25">
      <c r="A35" s="1112" t="s">
        <v>119</v>
      </c>
      <c r="B35" s="1113"/>
      <c r="C35" s="495">
        <f>C24+C25+C26+C29+C28+C31+C32+C34</f>
        <v>44.8</v>
      </c>
      <c r="D35" s="495">
        <f>D24+D25+D26+D29+D28+D31+D32+D34</f>
        <v>41.2</v>
      </c>
      <c r="E35" s="495">
        <f>E24+E25+E26+E29+E28+E31+E32+E34</f>
        <v>54.5</v>
      </c>
      <c r="F35" s="495">
        <f t="shared" ref="F35:Z35" si="23">F24+F25+F26+F29+F28+F31+F32+F34</f>
        <v>85.4</v>
      </c>
      <c r="G35" s="495">
        <f t="shared" si="23"/>
        <v>71.3</v>
      </c>
      <c r="H35" s="495">
        <f t="shared" si="23"/>
        <v>74.599999999999994</v>
      </c>
      <c r="I35" s="495">
        <f t="shared" si="23"/>
        <v>107.4</v>
      </c>
      <c r="J35" s="495">
        <f t="shared" si="23"/>
        <v>79.399999999999991</v>
      </c>
      <c r="K35" s="495">
        <f t="shared" si="23"/>
        <v>133.30000000000001</v>
      </c>
      <c r="L35" s="495">
        <f t="shared" si="23"/>
        <v>162.9</v>
      </c>
      <c r="M35" s="495">
        <f t="shared" si="23"/>
        <v>382.4</v>
      </c>
      <c r="N35" s="495">
        <f t="shared" si="23"/>
        <v>345.5</v>
      </c>
      <c r="O35" s="495">
        <f t="shared" si="23"/>
        <v>261.60000000000002</v>
      </c>
      <c r="P35" s="495">
        <f t="shared" si="23"/>
        <v>298.3</v>
      </c>
      <c r="Q35" s="495">
        <f t="shared" si="23"/>
        <v>290.3</v>
      </c>
      <c r="R35" s="495">
        <f t="shared" si="23"/>
        <v>356.90000000000003</v>
      </c>
      <c r="S35" s="495">
        <f t="shared" si="23"/>
        <v>462.29999999999995</v>
      </c>
      <c r="T35" s="495">
        <f t="shared" si="23"/>
        <v>410.3</v>
      </c>
      <c r="U35" s="495">
        <f t="shared" si="23"/>
        <v>575.79999999999995</v>
      </c>
      <c r="V35" s="496">
        <f t="shared" si="23"/>
        <v>674.2</v>
      </c>
      <c r="W35" s="495">
        <f t="shared" si="23"/>
        <v>663.54984613646275</v>
      </c>
      <c r="X35" s="495">
        <f t="shared" si="23"/>
        <v>728.9690869140602</v>
      </c>
      <c r="Y35" s="495">
        <f t="shared" si="23"/>
        <v>826.80537108974522</v>
      </c>
      <c r="Z35" s="495">
        <f t="shared" si="23"/>
        <v>892.64440310806253</v>
      </c>
      <c r="AA35" s="496">
        <f t="shared" ref="AA35" si="24">AA24+AA25+AA26+AA29+AA28+AA31+AA32+AA34</f>
        <v>982.74147238757507</v>
      </c>
      <c r="AB35" s="434"/>
      <c r="AC35" s="434"/>
      <c r="AD35" s="434"/>
      <c r="AE35" s="434"/>
      <c r="AF35" s="434"/>
      <c r="AG35" s="434"/>
      <c r="AH35" s="434"/>
    </row>
    <row r="36" spans="1:34" ht="17" thickBot="1" x14ac:dyDescent="0.25">
      <c r="A36" s="1127"/>
      <c r="B36" s="1128"/>
      <c r="C36" s="628"/>
      <c r="D36" s="628"/>
      <c r="E36" s="628"/>
      <c r="F36" s="628"/>
      <c r="G36" s="628"/>
      <c r="H36" s="628"/>
      <c r="I36" s="628"/>
      <c r="J36" s="628"/>
      <c r="K36" s="628"/>
      <c r="L36" s="628"/>
      <c r="M36" s="624"/>
      <c r="N36" s="624"/>
      <c r="O36" s="624"/>
      <c r="P36" s="624"/>
      <c r="Q36" s="624"/>
      <c r="R36" s="624"/>
      <c r="S36" s="624"/>
      <c r="T36" s="624"/>
      <c r="U36" s="624"/>
      <c r="V36" s="435"/>
      <c r="W36" s="624"/>
      <c r="X36" s="434"/>
      <c r="Y36" s="434"/>
      <c r="Z36" s="434"/>
      <c r="AA36" s="435"/>
      <c r="AB36" s="434"/>
      <c r="AC36" s="434"/>
      <c r="AD36" s="434"/>
      <c r="AE36" s="434"/>
      <c r="AF36" s="434"/>
      <c r="AG36" s="434"/>
      <c r="AH36" s="434"/>
    </row>
    <row r="37" spans="1:34" ht="17" thickBot="1" x14ac:dyDescent="0.25">
      <c r="A37" s="982" t="s">
        <v>273</v>
      </c>
      <c r="B37" s="1124"/>
      <c r="C37" s="492">
        <f>C21-C35</f>
        <v>2.6000000000000014</v>
      </c>
      <c r="D37" s="492">
        <f>D21-D35</f>
        <v>91.600000000000009</v>
      </c>
      <c r="E37" s="492">
        <f t="shared" ref="E37:AA37" si="25">E21-E35</f>
        <v>14.899999999999991</v>
      </c>
      <c r="F37" s="492">
        <f t="shared" si="25"/>
        <v>22.799999999999997</v>
      </c>
      <c r="G37" s="492">
        <f t="shared" si="25"/>
        <v>43.300000000000011</v>
      </c>
      <c r="H37" s="492">
        <f t="shared" si="25"/>
        <v>53.199999999999989</v>
      </c>
      <c r="I37" s="492">
        <f t="shared" si="25"/>
        <v>155.29999999999998</v>
      </c>
      <c r="J37" s="492">
        <f t="shared" si="25"/>
        <v>215.10000000000002</v>
      </c>
      <c r="K37" s="492">
        <f t="shared" si="25"/>
        <v>232.7</v>
      </c>
      <c r="L37" s="492">
        <f t="shared" si="25"/>
        <v>284.60000000000002</v>
      </c>
      <c r="M37" s="492">
        <f t="shared" si="25"/>
        <v>108.40000000000003</v>
      </c>
      <c r="N37" s="492">
        <f t="shared" si="25"/>
        <v>109.00000000000006</v>
      </c>
      <c r="O37" s="492">
        <f t="shared" si="25"/>
        <v>119.09999999999997</v>
      </c>
      <c r="P37" s="492">
        <f t="shared" si="25"/>
        <v>74.39999999999992</v>
      </c>
      <c r="Q37" s="492">
        <f t="shared" si="25"/>
        <v>136.99999999999994</v>
      </c>
      <c r="R37" s="492">
        <f t="shared" si="25"/>
        <v>84</v>
      </c>
      <c r="S37" s="492">
        <f t="shared" si="25"/>
        <v>-32.099999999999966</v>
      </c>
      <c r="T37" s="492">
        <f t="shared" si="25"/>
        <v>20.299999999999955</v>
      </c>
      <c r="U37" s="492">
        <f t="shared" si="25"/>
        <v>1.7000000000000455</v>
      </c>
      <c r="V37" s="492">
        <f t="shared" si="25"/>
        <v>-132.80000000000007</v>
      </c>
      <c r="W37" s="494">
        <f t="shared" si="25"/>
        <v>-94.684549562446819</v>
      </c>
      <c r="X37" s="492">
        <f t="shared" si="25"/>
        <v>-125.75513169750059</v>
      </c>
      <c r="Y37" s="492">
        <f t="shared" si="25"/>
        <v>-193.66208318559313</v>
      </c>
      <c r="Z37" s="492">
        <f t="shared" si="25"/>
        <v>-204.97791070614562</v>
      </c>
      <c r="AA37" s="493">
        <f t="shared" si="25"/>
        <v>-261.02781765501311</v>
      </c>
      <c r="AB37" s="434"/>
      <c r="AC37" s="434"/>
      <c r="AD37" s="434"/>
      <c r="AE37" s="434"/>
      <c r="AF37" s="434"/>
      <c r="AG37" s="434"/>
      <c r="AH37" s="434"/>
    </row>
    <row r="38" spans="1:34" x14ac:dyDescent="0.2">
      <c r="A38" s="1129" t="s">
        <v>269</v>
      </c>
      <c r="B38" s="1130"/>
      <c r="C38" s="747">
        <f>0</f>
        <v>0</v>
      </c>
      <c r="D38" s="748">
        <f xml:space="preserve"> (D37-C37)/ABS(C37)</f>
        <v>34.230769230769212</v>
      </c>
      <c r="E38" s="748">
        <f t="shared" ref="E38:V38" si="26" xml:space="preserve"> (E37-D37)/ABS(D37)</f>
        <v>-0.83733624454148481</v>
      </c>
      <c r="F38" s="748">
        <f t="shared" si="26"/>
        <v>0.53020134228187987</v>
      </c>
      <c r="G38" s="748">
        <f t="shared" si="26"/>
        <v>0.89912280701754455</v>
      </c>
      <c r="H38" s="748">
        <f t="shared" si="26"/>
        <v>0.22863741339491858</v>
      </c>
      <c r="I38" s="748">
        <f t="shared" si="26"/>
        <v>1.9191729323308273</v>
      </c>
      <c r="J38" s="748">
        <f t="shared" si="26"/>
        <v>0.38506117192530614</v>
      </c>
      <c r="K38" s="748">
        <f t="shared" si="26"/>
        <v>8.1822408182240652E-2</v>
      </c>
      <c r="L38" s="748">
        <f t="shared" si="26"/>
        <v>0.22303394929093268</v>
      </c>
      <c r="M38" s="748">
        <f t="shared" si="26"/>
        <v>-0.61911454673225574</v>
      </c>
      <c r="N38" s="748">
        <f t="shared" si="26"/>
        <v>5.5350553505537133E-3</v>
      </c>
      <c r="O38" s="748">
        <f t="shared" si="26"/>
        <v>9.2660550458714713E-2</v>
      </c>
      <c r="P38" s="748">
        <f t="shared" si="26"/>
        <v>-0.37531486146095766</v>
      </c>
      <c r="Q38" s="748">
        <f t="shared" si="26"/>
        <v>0.84139784946236684</v>
      </c>
      <c r="R38" s="748">
        <f t="shared" si="26"/>
        <v>-0.38686131386861289</v>
      </c>
      <c r="S38" s="748">
        <f t="shared" si="26"/>
        <v>-1.3821428571428567</v>
      </c>
      <c r="T38" s="748">
        <f t="shared" si="26"/>
        <v>1.6323987538940803</v>
      </c>
      <c r="U38" s="748">
        <f t="shared" si="26"/>
        <v>-0.91625615763546553</v>
      </c>
      <c r="V38" s="749">
        <f t="shared" si="26"/>
        <v>-79.117647058821476</v>
      </c>
      <c r="W38" s="750">
        <f t="shared" ref="W38" si="27" xml:space="preserve"> (W37-V37)/ABS(V37)</f>
        <v>0.28701393401772013</v>
      </c>
      <c r="X38" s="748">
        <f t="shared" ref="X38" si="28" xml:space="preserve"> (X37-W37)/ABS(W37)</f>
        <v>-0.32814838617954184</v>
      </c>
      <c r="Y38" s="748">
        <f t="shared" ref="Y38" si="29" xml:space="preserve"> (Y37-X37)/ABS(X37)</f>
        <v>-0.53999348234504063</v>
      </c>
      <c r="Z38" s="748">
        <f t="shared" ref="Z38" si="30" xml:space="preserve"> (Z37-Y37)/ABS(Y37)</f>
        <v>-5.8430784872370377E-2</v>
      </c>
      <c r="AA38" s="749">
        <f t="shared" ref="AA38" si="31" xml:space="preserve"> (AA37-Z37)/ABS(Z37)</f>
        <v>-0.27344364451650649</v>
      </c>
      <c r="AB38" s="434"/>
      <c r="AC38" s="434"/>
      <c r="AD38" s="434"/>
      <c r="AE38" s="434"/>
      <c r="AF38" s="434"/>
      <c r="AG38" s="434"/>
      <c r="AH38" s="434"/>
    </row>
    <row r="39" spans="1:34" ht="17" thickBot="1" x14ac:dyDescent="0.25">
      <c r="A39" s="1122"/>
      <c r="B39" s="1123"/>
      <c r="C39" s="402"/>
      <c r="D39" s="402"/>
      <c r="E39" s="402"/>
      <c r="F39" s="402"/>
      <c r="G39" s="402"/>
      <c r="H39" s="402"/>
      <c r="I39" s="402"/>
      <c r="J39" s="402"/>
      <c r="K39" s="402"/>
      <c r="L39" s="402"/>
      <c r="M39" s="402"/>
      <c r="N39" s="402"/>
      <c r="O39" s="402"/>
      <c r="P39" s="402"/>
      <c r="Q39" s="402"/>
      <c r="R39" s="402"/>
      <c r="S39" s="402"/>
      <c r="T39" s="402"/>
      <c r="U39" s="402"/>
      <c r="V39" s="403"/>
      <c r="W39" s="368"/>
      <c r="X39" s="402"/>
      <c r="Y39" s="402"/>
      <c r="Z39" s="402"/>
      <c r="AA39" s="403"/>
      <c r="AG39" s="434"/>
      <c r="AH39" s="434"/>
    </row>
    <row r="40" spans="1:34" ht="17" thickBot="1" x14ac:dyDescent="0.25">
      <c r="A40" s="982" t="s">
        <v>153</v>
      </c>
      <c r="B40" s="1124"/>
      <c r="C40" s="492">
        <f>D37-C37</f>
        <v>89</v>
      </c>
      <c r="D40" s="492">
        <f t="shared" ref="D40:V40" si="32">E37-D37</f>
        <v>-76.700000000000017</v>
      </c>
      <c r="E40" s="492">
        <f t="shared" si="32"/>
        <v>7.9000000000000057</v>
      </c>
      <c r="F40" s="492">
        <f t="shared" si="32"/>
        <v>20.500000000000014</v>
      </c>
      <c r="G40" s="492">
        <f t="shared" si="32"/>
        <v>9.8999999999999773</v>
      </c>
      <c r="H40" s="492">
        <f t="shared" si="32"/>
        <v>102.1</v>
      </c>
      <c r="I40" s="492">
        <f t="shared" si="32"/>
        <v>59.80000000000004</v>
      </c>
      <c r="J40" s="492">
        <f t="shared" si="32"/>
        <v>17.599999999999966</v>
      </c>
      <c r="K40" s="492">
        <f t="shared" si="32"/>
        <v>51.900000000000034</v>
      </c>
      <c r="L40" s="492">
        <f t="shared" si="32"/>
        <v>-176.2</v>
      </c>
      <c r="M40" s="492">
        <f t="shared" si="32"/>
        <v>0.60000000000002274</v>
      </c>
      <c r="N40" s="492">
        <f>O37-N37</f>
        <v>10.099999999999909</v>
      </c>
      <c r="O40" s="492">
        <f t="shared" si="32"/>
        <v>-44.700000000000045</v>
      </c>
      <c r="P40" s="492">
        <f t="shared" si="32"/>
        <v>62.600000000000023</v>
      </c>
      <c r="Q40" s="492">
        <f t="shared" si="32"/>
        <v>-52.999999999999943</v>
      </c>
      <c r="R40" s="492">
        <f t="shared" si="32"/>
        <v>-116.09999999999997</v>
      </c>
      <c r="S40" s="492">
        <f>T37-S37</f>
        <v>52.39999999999992</v>
      </c>
      <c r="T40" s="492">
        <f t="shared" si="32"/>
        <v>-18.599999999999909</v>
      </c>
      <c r="U40" s="492">
        <f>V37-U37</f>
        <v>-134.50000000000011</v>
      </c>
      <c r="V40" s="493">
        <f t="shared" si="32"/>
        <v>38.11545043755325</v>
      </c>
      <c r="W40" s="492">
        <f>X37-W37</f>
        <v>-31.070582135053769</v>
      </c>
      <c r="X40" s="492">
        <f t="shared" ref="X40" si="33">Y37-X37</f>
        <v>-67.906951488092545</v>
      </c>
      <c r="Y40" s="492">
        <f t="shared" ref="Y40" si="34">Z37-Y37</f>
        <v>-11.315827520552489</v>
      </c>
      <c r="Z40" s="492">
        <f t="shared" ref="Z40" si="35">AA37-Z37</f>
        <v>-56.049906948867488</v>
      </c>
      <c r="AA40" s="493">
        <f>AVERAGE(W40:Z40)</f>
        <v>-41.585817023141573</v>
      </c>
    </row>
    <row r="41" spans="1:34" ht="17" thickBot="1" x14ac:dyDescent="0.25">
      <c r="A41" s="1125" t="s">
        <v>98</v>
      </c>
      <c r="B41" s="1126"/>
      <c r="C41" s="91">
        <f>C40/'Restructuration cap'!D11</f>
        <v>0.93389296956977963</v>
      </c>
      <c r="D41" s="91">
        <f>D40/'Restructuration cap'!E11</f>
        <v>-0.54435770049680632</v>
      </c>
      <c r="E41" s="91">
        <f>E40/'Restructuration cap'!F11</f>
        <v>6.9726390114739675E-2</v>
      </c>
      <c r="F41" s="91">
        <f>F40/'Restructuration cap'!G11</f>
        <v>0.14021887824897411</v>
      </c>
      <c r="G41" s="91">
        <f>G40/'Restructuration cap'!H11</f>
        <v>6.4453124999999861E-2</v>
      </c>
      <c r="H41" s="91">
        <f>H40/'Restructuration cap'!I11</f>
        <v>0.60521636040308235</v>
      </c>
      <c r="I41" s="91">
        <f>I40/'Restructuration cap'!J11</f>
        <v>0.27646786870087858</v>
      </c>
      <c r="J41" s="91">
        <f>J40/'Restructuration cap'!K11</f>
        <v>5.3349499848438821E-2</v>
      </c>
      <c r="K41" s="91">
        <f>K40/'Restructuration cap'!L11</f>
        <v>0.12754976652740241</v>
      </c>
      <c r="L41" s="91">
        <f>L40/'Restructuration cap'!M11</f>
        <v>-0.47583040777747765</v>
      </c>
      <c r="M41" s="91">
        <f>M40/'Restructuration cap'!N11</f>
        <v>1.339285714285765E-3</v>
      </c>
      <c r="N41" s="91">
        <f>N40/'Restructuration cap'!O11</f>
        <v>2.1330517423442257E-2</v>
      </c>
      <c r="O41" s="91">
        <f>O40/'Restructuration cap'!P11</f>
        <v>-9.9289204797867722E-2</v>
      </c>
      <c r="P41" s="91">
        <f>P40/'Restructuration cap'!Q11</f>
        <v>0.13381787088499364</v>
      </c>
      <c r="Q41" s="91">
        <f>Q40/'Restructuration cap'!R11</f>
        <v>-0.11307872839769563</v>
      </c>
      <c r="R41" s="91">
        <f>R40/'Restructuration cap'!S11</f>
        <v>-0.21400921658986169</v>
      </c>
      <c r="S41" s="91">
        <f>S40/'Restructuration cap'!T11</f>
        <v>8.2649842271293253E-2</v>
      </c>
      <c r="T41" s="91">
        <f>T40/'Restructuration cap'!U11</f>
        <v>-2.529235790046221E-2</v>
      </c>
      <c r="U41" s="91">
        <f>U40/'Restructuration cap'!V11</f>
        <v>-0.15994767511000132</v>
      </c>
      <c r="V41" s="92">
        <f>V40/'Restructuration cap'!W11</f>
        <v>3.921342637608359E-2</v>
      </c>
      <c r="W41" s="285">
        <f>W40/'Restructuration cap'!X11</f>
        <v>-3.2878922894236794E-2</v>
      </c>
      <c r="X41" s="285">
        <f>X40/'Restructuration cap'!Y11</f>
        <v>-6.5891714801953022E-2</v>
      </c>
      <c r="Y41" s="285">
        <f>Y40/'Restructuration cap'!Z11</f>
        <v>-1.0106025144481468E-2</v>
      </c>
      <c r="Z41" s="285">
        <f>Z40/'Restructuration cap'!AA11</f>
        <v>-4.6222938433828076E-2</v>
      </c>
      <c r="AA41" s="286">
        <f>AA40/'Restructuration cap'!AB11</f>
        <v>-3.1767496141703183E-2</v>
      </c>
    </row>
    <row r="43" spans="1:34" x14ac:dyDescent="0.2">
      <c r="T43" s="49"/>
      <c r="U43" s="49"/>
    </row>
    <row r="44" spans="1:34" x14ac:dyDescent="0.2"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</row>
  </sheetData>
  <mergeCells count="53">
    <mergeCell ref="A2:B2"/>
    <mergeCell ref="A4:B4"/>
    <mergeCell ref="A5:B5"/>
    <mergeCell ref="A6:B6"/>
    <mergeCell ref="A7:B7"/>
    <mergeCell ref="A39:B39"/>
    <mergeCell ref="A40:B40"/>
    <mergeCell ref="A23:B23"/>
    <mergeCell ref="A41:B41"/>
    <mergeCell ref="A32:B32"/>
    <mergeCell ref="A34:B34"/>
    <mergeCell ref="A35:B35"/>
    <mergeCell ref="A36:B36"/>
    <mergeCell ref="A37:B37"/>
    <mergeCell ref="A38:B38"/>
    <mergeCell ref="A24:B24"/>
    <mergeCell ref="A25:B25"/>
    <mergeCell ref="A26:B26"/>
    <mergeCell ref="A28:B28"/>
    <mergeCell ref="A29:B29"/>
    <mergeCell ref="A30:B30"/>
    <mergeCell ref="A9:B9"/>
    <mergeCell ref="AE7:AF7"/>
    <mergeCell ref="A13:B13"/>
    <mergeCell ref="AB8:AD8"/>
    <mergeCell ref="AE8:AF8"/>
    <mergeCell ref="AB9:AD9"/>
    <mergeCell ref="AE9:AF9"/>
    <mergeCell ref="A12:B12"/>
    <mergeCell ref="A10:B10"/>
    <mergeCell ref="AB10:AD10"/>
    <mergeCell ref="AE10:AF10"/>
    <mergeCell ref="AB11:AD11"/>
    <mergeCell ref="AE11:AF11"/>
    <mergeCell ref="A11:B11"/>
    <mergeCell ref="AB7:AD7"/>
    <mergeCell ref="A8:B8"/>
    <mergeCell ref="A33:B33"/>
    <mergeCell ref="AB12:AD12"/>
    <mergeCell ref="AE12:AF12"/>
    <mergeCell ref="A27:B27"/>
    <mergeCell ref="A20:B20"/>
    <mergeCell ref="A21:B21"/>
    <mergeCell ref="A22:B22"/>
    <mergeCell ref="A18:B18"/>
    <mergeCell ref="A19:B19"/>
    <mergeCell ref="A31:B31"/>
    <mergeCell ref="A17:B17"/>
    <mergeCell ref="A14:B14"/>
    <mergeCell ref="A15:B15"/>
    <mergeCell ref="A16:B16"/>
    <mergeCell ref="AB13:AD13"/>
    <mergeCell ref="AE13:AF13"/>
  </mergeCells>
  <pageMargins left="0.7" right="0.7" top="0.75" bottom="0.75" header="0.3" footer="0.3"/>
  <ignoredErrors>
    <ignoredError sqref="L30:N30 P30:S3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26E07-E6C6-924B-868E-F9DFD80D12A0}">
  <dimension ref="A1:AL2138"/>
  <sheetViews>
    <sheetView topLeftCell="L1" zoomScale="89" zoomScaleNormal="68" workbookViewId="0">
      <selection activeCell="T31" sqref="T31:U32"/>
    </sheetView>
  </sheetViews>
  <sheetFormatPr baseColWidth="10" defaultRowHeight="16" x14ac:dyDescent="0.2"/>
  <cols>
    <col min="1" max="1" width="57.5" style="442" customWidth="1"/>
    <col min="2" max="2" width="56.6640625" style="534" customWidth="1"/>
    <col min="3" max="3" width="10.83203125" style="443"/>
    <col min="4" max="4" width="24.83203125" style="388" customWidth="1"/>
    <col min="5" max="5" width="10.83203125" style="388"/>
    <col min="6" max="6" width="10.83203125" style="327"/>
    <col min="7" max="7" width="10.83203125" style="435" customWidth="1"/>
    <col min="8" max="9" width="10.83203125" style="388"/>
    <col min="10" max="10" width="20.33203125" style="388" customWidth="1"/>
    <col min="11" max="15" width="10.83203125" style="388"/>
    <col min="16" max="16" width="18.83203125" style="388" customWidth="1"/>
    <col min="17" max="18" width="10.83203125" style="388"/>
    <col min="19" max="19" width="12.6640625" style="388" customWidth="1"/>
    <col min="20" max="21" width="10.83203125" style="388"/>
    <col min="22" max="22" width="22.33203125" style="388" customWidth="1"/>
    <col min="23" max="23" width="40" style="388" customWidth="1"/>
    <col min="24" max="24" width="45.33203125" style="388" customWidth="1"/>
    <col min="25" max="26" width="10.83203125" style="388"/>
    <col min="27" max="27" width="55" style="388" customWidth="1"/>
    <col min="28" max="32" width="10.83203125" style="388"/>
    <col min="33" max="33" width="10.83203125" style="387"/>
    <col min="35" max="35" width="9.33203125" customWidth="1"/>
    <col min="36" max="36" width="10.83203125" hidden="1" customWidth="1"/>
    <col min="37" max="37" width="20.5" customWidth="1"/>
    <col min="38" max="38" width="32.5" customWidth="1"/>
  </cols>
  <sheetData>
    <row r="1" spans="1:38" ht="16" customHeight="1" x14ac:dyDescent="0.2">
      <c r="A1" s="716" t="s">
        <v>0</v>
      </c>
      <c r="B1" s="718" t="s">
        <v>386</v>
      </c>
      <c r="C1" s="1159" t="s">
        <v>300</v>
      </c>
      <c r="D1" s="1160"/>
      <c r="E1" s="1160"/>
      <c r="F1" s="1160"/>
      <c r="G1" s="1160"/>
      <c r="H1" s="1160"/>
      <c r="I1" s="1160"/>
      <c r="J1" s="1160"/>
      <c r="K1" s="1160"/>
      <c r="L1" s="1160"/>
      <c r="M1" s="1160"/>
      <c r="N1" s="1160"/>
      <c r="O1" s="1160"/>
      <c r="P1" s="1160"/>
      <c r="Q1" s="1160"/>
      <c r="R1" s="1160"/>
      <c r="S1" s="1160"/>
      <c r="T1" s="1160"/>
      <c r="U1" s="1160"/>
      <c r="V1" s="1160"/>
      <c r="W1" s="1160"/>
      <c r="X1" s="1160"/>
      <c r="Y1" s="1160"/>
      <c r="Z1" s="1160"/>
      <c r="AA1" s="1160"/>
      <c r="AB1" s="1160"/>
      <c r="AC1" s="1160"/>
      <c r="AD1" s="1160"/>
      <c r="AE1" s="1160"/>
      <c r="AF1" s="1160"/>
      <c r="AG1" s="1161"/>
    </row>
    <row r="2" spans="1:38" ht="16" customHeight="1" thickBot="1" x14ac:dyDescent="0.25">
      <c r="A2" s="717">
        <v>40503</v>
      </c>
      <c r="B2" s="533">
        <v>3.0899480000000001</v>
      </c>
      <c r="C2" s="1162"/>
      <c r="D2" s="1163"/>
      <c r="E2" s="1163"/>
      <c r="F2" s="1163"/>
      <c r="G2" s="1163"/>
      <c r="H2" s="1163"/>
      <c r="I2" s="1163"/>
      <c r="J2" s="1163"/>
      <c r="K2" s="1163"/>
      <c r="L2" s="1163"/>
      <c r="M2" s="1163"/>
      <c r="N2" s="1163"/>
      <c r="O2" s="1163"/>
      <c r="P2" s="1163"/>
      <c r="Q2" s="1163"/>
      <c r="R2" s="1163"/>
      <c r="S2" s="1163"/>
      <c r="T2" s="1163"/>
      <c r="U2" s="1163"/>
      <c r="V2" s="1163"/>
      <c r="W2" s="1163"/>
      <c r="X2" s="1163"/>
      <c r="Y2" s="1163"/>
      <c r="Z2" s="1163"/>
      <c r="AA2" s="1163"/>
      <c r="AB2" s="1163"/>
      <c r="AC2" s="1163"/>
      <c r="AD2" s="1163"/>
      <c r="AE2" s="1163"/>
      <c r="AF2" s="1163"/>
      <c r="AG2" s="1164"/>
    </row>
    <row r="3" spans="1:38" ht="17" thickBot="1" x14ac:dyDescent="0.25">
      <c r="A3" s="717">
        <v>40510</v>
      </c>
      <c r="B3" s="533">
        <v>3.1157810000000001</v>
      </c>
      <c r="F3" s="443"/>
      <c r="G3" s="443"/>
      <c r="AK3" s="694" t="s">
        <v>0</v>
      </c>
      <c r="AL3" s="705" t="s">
        <v>387</v>
      </c>
    </row>
    <row r="4" spans="1:38" ht="17" thickBot="1" x14ac:dyDescent="0.25">
      <c r="A4" s="717">
        <v>40517</v>
      </c>
      <c r="B4" s="533">
        <v>3.2202109999999999</v>
      </c>
      <c r="D4" s="1074" t="s">
        <v>140</v>
      </c>
      <c r="E4" s="1075"/>
      <c r="F4" s="1075"/>
      <c r="G4" s="1096"/>
      <c r="H4" s="301">
        <f>AVERAGE(E7:E18)%</f>
        <v>8.298840306739684E-3</v>
      </c>
      <c r="J4" s="1074" t="s">
        <v>141</v>
      </c>
      <c r="K4" s="1075"/>
      <c r="L4" s="1075"/>
      <c r="M4" s="1096"/>
      <c r="N4" s="301">
        <f>AVERAGE(K7:K18)%</f>
        <v>7.8365680386221787E-3</v>
      </c>
      <c r="P4" s="1074" t="s">
        <v>217</v>
      </c>
      <c r="Q4" s="1075"/>
      <c r="R4" s="1075"/>
      <c r="S4" s="1096"/>
      <c r="T4" s="301">
        <f>AVERAGE(Q7:Q18)%</f>
        <v>7.4303251698633454E-3</v>
      </c>
      <c r="V4" s="1074" t="s">
        <v>382</v>
      </c>
      <c r="W4" s="1075"/>
      <c r="X4" s="1075"/>
      <c r="Y4" s="1096"/>
      <c r="Z4" s="301">
        <f>T4</f>
        <v>7.4303251698633454E-3</v>
      </c>
      <c r="AA4" s="388" t="s">
        <v>385</v>
      </c>
      <c r="AB4" s="510"/>
      <c r="AC4" s="510"/>
      <c r="AD4" s="510"/>
      <c r="AE4" s="510"/>
      <c r="AF4" s="704"/>
      <c r="AK4" s="708">
        <v>44165</v>
      </c>
      <c r="AL4" s="709">
        <v>0.861298196160448</v>
      </c>
    </row>
    <row r="5" spans="1:38" ht="17" thickBot="1" x14ac:dyDescent="0.25">
      <c r="A5" s="717">
        <v>40524</v>
      </c>
      <c r="B5" s="533">
        <v>3.3583370000000001</v>
      </c>
      <c r="F5" s="443"/>
      <c r="G5" s="443"/>
      <c r="AK5" s="710">
        <v>44196</v>
      </c>
      <c r="AL5" s="711">
        <v>0.85721904632037038</v>
      </c>
    </row>
    <row r="6" spans="1:38" ht="17" customHeight="1" thickBot="1" x14ac:dyDescent="0.25">
      <c r="A6" s="717">
        <v>40531</v>
      </c>
      <c r="B6" s="533">
        <v>3.4775299999999998</v>
      </c>
      <c r="D6" s="1074" t="s">
        <v>131</v>
      </c>
      <c r="E6" s="1075"/>
      <c r="F6" s="1075"/>
      <c r="G6" s="1075"/>
      <c r="H6" s="1096"/>
      <c r="J6" s="1074" t="s">
        <v>131</v>
      </c>
      <c r="K6" s="1150"/>
      <c r="L6" s="1075"/>
      <c r="M6" s="1075"/>
      <c r="N6" s="1096"/>
      <c r="P6" s="1074" t="s">
        <v>131</v>
      </c>
      <c r="Q6" s="1150"/>
      <c r="R6" s="1075"/>
      <c r="S6" s="1075"/>
      <c r="T6" s="1096"/>
      <c r="V6" s="510"/>
      <c r="W6" s="510"/>
      <c r="X6" s="510"/>
      <c r="Y6" s="510"/>
      <c r="Z6" s="510"/>
      <c r="AA6" s="444"/>
      <c r="AB6" s="510"/>
      <c r="AC6" s="510"/>
      <c r="AD6" s="510"/>
      <c r="AE6" s="510"/>
      <c r="AF6" s="510"/>
      <c r="AK6" s="710">
        <v>44227</v>
      </c>
      <c r="AL6" s="711">
        <v>0.85267934433622394</v>
      </c>
    </row>
    <row r="7" spans="1:38" ht="16" customHeight="1" x14ac:dyDescent="0.2">
      <c r="A7" s="717">
        <v>40538</v>
      </c>
      <c r="B7" s="533">
        <v>3.4358029999999999</v>
      </c>
      <c r="D7" s="538">
        <v>44227</v>
      </c>
      <c r="E7" s="665">
        <f>AL6</f>
        <v>0.85267934433622394</v>
      </c>
      <c r="F7" s="1139" t="s">
        <v>137</v>
      </c>
      <c r="G7" s="1140"/>
      <c r="H7" s="1141"/>
      <c r="J7" s="702">
        <v>44592</v>
      </c>
      <c r="K7" s="715">
        <f>AL18</f>
        <v>0.80374675201815238</v>
      </c>
      <c r="L7" s="1145" t="s">
        <v>138</v>
      </c>
      <c r="M7" s="1145"/>
      <c r="N7" s="1146"/>
      <c r="P7" s="702">
        <v>44957</v>
      </c>
      <c r="Q7" s="715">
        <f>AL30</f>
        <v>0.76076852756139568</v>
      </c>
      <c r="R7" s="1145" t="s">
        <v>139</v>
      </c>
      <c r="S7" s="1145"/>
      <c r="T7" s="1146"/>
      <c r="V7" s="517"/>
      <c r="W7" s="518"/>
      <c r="X7" s="519"/>
      <c r="Y7" s="519"/>
      <c r="Z7" s="519"/>
      <c r="AA7" s="444"/>
      <c r="AB7" s="517"/>
      <c r="AC7" s="518"/>
      <c r="AD7" s="519"/>
      <c r="AE7" s="519"/>
      <c r="AF7" s="519"/>
      <c r="AK7" s="710">
        <v>44255</v>
      </c>
      <c r="AL7" s="711">
        <v>0.84818846348846622</v>
      </c>
    </row>
    <row r="8" spans="1:38" x14ac:dyDescent="0.2">
      <c r="A8" s="717">
        <v>40545</v>
      </c>
      <c r="B8" s="533">
        <v>3.4220519999999999</v>
      </c>
      <c r="D8" s="516">
        <v>44255</v>
      </c>
      <c r="E8" s="665">
        <f t="shared" ref="E8:E18" si="0">AL7</f>
        <v>0.84818846348846622</v>
      </c>
      <c r="F8" s="1139"/>
      <c r="G8" s="1140"/>
      <c r="H8" s="1141"/>
      <c r="J8" s="714">
        <v>44620</v>
      </c>
      <c r="K8" s="372">
        <f t="shared" ref="K8:K18" si="1">AL19</f>
        <v>0.79980234449874543</v>
      </c>
      <c r="L8" s="1140"/>
      <c r="M8" s="1140"/>
      <c r="N8" s="1141"/>
      <c r="P8" s="714">
        <v>44985</v>
      </c>
      <c r="Q8" s="372">
        <f t="shared" ref="Q8:Q18" si="2">AL31</f>
        <v>0.75730409570346235</v>
      </c>
      <c r="R8" s="1140"/>
      <c r="S8" s="1140"/>
      <c r="T8" s="1141"/>
      <c r="V8" s="517"/>
      <c r="W8" s="518"/>
      <c r="X8" s="519"/>
      <c r="Y8" s="519"/>
      <c r="Z8" s="519"/>
      <c r="AA8" s="444"/>
      <c r="AB8" s="517"/>
      <c r="AC8" s="518"/>
      <c r="AD8" s="519"/>
      <c r="AE8" s="519"/>
      <c r="AF8" s="519"/>
      <c r="AK8" s="710">
        <v>44286</v>
      </c>
      <c r="AL8" s="711">
        <v>0.8442395081683004</v>
      </c>
    </row>
    <row r="9" spans="1:38" x14ac:dyDescent="0.2">
      <c r="A9" s="717">
        <v>40552</v>
      </c>
      <c r="B9" s="533">
        <v>3.41621</v>
      </c>
      <c r="D9" s="516">
        <v>44286</v>
      </c>
      <c r="E9" s="665">
        <f t="shared" si="0"/>
        <v>0.8442395081683004</v>
      </c>
      <c r="F9" s="1139"/>
      <c r="G9" s="1140"/>
      <c r="H9" s="1141"/>
      <c r="J9" s="714">
        <v>44651</v>
      </c>
      <c r="K9" s="372">
        <f t="shared" si="1"/>
        <v>0.79633391823968724</v>
      </c>
      <c r="L9" s="1140"/>
      <c r="M9" s="1140"/>
      <c r="N9" s="1141"/>
      <c r="P9" s="714">
        <v>45016</v>
      </c>
      <c r="Q9" s="372">
        <f t="shared" si="2"/>
        <v>0.75425772527402446</v>
      </c>
      <c r="R9" s="1140"/>
      <c r="S9" s="1140"/>
      <c r="T9" s="1141"/>
      <c r="V9" s="517"/>
      <c r="W9" s="518"/>
      <c r="X9" s="519"/>
      <c r="Y9" s="519"/>
      <c r="Z9" s="519"/>
      <c r="AA9" s="444"/>
      <c r="AB9" s="517"/>
      <c r="AC9" s="518"/>
      <c r="AD9" s="519"/>
      <c r="AE9" s="519"/>
      <c r="AF9" s="519"/>
      <c r="AK9" s="710">
        <v>44316</v>
      </c>
      <c r="AL9" s="711">
        <v>0.84032977045500157</v>
      </c>
    </row>
    <row r="10" spans="1:38" x14ac:dyDescent="0.2">
      <c r="A10" s="717">
        <v>40559</v>
      </c>
      <c r="B10" s="533">
        <v>3.4513310000000001</v>
      </c>
      <c r="D10" s="516">
        <v>44316</v>
      </c>
      <c r="E10" s="665">
        <f t="shared" si="0"/>
        <v>0.84032977045500157</v>
      </c>
      <c r="F10" s="1139"/>
      <c r="G10" s="1140"/>
      <c r="H10" s="1141"/>
      <c r="J10" s="714">
        <v>44681</v>
      </c>
      <c r="K10" s="372">
        <f t="shared" si="1"/>
        <v>0.79289993738870435</v>
      </c>
      <c r="L10" s="1140"/>
      <c r="M10" s="1140"/>
      <c r="N10" s="1141"/>
      <c r="P10" s="714">
        <v>45046</v>
      </c>
      <c r="Q10" s="372">
        <f t="shared" si="2"/>
        <v>0.75086740757912396</v>
      </c>
      <c r="R10" s="1140"/>
      <c r="S10" s="1140"/>
      <c r="T10" s="1141"/>
      <c r="V10" s="517"/>
      <c r="W10" s="518"/>
      <c r="X10" s="519"/>
      <c r="Y10" s="519"/>
      <c r="Z10" s="519"/>
      <c r="AA10" s="444"/>
      <c r="AB10" s="517"/>
      <c r="AC10" s="518"/>
      <c r="AD10" s="519"/>
      <c r="AE10" s="519"/>
      <c r="AF10" s="519"/>
      <c r="AK10" s="710">
        <v>44347</v>
      </c>
      <c r="AL10" s="711">
        <v>0.83597860789652623</v>
      </c>
    </row>
    <row r="11" spans="1:38" x14ac:dyDescent="0.2">
      <c r="A11" s="717">
        <v>40566</v>
      </c>
      <c r="B11" s="533">
        <v>3.5306639999999998</v>
      </c>
      <c r="D11" s="516">
        <v>44347</v>
      </c>
      <c r="E11" s="665">
        <f t="shared" si="0"/>
        <v>0.83597860789652623</v>
      </c>
      <c r="F11" s="1139"/>
      <c r="G11" s="1140"/>
      <c r="H11" s="1141"/>
      <c r="J11" s="714">
        <v>44712</v>
      </c>
      <c r="K11" s="372">
        <f t="shared" si="1"/>
        <v>0.78907824652322911</v>
      </c>
      <c r="L11" s="1140"/>
      <c r="M11" s="1140"/>
      <c r="N11" s="1141"/>
      <c r="P11" s="714">
        <v>45077</v>
      </c>
      <c r="Q11" s="372">
        <f t="shared" si="2"/>
        <v>0.74751355024289057</v>
      </c>
      <c r="R11" s="1140"/>
      <c r="S11" s="1140"/>
      <c r="T11" s="1141"/>
      <c r="V11" s="517"/>
      <c r="W11" s="518"/>
      <c r="X11" s="519"/>
      <c r="Y11" s="519"/>
      <c r="Z11" s="519"/>
      <c r="AA11" s="444"/>
      <c r="AB11" s="517"/>
      <c r="AC11" s="518"/>
      <c r="AD11" s="519"/>
      <c r="AE11" s="519"/>
      <c r="AF11" s="519"/>
      <c r="AK11" s="710">
        <v>44377</v>
      </c>
      <c r="AL11" s="711">
        <v>0.83167423887239689</v>
      </c>
    </row>
    <row r="12" spans="1:38" x14ac:dyDescent="0.2">
      <c r="A12" s="717">
        <v>40573</v>
      </c>
      <c r="B12" s="533">
        <v>3.5165190000000002</v>
      </c>
      <c r="D12" s="516">
        <v>44377</v>
      </c>
      <c r="E12" s="665">
        <f t="shared" si="0"/>
        <v>0.83167423887239689</v>
      </c>
      <c r="F12" s="1139"/>
      <c r="G12" s="1140"/>
      <c r="H12" s="1141"/>
      <c r="J12" s="714">
        <v>44742</v>
      </c>
      <c r="K12" s="372">
        <f t="shared" si="1"/>
        <v>0.78529765511574257</v>
      </c>
      <c r="L12" s="1140"/>
      <c r="M12" s="1140"/>
      <c r="N12" s="1141"/>
      <c r="P12" s="714">
        <v>45107</v>
      </c>
      <c r="Q12" s="372">
        <f t="shared" si="2"/>
        <v>0.74456441103836046</v>
      </c>
      <c r="R12" s="1140"/>
      <c r="S12" s="1140"/>
      <c r="T12" s="1141"/>
      <c r="V12" s="517"/>
      <c r="W12" s="518"/>
      <c r="X12" s="519"/>
      <c r="Y12" s="519"/>
      <c r="Z12" s="519"/>
      <c r="AA12" s="444"/>
      <c r="AB12" s="517"/>
      <c r="AC12" s="518"/>
      <c r="AD12" s="519"/>
      <c r="AE12" s="519"/>
      <c r="AF12" s="519"/>
      <c r="AK12" s="710">
        <v>44408</v>
      </c>
      <c r="AL12" s="711">
        <v>0.82788928853992949</v>
      </c>
    </row>
    <row r="13" spans="1:38" x14ac:dyDescent="0.2">
      <c r="A13" s="717">
        <v>40580</v>
      </c>
      <c r="B13" s="533">
        <v>3.588489</v>
      </c>
      <c r="D13" s="516">
        <v>44408</v>
      </c>
      <c r="E13" s="665">
        <f t="shared" si="0"/>
        <v>0.82788928853992949</v>
      </c>
      <c r="F13" s="1139"/>
      <c r="G13" s="1140"/>
      <c r="H13" s="1141"/>
      <c r="J13" s="714">
        <v>44773</v>
      </c>
      <c r="K13" s="372">
        <f t="shared" si="1"/>
        <v>0.78156083052546832</v>
      </c>
      <c r="L13" s="1140"/>
      <c r="M13" s="1140"/>
      <c r="N13" s="1141"/>
      <c r="P13" s="714">
        <v>45138</v>
      </c>
      <c r="Q13" s="372">
        <f t="shared" si="2"/>
        <v>0.74128230235806836</v>
      </c>
      <c r="R13" s="1140"/>
      <c r="S13" s="1140"/>
      <c r="T13" s="1141"/>
      <c r="V13" s="517"/>
      <c r="W13" s="518"/>
      <c r="X13" s="519"/>
      <c r="Y13" s="519"/>
      <c r="Z13" s="519"/>
      <c r="AA13" s="444"/>
      <c r="AB13" s="517"/>
      <c r="AC13" s="518"/>
      <c r="AD13" s="519"/>
      <c r="AE13" s="519"/>
      <c r="AF13" s="519"/>
      <c r="AK13" s="710">
        <v>44439</v>
      </c>
      <c r="AL13" s="711">
        <v>0.82367700235093433</v>
      </c>
    </row>
    <row r="14" spans="1:38" x14ac:dyDescent="0.2">
      <c r="A14" s="717">
        <v>40587</v>
      </c>
      <c r="B14" s="533">
        <v>3.674013</v>
      </c>
      <c r="D14" s="516">
        <v>44439</v>
      </c>
      <c r="E14" s="665">
        <f t="shared" si="0"/>
        <v>0.82367700235093433</v>
      </c>
      <c r="F14" s="1139"/>
      <c r="G14" s="1140"/>
      <c r="H14" s="1141"/>
      <c r="J14" s="714">
        <v>44804</v>
      </c>
      <c r="K14" s="372">
        <f t="shared" si="1"/>
        <v>0.77786419271917651</v>
      </c>
      <c r="L14" s="1140"/>
      <c r="M14" s="1140"/>
      <c r="N14" s="1141"/>
      <c r="P14" s="714">
        <v>45169</v>
      </c>
      <c r="Q14" s="372">
        <f t="shared" si="2"/>
        <v>0.73803549032854376</v>
      </c>
      <c r="R14" s="1140"/>
      <c r="S14" s="1140"/>
      <c r="T14" s="1141"/>
      <c r="V14" s="517"/>
      <c r="W14" s="518"/>
      <c r="X14" s="519"/>
      <c r="Y14" s="519"/>
      <c r="Z14" s="519"/>
      <c r="AA14" s="444"/>
      <c r="AB14" s="517"/>
      <c r="AC14" s="518"/>
      <c r="AD14" s="519"/>
      <c r="AE14" s="519"/>
      <c r="AF14" s="519"/>
      <c r="AK14" s="710">
        <v>44469</v>
      </c>
      <c r="AL14" s="711">
        <v>0.81951001618367192</v>
      </c>
    </row>
    <row r="15" spans="1:38" x14ac:dyDescent="0.2">
      <c r="A15" s="717">
        <v>40594</v>
      </c>
      <c r="B15" s="533">
        <v>3.6263480000000001</v>
      </c>
      <c r="D15" s="516">
        <v>44469</v>
      </c>
      <c r="E15" s="665">
        <f t="shared" si="0"/>
        <v>0.81951001618367192</v>
      </c>
      <c r="F15" s="1139"/>
      <c r="G15" s="1140"/>
      <c r="H15" s="1141"/>
      <c r="J15" s="714">
        <v>44834</v>
      </c>
      <c r="K15" s="372">
        <f t="shared" si="1"/>
        <v>0.77461363719861076</v>
      </c>
      <c r="L15" s="1140"/>
      <c r="M15" s="1140"/>
      <c r="N15" s="1141"/>
      <c r="P15" s="714">
        <v>45199</v>
      </c>
      <c r="Q15" s="372">
        <f t="shared" si="2"/>
        <v>0.73518047901289707</v>
      </c>
      <c r="R15" s="1140"/>
      <c r="S15" s="1140"/>
      <c r="T15" s="1141"/>
      <c r="V15" s="517"/>
      <c r="W15" s="518"/>
      <c r="X15" s="519"/>
      <c r="Y15" s="519"/>
      <c r="Z15" s="519"/>
      <c r="AA15" s="444"/>
      <c r="AB15" s="517"/>
      <c r="AC15" s="518"/>
      <c r="AD15" s="519"/>
      <c r="AE15" s="519"/>
      <c r="AF15" s="519"/>
      <c r="AK15" s="710">
        <v>44500</v>
      </c>
      <c r="AL15" s="711">
        <v>0.81539127001440193</v>
      </c>
    </row>
    <row r="16" spans="1:38" x14ac:dyDescent="0.2">
      <c r="A16" s="717">
        <v>40601</v>
      </c>
      <c r="B16" s="533">
        <v>3.5303140000000002</v>
      </c>
      <c r="D16" s="516">
        <v>44500</v>
      </c>
      <c r="E16" s="665">
        <f t="shared" si="0"/>
        <v>0.81539127001440193</v>
      </c>
      <c r="F16" s="1139"/>
      <c r="G16" s="1140"/>
      <c r="H16" s="1141"/>
      <c r="J16" s="714">
        <v>44865</v>
      </c>
      <c r="K16" s="372">
        <f t="shared" si="1"/>
        <v>0.77099608110853801</v>
      </c>
      <c r="L16" s="1140"/>
      <c r="M16" s="1140"/>
      <c r="N16" s="1141"/>
      <c r="P16" s="714">
        <v>45230</v>
      </c>
      <c r="Q16" s="372">
        <f t="shared" si="2"/>
        <v>0.73200312563228254</v>
      </c>
      <c r="R16" s="1140"/>
      <c r="S16" s="1140"/>
      <c r="T16" s="1141"/>
      <c r="V16" s="517"/>
      <c r="W16" s="518"/>
      <c r="X16" s="519"/>
      <c r="Y16" s="519"/>
      <c r="Z16" s="519"/>
      <c r="AA16" s="444"/>
      <c r="AB16" s="517"/>
      <c r="AC16" s="518"/>
      <c r="AD16" s="519"/>
      <c r="AE16" s="519"/>
      <c r="AF16" s="519"/>
      <c r="AK16" s="710">
        <v>44530</v>
      </c>
      <c r="AL16" s="711">
        <v>0.81131681791315302</v>
      </c>
    </row>
    <row r="17" spans="1:38" x14ac:dyDescent="0.2">
      <c r="A17" s="717">
        <v>40608</v>
      </c>
      <c r="B17" s="533">
        <v>3.5599880000000002</v>
      </c>
      <c r="D17" s="516">
        <v>44530</v>
      </c>
      <c r="E17" s="665">
        <f t="shared" si="0"/>
        <v>0.81131681791315302</v>
      </c>
      <c r="F17" s="1139"/>
      <c r="G17" s="1140"/>
      <c r="H17" s="1141"/>
      <c r="J17" s="714">
        <v>44895</v>
      </c>
      <c r="K17" s="372">
        <f t="shared" si="1"/>
        <v>0.76741742915796252</v>
      </c>
      <c r="L17" s="1140"/>
      <c r="M17" s="1140"/>
      <c r="N17" s="1141"/>
      <c r="P17" s="714">
        <v>45260</v>
      </c>
      <c r="Q17" s="372">
        <f t="shared" si="2"/>
        <v>0.72885994233668505</v>
      </c>
      <c r="R17" s="1140"/>
      <c r="S17" s="1140"/>
      <c r="T17" s="1141"/>
      <c r="V17" s="517"/>
      <c r="W17" s="518"/>
      <c r="X17" s="519"/>
      <c r="Y17" s="519"/>
      <c r="Z17" s="519"/>
      <c r="AA17" s="444"/>
      <c r="AB17" s="517"/>
      <c r="AC17" s="518"/>
      <c r="AD17" s="519"/>
      <c r="AE17" s="519"/>
      <c r="AF17" s="519"/>
      <c r="AK17" s="710">
        <v>44561</v>
      </c>
      <c r="AL17" s="711">
        <v>0.80773403986861381</v>
      </c>
    </row>
    <row r="18" spans="1:38" ht="17" thickBot="1" x14ac:dyDescent="0.25">
      <c r="A18" s="717">
        <v>40615</v>
      </c>
      <c r="B18" s="533">
        <v>3.5175740000000002</v>
      </c>
      <c r="D18" s="516">
        <v>44561</v>
      </c>
      <c r="E18" s="665">
        <f t="shared" si="0"/>
        <v>0.80773403986861381</v>
      </c>
      <c r="F18" s="1142"/>
      <c r="G18" s="1143"/>
      <c r="H18" s="1144"/>
      <c r="J18" s="703">
        <v>44926</v>
      </c>
      <c r="K18" s="699">
        <f t="shared" si="1"/>
        <v>0.76427062185259764</v>
      </c>
      <c r="L18" s="1143"/>
      <c r="M18" s="1143"/>
      <c r="N18" s="1144"/>
      <c r="P18" s="703">
        <v>45291</v>
      </c>
      <c r="Q18" s="699">
        <f t="shared" si="2"/>
        <v>0.72575314676827996</v>
      </c>
      <c r="R18" s="1143"/>
      <c r="S18" s="1143"/>
      <c r="T18" s="1144"/>
      <c r="V18" s="444"/>
      <c r="W18" s="444"/>
      <c r="X18" s="444"/>
      <c r="Y18" s="444"/>
      <c r="Z18" s="444"/>
      <c r="AA18" s="444"/>
      <c r="AB18" s="444"/>
      <c r="AC18" s="518"/>
      <c r="AD18" s="444"/>
      <c r="AE18" s="444"/>
      <c r="AF18" s="444"/>
      <c r="AK18" s="710">
        <v>44592</v>
      </c>
      <c r="AL18" s="711">
        <v>0.80374675201815238</v>
      </c>
    </row>
    <row r="19" spans="1:38" x14ac:dyDescent="0.2">
      <c r="A19" s="717">
        <v>40622</v>
      </c>
      <c r="B19" s="533">
        <v>3.4325670000000001</v>
      </c>
      <c r="C19" s="1149" t="s">
        <v>330</v>
      </c>
      <c r="D19" s="1150"/>
      <c r="E19" s="1150"/>
      <c r="F19" s="1150"/>
      <c r="G19" s="1150"/>
      <c r="H19" s="1151"/>
      <c r="I19" s="1153">
        <f>AVERAGE(H4,N4,T4,Z4,O21)/T29</f>
        <v>3.1419559442454485E-5</v>
      </c>
      <c r="J19" s="1154"/>
      <c r="V19" s="444"/>
      <c r="W19" s="444"/>
      <c r="X19" s="444"/>
      <c r="Y19" s="444"/>
      <c r="Z19" s="444"/>
      <c r="AA19" s="444"/>
      <c r="AB19" s="444"/>
      <c r="AC19" s="518"/>
      <c r="AD19" s="444"/>
      <c r="AE19" s="444"/>
      <c r="AF19" s="444"/>
      <c r="AK19" s="710">
        <v>44620</v>
      </c>
      <c r="AL19" s="711">
        <v>0.79980234449874543</v>
      </c>
    </row>
    <row r="20" spans="1:38" ht="17" thickBot="1" x14ac:dyDescent="0.25">
      <c r="A20" s="717">
        <v>40629</v>
      </c>
      <c r="B20" s="533">
        <v>3.49383</v>
      </c>
      <c r="C20" s="1094"/>
      <c r="D20" s="1152"/>
      <c r="E20" s="1152"/>
      <c r="F20" s="1152"/>
      <c r="G20" s="1152"/>
      <c r="H20" s="1095"/>
      <c r="I20" s="1155"/>
      <c r="J20" s="1156"/>
      <c r="AK20" s="710">
        <v>44651</v>
      </c>
      <c r="AL20" s="711">
        <v>0.79633391823968724</v>
      </c>
    </row>
    <row r="21" spans="1:38" ht="17" thickBot="1" x14ac:dyDescent="0.25">
      <c r="A21" s="717">
        <v>40636</v>
      </c>
      <c r="B21" s="533">
        <v>3.5799189999999999</v>
      </c>
      <c r="C21" s="1094" t="s">
        <v>383</v>
      </c>
      <c r="D21" s="1152"/>
      <c r="E21" s="1152"/>
      <c r="F21" s="1152"/>
      <c r="G21" s="1152"/>
      <c r="H21" s="1095"/>
      <c r="I21" s="1157">
        <f>0.15</f>
        <v>0.15</v>
      </c>
      <c r="J21" s="1158"/>
      <c r="K21" s="1109" t="s">
        <v>384</v>
      </c>
      <c r="L21" s="1110"/>
      <c r="M21" s="1110"/>
      <c r="N21" s="1111"/>
      <c r="O21" s="1185">
        <f>AVERAGE(AL4:AL5)%</f>
        <v>8.5925862124040919E-3</v>
      </c>
      <c r="P21" s="1186"/>
      <c r="AK21" s="710">
        <v>44681</v>
      </c>
      <c r="AL21" s="711">
        <v>0.79289993738870435</v>
      </c>
    </row>
    <row r="22" spans="1:38" x14ac:dyDescent="0.2">
      <c r="A22" s="717">
        <v>40643</v>
      </c>
      <c r="B22" s="533">
        <v>3.6379169999999998</v>
      </c>
      <c r="C22" s="1159" t="s">
        <v>299</v>
      </c>
      <c r="D22" s="1160"/>
      <c r="E22" s="1160"/>
      <c r="F22" s="1160"/>
      <c r="G22" s="1160"/>
      <c r="H22" s="1160"/>
      <c r="I22" s="1160"/>
      <c r="J22" s="1160"/>
      <c r="K22" s="1160"/>
      <c r="L22" s="1160"/>
      <c r="M22" s="1160"/>
      <c r="N22" s="1160"/>
      <c r="O22" s="1160"/>
      <c r="P22" s="1160"/>
      <c r="Q22" s="1160"/>
      <c r="R22" s="1160"/>
      <c r="S22" s="1160"/>
      <c r="T22" s="1160"/>
      <c r="U22" s="1160"/>
      <c r="V22" s="1160"/>
      <c r="W22" s="1160"/>
      <c r="X22" s="1160"/>
      <c r="Y22" s="1160"/>
      <c r="Z22" s="1160"/>
      <c r="AA22" s="1160"/>
      <c r="AB22" s="1160"/>
      <c r="AC22" s="1160"/>
      <c r="AD22" s="1160"/>
      <c r="AE22" s="1160"/>
      <c r="AF22" s="1160"/>
      <c r="AG22" s="1161"/>
      <c r="AK22" s="710">
        <v>44712</v>
      </c>
      <c r="AL22" s="711">
        <v>0.78907824652322911</v>
      </c>
    </row>
    <row r="23" spans="1:38" x14ac:dyDescent="0.2">
      <c r="A23" s="717">
        <v>40650</v>
      </c>
      <c r="B23" s="533">
        <v>3.6281089999999998</v>
      </c>
      <c r="C23" s="1165"/>
      <c r="D23" s="1166"/>
      <c r="E23" s="1166"/>
      <c r="F23" s="1166"/>
      <c r="G23" s="1166"/>
      <c r="H23" s="1166"/>
      <c r="I23" s="1166"/>
      <c r="J23" s="1166"/>
      <c r="K23" s="1166"/>
      <c r="L23" s="1166"/>
      <c r="M23" s="1166"/>
      <c r="N23" s="1166"/>
      <c r="O23" s="1166"/>
      <c r="P23" s="1166"/>
      <c r="Q23" s="1166"/>
      <c r="R23" s="1166"/>
      <c r="S23" s="1166"/>
      <c r="T23" s="1166"/>
      <c r="U23" s="1166"/>
      <c r="V23" s="1166"/>
      <c r="W23" s="1166"/>
      <c r="X23" s="1166"/>
      <c r="Y23" s="1166"/>
      <c r="Z23" s="1166"/>
      <c r="AA23" s="1166"/>
      <c r="AB23" s="1166"/>
      <c r="AC23" s="1166"/>
      <c r="AD23" s="1166"/>
      <c r="AE23" s="1166"/>
      <c r="AF23" s="1166"/>
      <c r="AG23" s="1167"/>
      <c r="AK23" s="710">
        <v>44742</v>
      </c>
      <c r="AL23" s="711">
        <v>0.78529765511574257</v>
      </c>
    </row>
    <row r="24" spans="1:38" ht="16" customHeight="1" thickBot="1" x14ac:dyDescent="0.25">
      <c r="A24" s="717">
        <v>40657</v>
      </c>
      <c r="B24" s="533">
        <v>3.5795650000000001</v>
      </c>
      <c r="C24" s="1162"/>
      <c r="D24" s="1163"/>
      <c r="E24" s="1163"/>
      <c r="F24" s="1163"/>
      <c r="G24" s="1163"/>
      <c r="H24" s="1163"/>
      <c r="I24" s="1163"/>
      <c r="J24" s="1163"/>
      <c r="K24" s="1163"/>
      <c r="L24" s="1163"/>
      <c r="M24" s="1163"/>
      <c r="N24" s="1163"/>
      <c r="O24" s="1163"/>
      <c r="P24" s="1163"/>
      <c r="Q24" s="1163"/>
      <c r="R24" s="1163"/>
      <c r="S24" s="1163"/>
      <c r="T24" s="1163"/>
      <c r="U24" s="1163"/>
      <c r="V24" s="1163"/>
      <c r="W24" s="1163"/>
      <c r="X24" s="1163"/>
      <c r="Y24" s="1163"/>
      <c r="Z24" s="1163"/>
      <c r="AA24" s="1163"/>
      <c r="AB24" s="1163"/>
      <c r="AC24" s="1163"/>
      <c r="AD24" s="1163"/>
      <c r="AE24" s="1163"/>
      <c r="AF24" s="1163"/>
      <c r="AG24" s="1164"/>
      <c r="AK24" s="710">
        <v>44773</v>
      </c>
      <c r="AL24" s="711">
        <v>0.78156083052546832</v>
      </c>
    </row>
    <row r="25" spans="1:38" ht="16" customHeight="1" x14ac:dyDescent="0.2">
      <c r="A25" s="717">
        <v>40664</v>
      </c>
      <c r="B25" s="533">
        <v>3.5274299999999998</v>
      </c>
      <c r="C25" s="532"/>
      <c r="E25" s="255"/>
      <c r="F25" s="939" t="s">
        <v>296</v>
      </c>
      <c r="G25" s="940"/>
      <c r="H25" s="940"/>
      <c r="I25" s="940"/>
      <c r="J25" s="941"/>
      <c r="L25" s="867" t="s">
        <v>295</v>
      </c>
      <c r="M25" s="876"/>
      <c r="N25" s="876"/>
      <c r="O25" s="876"/>
      <c r="P25" s="876"/>
      <c r="Q25" s="867" t="s">
        <v>298</v>
      </c>
      <c r="R25" s="876"/>
      <c r="S25" s="868"/>
      <c r="T25" s="1168">
        <f>1.3881</f>
        <v>1.3880999999999999</v>
      </c>
      <c r="U25" s="1169"/>
      <c r="AK25" s="710">
        <v>44804</v>
      </c>
      <c r="AL25" s="711">
        <v>0.77786419271917651</v>
      </c>
    </row>
    <row r="26" spans="1:38" ht="17" customHeight="1" thickBot="1" x14ac:dyDescent="0.25">
      <c r="A26" s="717">
        <v>40671</v>
      </c>
      <c r="B26" s="533">
        <v>3.4845769999999998</v>
      </c>
      <c r="E26" s="255"/>
      <c r="F26" s="869"/>
      <c r="G26" s="877"/>
      <c r="H26" s="877"/>
      <c r="I26" s="877"/>
      <c r="J26" s="870"/>
      <c r="L26" s="939"/>
      <c r="M26" s="940"/>
      <c r="N26" s="940"/>
      <c r="O26" s="940"/>
      <c r="P26" s="940"/>
      <c r="Q26" s="869"/>
      <c r="R26" s="877"/>
      <c r="S26" s="870"/>
      <c r="T26" s="1170"/>
      <c r="U26" s="1171"/>
      <c r="AK26" s="710">
        <v>44834</v>
      </c>
      <c r="AL26" s="711">
        <v>0.77461363719861076</v>
      </c>
    </row>
    <row r="27" spans="1:38" ht="17" thickBot="1" x14ac:dyDescent="0.25">
      <c r="A27" s="717">
        <v>40678</v>
      </c>
      <c r="B27" s="533">
        <v>3.4298899999999999</v>
      </c>
      <c r="E27" s="256"/>
      <c r="F27" s="535" t="s">
        <v>181</v>
      </c>
      <c r="G27" s="258"/>
      <c r="H27" s="524" t="s">
        <v>37</v>
      </c>
      <c r="I27" s="525" t="s">
        <v>0</v>
      </c>
      <c r="J27" s="526" t="s">
        <v>180</v>
      </c>
      <c r="L27" s="228" t="s">
        <v>0</v>
      </c>
      <c r="M27" s="252" t="s">
        <v>37</v>
      </c>
      <c r="N27" s="253" t="s">
        <v>180</v>
      </c>
      <c r="O27" s="257" t="s">
        <v>181</v>
      </c>
      <c r="P27" s="287"/>
      <c r="Q27" s="867" t="s">
        <v>297</v>
      </c>
      <c r="R27" s="876"/>
      <c r="S27" s="868"/>
      <c r="T27" s="1172">
        <f>0.06175</f>
        <v>6.1749999999999999E-2</v>
      </c>
      <c r="U27" s="1173"/>
      <c r="AK27" s="710">
        <v>44865</v>
      </c>
      <c r="AL27" s="711">
        <v>0.77099608110853801</v>
      </c>
    </row>
    <row r="28" spans="1:38" ht="17" thickBot="1" x14ac:dyDescent="0.25">
      <c r="A28" s="717">
        <v>40685</v>
      </c>
      <c r="B28" s="533">
        <v>3.4236800000000001</v>
      </c>
      <c r="F28" s="1147">
        <v>0</v>
      </c>
      <c r="G28" s="1148"/>
      <c r="H28" s="527">
        <v>9587.15</v>
      </c>
      <c r="I28" s="528">
        <v>44134</v>
      </c>
      <c r="J28" s="529">
        <f>H28/H29-1</f>
        <v>3.2450340827991919E-3</v>
      </c>
      <c r="L28" s="251">
        <f>I28</f>
        <v>44134</v>
      </c>
      <c r="M28" s="513">
        <v>98.44</v>
      </c>
      <c r="N28" s="254">
        <f>M28/M29-1</f>
        <v>-1.0653266331658306E-2</v>
      </c>
      <c r="O28" s="1180">
        <v>0</v>
      </c>
      <c r="P28" s="1181"/>
      <c r="Q28" s="869"/>
      <c r="R28" s="877"/>
      <c r="S28" s="870"/>
      <c r="T28" s="1174"/>
      <c r="U28" s="1175"/>
      <c r="AK28" s="710">
        <v>44895</v>
      </c>
      <c r="AL28" s="711">
        <v>0.76741742915796252</v>
      </c>
    </row>
    <row r="29" spans="1:38" x14ac:dyDescent="0.2">
      <c r="A29" s="717">
        <v>40692</v>
      </c>
      <c r="B29" s="533">
        <v>3.3852769999999999</v>
      </c>
      <c r="F29" s="1137">
        <f>J29-$I$19</f>
        <v>-6.5302525557569399E-3</v>
      </c>
      <c r="G29" s="1138"/>
      <c r="H29" s="520">
        <v>9556.14</v>
      </c>
      <c r="I29" s="512">
        <v>44133</v>
      </c>
      <c r="J29" s="254">
        <f t="shared" ref="J29:J92" si="3">H29/H30-1</f>
        <v>-6.4988329963144853E-3</v>
      </c>
      <c r="L29" s="251">
        <f t="shared" ref="L29:L92" si="4">I29</f>
        <v>44133</v>
      </c>
      <c r="M29" s="513">
        <v>99.5</v>
      </c>
      <c r="N29" s="254">
        <f t="shared" ref="N29:N92" si="5">M29/M30-1</f>
        <v>-6.98602794411185E-3</v>
      </c>
      <c r="O29" s="1137">
        <f>N29-$I$19</f>
        <v>-7.0174475035543046E-3</v>
      </c>
      <c r="P29" s="1138"/>
      <c r="Q29" s="867" t="s">
        <v>238</v>
      </c>
      <c r="R29" s="876"/>
      <c r="S29" s="868"/>
      <c r="T29" s="826">
        <f>252</f>
        <v>252</v>
      </c>
      <c r="U29" s="828"/>
      <c r="AK29" s="710">
        <v>44926</v>
      </c>
      <c r="AL29" s="711">
        <v>0.76427062185259764</v>
      </c>
    </row>
    <row r="30" spans="1:38" ht="17" thickBot="1" x14ac:dyDescent="0.25">
      <c r="A30" s="717">
        <v>40699</v>
      </c>
      <c r="B30" s="533">
        <v>3.3421419999999999</v>
      </c>
      <c r="F30" s="1137">
        <f t="shared" ref="F30:F93" si="6">J30-$I$19</f>
        <v>-2.7221333278697843E-2</v>
      </c>
      <c r="G30" s="1138"/>
      <c r="H30" s="520">
        <v>9618.65</v>
      </c>
      <c r="I30" s="512">
        <v>44132</v>
      </c>
      <c r="J30" s="254">
        <f t="shared" si="3"/>
        <v>-2.7189913719255387E-2</v>
      </c>
      <c r="L30" s="251">
        <f t="shared" si="4"/>
        <v>44132</v>
      </c>
      <c r="M30" s="513">
        <v>100.2</v>
      </c>
      <c r="N30" s="254">
        <f t="shared" si="5"/>
        <v>-1.5717092337917404E-2</v>
      </c>
      <c r="O30" s="1137">
        <f t="shared" ref="O30:O93" si="7">N30-$I$19</f>
        <v>-1.574851189735986E-2</v>
      </c>
      <c r="P30" s="1138"/>
      <c r="Q30" s="869"/>
      <c r="R30" s="877"/>
      <c r="S30" s="870"/>
      <c r="T30" s="829"/>
      <c r="U30" s="831"/>
      <c r="AK30" s="710">
        <v>44957</v>
      </c>
      <c r="AL30" s="711">
        <v>0.76076852756139568</v>
      </c>
    </row>
    <row r="31" spans="1:38" x14ac:dyDescent="0.2">
      <c r="A31" s="717">
        <v>40706</v>
      </c>
      <c r="B31" s="533">
        <v>3.2845339999999998</v>
      </c>
      <c r="F31" s="1137">
        <f t="shared" si="6"/>
        <v>-9.8585509744172749E-3</v>
      </c>
      <c r="G31" s="1138"/>
      <c r="H31" s="520">
        <v>9887.49</v>
      </c>
      <c r="I31" s="512">
        <v>44131</v>
      </c>
      <c r="J31" s="254">
        <f t="shared" si="3"/>
        <v>-9.8271314149748212E-3</v>
      </c>
      <c r="L31" s="251">
        <f t="shared" si="4"/>
        <v>44131</v>
      </c>
      <c r="M31" s="513">
        <v>101.8</v>
      </c>
      <c r="N31" s="254">
        <f t="shared" si="5"/>
        <v>7.4220682830281604E-3</v>
      </c>
      <c r="O31" s="1137">
        <f t="shared" si="7"/>
        <v>7.3906487235857058E-3</v>
      </c>
      <c r="P31" s="1138"/>
      <c r="Q31" s="939" t="s">
        <v>439</v>
      </c>
      <c r="R31" s="940"/>
      <c r="S31" s="941"/>
      <c r="T31" s="1176">
        <f>T27 - I19*T29</f>
        <v>5.383227102050147E-2</v>
      </c>
      <c r="U31" s="1177"/>
      <c r="V31" s="648"/>
      <c r="W31" s="648"/>
      <c r="X31" s="648"/>
      <c r="Y31" s="648"/>
      <c r="Z31" s="648"/>
      <c r="AA31" s="648"/>
      <c r="AB31" s="648"/>
      <c r="AC31" s="648"/>
      <c r="AK31" s="710">
        <v>44985</v>
      </c>
      <c r="AL31" s="711">
        <v>0.75730409570346235</v>
      </c>
    </row>
    <row r="32" spans="1:38" ht="17" thickBot="1" x14ac:dyDescent="0.25">
      <c r="A32" s="717">
        <v>40713</v>
      </c>
      <c r="B32" s="533">
        <v>3.2750979999999998</v>
      </c>
      <c r="F32" s="1137">
        <f t="shared" si="6"/>
        <v>-3.8502924532261415E-3</v>
      </c>
      <c r="G32" s="1138"/>
      <c r="H32" s="520">
        <v>9985.6200000000008</v>
      </c>
      <c r="I32" s="512">
        <v>44130</v>
      </c>
      <c r="J32" s="254">
        <f t="shared" si="3"/>
        <v>-3.8188728937836869E-3</v>
      </c>
      <c r="L32" s="251">
        <f t="shared" si="4"/>
        <v>44130</v>
      </c>
      <c r="M32" s="513">
        <v>101.05</v>
      </c>
      <c r="N32" s="254">
        <f t="shared" si="5"/>
        <v>-5.2508204406938708E-2</v>
      </c>
      <c r="O32" s="1137">
        <f t="shared" si="7"/>
        <v>-5.2539623966381163E-2</v>
      </c>
      <c r="P32" s="1138"/>
      <c r="Q32" s="869"/>
      <c r="R32" s="877"/>
      <c r="S32" s="870"/>
      <c r="T32" s="1178"/>
      <c r="U32" s="1179"/>
      <c r="V32" s="648"/>
      <c r="W32" s="648"/>
      <c r="X32" s="648"/>
      <c r="Y32" s="648"/>
      <c r="Z32" s="648"/>
      <c r="AA32" s="648"/>
      <c r="AB32" s="648"/>
      <c r="AC32" s="648"/>
      <c r="AK32" s="710">
        <v>45016</v>
      </c>
      <c r="AL32" s="711">
        <v>0.75425772527402446</v>
      </c>
    </row>
    <row r="33" spans="1:38" x14ac:dyDescent="0.2">
      <c r="A33" s="717">
        <v>40720</v>
      </c>
      <c r="B33" s="533">
        <v>3.238127</v>
      </c>
      <c r="F33" s="1137">
        <f t="shared" si="6"/>
        <v>2.4538165379867785E-3</v>
      </c>
      <c r="G33" s="1138"/>
      <c r="H33" s="520">
        <v>10023.9</v>
      </c>
      <c r="I33" s="512">
        <v>44127</v>
      </c>
      <c r="J33" s="254">
        <f t="shared" si="3"/>
        <v>2.4852360974292331E-3</v>
      </c>
      <c r="L33" s="251">
        <f t="shared" si="4"/>
        <v>44127</v>
      </c>
      <c r="M33" s="513">
        <v>106.65</v>
      </c>
      <c r="N33" s="254">
        <f t="shared" si="5"/>
        <v>9.3852651337411608E-4</v>
      </c>
      <c r="O33" s="1137">
        <f t="shared" si="7"/>
        <v>9.0710695393166161E-4</v>
      </c>
      <c r="P33" s="1138"/>
      <c r="Q33" s="648"/>
      <c r="R33" s="648"/>
      <c r="S33" s="648"/>
      <c r="T33" s="648"/>
      <c r="U33" s="648"/>
      <c r="V33" s="648"/>
      <c r="W33" s="648"/>
      <c r="X33" s="648"/>
      <c r="Y33" s="648"/>
      <c r="Z33" s="648"/>
      <c r="AA33" s="648"/>
      <c r="AB33" s="648"/>
      <c r="AC33" s="648"/>
      <c r="AK33" s="710">
        <v>45046</v>
      </c>
      <c r="AL33" s="711">
        <v>0.75086740757912396</v>
      </c>
    </row>
    <row r="34" spans="1:38" x14ac:dyDescent="0.2">
      <c r="A34" s="717">
        <v>40727</v>
      </c>
      <c r="B34" s="533">
        <v>3.3561730000000001</v>
      </c>
      <c r="F34" s="1137">
        <f t="shared" si="6"/>
        <v>8.9953466864130347E-4</v>
      </c>
      <c r="G34" s="1138"/>
      <c r="H34" s="520">
        <v>9999.0499999999993</v>
      </c>
      <c r="I34" s="512">
        <v>44126</v>
      </c>
      <c r="J34" s="254">
        <f t="shared" si="3"/>
        <v>9.3095422808375794E-4</v>
      </c>
      <c r="L34" s="251">
        <f t="shared" si="4"/>
        <v>44126</v>
      </c>
      <c r="M34" s="513">
        <v>106.55</v>
      </c>
      <c r="N34" s="254">
        <f t="shared" si="5"/>
        <v>2.8235294117646692E-3</v>
      </c>
      <c r="O34" s="1137">
        <f t="shared" si="7"/>
        <v>2.7921098523222146E-3</v>
      </c>
      <c r="P34" s="1138"/>
      <c r="Q34" s="648"/>
      <c r="R34" s="648"/>
      <c r="S34" s="648"/>
      <c r="T34" s="648"/>
      <c r="U34" s="648"/>
      <c r="V34" s="648"/>
      <c r="W34" s="648"/>
      <c r="X34" s="648"/>
      <c r="Y34" s="648"/>
      <c r="Z34" s="648"/>
      <c r="AA34" s="648"/>
      <c r="AB34" s="648"/>
      <c r="AC34" s="648"/>
      <c r="AK34" s="710">
        <v>45077</v>
      </c>
      <c r="AL34" s="711">
        <v>0.74751355024289057</v>
      </c>
    </row>
    <row r="35" spans="1:38" ht="17" thickBot="1" x14ac:dyDescent="0.25">
      <c r="A35" s="717">
        <v>40734</v>
      </c>
      <c r="B35" s="533">
        <v>3.312106</v>
      </c>
      <c r="F35" s="1137">
        <f t="shared" si="6"/>
        <v>-1.5453896676558871E-2</v>
      </c>
      <c r="G35" s="1138"/>
      <c r="H35" s="520">
        <v>9989.75</v>
      </c>
      <c r="I35" s="512">
        <v>44125</v>
      </c>
      <c r="J35" s="254">
        <f t="shared" si="3"/>
        <v>-1.5422477117116418E-2</v>
      </c>
      <c r="L35" s="251">
        <f t="shared" si="4"/>
        <v>44125</v>
      </c>
      <c r="M35" s="513">
        <v>106.25</v>
      </c>
      <c r="N35" s="254">
        <f t="shared" si="5"/>
        <v>-3.6281179138321962E-2</v>
      </c>
      <c r="O35" s="1137">
        <f t="shared" si="7"/>
        <v>-3.6312598697764417E-2</v>
      </c>
      <c r="P35" s="1138"/>
      <c r="Q35" s="648"/>
      <c r="R35" s="648"/>
      <c r="S35" s="666"/>
      <c r="T35" s="667"/>
      <c r="U35" s="666"/>
      <c r="V35" s="667"/>
      <c r="W35" s="6"/>
      <c r="X35" s="6"/>
      <c r="Y35" s="6"/>
      <c r="Z35" s="648"/>
      <c r="AA35" s="648"/>
      <c r="AB35" s="648"/>
      <c r="AC35" s="648"/>
      <c r="AK35" s="710">
        <v>45107</v>
      </c>
      <c r="AL35" s="711">
        <v>0.74456441103836046</v>
      </c>
    </row>
    <row r="36" spans="1:38" x14ac:dyDescent="0.2">
      <c r="A36" s="717">
        <v>40741</v>
      </c>
      <c r="B36" s="533">
        <v>3.1656040000000001</v>
      </c>
      <c r="F36" s="1137">
        <f t="shared" si="6"/>
        <v>-3.7753956168481836E-3</v>
      </c>
      <c r="G36" s="1138"/>
      <c r="H36" s="520">
        <v>10146.23</v>
      </c>
      <c r="I36" s="512">
        <v>44124</v>
      </c>
      <c r="J36" s="254">
        <f t="shared" si="3"/>
        <v>-3.743976057405729E-3</v>
      </c>
      <c r="L36" s="251">
        <f t="shared" si="4"/>
        <v>44124</v>
      </c>
      <c r="M36" s="513">
        <v>110.25</v>
      </c>
      <c r="N36" s="254">
        <f t="shared" si="5"/>
        <v>-1.1210762331838597E-2</v>
      </c>
      <c r="O36" s="1137">
        <f t="shared" si="7"/>
        <v>-1.1242181891281051E-2</v>
      </c>
      <c r="P36" s="1138"/>
      <c r="Q36" s="648"/>
      <c r="R36" s="648"/>
      <c r="S36" s="666"/>
      <c r="T36" s="667"/>
      <c r="U36" s="666"/>
      <c r="V36" s="668" t="s">
        <v>343</v>
      </c>
      <c r="W36" s="669" t="s">
        <v>344</v>
      </c>
      <c r="X36" s="670" t="s">
        <v>345</v>
      </c>
      <c r="Y36" s="1187">
        <v>0.249</v>
      </c>
      <c r="Z36" s="1187"/>
      <c r="AA36" s="1187"/>
      <c r="AB36" s="1188"/>
      <c r="AC36" s="648"/>
      <c r="AK36" s="710">
        <v>45138</v>
      </c>
      <c r="AL36" s="711">
        <v>0.74128230235806836</v>
      </c>
    </row>
    <row r="37" spans="1:38" x14ac:dyDescent="0.2">
      <c r="A37" s="717">
        <v>40748</v>
      </c>
      <c r="B37" s="533">
        <v>3.1936390000000001</v>
      </c>
      <c r="F37" s="1137">
        <f t="shared" si="6"/>
        <v>-2.2622131321703839E-3</v>
      </c>
      <c r="G37" s="1138"/>
      <c r="H37" s="520">
        <v>10184.36</v>
      </c>
      <c r="I37" s="512">
        <v>44123</v>
      </c>
      <c r="J37" s="254">
        <f t="shared" si="3"/>
        <v>-2.2307935727279293E-3</v>
      </c>
      <c r="L37" s="251">
        <f t="shared" si="4"/>
        <v>44123</v>
      </c>
      <c r="M37" s="513">
        <v>111.5</v>
      </c>
      <c r="N37" s="254">
        <f t="shared" si="5"/>
        <v>2.6978417266185772E-3</v>
      </c>
      <c r="O37" s="1137">
        <f t="shared" si="7"/>
        <v>2.6664221671761227E-3</v>
      </c>
      <c r="P37" s="1138"/>
      <c r="Q37" s="648"/>
      <c r="R37" s="648"/>
      <c r="S37" s="666"/>
      <c r="T37" s="667"/>
      <c r="U37" s="666"/>
      <c r="V37" s="671" t="s">
        <v>346</v>
      </c>
      <c r="W37" s="672" t="s">
        <v>347</v>
      </c>
      <c r="X37" s="673" t="s">
        <v>348</v>
      </c>
      <c r="Y37" s="1189">
        <v>0.23899999999999999</v>
      </c>
      <c r="Z37" s="1189"/>
      <c r="AA37" s="1189"/>
      <c r="AB37" s="1190"/>
      <c r="AC37" s="648"/>
      <c r="AK37" s="710">
        <v>45169</v>
      </c>
      <c r="AL37" s="711">
        <v>0.73803549032854376</v>
      </c>
    </row>
    <row r="38" spans="1:38" x14ac:dyDescent="0.2">
      <c r="A38" s="717">
        <v>40755</v>
      </c>
      <c r="B38" s="533">
        <v>3.1282649999999999</v>
      </c>
      <c r="F38" s="1137">
        <f t="shared" si="6"/>
        <v>1.3791638935029176E-2</v>
      </c>
      <c r="G38" s="1138"/>
      <c r="H38" s="520">
        <v>10207.129999999999</v>
      </c>
      <c r="I38" s="512">
        <v>44120</v>
      </c>
      <c r="J38" s="254">
        <f t="shared" si="3"/>
        <v>1.3823058494471629E-2</v>
      </c>
      <c r="L38" s="251">
        <f t="shared" si="4"/>
        <v>44120</v>
      </c>
      <c r="M38" s="513">
        <v>111.2</v>
      </c>
      <c r="N38" s="254">
        <f t="shared" si="5"/>
        <v>-4.1379310344827558E-2</v>
      </c>
      <c r="O38" s="1137">
        <f t="shared" si="7"/>
        <v>-4.1410729904270013E-2</v>
      </c>
      <c r="P38" s="1138"/>
      <c r="Q38" s="648"/>
      <c r="R38" s="648"/>
      <c r="S38" s="666"/>
      <c r="T38" s="667"/>
      <c r="U38" s="666"/>
      <c r="V38" s="671" t="s">
        <v>349</v>
      </c>
      <c r="W38" s="672" t="s">
        <v>350</v>
      </c>
      <c r="X38" s="673" t="s">
        <v>351</v>
      </c>
      <c r="Y38" s="1189">
        <v>22.93</v>
      </c>
      <c r="Z38" s="1189"/>
      <c r="AA38" s="1189"/>
      <c r="AB38" s="1190"/>
      <c r="AC38" s="648"/>
      <c r="AK38" s="710">
        <v>45199</v>
      </c>
      <c r="AL38" s="711">
        <v>0.73518047901289707</v>
      </c>
    </row>
    <row r="39" spans="1:38" x14ac:dyDescent="0.2">
      <c r="A39" s="717">
        <v>40762</v>
      </c>
      <c r="B39" s="533">
        <v>2.8873329999999999</v>
      </c>
      <c r="F39" s="1137">
        <f t="shared" si="6"/>
        <v>-2.186251084196815E-2</v>
      </c>
      <c r="G39" s="1138"/>
      <c r="H39" s="520">
        <v>10067.959999999999</v>
      </c>
      <c r="I39" s="512">
        <v>44119</v>
      </c>
      <c r="J39" s="254">
        <f t="shared" si="3"/>
        <v>-2.1831091282525694E-2</v>
      </c>
      <c r="L39" s="251">
        <f t="shared" si="4"/>
        <v>44119</v>
      </c>
      <c r="M39" s="513">
        <v>116</v>
      </c>
      <c r="N39" s="254">
        <f t="shared" si="5"/>
        <v>-4.9180327868852514E-2</v>
      </c>
      <c r="O39" s="1137">
        <f t="shared" si="7"/>
        <v>-4.9211747428294969E-2</v>
      </c>
      <c r="P39" s="1138"/>
      <c r="Q39" s="648"/>
      <c r="R39" s="648"/>
      <c r="S39" s="666"/>
      <c r="T39" s="674"/>
      <c r="U39" s="666"/>
      <c r="V39" s="671" t="s">
        <v>352</v>
      </c>
      <c r="W39" s="672" t="s">
        <v>353</v>
      </c>
      <c r="X39" s="673" t="s">
        <v>354</v>
      </c>
      <c r="Y39" s="1191">
        <v>9.2599999999999994E-6</v>
      </c>
      <c r="Z39" s="1191"/>
      <c r="AA39" s="1191"/>
      <c r="AB39" s="1192"/>
      <c r="AC39" s="648"/>
      <c r="AK39" s="710">
        <v>45230</v>
      </c>
      <c r="AL39" s="711">
        <v>0.73200312563228254</v>
      </c>
    </row>
    <row r="40" spans="1:38" x14ac:dyDescent="0.2">
      <c r="A40" s="717">
        <v>40769</v>
      </c>
      <c r="B40" s="533">
        <v>2.719627</v>
      </c>
      <c r="F40" s="1137">
        <f t="shared" si="6"/>
        <v>-4.2592134830287528E-3</v>
      </c>
      <c r="G40" s="1138"/>
      <c r="H40" s="520">
        <v>10292.66</v>
      </c>
      <c r="I40" s="512">
        <v>44118</v>
      </c>
      <c r="J40" s="254">
        <f t="shared" si="3"/>
        <v>-4.2277939235862982E-3</v>
      </c>
      <c r="L40" s="251">
        <f t="shared" si="4"/>
        <v>44118</v>
      </c>
      <c r="M40" s="513">
        <v>122</v>
      </c>
      <c r="N40" s="254">
        <f t="shared" si="5"/>
        <v>-4.0966816878329482E-4</v>
      </c>
      <c r="O40" s="1137">
        <f t="shared" si="7"/>
        <v>-4.4108772822574929E-4</v>
      </c>
      <c r="P40" s="1138"/>
      <c r="Q40" s="648"/>
      <c r="R40" s="648"/>
      <c r="S40" s="666"/>
      <c r="T40" s="667"/>
      <c r="U40" s="666"/>
      <c r="V40" s="671" t="s">
        <v>355</v>
      </c>
      <c r="W40" s="675">
        <v>0.65082175925925922</v>
      </c>
      <c r="X40" s="673" t="s">
        <v>356</v>
      </c>
      <c r="Y40" s="1189">
        <v>76.665999999999997</v>
      </c>
      <c r="Z40" s="1189"/>
      <c r="AA40" s="1189"/>
      <c r="AB40" s="1190"/>
      <c r="AC40" s="648"/>
      <c r="AK40" s="710">
        <v>45260</v>
      </c>
      <c r="AL40" s="711">
        <v>0.72885994233668505</v>
      </c>
    </row>
    <row r="41" spans="1:38" ht="17" thickBot="1" x14ac:dyDescent="0.25">
      <c r="A41" s="717">
        <v>40776</v>
      </c>
      <c r="B41" s="533">
        <v>2.603621</v>
      </c>
      <c r="F41" s="1137">
        <f t="shared" si="6"/>
        <v>-2.7079664858518501E-3</v>
      </c>
      <c r="G41" s="1138"/>
      <c r="H41" s="520">
        <v>10336.36</v>
      </c>
      <c r="I41" s="512">
        <v>44117</v>
      </c>
      <c r="J41" s="254">
        <f t="shared" si="3"/>
        <v>-2.6765469264093955E-3</v>
      </c>
      <c r="L41" s="251">
        <f t="shared" si="4"/>
        <v>44117</v>
      </c>
      <c r="M41" s="513">
        <v>122.05</v>
      </c>
      <c r="N41" s="254">
        <f t="shared" si="5"/>
        <v>4.098360655737654E-4</v>
      </c>
      <c r="O41" s="1137">
        <f t="shared" si="7"/>
        <v>3.7841650613131092E-4</v>
      </c>
      <c r="P41" s="1138"/>
      <c r="Q41" s="648"/>
      <c r="R41" s="648"/>
      <c r="S41" s="666"/>
      <c r="T41" s="667"/>
      <c r="U41" s="666"/>
      <c r="V41" s="671" t="s">
        <v>357</v>
      </c>
      <c r="W41" s="672">
        <v>71</v>
      </c>
      <c r="X41" s="673" t="s">
        <v>358</v>
      </c>
      <c r="Y41" s="1189">
        <v>-149.30000000000001</v>
      </c>
      <c r="Z41" s="1189"/>
      <c r="AA41" s="1189"/>
      <c r="AB41" s="1190"/>
      <c r="AC41" s="648"/>
      <c r="AK41" s="712">
        <v>45291</v>
      </c>
      <c r="AL41" s="713">
        <v>0.72575314676827996</v>
      </c>
    </row>
    <row r="42" spans="1:38" x14ac:dyDescent="0.2">
      <c r="A42" s="717">
        <v>40783</v>
      </c>
      <c r="B42" s="533">
        <v>2.6112820000000001</v>
      </c>
      <c r="F42" s="1137">
        <f t="shared" si="6"/>
        <v>4.2389168639982025E-3</v>
      </c>
      <c r="G42" s="1138"/>
      <c r="H42" s="520">
        <v>10364.1</v>
      </c>
      <c r="I42" s="512">
        <v>44116</v>
      </c>
      <c r="J42" s="254">
        <f t="shared" si="3"/>
        <v>4.2703364234406571E-3</v>
      </c>
      <c r="L42" s="251">
        <f t="shared" si="4"/>
        <v>44116</v>
      </c>
      <c r="M42" s="513">
        <v>122</v>
      </c>
      <c r="N42" s="254">
        <f t="shared" si="5"/>
        <v>3.2894736842106198E-3</v>
      </c>
      <c r="O42" s="1137">
        <f t="shared" si="7"/>
        <v>3.2580541247681652E-3</v>
      </c>
      <c r="P42" s="1138"/>
      <c r="Q42" s="648"/>
      <c r="R42" s="648"/>
      <c r="S42" s="666"/>
      <c r="T42" s="667"/>
      <c r="U42" s="666"/>
      <c r="V42" s="671" t="s">
        <v>359</v>
      </c>
      <c r="W42" s="672">
        <v>69</v>
      </c>
      <c r="X42" s="673" t="s">
        <v>360</v>
      </c>
      <c r="Y42" s="1189">
        <v>-144.80000000000001</v>
      </c>
      <c r="Z42" s="1189"/>
      <c r="AA42" s="1189"/>
      <c r="AB42" s="1190"/>
      <c r="AC42" s="648"/>
      <c r="AK42" s="706"/>
      <c r="AL42" s="707"/>
    </row>
    <row r="43" spans="1:38" x14ac:dyDescent="0.2">
      <c r="A43" s="717">
        <v>40790</v>
      </c>
      <c r="B43" s="533">
        <v>2.5968659999999999</v>
      </c>
      <c r="F43" s="1137">
        <f t="shared" si="6"/>
        <v>4.8165684135747658E-3</v>
      </c>
      <c r="G43" s="1138"/>
      <c r="H43" s="520">
        <v>10320.030000000001</v>
      </c>
      <c r="I43" s="512">
        <v>44113</v>
      </c>
      <c r="J43" s="254">
        <f t="shared" si="3"/>
        <v>4.8479879730172204E-3</v>
      </c>
      <c r="L43" s="251">
        <f t="shared" si="4"/>
        <v>44113</v>
      </c>
      <c r="M43" s="513">
        <v>121.6</v>
      </c>
      <c r="N43" s="254">
        <f t="shared" si="5"/>
        <v>4.1135335252984184E-4</v>
      </c>
      <c r="O43" s="1137">
        <f t="shared" si="7"/>
        <v>3.7993379308738737E-4</v>
      </c>
      <c r="P43" s="1138"/>
      <c r="Q43" s="648"/>
      <c r="R43" s="648"/>
      <c r="S43" s="666"/>
      <c r="T43" s="667"/>
      <c r="U43" s="666"/>
      <c r="V43" s="671" t="s">
        <v>361</v>
      </c>
      <c r="W43" s="672">
        <v>1</v>
      </c>
      <c r="X43" s="1193"/>
      <c r="Y43" s="1194"/>
      <c r="Z43" s="1194"/>
      <c r="AA43" s="1194"/>
      <c r="AB43" s="1195"/>
      <c r="AC43" s="648"/>
      <c r="AK43" s="706"/>
      <c r="AL43" s="707"/>
    </row>
    <row r="44" spans="1:38" x14ac:dyDescent="0.2">
      <c r="A44" s="717">
        <v>40797</v>
      </c>
      <c r="B44" s="533">
        <v>2.4591889999999998</v>
      </c>
      <c r="F44" s="1137">
        <f t="shared" si="6"/>
        <v>8.0526960759989708E-3</v>
      </c>
      <c r="G44" s="1138"/>
      <c r="H44" s="520">
        <v>10270.24</v>
      </c>
      <c r="I44" s="512">
        <v>44112</v>
      </c>
      <c r="J44" s="254">
        <f t="shared" si="3"/>
        <v>8.0841156354414245E-3</v>
      </c>
      <c r="L44" s="251">
        <f t="shared" si="4"/>
        <v>44112</v>
      </c>
      <c r="M44" s="513">
        <v>121.55</v>
      </c>
      <c r="N44" s="254">
        <f t="shared" si="5"/>
        <v>3.9777587681779192E-2</v>
      </c>
      <c r="O44" s="1137">
        <f t="shared" si="7"/>
        <v>3.9746168122336736E-2</v>
      </c>
      <c r="P44" s="1138"/>
      <c r="Q44" s="648"/>
      <c r="R44" s="648"/>
      <c r="S44" s="6"/>
      <c r="T44" s="6"/>
      <c r="U44" s="6"/>
      <c r="V44" s="671" t="s">
        <v>362</v>
      </c>
      <c r="W44" s="672" t="s">
        <v>363</v>
      </c>
      <c r="X44" s="1193"/>
      <c r="Y44" s="1194"/>
      <c r="Z44" s="1194"/>
      <c r="AA44" s="1194"/>
      <c r="AB44" s="1195"/>
      <c r="AC44" s="648"/>
      <c r="AK44" s="706"/>
      <c r="AL44" s="707"/>
    </row>
    <row r="45" spans="1:38" ht="17" thickBot="1" x14ac:dyDescent="0.25">
      <c r="A45" s="717">
        <v>40804</v>
      </c>
      <c r="B45" s="533">
        <v>2.5025629999999999</v>
      </c>
      <c r="F45" s="1137">
        <f t="shared" si="6"/>
        <v>-4.4562502080397878E-3</v>
      </c>
      <c r="G45" s="1138"/>
      <c r="H45" s="520">
        <v>10187.879999999999</v>
      </c>
      <c r="I45" s="512">
        <v>44111</v>
      </c>
      <c r="J45" s="254">
        <f t="shared" si="3"/>
        <v>-4.4248306485973332E-3</v>
      </c>
      <c r="L45" s="251">
        <f t="shared" si="4"/>
        <v>44111</v>
      </c>
      <c r="M45" s="513">
        <v>116.9</v>
      </c>
      <c r="N45" s="254">
        <f t="shared" si="5"/>
        <v>-2.0527859237536528E-2</v>
      </c>
      <c r="O45" s="1137">
        <f t="shared" si="7"/>
        <v>-2.0559278796978983E-2</v>
      </c>
      <c r="P45" s="1138"/>
      <c r="Q45" s="648"/>
      <c r="R45" s="648"/>
      <c r="S45" s="667"/>
      <c r="T45" s="666"/>
      <c r="U45" s="666"/>
      <c r="V45" s="676"/>
      <c r="W45" s="676"/>
      <c r="X45" s="1196"/>
      <c r="Y45" s="1197"/>
      <c r="Z45" s="1197"/>
      <c r="AA45" s="1197"/>
      <c r="AB45" s="1198"/>
      <c r="AC45" s="648"/>
      <c r="AK45" s="706"/>
      <c r="AL45" s="707"/>
    </row>
    <row r="46" spans="1:38" ht="17" thickBot="1" x14ac:dyDescent="0.25">
      <c r="A46" s="717">
        <v>40811</v>
      </c>
      <c r="B46" s="533">
        <v>2.3931469999999999</v>
      </c>
      <c r="F46" s="1137">
        <f t="shared" si="6"/>
        <v>-6.8158117691354122E-3</v>
      </c>
      <c r="G46" s="1138"/>
      <c r="H46" s="520">
        <v>10233.16</v>
      </c>
      <c r="I46" s="512">
        <v>44110</v>
      </c>
      <c r="J46" s="254">
        <f t="shared" si="3"/>
        <v>-6.7843922096929576E-3</v>
      </c>
      <c r="L46" s="251">
        <f t="shared" si="4"/>
        <v>44110</v>
      </c>
      <c r="M46" s="513">
        <v>119.35</v>
      </c>
      <c r="N46" s="254">
        <f t="shared" si="5"/>
        <v>9.302325581395321E-3</v>
      </c>
      <c r="O46" s="1137">
        <f t="shared" si="7"/>
        <v>9.2709060219528672E-3</v>
      </c>
      <c r="P46" s="1138"/>
      <c r="Q46" s="648"/>
      <c r="R46" s="648"/>
      <c r="S46" s="666"/>
      <c r="T46" s="667"/>
      <c r="U46" s="667"/>
      <c r="V46" s="677"/>
      <c r="W46" s="678" t="s">
        <v>364</v>
      </c>
      <c r="X46" s="679" t="s">
        <v>365</v>
      </c>
      <c r="Y46" s="679" t="s">
        <v>366</v>
      </c>
      <c r="Z46" s="680" t="s">
        <v>367</v>
      </c>
      <c r="AA46" s="680" t="s">
        <v>368</v>
      </c>
      <c r="AB46" s="681" t="s">
        <v>369</v>
      </c>
      <c r="AC46" s="648"/>
      <c r="AK46" s="706"/>
      <c r="AL46" s="707"/>
    </row>
    <row r="47" spans="1:38" ht="17" thickBot="1" x14ac:dyDescent="0.25">
      <c r="A47" s="717">
        <v>40818</v>
      </c>
      <c r="B47" s="533">
        <v>2.4756130000000001</v>
      </c>
      <c r="F47" s="1137">
        <f t="shared" si="6"/>
        <v>4.9098624818357398E-3</v>
      </c>
      <c r="G47" s="1138"/>
      <c r="H47" s="520">
        <v>10303.06</v>
      </c>
      <c r="I47" s="512">
        <v>44109</v>
      </c>
      <c r="J47" s="254">
        <f t="shared" si="3"/>
        <v>4.9412820412781944E-3</v>
      </c>
      <c r="L47" s="251">
        <f t="shared" si="4"/>
        <v>44109</v>
      </c>
      <c r="M47" s="513">
        <v>118.25</v>
      </c>
      <c r="N47" s="254">
        <f t="shared" si="5"/>
        <v>-1.2668918918918859E-3</v>
      </c>
      <c r="O47" s="1137">
        <f t="shared" si="7"/>
        <v>-1.2983114513343405E-3</v>
      </c>
      <c r="P47" s="1138"/>
      <c r="Q47" s="648"/>
      <c r="R47" s="648"/>
      <c r="S47" s="666"/>
      <c r="T47" s="667"/>
      <c r="U47" s="667"/>
      <c r="V47" s="678" t="s">
        <v>370</v>
      </c>
      <c r="W47" s="677">
        <v>1.84E-2</v>
      </c>
      <c r="X47" s="677">
        <v>0.01</v>
      </c>
      <c r="Y47" s="677">
        <v>1.863</v>
      </c>
      <c r="Z47" s="682">
        <v>6.7000000000000004E-2</v>
      </c>
      <c r="AA47" s="682">
        <v>-1E-3</v>
      </c>
      <c r="AB47" s="683">
        <v>3.7999999999999999E-2</v>
      </c>
      <c r="AC47" s="648"/>
      <c r="AK47" s="706"/>
      <c r="AL47" s="707"/>
    </row>
    <row r="48" spans="1:38" ht="17" thickBot="1" x14ac:dyDescent="0.25">
      <c r="A48" s="717">
        <v>40825</v>
      </c>
      <c r="B48" s="533">
        <v>2.514313</v>
      </c>
      <c r="F48" s="1137">
        <f t="shared" si="6"/>
        <v>1.3633677647928036E-3</v>
      </c>
      <c r="G48" s="1138"/>
      <c r="H48" s="520">
        <v>10252.4</v>
      </c>
      <c r="I48" s="512">
        <v>44106</v>
      </c>
      <c r="J48" s="254">
        <f t="shared" si="3"/>
        <v>1.3947873242352582E-3</v>
      </c>
      <c r="L48" s="251">
        <f t="shared" si="4"/>
        <v>44106</v>
      </c>
      <c r="M48" s="513">
        <v>118.4</v>
      </c>
      <c r="N48" s="254">
        <f t="shared" si="5"/>
        <v>-4.205214465937801E-3</v>
      </c>
      <c r="O48" s="1137">
        <f t="shared" si="7"/>
        <v>-4.2366340253802556E-3</v>
      </c>
      <c r="P48" s="1138"/>
      <c r="Q48" s="648"/>
      <c r="R48" s="648"/>
      <c r="S48" s="6"/>
      <c r="T48" s="6"/>
      <c r="U48" s="6"/>
      <c r="V48" s="678" t="s">
        <v>182</v>
      </c>
      <c r="W48" s="677">
        <v>1.3880999999999999</v>
      </c>
      <c r="X48" s="677">
        <v>0.28999999999999998</v>
      </c>
      <c r="Y48" s="677">
        <v>4.7889999999999997</v>
      </c>
      <c r="Z48" s="682">
        <v>0</v>
      </c>
      <c r="AA48" s="682">
        <v>0.81</v>
      </c>
      <c r="AB48" s="683">
        <v>1.966</v>
      </c>
      <c r="AC48" s="648"/>
      <c r="AK48" s="706"/>
      <c r="AL48" s="707"/>
    </row>
    <row r="49" spans="1:38" x14ac:dyDescent="0.2">
      <c r="A49" s="717">
        <v>40832</v>
      </c>
      <c r="B49" s="533">
        <v>2.6844969999999999</v>
      </c>
      <c r="F49" s="1137">
        <f t="shared" si="6"/>
        <v>4.9867408410681638E-3</v>
      </c>
      <c r="G49" s="1138"/>
      <c r="H49" s="520">
        <v>10238.120000000001</v>
      </c>
      <c r="I49" s="512">
        <v>44105</v>
      </c>
      <c r="J49" s="254">
        <f t="shared" si="3"/>
        <v>5.0181604005106184E-3</v>
      </c>
      <c r="L49" s="251">
        <f t="shared" si="4"/>
        <v>44105</v>
      </c>
      <c r="M49" s="513">
        <v>118.9</v>
      </c>
      <c r="N49" s="254">
        <f t="shared" si="5"/>
        <v>-4.1515517936315915E-2</v>
      </c>
      <c r="O49" s="1137">
        <f t="shared" si="7"/>
        <v>-4.1546937495758371E-2</v>
      </c>
      <c r="P49" s="1138"/>
      <c r="Q49" s="648"/>
      <c r="R49" s="648"/>
      <c r="S49" s="666"/>
      <c r="T49" s="667"/>
      <c r="U49" s="666"/>
      <c r="V49" s="684"/>
      <c r="W49" s="684"/>
      <c r="X49" s="684"/>
      <c r="Y49" s="684"/>
      <c r="Z49" s="875"/>
      <c r="AA49" s="824"/>
      <c r="AB49" s="825"/>
      <c r="AC49" s="648"/>
      <c r="AK49" s="706"/>
      <c r="AL49" s="707"/>
    </row>
    <row r="50" spans="1:38" x14ac:dyDescent="0.2">
      <c r="A50" s="717">
        <v>40839</v>
      </c>
      <c r="B50" s="533">
        <v>2.678045</v>
      </c>
      <c r="F50" s="1137">
        <f t="shared" si="6"/>
        <v>-4.1665998748109797E-3</v>
      </c>
      <c r="G50" s="1138"/>
      <c r="H50" s="520">
        <v>10187</v>
      </c>
      <c r="I50" s="512">
        <v>44104</v>
      </c>
      <c r="J50" s="254">
        <f t="shared" si="3"/>
        <v>-4.1351803153685252E-3</v>
      </c>
      <c r="L50" s="251">
        <f t="shared" si="4"/>
        <v>44104</v>
      </c>
      <c r="M50" s="513">
        <v>124.05</v>
      </c>
      <c r="N50" s="254">
        <f t="shared" si="5"/>
        <v>-1.3126491646778038E-2</v>
      </c>
      <c r="O50" s="1137">
        <f t="shared" si="7"/>
        <v>-1.3157911206220492E-2</v>
      </c>
      <c r="P50" s="1138"/>
      <c r="Q50" s="648"/>
      <c r="R50" s="648"/>
      <c r="S50" s="666"/>
      <c r="T50" s="667"/>
      <c r="U50" s="666"/>
      <c r="V50" s="671" t="s">
        <v>371</v>
      </c>
      <c r="W50" s="672">
        <v>1.1859999999999999</v>
      </c>
      <c r="X50" s="671" t="s">
        <v>372</v>
      </c>
      <c r="Y50" s="672">
        <v>1.97</v>
      </c>
      <c r="Z50" s="841"/>
      <c r="AA50" s="839"/>
      <c r="AB50" s="840"/>
      <c r="AC50" s="648"/>
      <c r="AK50" s="706"/>
      <c r="AL50" s="707"/>
    </row>
    <row r="51" spans="1:38" x14ac:dyDescent="0.2">
      <c r="A51" s="717">
        <v>40846</v>
      </c>
      <c r="B51" s="533">
        <v>2.744837</v>
      </c>
      <c r="F51" s="1137">
        <f t="shared" si="6"/>
        <v>-7.7307638977518875E-3</v>
      </c>
      <c r="G51" s="1138"/>
      <c r="H51" s="520">
        <v>10229.299999999999</v>
      </c>
      <c r="I51" s="512">
        <v>44103</v>
      </c>
      <c r="J51" s="254">
        <f t="shared" si="3"/>
        <v>-7.6993443383094329E-3</v>
      </c>
      <c r="L51" s="251">
        <f t="shared" si="4"/>
        <v>44103</v>
      </c>
      <c r="M51" s="513">
        <v>125.7</v>
      </c>
      <c r="N51" s="254">
        <f t="shared" si="5"/>
        <v>-1.7968749999999978E-2</v>
      </c>
      <c r="O51" s="1137">
        <f t="shared" si="7"/>
        <v>-1.8000169559442433E-2</v>
      </c>
      <c r="P51" s="1138"/>
      <c r="Q51" s="648"/>
      <c r="R51" s="648"/>
      <c r="S51" s="666"/>
      <c r="T51" s="667"/>
      <c r="U51" s="666"/>
      <c r="V51" s="671" t="s">
        <v>373</v>
      </c>
      <c r="W51" s="672">
        <v>0.55300000000000005</v>
      </c>
      <c r="X51" s="671" t="s">
        <v>374</v>
      </c>
      <c r="Y51" s="672">
        <v>0.58399999999999996</v>
      </c>
      <c r="Z51" s="841"/>
      <c r="AA51" s="839"/>
      <c r="AB51" s="840"/>
      <c r="AC51" s="648"/>
      <c r="AK51" s="706"/>
      <c r="AL51" s="707"/>
    </row>
    <row r="52" spans="1:38" x14ac:dyDescent="0.2">
      <c r="A52" s="717">
        <v>40853</v>
      </c>
      <c r="B52" s="533">
        <v>2.5734360000000001</v>
      </c>
      <c r="F52" s="1137">
        <f t="shared" si="6"/>
        <v>9.0119895875268741E-3</v>
      </c>
      <c r="G52" s="1138"/>
      <c r="H52" s="520">
        <v>10308.67</v>
      </c>
      <c r="I52" s="512">
        <v>44102</v>
      </c>
      <c r="J52" s="254">
        <f t="shared" si="3"/>
        <v>9.0434091469693278E-3</v>
      </c>
      <c r="L52" s="251">
        <f t="shared" si="4"/>
        <v>44102</v>
      </c>
      <c r="M52" s="513">
        <v>128</v>
      </c>
      <c r="N52" s="254">
        <f t="shared" si="5"/>
        <v>8.2709728239465097E-3</v>
      </c>
      <c r="O52" s="1137">
        <f t="shared" si="7"/>
        <v>8.239553264504056E-3</v>
      </c>
      <c r="P52" s="1138"/>
      <c r="Q52" s="648"/>
      <c r="R52" s="648"/>
      <c r="S52" s="666"/>
      <c r="T52" s="667"/>
      <c r="U52" s="666"/>
      <c r="V52" s="671" t="s">
        <v>375</v>
      </c>
      <c r="W52" s="672">
        <v>0.111</v>
      </c>
      <c r="X52" s="671" t="s">
        <v>376</v>
      </c>
      <c r="Y52" s="672">
        <v>0.747</v>
      </c>
      <c r="Z52" s="841"/>
      <c r="AA52" s="839"/>
      <c r="AB52" s="840"/>
      <c r="AC52" s="648"/>
    </row>
    <row r="53" spans="1:38" ht="17" thickBot="1" x14ac:dyDescent="0.25">
      <c r="A53" s="717">
        <v>40860</v>
      </c>
      <c r="B53" s="533">
        <v>2.5368680000000001</v>
      </c>
      <c r="F53" s="1137">
        <f t="shared" si="6"/>
        <v>4.3374090133081842E-4</v>
      </c>
      <c r="G53" s="1138"/>
      <c r="H53" s="520">
        <v>10216.280000000001</v>
      </c>
      <c r="I53" s="512">
        <v>44099</v>
      </c>
      <c r="J53" s="254">
        <f t="shared" si="3"/>
        <v>4.6516046077327289E-4</v>
      </c>
      <c r="L53" s="251">
        <f t="shared" si="4"/>
        <v>44099</v>
      </c>
      <c r="M53" s="513">
        <v>126.95</v>
      </c>
      <c r="N53" s="254">
        <f t="shared" si="5"/>
        <v>1.6413130504403517E-2</v>
      </c>
      <c r="O53" s="1137">
        <f t="shared" si="7"/>
        <v>1.6381710944961062E-2</v>
      </c>
      <c r="P53" s="1138"/>
      <c r="Q53" s="648"/>
      <c r="R53" s="648"/>
      <c r="S53" s="648"/>
      <c r="T53" s="648"/>
      <c r="U53" s="648"/>
      <c r="V53" s="679" t="s">
        <v>377</v>
      </c>
      <c r="W53" s="685">
        <v>3.3839999999999999</v>
      </c>
      <c r="X53" s="679" t="s">
        <v>378</v>
      </c>
      <c r="Y53" s="685">
        <v>29.3</v>
      </c>
      <c r="Z53" s="842"/>
      <c r="AA53" s="843"/>
      <c r="AB53" s="844"/>
      <c r="AC53" s="648"/>
    </row>
    <row r="54" spans="1:38" x14ac:dyDescent="0.2">
      <c r="A54" s="717">
        <v>40867</v>
      </c>
      <c r="B54" s="533">
        <v>2.5371299999999999</v>
      </c>
      <c r="F54" s="1137">
        <f t="shared" si="6"/>
        <v>-1.1505699476499971E-2</v>
      </c>
      <c r="G54" s="1138"/>
      <c r="H54" s="520">
        <v>10211.530000000001</v>
      </c>
      <c r="I54" s="512">
        <v>44098</v>
      </c>
      <c r="J54" s="254">
        <f t="shared" si="3"/>
        <v>-1.1474279917057517E-2</v>
      </c>
      <c r="L54" s="251">
        <f t="shared" si="4"/>
        <v>44098</v>
      </c>
      <c r="M54" s="513">
        <v>124.9</v>
      </c>
      <c r="N54" s="254">
        <f t="shared" si="5"/>
        <v>-2.4218749999999956E-2</v>
      </c>
      <c r="O54" s="1137">
        <f t="shared" si="7"/>
        <v>-2.4250169559442411E-2</v>
      </c>
      <c r="P54" s="1138"/>
      <c r="Q54" s="648"/>
      <c r="R54" s="648"/>
      <c r="S54" s="648"/>
      <c r="T54" s="648"/>
      <c r="U54" s="648"/>
      <c r="V54" s="648"/>
      <c r="W54" s="648"/>
      <c r="X54" s="648"/>
      <c r="Y54" s="648"/>
      <c r="Z54" s="648"/>
      <c r="AA54" s="648"/>
      <c r="AB54" s="648"/>
      <c r="AC54" s="648"/>
    </row>
    <row r="55" spans="1:38" x14ac:dyDescent="0.2">
      <c r="A55" s="717">
        <v>40874</v>
      </c>
      <c r="B55" s="533">
        <v>2.577245</v>
      </c>
      <c r="F55" s="1137">
        <f t="shared" si="6"/>
        <v>-2.4948281405249703E-3</v>
      </c>
      <c r="G55" s="1138"/>
      <c r="H55" s="520">
        <v>10330.06</v>
      </c>
      <c r="I55" s="512">
        <v>44097</v>
      </c>
      <c r="J55" s="254">
        <f t="shared" si="3"/>
        <v>-2.4634085810825157E-3</v>
      </c>
      <c r="L55" s="251">
        <f t="shared" si="4"/>
        <v>44097</v>
      </c>
      <c r="M55" s="513">
        <v>128</v>
      </c>
      <c r="N55" s="254">
        <f t="shared" si="5"/>
        <v>-1.538461538461533E-2</v>
      </c>
      <c r="O55" s="1137">
        <f t="shared" si="7"/>
        <v>-1.5416034944057784E-2</v>
      </c>
      <c r="P55" s="1138"/>
      <c r="Q55" s="648"/>
      <c r="R55" s="648"/>
      <c r="S55" s="648"/>
      <c r="T55" s="648"/>
      <c r="U55" s="648"/>
      <c r="V55" s="648"/>
      <c r="W55" s="648"/>
      <c r="X55" s="648"/>
      <c r="Y55" s="648"/>
      <c r="Z55" s="648"/>
      <c r="AA55" s="648"/>
      <c r="AB55" s="648"/>
      <c r="AC55" s="648"/>
    </row>
    <row r="56" spans="1:38" x14ac:dyDescent="0.2">
      <c r="A56" s="717">
        <v>40881</v>
      </c>
      <c r="B56" s="533">
        <v>2.5933329999999999</v>
      </c>
      <c r="F56" s="1137">
        <f t="shared" si="6"/>
        <v>2.8866158947366697E-3</v>
      </c>
      <c r="G56" s="1138"/>
      <c r="H56" s="520">
        <v>10355.57</v>
      </c>
      <c r="I56" s="512">
        <v>44096</v>
      </c>
      <c r="J56" s="254">
        <f t="shared" si="3"/>
        <v>2.9180354541791242E-3</v>
      </c>
      <c r="L56" s="251">
        <f t="shared" si="4"/>
        <v>44096</v>
      </c>
      <c r="M56" s="513">
        <v>130</v>
      </c>
      <c r="N56" s="254">
        <f t="shared" si="5"/>
        <v>5.8027079303675233E-3</v>
      </c>
      <c r="O56" s="1137">
        <f t="shared" si="7"/>
        <v>5.7712883709250687E-3</v>
      </c>
      <c r="P56" s="1138"/>
      <c r="Q56" s="648"/>
      <c r="R56" s="648"/>
      <c r="S56" s="648"/>
      <c r="T56" s="648"/>
      <c r="U56" s="648"/>
      <c r="V56" s="648"/>
      <c r="W56" s="648"/>
      <c r="X56" s="648"/>
      <c r="Y56" s="648"/>
      <c r="Z56" s="648"/>
      <c r="AA56" s="648"/>
      <c r="AB56" s="648"/>
      <c r="AC56" s="648"/>
    </row>
    <row r="57" spans="1:38" x14ac:dyDescent="0.2">
      <c r="A57" s="717">
        <v>40888</v>
      </c>
      <c r="B57" s="533">
        <v>2.5534279999999998</v>
      </c>
      <c r="F57" s="1137">
        <f t="shared" si="6"/>
        <v>-2.0311005143506408E-2</v>
      </c>
      <c r="G57" s="1138"/>
      <c r="H57" s="520">
        <v>10325.44</v>
      </c>
      <c r="I57" s="512">
        <v>44095</v>
      </c>
      <c r="J57" s="254">
        <f t="shared" si="3"/>
        <v>-2.0279585584063953E-2</v>
      </c>
      <c r="L57" s="251">
        <f t="shared" si="4"/>
        <v>44095</v>
      </c>
      <c r="M57" s="513">
        <v>129.25</v>
      </c>
      <c r="N57" s="254">
        <f t="shared" si="5"/>
        <v>-4.1527623285131599E-2</v>
      </c>
      <c r="O57" s="1137">
        <f t="shared" si="7"/>
        <v>-4.1559042844574054E-2</v>
      </c>
      <c r="P57" s="1138"/>
      <c r="Q57" s="648"/>
      <c r="R57" s="648"/>
      <c r="S57" s="648"/>
      <c r="T57" s="648"/>
      <c r="U57" s="648"/>
      <c r="V57" s="648"/>
      <c r="W57" s="648"/>
      <c r="X57" s="648"/>
      <c r="Y57" s="648"/>
      <c r="Z57" s="648"/>
      <c r="AA57" s="648"/>
      <c r="AB57" s="648"/>
      <c r="AC57" s="648"/>
    </row>
    <row r="58" spans="1:38" x14ac:dyDescent="0.2">
      <c r="A58" s="717">
        <v>40895</v>
      </c>
      <c r="B58" s="533">
        <v>2.4215339999999999</v>
      </c>
      <c r="F58" s="1137">
        <f t="shared" si="6"/>
        <v>1.8546321187537665E-3</v>
      </c>
      <c r="G58" s="1138"/>
      <c r="H58" s="520">
        <v>10539.17</v>
      </c>
      <c r="I58" s="512">
        <v>44092</v>
      </c>
      <c r="J58" s="254">
        <f t="shared" si="3"/>
        <v>1.8860516781962211E-3</v>
      </c>
      <c r="L58" s="251">
        <f t="shared" si="4"/>
        <v>44092</v>
      </c>
      <c r="M58" s="513">
        <v>134.85</v>
      </c>
      <c r="N58" s="254">
        <f t="shared" si="5"/>
        <v>-1.6411378555798661E-2</v>
      </c>
      <c r="O58" s="1137">
        <f t="shared" si="7"/>
        <v>-1.6442798115241117E-2</v>
      </c>
      <c r="P58" s="1138"/>
      <c r="Q58" s="648"/>
      <c r="R58" s="648"/>
      <c r="S58" s="648"/>
      <c r="T58" s="648"/>
      <c r="U58" s="648"/>
      <c r="V58" s="648"/>
      <c r="W58" s="648"/>
      <c r="X58" s="648"/>
      <c r="Y58" s="648"/>
      <c r="Z58" s="648"/>
      <c r="AA58" s="648"/>
      <c r="AB58" s="648"/>
      <c r="AC58" s="648"/>
    </row>
    <row r="59" spans="1:38" x14ac:dyDescent="0.2">
      <c r="A59" s="717">
        <v>40902</v>
      </c>
      <c r="B59" s="533">
        <v>2.441338</v>
      </c>
      <c r="F59" s="1137">
        <f t="shared" si="6"/>
        <v>-3.1312940860743063E-3</v>
      </c>
      <c r="G59" s="1138"/>
      <c r="H59" s="520">
        <v>10519.33</v>
      </c>
      <c r="I59" s="512">
        <v>44091</v>
      </c>
      <c r="J59" s="254">
        <f t="shared" si="3"/>
        <v>-3.0998745266318517E-3</v>
      </c>
      <c r="L59" s="251">
        <f t="shared" si="4"/>
        <v>44091</v>
      </c>
      <c r="M59" s="513">
        <v>137.1</v>
      </c>
      <c r="N59" s="254">
        <f t="shared" si="5"/>
        <v>-2.0714285714285796E-2</v>
      </c>
      <c r="O59" s="1137">
        <f t="shared" si="7"/>
        <v>-2.0745705273728252E-2</v>
      </c>
      <c r="P59" s="1138"/>
      <c r="Q59" s="648"/>
      <c r="R59" s="648"/>
      <c r="S59" s="648"/>
      <c r="T59" s="648"/>
      <c r="U59" s="648"/>
      <c r="V59" s="648"/>
      <c r="W59" s="648"/>
      <c r="X59" s="648"/>
      <c r="Y59" s="648"/>
      <c r="Z59" s="648"/>
      <c r="AA59" s="648"/>
      <c r="AB59" s="648"/>
      <c r="AC59" s="648"/>
    </row>
    <row r="60" spans="1:38" x14ac:dyDescent="0.2">
      <c r="A60" s="717">
        <v>40909</v>
      </c>
      <c r="B60" s="533">
        <v>2.4188689999999999</v>
      </c>
      <c r="F60" s="1137">
        <f t="shared" si="6"/>
        <v>3.0142078169834311E-3</v>
      </c>
      <c r="G60" s="1138"/>
      <c r="H60" s="520">
        <v>10552.04</v>
      </c>
      <c r="I60" s="512">
        <v>44090</v>
      </c>
      <c r="J60" s="254">
        <f t="shared" si="3"/>
        <v>3.0456273764258857E-3</v>
      </c>
      <c r="L60" s="251">
        <f t="shared" si="4"/>
        <v>44090</v>
      </c>
      <c r="M60" s="513">
        <v>140</v>
      </c>
      <c r="N60" s="254">
        <f t="shared" si="5"/>
        <v>-7.0921985815602939E-3</v>
      </c>
      <c r="O60" s="1137">
        <f t="shared" si="7"/>
        <v>-7.1236181410027485E-3</v>
      </c>
      <c r="P60" s="1138"/>
      <c r="Q60" s="648"/>
      <c r="R60" s="648"/>
      <c r="S60" s="648"/>
      <c r="T60" s="648"/>
      <c r="U60" s="648"/>
      <c r="V60" s="648"/>
      <c r="W60" s="648"/>
      <c r="X60" s="648"/>
      <c r="Y60" s="648"/>
      <c r="Z60" s="648"/>
      <c r="AA60" s="648"/>
      <c r="AB60" s="648"/>
      <c r="AC60" s="648"/>
    </row>
    <row r="61" spans="1:38" x14ac:dyDescent="0.2">
      <c r="A61" s="717">
        <v>40916</v>
      </c>
      <c r="B61" s="533">
        <v>2.397748</v>
      </c>
      <c r="F61" s="1137">
        <f t="shared" si="6"/>
        <v>5.9518860902247487E-3</v>
      </c>
      <c r="G61" s="1138"/>
      <c r="H61" s="520">
        <v>10520</v>
      </c>
      <c r="I61" s="512">
        <v>44089</v>
      </c>
      <c r="J61" s="254">
        <f t="shared" si="3"/>
        <v>5.9833056496672032E-3</v>
      </c>
      <c r="L61" s="251">
        <f t="shared" si="4"/>
        <v>44089</v>
      </c>
      <c r="M61" s="513">
        <v>141</v>
      </c>
      <c r="N61" s="254">
        <f t="shared" si="5"/>
        <v>-1.9471488178025131E-2</v>
      </c>
      <c r="O61" s="1137">
        <f t="shared" si="7"/>
        <v>-1.9502907737467587E-2</v>
      </c>
      <c r="P61" s="1138"/>
      <c r="Q61" s="648"/>
      <c r="R61" s="648"/>
      <c r="S61" s="648"/>
      <c r="T61" s="648"/>
      <c r="U61" s="648"/>
      <c r="V61" s="648"/>
      <c r="W61" s="648"/>
      <c r="X61" s="648"/>
      <c r="Y61" s="648"/>
      <c r="Z61" s="648"/>
      <c r="AA61" s="648"/>
      <c r="AB61" s="648"/>
      <c r="AC61" s="648"/>
    </row>
    <row r="62" spans="1:38" x14ac:dyDescent="0.2">
      <c r="A62" s="717">
        <v>40923</v>
      </c>
      <c r="B62" s="533">
        <v>2.3656389999999998</v>
      </c>
      <c r="F62" s="1137">
        <f t="shared" si="6"/>
        <v>1.6841765599193296E-3</v>
      </c>
      <c r="G62" s="1138"/>
      <c r="H62" s="520">
        <v>10457.43</v>
      </c>
      <c r="I62" s="512">
        <v>44088</v>
      </c>
      <c r="J62" s="254">
        <f t="shared" si="3"/>
        <v>1.7155961193617841E-3</v>
      </c>
      <c r="L62" s="251">
        <f t="shared" si="4"/>
        <v>44088</v>
      </c>
      <c r="M62" s="513">
        <v>143.80000000000001</v>
      </c>
      <c r="N62" s="254">
        <f t="shared" si="5"/>
        <v>-5.5325034578145305E-3</v>
      </c>
      <c r="O62" s="1137">
        <f t="shared" si="7"/>
        <v>-5.563923017256985E-3</v>
      </c>
      <c r="P62" s="1138"/>
      <c r="Q62" s="648"/>
      <c r="R62" s="648"/>
      <c r="S62" s="648"/>
      <c r="T62" s="648"/>
      <c r="U62" s="648"/>
      <c r="V62" s="648"/>
      <c r="W62" s="648"/>
      <c r="X62" s="648"/>
      <c r="Y62" s="648"/>
      <c r="Z62" s="648"/>
      <c r="AA62" s="648"/>
      <c r="AB62" s="648"/>
      <c r="AC62" s="648"/>
    </row>
    <row r="63" spans="1:38" x14ac:dyDescent="0.2">
      <c r="A63" s="717">
        <v>40930</v>
      </c>
      <c r="B63" s="533">
        <v>2.4113060000000002</v>
      </c>
      <c r="F63" s="1137">
        <f t="shared" si="6"/>
        <v>4.9823278123834617E-3</v>
      </c>
      <c r="G63" s="1138"/>
      <c r="H63" s="520">
        <v>10439.52</v>
      </c>
      <c r="I63" s="512">
        <v>44085</v>
      </c>
      <c r="J63" s="254">
        <f t="shared" si="3"/>
        <v>5.0137473718259162E-3</v>
      </c>
      <c r="L63" s="251">
        <f t="shared" si="4"/>
        <v>44085</v>
      </c>
      <c r="M63" s="513">
        <v>144.6</v>
      </c>
      <c r="N63" s="254">
        <f t="shared" si="5"/>
        <v>-2.4146257330113219E-3</v>
      </c>
      <c r="O63" s="1137">
        <f t="shared" si="7"/>
        <v>-2.4460452924537765E-3</v>
      </c>
      <c r="P63" s="1138"/>
      <c r="Q63" s="648"/>
      <c r="R63" s="648"/>
      <c r="S63" s="648"/>
      <c r="T63" s="648"/>
      <c r="U63" s="648"/>
      <c r="V63" s="648"/>
      <c r="W63" s="648"/>
      <c r="X63" s="648"/>
      <c r="Y63" s="648"/>
      <c r="Z63" s="648"/>
      <c r="AA63" s="648"/>
      <c r="AB63" s="648"/>
      <c r="AC63" s="648"/>
    </row>
    <row r="64" spans="1:38" x14ac:dyDescent="0.2">
      <c r="A64" s="717">
        <v>40937</v>
      </c>
      <c r="B64" s="533">
        <v>2.4374370000000001</v>
      </c>
      <c r="F64" s="1137">
        <f t="shared" si="6"/>
        <v>-1.8696813498306061E-3</v>
      </c>
      <c r="G64" s="1138"/>
      <c r="H64" s="520">
        <v>10387.44</v>
      </c>
      <c r="I64" s="512">
        <v>44084</v>
      </c>
      <c r="J64" s="254">
        <f t="shared" si="3"/>
        <v>-1.8382617903881515E-3</v>
      </c>
      <c r="L64" s="251">
        <f t="shared" si="4"/>
        <v>44084</v>
      </c>
      <c r="M64" s="513">
        <v>144.94999999999999</v>
      </c>
      <c r="N64" s="254">
        <f t="shared" si="5"/>
        <v>7.2967338429463791E-3</v>
      </c>
      <c r="O64" s="1137">
        <f t="shared" si="7"/>
        <v>7.2653142835039245E-3</v>
      </c>
      <c r="P64" s="1138"/>
      <c r="Q64" s="648"/>
      <c r="R64" s="648"/>
      <c r="S64" s="648"/>
      <c r="T64" s="648"/>
      <c r="U64" s="648"/>
      <c r="V64" s="648"/>
      <c r="W64" s="648"/>
      <c r="X64" s="648"/>
      <c r="Y64" s="648"/>
      <c r="Z64" s="648"/>
      <c r="AA64" s="648"/>
      <c r="AB64" s="648"/>
      <c r="AC64" s="648"/>
    </row>
    <row r="65" spans="1:16" x14ac:dyDescent="0.2">
      <c r="A65" s="717">
        <v>40944</v>
      </c>
      <c r="B65" s="533">
        <v>2.3568199999999999</v>
      </c>
      <c r="F65" s="1137">
        <f t="shared" si="6"/>
        <v>1.5200121720736664E-2</v>
      </c>
      <c r="G65" s="1138"/>
      <c r="H65" s="520">
        <v>10406.57</v>
      </c>
      <c r="I65" s="512">
        <v>44083</v>
      </c>
      <c r="J65" s="254">
        <f t="shared" si="3"/>
        <v>1.5231541280179117E-2</v>
      </c>
      <c r="L65" s="251">
        <f t="shared" si="4"/>
        <v>44083</v>
      </c>
      <c r="M65" s="513">
        <v>143.9</v>
      </c>
      <c r="N65" s="254">
        <f t="shared" si="5"/>
        <v>8.409250175192895E-3</v>
      </c>
      <c r="O65" s="1137">
        <f t="shared" si="7"/>
        <v>8.3778306157504413E-3</v>
      </c>
      <c r="P65" s="1138"/>
    </row>
    <row r="66" spans="1:16" x14ac:dyDescent="0.2">
      <c r="A66" s="717">
        <v>40951</v>
      </c>
      <c r="B66" s="533">
        <v>2.4193539999999998</v>
      </c>
      <c r="F66" s="1137">
        <f t="shared" si="6"/>
        <v>-4.6304601312149715E-3</v>
      </c>
      <c r="G66" s="1138"/>
      <c r="H66" s="520">
        <v>10250.44</v>
      </c>
      <c r="I66" s="512">
        <v>44082</v>
      </c>
      <c r="J66" s="254">
        <f t="shared" si="3"/>
        <v>-4.5990405717725169E-3</v>
      </c>
      <c r="L66" s="251">
        <f t="shared" si="4"/>
        <v>44082</v>
      </c>
      <c r="M66" s="513">
        <v>142.69999999999999</v>
      </c>
      <c r="N66" s="254">
        <f t="shared" si="5"/>
        <v>0</v>
      </c>
      <c r="O66" s="1137">
        <f t="shared" si="7"/>
        <v>-3.1419559442454485E-5</v>
      </c>
      <c r="P66" s="1138"/>
    </row>
    <row r="67" spans="1:16" x14ac:dyDescent="0.2">
      <c r="A67" s="717">
        <v>40958</v>
      </c>
      <c r="B67" s="533">
        <v>2.408061</v>
      </c>
      <c r="F67" s="1137">
        <f t="shared" si="6"/>
        <v>1.4221384266781727E-2</v>
      </c>
      <c r="G67" s="1138"/>
      <c r="H67" s="520">
        <v>10297.799999999999</v>
      </c>
      <c r="I67" s="512">
        <v>44081</v>
      </c>
      <c r="J67" s="254">
        <f t="shared" si="3"/>
        <v>1.4252803826224181E-2</v>
      </c>
      <c r="L67" s="251">
        <f t="shared" si="4"/>
        <v>44081</v>
      </c>
      <c r="M67" s="513">
        <v>142.69999999999999</v>
      </c>
      <c r="N67" s="254">
        <f t="shared" si="5"/>
        <v>4.6571323799046604E-2</v>
      </c>
      <c r="O67" s="1137">
        <f t="shared" si="7"/>
        <v>4.6539904239604149E-2</v>
      </c>
      <c r="P67" s="1138"/>
    </row>
    <row r="68" spans="1:16" x14ac:dyDescent="0.2">
      <c r="A68" s="717">
        <v>40965</v>
      </c>
      <c r="B68" s="533">
        <v>2.415289</v>
      </c>
      <c r="F68" s="1137">
        <f t="shared" si="6"/>
        <v>-6.6405947187279509E-3</v>
      </c>
      <c r="G68" s="1138"/>
      <c r="H68" s="520">
        <v>10153.09</v>
      </c>
      <c r="I68" s="512">
        <v>44078</v>
      </c>
      <c r="J68" s="254">
        <f t="shared" si="3"/>
        <v>-6.6091751592854964E-3</v>
      </c>
      <c r="L68" s="251">
        <f t="shared" si="4"/>
        <v>44078</v>
      </c>
      <c r="M68" s="513">
        <v>136.35</v>
      </c>
      <c r="N68" s="254">
        <f t="shared" si="5"/>
        <v>-4.1139240506329111E-2</v>
      </c>
      <c r="O68" s="1137">
        <f t="shared" si="7"/>
        <v>-4.1170660065771567E-2</v>
      </c>
      <c r="P68" s="1138"/>
    </row>
    <row r="69" spans="1:16" x14ac:dyDescent="0.2">
      <c r="A69" s="717">
        <v>40972</v>
      </c>
      <c r="B69" s="533">
        <v>2.3728180000000001</v>
      </c>
      <c r="F69" s="1137">
        <f t="shared" si="6"/>
        <v>-1.5842929414192339E-2</v>
      </c>
      <c r="G69" s="1138"/>
      <c r="H69" s="520">
        <v>10220.64</v>
      </c>
      <c r="I69" s="512">
        <v>44077</v>
      </c>
      <c r="J69" s="254">
        <f t="shared" si="3"/>
        <v>-1.5811509854749883E-2</v>
      </c>
      <c r="L69" s="251">
        <f t="shared" si="4"/>
        <v>44077</v>
      </c>
      <c r="M69" s="513">
        <v>142.19999999999999</v>
      </c>
      <c r="N69" s="254">
        <f t="shared" si="5"/>
        <v>-4.8511207761793296E-2</v>
      </c>
      <c r="O69" s="1137">
        <f t="shared" si="7"/>
        <v>-4.8542627321235751E-2</v>
      </c>
      <c r="P69" s="1138"/>
    </row>
    <row r="70" spans="1:16" x14ac:dyDescent="0.2">
      <c r="A70" s="717">
        <v>40979</v>
      </c>
      <c r="B70" s="533">
        <v>2.3863159999999999</v>
      </c>
      <c r="F70" s="1137">
        <f t="shared" si="6"/>
        <v>1.9204313619473681E-2</v>
      </c>
      <c r="G70" s="1138"/>
      <c r="H70" s="520">
        <v>10384.84</v>
      </c>
      <c r="I70" s="512">
        <v>44076</v>
      </c>
      <c r="J70" s="254">
        <f t="shared" si="3"/>
        <v>1.9235733178916137E-2</v>
      </c>
      <c r="L70" s="251">
        <f t="shared" si="4"/>
        <v>44076</v>
      </c>
      <c r="M70" s="513">
        <v>149.44999999999999</v>
      </c>
      <c r="N70" s="254">
        <f t="shared" si="5"/>
        <v>2.2579541566883243E-2</v>
      </c>
      <c r="O70" s="1137">
        <f t="shared" si="7"/>
        <v>2.2548122007440788E-2</v>
      </c>
      <c r="P70" s="1138"/>
    </row>
    <row r="71" spans="1:16" x14ac:dyDescent="0.2">
      <c r="A71" s="717">
        <v>40986</v>
      </c>
      <c r="B71" s="533">
        <v>2.580606</v>
      </c>
      <c r="F71" s="1137">
        <f t="shared" si="6"/>
        <v>5.2263067033393043E-3</v>
      </c>
      <c r="G71" s="1138"/>
      <c r="H71" s="520">
        <v>10188.85</v>
      </c>
      <c r="I71" s="512">
        <v>44075</v>
      </c>
      <c r="J71" s="254">
        <f t="shared" si="3"/>
        <v>5.2577262627817589E-3</v>
      </c>
      <c r="L71" s="251">
        <f t="shared" si="4"/>
        <v>44075</v>
      </c>
      <c r="M71" s="513">
        <v>146.15</v>
      </c>
      <c r="N71" s="254">
        <f t="shared" si="5"/>
        <v>2.4005486968450285E-3</v>
      </c>
      <c r="O71" s="1137">
        <f t="shared" si="7"/>
        <v>2.3691291374025739E-3</v>
      </c>
      <c r="P71" s="1138"/>
    </row>
    <row r="72" spans="1:16" x14ac:dyDescent="0.2">
      <c r="A72" s="717">
        <v>40993</v>
      </c>
      <c r="B72" s="533">
        <v>2.5982560000000001</v>
      </c>
      <c r="F72" s="1137">
        <f t="shared" si="6"/>
        <v>-2.8776026930772821E-3</v>
      </c>
      <c r="G72" s="1138"/>
      <c r="H72" s="520">
        <v>10135.56</v>
      </c>
      <c r="I72" s="512">
        <v>44074</v>
      </c>
      <c r="J72" s="254">
        <f t="shared" si="3"/>
        <v>-2.8461831336348276E-3</v>
      </c>
      <c r="L72" s="251">
        <f t="shared" si="4"/>
        <v>44074</v>
      </c>
      <c r="M72" s="513">
        <v>145.80000000000001</v>
      </c>
      <c r="N72" s="254">
        <f t="shared" si="5"/>
        <v>1.7801047120418856E-2</v>
      </c>
      <c r="O72" s="1137">
        <f t="shared" si="7"/>
        <v>1.77696275609764E-2</v>
      </c>
      <c r="P72" s="1138"/>
    </row>
    <row r="73" spans="1:16" x14ac:dyDescent="0.2">
      <c r="A73" s="717">
        <v>41000</v>
      </c>
      <c r="B73" s="533">
        <v>2.5589040000000001</v>
      </c>
      <c r="F73" s="1137">
        <f t="shared" si="6"/>
        <v>-7.4500316139789876E-3</v>
      </c>
      <c r="G73" s="1138"/>
      <c r="H73" s="520">
        <v>10164.49</v>
      </c>
      <c r="I73" s="512">
        <v>44071</v>
      </c>
      <c r="J73" s="254">
        <f t="shared" si="3"/>
        <v>-7.4186120545365331E-3</v>
      </c>
      <c r="L73" s="251">
        <f t="shared" si="4"/>
        <v>44071</v>
      </c>
      <c r="M73" s="513">
        <v>143.25</v>
      </c>
      <c r="N73" s="254">
        <f t="shared" si="5"/>
        <v>7.0298769771528491E-3</v>
      </c>
      <c r="O73" s="1137">
        <f t="shared" si="7"/>
        <v>6.9984574177103945E-3</v>
      </c>
      <c r="P73" s="1138"/>
    </row>
    <row r="74" spans="1:16" x14ac:dyDescent="0.2">
      <c r="A74" s="717">
        <v>41007</v>
      </c>
      <c r="B74" s="533">
        <v>2.5500069999999999</v>
      </c>
      <c r="F74" s="1137">
        <f t="shared" si="6"/>
        <v>-6.7426076211129357E-3</v>
      </c>
      <c r="G74" s="1138"/>
      <c r="H74" s="520">
        <v>10240.459999999999</v>
      </c>
      <c r="I74" s="512">
        <v>44070</v>
      </c>
      <c r="J74" s="254">
        <f t="shared" si="3"/>
        <v>-6.7111880616704811E-3</v>
      </c>
      <c r="L74" s="251">
        <f t="shared" si="4"/>
        <v>44070</v>
      </c>
      <c r="M74" s="513">
        <v>142.25</v>
      </c>
      <c r="N74" s="254">
        <f t="shared" si="5"/>
        <v>4.2357924461700058E-3</v>
      </c>
      <c r="O74" s="1137">
        <f t="shared" si="7"/>
        <v>4.2043728867275513E-3</v>
      </c>
      <c r="P74" s="1138"/>
    </row>
    <row r="75" spans="1:16" x14ac:dyDescent="0.2">
      <c r="A75" s="717">
        <v>41014</v>
      </c>
      <c r="B75" s="533">
        <v>2.4380199999999999</v>
      </c>
      <c r="F75" s="1137">
        <f t="shared" si="6"/>
        <v>7.6313782414127599E-3</v>
      </c>
      <c r="G75" s="1138"/>
      <c r="H75" s="520">
        <v>10309.65</v>
      </c>
      <c r="I75" s="512">
        <v>44069</v>
      </c>
      <c r="J75" s="254">
        <f t="shared" si="3"/>
        <v>7.6627978008552144E-3</v>
      </c>
      <c r="L75" s="251">
        <f t="shared" si="4"/>
        <v>44069</v>
      </c>
      <c r="M75" s="513">
        <v>141.65</v>
      </c>
      <c r="N75" s="254">
        <f t="shared" si="5"/>
        <v>7.0646414694452986E-4</v>
      </c>
      <c r="O75" s="1137">
        <f t="shared" si="7"/>
        <v>6.7504458750207539E-4</v>
      </c>
      <c r="P75" s="1138"/>
    </row>
    <row r="76" spans="1:16" x14ac:dyDescent="0.2">
      <c r="A76" s="717">
        <v>41021</v>
      </c>
      <c r="B76" s="533">
        <v>2.4113289999999998</v>
      </c>
      <c r="F76" s="1137">
        <f t="shared" si="6"/>
        <v>-7.514644388925947E-3</v>
      </c>
      <c r="G76" s="1138"/>
      <c r="H76" s="520">
        <v>10231.25</v>
      </c>
      <c r="I76" s="512">
        <v>44068</v>
      </c>
      <c r="J76" s="254">
        <f t="shared" si="3"/>
        <v>-7.4832248294834924E-3</v>
      </c>
      <c r="L76" s="251">
        <f t="shared" si="4"/>
        <v>44068</v>
      </c>
      <c r="M76" s="513">
        <v>141.55000000000001</v>
      </c>
      <c r="N76" s="254">
        <f t="shared" si="5"/>
        <v>1.5787585217079458E-2</v>
      </c>
      <c r="O76" s="1137">
        <f t="shared" si="7"/>
        <v>1.5756165657637003E-2</v>
      </c>
      <c r="P76" s="1138"/>
    </row>
    <row r="77" spans="1:16" x14ac:dyDescent="0.2">
      <c r="A77" s="717">
        <v>41028</v>
      </c>
      <c r="B77" s="533">
        <v>2.4121540000000001</v>
      </c>
      <c r="F77" s="1137">
        <f t="shared" si="6"/>
        <v>8.7949882227500043E-3</v>
      </c>
      <c r="G77" s="1138"/>
      <c r="H77" s="520">
        <v>10308.39</v>
      </c>
      <c r="I77" s="512">
        <v>44067</v>
      </c>
      <c r="J77" s="254">
        <f t="shared" si="3"/>
        <v>8.826407782192458E-3</v>
      </c>
      <c r="L77" s="251">
        <f t="shared" si="4"/>
        <v>44067</v>
      </c>
      <c r="M77" s="513">
        <v>139.35</v>
      </c>
      <c r="N77" s="254">
        <f t="shared" si="5"/>
        <v>2.8792912513842861E-2</v>
      </c>
      <c r="O77" s="1137">
        <f t="shared" si="7"/>
        <v>2.8761492954400406E-2</v>
      </c>
      <c r="P77" s="1138"/>
    </row>
    <row r="78" spans="1:16" x14ac:dyDescent="0.2">
      <c r="A78" s="717">
        <v>41035</v>
      </c>
      <c r="B78" s="533">
        <v>2.3659699999999999</v>
      </c>
      <c r="F78" s="1137">
        <f t="shared" si="6"/>
        <v>-1.1770785675285075E-3</v>
      </c>
      <c r="G78" s="1138"/>
      <c r="H78" s="520">
        <v>10218.200000000001</v>
      </c>
      <c r="I78" s="512">
        <v>44064</v>
      </c>
      <c r="J78" s="254">
        <f t="shared" si="3"/>
        <v>-1.1456590080860529E-3</v>
      </c>
      <c r="L78" s="251">
        <f t="shared" si="4"/>
        <v>44064</v>
      </c>
      <c r="M78" s="513">
        <v>135.44999999999999</v>
      </c>
      <c r="N78" s="254">
        <f t="shared" si="5"/>
        <v>3.7050759540571132E-3</v>
      </c>
      <c r="O78" s="1137">
        <f t="shared" si="7"/>
        <v>3.6736563946146586E-3</v>
      </c>
      <c r="P78" s="1138"/>
    </row>
    <row r="79" spans="1:16" x14ac:dyDescent="0.2">
      <c r="A79" s="717">
        <v>41042</v>
      </c>
      <c r="B79" s="533">
        <v>2.3019470000000002</v>
      </c>
      <c r="F79" s="1137">
        <f t="shared" si="6"/>
        <v>-7.7995982518006953E-3</v>
      </c>
      <c r="G79" s="1138"/>
      <c r="H79" s="520">
        <v>10229.92</v>
      </c>
      <c r="I79" s="512">
        <v>44063</v>
      </c>
      <c r="J79" s="254">
        <f t="shared" si="3"/>
        <v>-7.7681786923582408E-3</v>
      </c>
      <c r="L79" s="251">
        <f t="shared" si="4"/>
        <v>44063</v>
      </c>
      <c r="M79" s="513">
        <v>134.94999999999999</v>
      </c>
      <c r="N79" s="254">
        <f t="shared" si="5"/>
        <v>-1.8902217375500019E-2</v>
      </c>
      <c r="O79" s="1137">
        <f t="shared" si="7"/>
        <v>-1.8933636934942474E-2</v>
      </c>
      <c r="P79" s="1138"/>
    </row>
    <row r="80" spans="1:16" x14ac:dyDescent="0.2">
      <c r="A80" s="717">
        <v>41049</v>
      </c>
      <c r="B80" s="533">
        <v>2.2209910000000002</v>
      </c>
      <c r="F80" s="1137">
        <f t="shared" si="6"/>
        <v>1.3895058549207877E-2</v>
      </c>
      <c r="G80" s="1138"/>
      <c r="H80" s="520">
        <v>10310.01</v>
      </c>
      <c r="I80" s="512">
        <v>44062</v>
      </c>
      <c r="J80" s="254">
        <f t="shared" si="3"/>
        <v>1.3926478108650331E-2</v>
      </c>
      <c r="L80" s="251">
        <f t="shared" si="4"/>
        <v>44062</v>
      </c>
      <c r="M80" s="513">
        <v>137.55000000000001</v>
      </c>
      <c r="N80" s="254">
        <f t="shared" si="5"/>
        <v>7.692307692307665E-3</v>
      </c>
      <c r="O80" s="1137">
        <f t="shared" si="7"/>
        <v>7.6608881328652104E-3</v>
      </c>
      <c r="P80" s="1138"/>
    </row>
    <row r="81" spans="1:16" x14ac:dyDescent="0.2">
      <c r="A81" s="717">
        <v>41056</v>
      </c>
      <c r="B81" s="533">
        <v>2.2215280000000002</v>
      </c>
      <c r="F81" s="1137">
        <f t="shared" si="6"/>
        <v>-5.8643927723488884E-3</v>
      </c>
      <c r="G81" s="1138"/>
      <c r="H81" s="520">
        <v>10168.4</v>
      </c>
      <c r="I81" s="512">
        <v>44061</v>
      </c>
      <c r="J81" s="254">
        <f t="shared" si="3"/>
        <v>-5.8329732129064338E-3</v>
      </c>
      <c r="L81" s="251">
        <f t="shared" si="4"/>
        <v>44061</v>
      </c>
      <c r="M81" s="513">
        <v>136.5</v>
      </c>
      <c r="N81" s="254">
        <f t="shared" si="5"/>
        <v>-6.1885693483799686E-3</v>
      </c>
      <c r="O81" s="1137">
        <f t="shared" si="7"/>
        <v>-6.2199889078224232E-3</v>
      </c>
      <c r="P81" s="1138"/>
    </row>
    <row r="82" spans="1:16" x14ac:dyDescent="0.2">
      <c r="A82" s="717">
        <v>41063</v>
      </c>
      <c r="B82" s="533">
        <v>2.0948889999999998</v>
      </c>
      <c r="F82" s="1137">
        <f t="shared" si="6"/>
        <v>6.3108213788076331E-3</v>
      </c>
      <c r="G82" s="1138"/>
      <c r="H82" s="520">
        <v>10228.06</v>
      </c>
      <c r="I82" s="512">
        <v>44060</v>
      </c>
      <c r="J82" s="254">
        <f t="shared" si="3"/>
        <v>6.3422409382500877E-3</v>
      </c>
      <c r="L82" s="251">
        <f t="shared" si="4"/>
        <v>44060</v>
      </c>
      <c r="M82" s="513">
        <v>137.35</v>
      </c>
      <c r="N82" s="254">
        <f t="shared" si="5"/>
        <v>7.3340667400072501E-3</v>
      </c>
      <c r="O82" s="1137">
        <f t="shared" si="7"/>
        <v>7.3026471805647955E-3</v>
      </c>
      <c r="P82" s="1138"/>
    </row>
    <row r="83" spans="1:16" x14ac:dyDescent="0.2">
      <c r="A83" s="717">
        <v>41070</v>
      </c>
      <c r="B83" s="533">
        <v>2.1397110000000001</v>
      </c>
      <c r="F83" s="1137">
        <f t="shared" si="6"/>
        <v>-9.437751460367556E-3</v>
      </c>
      <c r="G83" s="1138"/>
      <c r="H83" s="520">
        <v>10163.6</v>
      </c>
      <c r="I83" s="512">
        <v>44057</v>
      </c>
      <c r="J83" s="254">
        <f t="shared" si="3"/>
        <v>-9.4063319009251023E-3</v>
      </c>
      <c r="L83" s="251">
        <f t="shared" si="4"/>
        <v>44057</v>
      </c>
      <c r="M83" s="513">
        <v>136.35</v>
      </c>
      <c r="N83" s="254">
        <f t="shared" si="5"/>
        <v>-2.1879483500717445E-2</v>
      </c>
      <c r="O83" s="1137">
        <f t="shared" si="7"/>
        <v>-2.19109030601599E-2</v>
      </c>
      <c r="P83" s="1138"/>
    </row>
    <row r="84" spans="1:16" x14ac:dyDescent="0.2">
      <c r="A84" s="717">
        <v>41077</v>
      </c>
      <c r="B84" s="533">
        <v>2.137527</v>
      </c>
      <c r="F84" s="1137">
        <f t="shared" si="6"/>
        <v>-1.8361295119069662E-3</v>
      </c>
      <c r="G84" s="1138"/>
      <c r="H84" s="520">
        <v>10260.11</v>
      </c>
      <c r="I84" s="512">
        <v>44056</v>
      </c>
      <c r="J84" s="254">
        <f t="shared" si="3"/>
        <v>-1.8047099524645116E-3</v>
      </c>
      <c r="L84" s="251">
        <f t="shared" si="4"/>
        <v>44056</v>
      </c>
      <c r="M84" s="513">
        <v>139.4</v>
      </c>
      <c r="N84" s="254">
        <f t="shared" si="5"/>
        <v>9.413468501086264E-3</v>
      </c>
      <c r="O84" s="1137">
        <f t="shared" si="7"/>
        <v>9.3820489416438103E-3</v>
      </c>
      <c r="P84" s="1138"/>
    </row>
    <row r="85" spans="1:16" x14ac:dyDescent="0.2">
      <c r="A85" s="717">
        <v>41084</v>
      </c>
      <c r="B85" s="533">
        <v>2.1909200000000002</v>
      </c>
      <c r="F85" s="1137">
        <f t="shared" si="6"/>
        <v>1.2321287556709542E-2</v>
      </c>
      <c r="G85" s="1138"/>
      <c r="H85" s="520">
        <v>10278.66</v>
      </c>
      <c r="I85" s="512">
        <v>44055</v>
      </c>
      <c r="J85" s="254">
        <f t="shared" si="3"/>
        <v>1.2352707116151995E-2</v>
      </c>
      <c r="L85" s="251">
        <f t="shared" si="4"/>
        <v>44055</v>
      </c>
      <c r="M85" s="513">
        <v>138.1</v>
      </c>
      <c r="N85" s="254">
        <f t="shared" si="5"/>
        <v>1.0873504893078589E-3</v>
      </c>
      <c r="O85" s="1137">
        <f t="shared" si="7"/>
        <v>1.0559309298654044E-3</v>
      </c>
      <c r="P85" s="1138"/>
    </row>
    <row r="86" spans="1:16" x14ac:dyDescent="0.2">
      <c r="A86" s="717">
        <v>41091</v>
      </c>
      <c r="B86" s="533">
        <v>2.226985</v>
      </c>
      <c r="F86" s="1137">
        <f t="shared" si="6"/>
        <v>6.1454267309317282E-3</v>
      </c>
      <c r="G86" s="1138"/>
      <c r="H86" s="520">
        <v>10153.24</v>
      </c>
      <c r="I86" s="512">
        <v>44054</v>
      </c>
      <c r="J86" s="254">
        <f t="shared" si="3"/>
        <v>6.1768462903741828E-3</v>
      </c>
      <c r="L86" s="251">
        <f t="shared" si="4"/>
        <v>44054</v>
      </c>
      <c r="M86" s="513">
        <v>137.94999999999999</v>
      </c>
      <c r="N86" s="254">
        <f t="shared" si="5"/>
        <v>1.9963031423290145E-2</v>
      </c>
      <c r="O86" s="1137">
        <f t="shared" si="7"/>
        <v>1.993161186384769E-2</v>
      </c>
      <c r="P86" s="1138"/>
    </row>
    <row r="87" spans="1:16" x14ac:dyDescent="0.2">
      <c r="A87" s="717">
        <v>41098</v>
      </c>
      <c r="B87" s="533">
        <v>2.133683</v>
      </c>
      <c r="F87" s="1137">
        <f t="shared" si="6"/>
        <v>2.2411203515430725E-3</v>
      </c>
      <c r="G87" s="1138"/>
      <c r="H87" s="520">
        <v>10090.91</v>
      </c>
      <c r="I87" s="512">
        <v>44053</v>
      </c>
      <c r="J87" s="254">
        <f t="shared" si="3"/>
        <v>2.2725399109855271E-3</v>
      </c>
      <c r="L87" s="251">
        <f t="shared" si="4"/>
        <v>44053</v>
      </c>
      <c r="M87" s="513">
        <v>135.25</v>
      </c>
      <c r="N87" s="254">
        <f t="shared" si="5"/>
        <v>-2.4522178146411888E-2</v>
      </c>
      <c r="O87" s="1137">
        <f t="shared" si="7"/>
        <v>-2.4553597705854344E-2</v>
      </c>
      <c r="P87" s="1138"/>
    </row>
    <row r="88" spans="1:16" x14ac:dyDescent="0.2">
      <c r="A88" s="717">
        <v>41105</v>
      </c>
      <c r="B88" s="533">
        <v>2.0531959999999998</v>
      </c>
      <c r="F88" s="1137">
        <f t="shared" si="6"/>
        <v>5.7980299305885737E-5</v>
      </c>
      <c r="G88" s="1138"/>
      <c r="H88" s="520">
        <v>10068.030000000001</v>
      </c>
      <c r="I88" s="512">
        <v>44050</v>
      </c>
      <c r="J88" s="254">
        <f t="shared" si="3"/>
        <v>8.9399858748340222E-5</v>
      </c>
      <c r="L88" s="251">
        <f t="shared" si="4"/>
        <v>44050</v>
      </c>
      <c r="M88" s="513">
        <v>138.65</v>
      </c>
      <c r="N88" s="254">
        <f t="shared" si="5"/>
        <v>4.7101449275361862E-3</v>
      </c>
      <c r="O88" s="1137">
        <f t="shared" si="7"/>
        <v>4.6787253680937316E-3</v>
      </c>
      <c r="P88" s="1138"/>
    </row>
    <row r="89" spans="1:16" x14ac:dyDescent="0.2">
      <c r="A89" s="717">
        <v>41112</v>
      </c>
      <c r="B89" s="533">
        <v>2.0277720000000001</v>
      </c>
      <c r="F89" s="1137">
        <f t="shared" si="6"/>
        <v>-3.0854987456551538E-3</v>
      </c>
      <c r="G89" s="1138"/>
      <c r="H89" s="520">
        <v>10067.129999999999</v>
      </c>
      <c r="I89" s="512">
        <v>44049</v>
      </c>
      <c r="J89" s="254">
        <f t="shared" si="3"/>
        <v>-3.0540791862126992E-3</v>
      </c>
      <c r="L89" s="251">
        <f t="shared" si="4"/>
        <v>44049</v>
      </c>
      <c r="M89" s="513">
        <v>138</v>
      </c>
      <c r="N89" s="254">
        <f t="shared" si="5"/>
        <v>-5.7636887608070175E-3</v>
      </c>
      <c r="O89" s="1137">
        <f t="shared" si="7"/>
        <v>-5.7951083202494721E-3</v>
      </c>
      <c r="P89" s="1138"/>
    </row>
    <row r="90" spans="1:16" x14ac:dyDescent="0.2">
      <c r="A90" s="717">
        <v>41119</v>
      </c>
      <c r="B90" s="533">
        <v>2.061687</v>
      </c>
      <c r="F90" s="1137">
        <f t="shared" si="6"/>
        <v>-6.3362559899230861E-3</v>
      </c>
      <c r="G90" s="1138"/>
      <c r="H90" s="520">
        <v>10097.969999999999</v>
      </c>
      <c r="I90" s="512">
        <v>44048</v>
      </c>
      <c r="J90" s="254">
        <f t="shared" si="3"/>
        <v>-6.3048364304806315E-3</v>
      </c>
      <c r="L90" s="251">
        <f t="shared" si="4"/>
        <v>44048</v>
      </c>
      <c r="M90" s="513">
        <v>138.80000000000001</v>
      </c>
      <c r="N90" s="254">
        <f t="shared" si="5"/>
        <v>1.4619883040935644E-2</v>
      </c>
      <c r="O90" s="1137">
        <f t="shared" si="7"/>
        <v>1.458846348149319E-2</v>
      </c>
      <c r="P90" s="1138"/>
    </row>
    <row r="91" spans="1:16" x14ac:dyDescent="0.2">
      <c r="A91" s="717">
        <v>41126</v>
      </c>
      <c r="B91" s="533">
        <v>2.104984</v>
      </c>
      <c r="F91" s="1137">
        <f t="shared" si="6"/>
        <v>-6.6425810143085203E-3</v>
      </c>
      <c r="G91" s="1138"/>
      <c r="H91" s="520">
        <v>10162.040000000001</v>
      </c>
      <c r="I91" s="512">
        <v>44047</v>
      </c>
      <c r="J91" s="254">
        <f t="shared" si="3"/>
        <v>-6.6111614548660658E-3</v>
      </c>
      <c r="L91" s="251">
        <f t="shared" si="4"/>
        <v>44047</v>
      </c>
      <c r="M91" s="513">
        <v>136.80000000000001</v>
      </c>
      <c r="N91" s="254">
        <f t="shared" si="5"/>
        <v>-1.5827338129496327E-2</v>
      </c>
      <c r="O91" s="1137">
        <f t="shared" si="7"/>
        <v>-1.5858757688938782E-2</v>
      </c>
      <c r="P91" s="1138"/>
    </row>
    <row r="92" spans="1:16" x14ac:dyDescent="0.2">
      <c r="A92" s="717">
        <v>41133</v>
      </c>
      <c r="B92" s="533">
        <v>2.1402049999999999</v>
      </c>
      <c r="F92" s="1137">
        <f t="shared" si="6"/>
        <v>2.2332385795398271E-2</v>
      </c>
      <c r="G92" s="1138"/>
      <c r="H92" s="520">
        <v>10229.67</v>
      </c>
      <c r="I92" s="512">
        <v>44046</v>
      </c>
      <c r="J92" s="254">
        <f t="shared" si="3"/>
        <v>2.2363805354840727E-2</v>
      </c>
      <c r="L92" s="251">
        <f t="shared" si="4"/>
        <v>44046</v>
      </c>
      <c r="M92" s="513">
        <v>139</v>
      </c>
      <c r="N92" s="254">
        <f t="shared" si="5"/>
        <v>2.9629629629629672E-2</v>
      </c>
      <c r="O92" s="1137">
        <f t="shared" si="7"/>
        <v>2.9598210070187217E-2</v>
      </c>
      <c r="P92" s="1138"/>
    </row>
    <row r="93" spans="1:16" x14ac:dyDescent="0.2">
      <c r="A93" s="717">
        <v>41140</v>
      </c>
      <c r="B93" s="533">
        <v>2.2204160000000002</v>
      </c>
      <c r="F93" s="1137">
        <f t="shared" si="6"/>
        <v>-8.8909527698148149E-3</v>
      </c>
      <c r="G93" s="1138"/>
      <c r="H93" s="520">
        <v>10005.9</v>
      </c>
      <c r="I93" s="512">
        <v>44043</v>
      </c>
      <c r="J93" s="254">
        <f t="shared" ref="J93:J156" si="8">H93/H94-1</f>
        <v>-8.8595332103723612E-3</v>
      </c>
      <c r="L93" s="251">
        <f t="shared" ref="L93:L156" si="9">I93</f>
        <v>44043</v>
      </c>
      <c r="M93" s="513">
        <v>135</v>
      </c>
      <c r="N93" s="254">
        <f t="shared" ref="N93:N156" si="10">M93/M94-1</f>
        <v>-1.1098779134295356E-3</v>
      </c>
      <c r="O93" s="1137">
        <f t="shared" si="7"/>
        <v>-1.1412974728719901E-3</v>
      </c>
      <c r="P93" s="1138"/>
    </row>
    <row r="94" spans="1:16" x14ac:dyDescent="0.2">
      <c r="A94" s="717">
        <v>41147</v>
      </c>
      <c r="B94" s="533">
        <v>2.169829</v>
      </c>
      <c r="F94" s="1137">
        <f t="shared" ref="F94:F157" si="11">J94-$I$19</f>
        <v>-1.7307121144500434E-2</v>
      </c>
      <c r="G94" s="1138"/>
      <c r="H94" s="520">
        <v>10095.34</v>
      </c>
      <c r="I94" s="512">
        <v>44042</v>
      </c>
      <c r="J94" s="254">
        <f t="shared" si="8"/>
        <v>-1.7275701585057979E-2</v>
      </c>
      <c r="L94" s="251">
        <f t="shared" si="9"/>
        <v>44042</v>
      </c>
      <c r="M94" s="513">
        <v>135.15</v>
      </c>
      <c r="N94" s="254">
        <f t="shared" si="10"/>
        <v>-3.1182795698924681E-2</v>
      </c>
      <c r="O94" s="1137">
        <f t="shared" ref="O94:O157" si="12">N94-$I$19</f>
        <v>-3.1214215258367137E-2</v>
      </c>
      <c r="P94" s="1138"/>
    </row>
    <row r="95" spans="1:16" x14ac:dyDescent="0.2">
      <c r="A95" s="717">
        <v>41154</v>
      </c>
      <c r="B95" s="533">
        <v>2.1263070000000002</v>
      </c>
      <c r="F95" s="1137">
        <f t="shared" si="11"/>
        <v>-4.5857870784875201E-4</v>
      </c>
      <c r="G95" s="1138"/>
      <c r="H95" s="520">
        <v>10272.81</v>
      </c>
      <c r="I95" s="512">
        <v>44041</v>
      </c>
      <c r="J95" s="254">
        <f t="shared" si="8"/>
        <v>-4.2715914840629754E-4</v>
      </c>
      <c r="L95" s="251">
        <f t="shared" si="9"/>
        <v>44041</v>
      </c>
      <c r="M95" s="513">
        <v>139.5</v>
      </c>
      <c r="N95" s="254">
        <f t="shared" si="10"/>
        <v>-1.3785790031813239E-2</v>
      </c>
      <c r="O95" s="1137">
        <f t="shared" si="12"/>
        <v>-1.3817209591255692E-2</v>
      </c>
      <c r="P95" s="1138"/>
    </row>
    <row r="96" spans="1:16" x14ac:dyDescent="0.2">
      <c r="A96" s="717">
        <v>41161</v>
      </c>
      <c r="B96" s="533">
        <v>2.1636890000000002</v>
      </c>
      <c r="F96" s="1137">
        <f t="shared" si="11"/>
        <v>4.4169562171388164E-4</v>
      </c>
      <c r="G96" s="1138"/>
      <c r="H96" s="520">
        <v>10277.200000000001</v>
      </c>
      <c r="I96" s="512">
        <v>44040</v>
      </c>
      <c r="J96" s="254">
        <f t="shared" si="8"/>
        <v>4.7311518115633611E-4</v>
      </c>
      <c r="L96" s="251">
        <f t="shared" si="9"/>
        <v>44040</v>
      </c>
      <c r="M96" s="513">
        <v>141.44999999999999</v>
      </c>
      <c r="N96" s="254">
        <f t="shared" si="10"/>
        <v>-1.1184900384481056E-2</v>
      </c>
      <c r="O96" s="1137">
        <f t="shared" si="12"/>
        <v>-1.1216319943923509E-2</v>
      </c>
      <c r="P96" s="1138"/>
    </row>
    <row r="97" spans="1:16" x14ac:dyDescent="0.2">
      <c r="A97" s="717">
        <v>41168</v>
      </c>
      <c r="B97" s="533">
        <v>2.2714629999999998</v>
      </c>
      <c r="F97" s="1137">
        <f t="shared" si="11"/>
        <v>5.6596715773171305E-3</v>
      </c>
      <c r="G97" s="1138"/>
      <c r="H97" s="520">
        <v>10272.34</v>
      </c>
      <c r="I97" s="512">
        <v>44039</v>
      </c>
      <c r="J97" s="254">
        <f t="shared" si="8"/>
        <v>5.6910911367595851E-3</v>
      </c>
      <c r="L97" s="251">
        <f t="shared" si="9"/>
        <v>44039</v>
      </c>
      <c r="M97" s="513">
        <v>143.05000000000001</v>
      </c>
      <c r="N97" s="254">
        <f t="shared" si="10"/>
        <v>-2.1545827633378756E-2</v>
      </c>
      <c r="O97" s="1137">
        <f t="shared" si="12"/>
        <v>-2.1577247192821211E-2</v>
      </c>
      <c r="P97" s="1138"/>
    </row>
    <row r="98" spans="1:16" x14ac:dyDescent="0.2">
      <c r="A98" s="717">
        <v>41175</v>
      </c>
      <c r="B98" s="533">
        <v>2.2624140000000001</v>
      </c>
      <c r="F98" s="1137">
        <f t="shared" si="11"/>
        <v>-1.6323802193998802E-2</v>
      </c>
      <c r="G98" s="1138"/>
      <c r="H98" s="520">
        <v>10214.209999999999</v>
      </c>
      <c r="I98" s="512">
        <v>44036</v>
      </c>
      <c r="J98" s="254">
        <f t="shared" si="8"/>
        <v>-1.6292382634556346E-2</v>
      </c>
      <c r="L98" s="251">
        <f t="shared" si="9"/>
        <v>44036</v>
      </c>
      <c r="M98" s="513">
        <v>146.19999999999999</v>
      </c>
      <c r="N98" s="254">
        <f t="shared" si="10"/>
        <v>-4.817708333333337E-2</v>
      </c>
      <c r="O98" s="1137">
        <f t="shared" si="12"/>
        <v>-4.8208502892775826E-2</v>
      </c>
      <c r="P98" s="1138"/>
    </row>
    <row r="99" spans="1:16" x14ac:dyDescent="0.2">
      <c r="A99" s="717">
        <v>41182</v>
      </c>
      <c r="B99" s="533">
        <v>2.1686779999999999</v>
      </c>
      <c r="F99" s="1137">
        <f t="shared" si="11"/>
        <v>-5.3633274743466871E-3</v>
      </c>
      <c r="G99" s="1138"/>
      <c r="H99" s="520">
        <v>10383.379999999999</v>
      </c>
      <c r="I99" s="512">
        <v>44035</v>
      </c>
      <c r="J99" s="254">
        <f t="shared" si="8"/>
        <v>-5.3319079149042325E-3</v>
      </c>
      <c r="L99" s="251">
        <f t="shared" si="9"/>
        <v>44035</v>
      </c>
      <c r="M99" s="513">
        <v>153.6</v>
      </c>
      <c r="N99" s="254">
        <f t="shared" si="10"/>
        <v>3.9215686274509665E-3</v>
      </c>
      <c r="O99" s="1137">
        <f t="shared" si="12"/>
        <v>3.8901490680085119E-3</v>
      </c>
      <c r="P99" s="1138"/>
    </row>
    <row r="100" spans="1:16" x14ac:dyDescent="0.2">
      <c r="A100" s="717">
        <v>41189</v>
      </c>
      <c r="B100" s="533">
        <v>2.1686239999999999</v>
      </c>
      <c r="F100" s="1137">
        <f t="shared" si="11"/>
        <v>-5.1111852679690164E-4</v>
      </c>
      <c r="G100" s="1138"/>
      <c r="H100" s="520">
        <v>10439.040000000001</v>
      </c>
      <c r="I100" s="512">
        <v>44034</v>
      </c>
      <c r="J100" s="254">
        <f t="shared" si="8"/>
        <v>-4.7969896735444717E-4</v>
      </c>
      <c r="L100" s="251">
        <f t="shared" si="9"/>
        <v>44034</v>
      </c>
      <c r="M100" s="513">
        <v>153</v>
      </c>
      <c r="N100" s="254">
        <f t="shared" si="10"/>
        <v>2.4439236692333388E-2</v>
      </c>
      <c r="O100" s="1137">
        <f t="shared" si="12"/>
        <v>2.4407817132890933E-2</v>
      </c>
      <c r="P100" s="1138"/>
    </row>
    <row r="101" spans="1:16" x14ac:dyDescent="0.2">
      <c r="A101" s="717">
        <v>41196</v>
      </c>
      <c r="B101" s="533">
        <v>2.145394</v>
      </c>
      <c r="F101" s="1137">
        <f t="shared" si="11"/>
        <v>-2.5975742048796454E-3</v>
      </c>
      <c r="G101" s="1138"/>
      <c r="H101" s="520">
        <v>10444.049999999999</v>
      </c>
      <c r="I101" s="512">
        <v>44033</v>
      </c>
      <c r="J101" s="254">
        <f t="shared" si="8"/>
        <v>-2.5661546454371909E-3</v>
      </c>
      <c r="L101" s="251">
        <f t="shared" si="9"/>
        <v>44033</v>
      </c>
      <c r="M101" s="513">
        <v>149.35</v>
      </c>
      <c r="N101" s="254">
        <f t="shared" si="10"/>
        <v>-1.7110891740704126E-2</v>
      </c>
      <c r="O101" s="1137">
        <f t="shared" si="12"/>
        <v>-1.7142311300146582E-2</v>
      </c>
      <c r="P101" s="1138"/>
    </row>
    <row r="102" spans="1:16" x14ac:dyDescent="0.2">
      <c r="A102" s="717">
        <v>41203</v>
      </c>
      <c r="B102" s="533">
        <v>2.215157</v>
      </c>
      <c r="F102" s="1137">
        <f t="shared" si="11"/>
        <v>5.7704039805921018E-3</v>
      </c>
      <c r="G102" s="1138"/>
      <c r="H102" s="520">
        <v>10470.92</v>
      </c>
      <c r="I102" s="512">
        <v>44032</v>
      </c>
      <c r="J102" s="254">
        <f t="shared" si="8"/>
        <v>5.8018235400345564E-3</v>
      </c>
      <c r="L102" s="251">
        <f t="shared" si="9"/>
        <v>44032</v>
      </c>
      <c r="M102" s="513">
        <v>151.94999999999999</v>
      </c>
      <c r="N102" s="254">
        <f t="shared" si="10"/>
        <v>1.4352469959946434E-2</v>
      </c>
      <c r="O102" s="1137">
        <f t="shared" si="12"/>
        <v>1.4321050400503981E-2</v>
      </c>
      <c r="P102" s="1138"/>
    </row>
    <row r="103" spans="1:16" x14ac:dyDescent="0.2">
      <c r="A103" s="717">
        <v>41210</v>
      </c>
      <c r="B103" s="533">
        <v>2.2116020000000001</v>
      </c>
      <c r="F103" s="1137">
        <f t="shared" si="11"/>
        <v>-2.227245860093304E-3</v>
      </c>
      <c r="G103" s="1138"/>
      <c r="H103" s="520">
        <v>10410.52</v>
      </c>
      <c r="I103" s="512">
        <v>44029</v>
      </c>
      <c r="J103" s="254">
        <f t="shared" si="8"/>
        <v>-2.1958263006508494E-3</v>
      </c>
      <c r="L103" s="251">
        <f t="shared" si="9"/>
        <v>44029</v>
      </c>
      <c r="M103" s="513">
        <v>149.80000000000001</v>
      </c>
      <c r="N103" s="254">
        <f t="shared" si="10"/>
        <v>-1.9986675549632515E-3</v>
      </c>
      <c r="O103" s="1137">
        <f t="shared" si="12"/>
        <v>-2.0300871144057061E-3</v>
      </c>
      <c r="P103" s="1138"/>
    </row>
    <row r="104" spans="1:16" x14ac:dyDescent="0.2">
      <c r="A104" s="717">
        <v>41217</v>
      </c>
      <c r="B104" s="533">
        <v>2.1703769999999998</v>
      </c>
      <c r="F104" s="1137">
        <f t="shared" si="11"/>
        <v>-2.5725261167019306E-3</v>
      </c>
      <c r="G104" s="1138"/>
      <c r="H104" s="520">
        <v>10433.43</v>
      </c>
      <c r="I104" s="512">
        <v>44028</v>
      </c>
      <c r="J104" s="254">
        <f t="shared" si="8"/>
        <v>-2.541106557259476E-3</v>
      </c>
      <c r="L104" s="251">
        <f t="shared" si="9"/>
        <v>44028</v>
      </c>
      <c r="M104" s="513">
        <v>150.1</v>
      </c>
      <c r="N104" s="254">
        <f t="shared" si="10"/>
        <v>-6.5088757396449815E-2</v>
      </c>
      <c r="O104" s="1137">
        <f t="shared" si="12"/>
        <v>-6.512017695589227E-2</v>
      </c>
      <c r="P104" s="1138"/>
    </row>
    <row r="105" spans="1:16" x14ac:dyDescent="0.2">
      <c r="A105" s="717">
        <v>41224</v>
      </c>
      <c r="B105" s="533">
        <v>2.119945</v>
      </c>
      <c r="F105" s="1137">
        <f t="shared" si="11"/>
        <v>1.9512417859535128E-2</v>
      </c>
      <c r="G105" s="1138"/>
      <c r="H105" s="520">
        <v>10460.01</v>
      </c>
      <c r="I105" s="512">
        <v>44027</v>
      </c>
      <c r="J105" s="254">
        <f t="shared" si="8"/>
        <v>1.9543837418977583E-2</v>
      </c>
      <c r="L105" s="251">
        <f t="shared" si="9"/>
        <v>44027</v>
      </c>
      <c r="M105" s="513">
        <v>160.55000000000001</v>
      </c>
      <c r="N105" s="254">
        <f t="shared" si="10"/>
        <v>6.2676277029143357E-3</v>
      </c>
      <c r="O105" s="1137">
        <f t="shared" si="12"/>
        <v>6.2362081434718811E-3</v>
      </c>
      <c r="P105" s="1138"/>
    </row>
    <row r="106" spans="1:16" x14ac:dyDescent="0.2">
      <c r="A106" s="717">
        <v>41231</v>
      </c>
      <c r="B106" s="533">
        <v>2.0707749999999998</v>
      </c>
      <c r="F106" s="1137">
        <f t="shared" si="11"/>
        <v>-4.0562871445995316E-3</v>
      </c>
      <c r="G106" s="1138"/>
      <c r="H106" s="520">
        <v>10259.5</v>
      </c>
      <c r="I106" s="512">
        <v>44026</v>
      </c>
      <c r="J106" s="254">
        <f t="shared" si="8"/>
        <v>-4.024867585157077E-3</v>
      </c>
      <c r="L106" s="251">
        <f t="shared" si="9"/>
        <v>44026</v>
      </c>
      <c r="M106" s="513">
        <v>159.55000000000001</v>
      </c>
      <c r="N106" s="254">
        <f t="shared" si="10"/>
        <v>-1.1155872327238803E-2</v>
      </c>
      <c r="O106" s="1137">
        <f t="shared" si="12"/>
        <v>-1.1187291886681256E-2</v>
      </c>
      <c r="P106" s="1138"/>
    </row>
    <row r="107" spans="1:16" x14ac:dyDescent="0.2">
      <c r="A107" s="717">
        <v>41238</v>
      </c>
      <c r="B107" s="533">
        <v>2.1393580000000001</v>
      </c>
      <c r="F107" s="1137">
        <f t="shared" si="11"/>
        <v>6.9079947301399916E-3</v>
      </c>
      <c r="G107" s="1138"/>
      <c r="H107" s="520">
        <v>10300.959999999999</v>
      </c>
      <c r="I107" s="512">
        <v>44025</v>
      </c>
      <c r="J107" s="254">
        <f t="shared" si="8"/>
        <v>6.9394142895824462E-3</v>
      </c>
      <c r="L107" s="251">
        <f t="shared" si="9"/>
        <v>44025</v>
      </c>
      <c r="M107" s="513">
        <v>161.35</v>
      </c>
      <c r="N107" s="254">
        <f t="shared" si="10"/>
        <v>2.4769768180374685E-2</v>
      </c>
      <c r="O107" s="1137">
        <f t="shared" si="12"/>
        <v>2.473834862093223E-2</v>
      </c>
      <c r="P107" s="1138"/>
    </row>
    <row r="108" spans="1:16" x14ac:dyDescent="0.2">
      <c r="A108" s="717">
        <v>41245</v>
      </c>
      <c r="B108" s="533">
        <v>2.0990600000000001</v>
      </c>
      <c r="F108" s="1137">
        <f t="shared" si="11"/>
        <v>8.5051826382471375E-3</v>
      </c>
      <c r="G108" s="1138"/>
      <c r="H108" s="520">
        <v>10229.969999999999</v>
      </c>
      <c r="I108" s="512">
        <v>44022</v>
      </c>
      <c r="J108" s="254">
        <f t="shared" si="8"/>
        <v>8.5366021976895912E-3</v>
      </c>
      <c r="L108" s="251">
        <f t="shared" si="9"/>
        <v>44022</v>
      </c>
      <c r="M108" s="513">
        <v>157.44999999999999</v>
      </c>
      <c r="N108" s="254">
        <f t="shared" si="10"/>
        <v>9.5359186268262341E-4</v>
      </c>
      <c r="O108" s="1137">
        <f t="shared" si="12"/>
        <v>9.2217230324016894E-4</v>
      </c>
      <c r="P108" s="1138"/>
    </row>
    <row r="109" spans="1:16" x14ac:dyDescent="0.2">
      <c r="A109" s="717">
        <v>41252</v>
      </c>
      <c r="B109" s="533">
        <v>2.069401</v>
      </c>
      <c r="F109" s="1137">
        <f t="shared" si="11"/>
        <v>-3.4730180016353937E-3</v>
      </c>
      <c r="G109" s="1138"/>
      <c r="H109" s="520">
        <v>10143.379999999999</v>
      </c>
      <c r="I109" s="512">
        <v>44021</v>
      </c>
      <c r="J109" s="254">
        <f t="shared" si="8"/>
        <v>-3.4415984421929391E-3</v>
      </c>
      <c r="L109" s="251">
        <f t="shared" si="9"/>
        <v>44021</v>
      </c>
      <c r="M109" s="513">
        <v>157.30000000000001</v>
      </c>
      <c r="N109" s="254">
        <f t="shared" si="10"/>
        <v>1.353092783505172E-2</v>
      </c>
      <c r="O109" s="1137">
        <f t="shared" si="12"/>
        <v>1.3499508275609267E-2</v>
      </c>
      <c r="P109" s="1138"/>
    </row>
    <row r="110" spans="1:16" x14ac:dyDescent="0.2">
      <c r="A110" s="717">
        <v>41259</v>
      </c>
      <c r="B110" s="533">
        <v>2.1068120000000001</v>
      </c>
      <c r="F110" s="1137">
        <f t="shared" si="11"/>
        <v>-2.9262193039554648E-3</v>
      </c>
      <c r="G110" s="1138"/>
      <c r="H110" s="520">
        <v>10178.41</v>
      </c>
      <c r="I110" s="512">
        <v>44020</v>
      </c>
      <c r="J110" s="254">
        <f t="shared" si="8"/>
        <v>-2.8947997445130103E-3</v>
      </c>
      <c r="L110" s="251">
        <f t="shared" si="9"/>
        <v>44020</v>
      </c>
      <c r="M110" s="513">
        <v>155.19999999999999</v>
      </c>
      <c r="N110" s="254">
        <f t="shared" si="10"/>
        <v>9.1027308192457301E-3</v>
      </c>
      <c r="O110" s="1137">
        <f t="shared" si="12"/>
        <v>9.0713112598032764E-3</v>
      </c>
      <c r="P110" s="1138"/>
    </row>
    <row r="111" spans="1:16" x14ac:dyDescent="0.2">
      <c r="A111" s="717">
        <v>41266</v>
      </c>
      <c r="B111" s="533">
        <v>2.171551</v>
      </c>
      <c r="F111" s="1137">
        <f t="shared" si="11"/>
        <v>-4.461178331671741E-3</v>
      </c>
      <c r="G111" s="1138"/>
      <c r="H111" s="520">
        <v>10207.959999999999</v>
      </c>
      <c r="I111" s="512">
        <v>44019</v>
      </c>
      <c r="J111" s="254">
        <f t="shared" si="8"/>
        <v>-4.4297587722292864E-3</v>
      </c>
      <c r="L111" s="251">
        <f t="shared" si="9"/>
        <v>44019</v>
      </c>
      <c r="M111" s="513">
        <v>153.80000000000001</v>
      </c>
      <c r="N111" s="254">
        <f t="shared" si="10"/>
        <v>-9.3397745571658364E-3</v>
      </c>
      <c r="O111" s="1137">
        <f t="shared" si="12"/>
        <v>-9.3711941166082901E-3</v>
      </c>
      <c r="P111" s="1138"/>
    </row>
    <row r="112" spans="1:16" x14ac:dyDescent="0.2">
      <c r="A112" s="717">
        <v>41273</v>
      </c>
      <c r="B112" s="533">
        <v>2.1334749999999998</v>
      </c>
      <c r="F112" s="1137">
        <f t="shared" si="11"/>
        <v>1.2564078690579144E-2</v>
      </c>
      <c r="G112" s="1138"/>
      <c r="H112" s="520">
        <v>10253.379999999999</v>
      </c>
      <c r="I112" s="512">
        <v>44018</v>
      </c>
      <c r="J112" s="254">
        <f t="shared" si="8"/>
        <v>1.2595498250021597E-2</v>
      </c>
      <c r="L112" s="251">
        <f t="shared" si="9"/>
        <v>44018</v>
      </c>
      <c r="M112" s="513">
        <v>155.25</v>
      </c>
      <c r="N112" s="254">
        <f t="shared" si="10"/>
        <v>3.8114343029087117E-2</v>
      </c>
      <c r="O112" s="1137">
        <f t="shared" si="12"/>
        <v>3.8082923469644661E-2</v>
      </c>
      <c r="P112" s="1138"/>
    </row>
    <row r="113" spans="1:16" x14ac:dyDescent="0.2">
      <c r="A113" s="717">
        <v>41280</v>
      </c>
      <c r="B113" s="533">
        <v>2.2270029999999998</v>
      </c>
      <c r="F113" s="1137">
        <f t="shared" si="11"/>
        <v>-6.0897887862248331E-3</v>
      </c>
      <c r="G113" s="1138"/>
      <c r="H113" s="520">
        <v>10125.84</v>
      </c>
      <c r="I113" s="512">
        <v>44015</v>
      </c>
      <c r="J113" s="254">
        <f t="shared" si="8"/>
        <v>-6.0583692267823785E-3</v>
      </c>
      <c r="L113" s="251">
        <f t="shared" si="9"/>
        <v>44015</v>
      </c>
      <c r="M113" s="513">
        <v>149.55000000000001</v>
      </c>
      <c r="N113" s="254">
        <f t="shared" si="10"/>
        <v>1.3554727211114947E-2</v>
      </c>
      <c r="O113" s="1137">
        <f t="shared" si="12"/>
        <v>1.3523307651672494E-2</v>
      </c>
      <c r="P113" s="1138"/>
    </row>
    <row r="114" spans="1:16" x14ac:dyDescent="0.2">
      <c r="A114" s="717">
        <v>41287</v>
      </c>
      <c r="B114" s="533">
        <v>2.2343649999999999</v>
      </c>
      <c r="F114" s="1137">
        <f t="shared" si="11"/>
        <v>9.6705825873075347E-3</v>
      </c>
      <c r="G114" s="1138"/>
      <c r="H114" s="520">
        <v>10187.56</v>
      </c>
      <c r="I114" s="512">
        <v>44014</v>
      </c>
      <c r="J114" s="254">
        <f t="shared" si="8"/>
        <v>9.7020021467499884E-3</v>
      </c>
      <c r="L114" s="251">
        <f t="shared" si="9"/>
        <v>44014</v>
      </c>
      <c r="M114" s="513">
        <v>147.55000000000001</v>
      </c>
      <c r="N114" s="254">
        <f t="shared" si="10"/>
        <v>-6.772773450727243E-4</v>
      </c>
      <c r="O114" s="1137">
        <f t="shared" si="12"/>
        <v>-7.0869690451517877E-4</v>
      </c>
      <c r="P114" s="1138"/>
    </row>
    <row r="115" spans="1:16" x14ac:dyDescent="0.2">
      <c r="A115" s="717">
        <v>41294</v>
      </c>
      <c r="B115" s="533">
        <v>2.2263929999999998</v>
      </c>
      <c r="F115" s="1137">
        <f t="shared" si="11"/>
        <v>4.3855714711888575E-3</v>
      </c>
      <c r="G115" s="1138"/>
      <c r="H115" s="520">
        <v>10089.67</v>
      </c>
      <c r="I115" s="512">
        <v>44013</v>
      </c>
      <c r="J115" s="254">
        <f t="shared" si="8"/>
        <v>4.416991030631312E-3</v>
      </c>
      <c r="L115" s="251">
        <f t="shared" si="9"/>
        <v>44013</v>
      </c>
      <c r="M115" s="513">
        <v>147.65</v>
      </c>
      <c r="N115" s="254">
        <f t="shared" si="10"/>
        <v>3.397893306150257E-3</v>
      </c>
      <c r="O115" s="1137">
        <f t="shared" si="12"/>
        <v>3.3664737467078024E-3</v>
      </c>
      <c r="P115" s="1138"/>
    </row>
    <row r="116" spans="1:16" x14ac:dyDescent="0.2">
      <c r="A116" s="717">
        <v>41301</v>
      </c>
      <c r="B116" s="533">
        <v>2.2604950000000001</v>
      </c>
      <c r="F116" s="1137">
        <f t="shared" si="11"/>
        <v>-1.5383089064503882E-3</v>
      </c>
      <c r="G116" s="1138"/>
      <c r="H116" s="520">
        <v>10045.299999999999</v>
      </c>
      <c r="I116" s="512">
        <v>44012</v>
      </c>
      <c r="J116" s="254">
        <f t="shared" si="8"/>
        <v>-1.5068893470079336E-3</v>
      </c>
      <c r="L116" s="251">
        <f t="shared" si="9"/>
        <v>44012</v>
      </c>
      <c r="M116" s="513">
        <v>147.15</v>
      </c>
      <c r="N116" s="254">
        <f t="shared" si="10"/>
        <v>5.0696179935737273E-2</v>
      </c>
      <c r="O116" s="1137">
        <f t="shared" si="12"/>
        <v>5.0664760376294818E-2</v>
      </c>
      <c r="P116" s="1138"/>
    </row>
    <row r="117" spans="1:16" x14ac:dyDescent="0.2">
      <c r="A117" s="717">
        <v>41308</v>
      </c>
      <c r="B117" s="533">
        <v>2.3449339999999999</v>
      </c>
      <c r="F117" s="1137">
        <f t="shared" si="11"/>
        <v>1.8158385816879489E-3</v>
      </c>
      <c r="G117" s="1138"/>
      <c r="H117" s="520">
        <v>10060.459999999999</v>
      </c>
      <c r="I117" s="512">
        <v>44011</v>
      </c>
      <c r="J117" s="254">
        <f t="shared" si="8"/>
        <v>1.8472581411304034E-3</v>
      </c>
      <c r="L117" s="251">
        <f t="shared" si="9"/>
        <v>44011</v>
      </c>
      <c r="M117" s="513">
        <v>140.05000000000001</v>
      </c>
      <c r="N117" s="254">
        <f t="shared" si="10"/>
        <v>-9.8974902792504649E-3</v>
      </c>
      <c r="O117" s="1137">
        <f t="shared" si="12"/>
        <v>-9.9289098386929186E-3</v>
      </c>
      <c r="P117" s="1138"/>
    </row>
    <row r="118" spans="1:16" x14ac:dyDescent="0.2">
      <c r="A118" s="717">
        <v>41315</v>
      </c>
      <c r="B118" s="533">
        <v>2.323909</v>
      </c>
      <c r="F118" s="1137">
        <f t="shared" si="11"/>
        <v>-4.780756267791327E-3</v>
      </c>
      <c r="G118" s="1138"/>
      <c r="H118" s="520">
        <v>10041.91</v>
      </c>
      <c r="I118" s="512">
        <v>44008</v>
      </c>
      <c r="J118" s="254">
        <f t="shared" si="8"/>
        <v>-4.7493367083488724E-3</v>
      </c>
      <c r="L118" s="251">
        <f t="shared" si="9"/>
        <v>44008</v>
      </c>
      <c r="M118" s="513">
        <v>141.44999999999999</v>
      </c>
      <c r="N118" s="254">
        <f t="shared" si="10"/>
        <v>1.9826964671953773E-2</v>
      </c>
      <c r="O118" s="1137">
        <f t="shared" si="12"/>
        <v>1.9795545112511317E-2</v>
      </c>
      <c r="P118" s="1138"/>
    </row>
    <row r="119" spans="1:16" x14ac:dyDescent="0.2">
      <c r="A119" s="717">
        <v>41322</v>
      </c>
      <c r="B119" s="533">
        <v>2.344665</v>
      </c>
      <c r="F119" s="1137">
        <f t="shared" si="11"/>
        <v>6.7376951572954572E-3</v>
      </c>
      <c r="G119" s="1138"/>
      <c r="H119" s="520">
        <v>10089.83</v>
      </c>
      <c r="I119" s="512">
        <v>44007</v>
      </c>
      <c r="J119" s="254">
        <f t="shared" si="8"/>
        <v>6.7691147167379118E-3</v>
      </c>
      <c r="L119" s="251">
        <f t="shared" si="9"/>
        <v>44007</v>
      </c>
      <c r="M119" s="513">
        <v>138.69999999999999</v>
      </c>
      <c r="N119" s="254">
        <f t="shared" si="10"/>
        <v>-1.140413399857465E-2</v>
      </c>
      <c r="O119" s="1137">
        <f t="shared" si="12"/>
        <v>-1.1435553558017104E-2</v>
      </c>
      <c r="P119" s="1138"/>
    </row>
    <row r="120" spans="1:16" x14ac:dyDescent="0.2">
      <c r="A120" s="717">
        <v>41329</v>
      </c>
      <c r="B120" s="533">
        <v>2.314835</v>
      </c>
      <c r="F120" s="1137">
        <f t="shared" si="11"/>
        <v>-2.1948043284868365E-2</v>
      </c>
      <c r="G120" s="1138"/>
      <c r="H120" s="520">
        <v>10021.99</v>
      </c>
      <c r="I120" s="512">
        <v>44006</v>
      </c>
      <c r="J120" s="254">
        <f t="shared" si="8"/>
        <v>-2.191662372542591E-2</v>
      </c>
      <c r="L120" s="251">
        <f t="shared" si="9"/>
        <v>44006</v>
      </c>
      <c r="M120" s="513">
        <v>140.30000000000001</v>
      </c>
      <c r="N120" s="254">
        <f t="shared" si="10"/>
        <v>-2.9737206085753698E-2</v>
      </c>
      <c r="O120" s="1137">
        <f t="shared" si="12"/>
        <v>-2.9768625645196153E-2</v>
      </c>
      <c r="P120" s="1138"/>
    </row>
    <row r="121" spans="1:16" x14ac:dyDescent="0.2">
      <c r="A121" s="717">
        <v>41336</v>
      </c>
      <c r="B121" s="533">
        <v>2.2371089999999998</v>
      </c>
      <c r="F121" s="1137">
        <f t="shared" si="11"/>
        <v>9.3695042785932482E-3</v>
      </c>
      <c r="G121" s="1138"/>
      <c r="H121" s="520">
        <v>10246.56</v>
      </c>
      <c r="I121" s="512">
        <v>44005</v>
      </c>
      <c r="J121" s="254">
        <f t="shared" si="8"/>
        <v>9.4009238380357019E-3</v>
      </c>
      <c r="L121" s="251">
        <f t="shared" si="9"/>
        <v>44005</v>
      </c>
      <c r="M121" s="513">
        <v>144.6</v>
      </c>
      <c r="N121" s="254">
        <f t="shared" si="10"/>
        <v>1.4025245441795287E-2</v>
      </c>
      <c r="O121" s="1137">
        <f t="shared" si="12"/>
        <v>1.3993825882352833E-2</v>
      </c>
      <c r="P121" s="1138"/>
    </row>
    <row r="122" spans="1:16" x14ac:dyDescent="0.2">
      <c r="A122" s="717">
        <v>41343</v>
      </c>
      <c r="B122" s="533">
        <v>2.2790979999999998</v>
      </c>
      <c r="F122" s="1137">
        <f t="shared" si="11"/>
        <v>-1.1248714219928497E-2</v>
      </c>
      <c r="G122" s="1138"/>
      <c r="H122" s="520">
        <v>10151.129999999999</v>
      </c>
      <c r="I122" s="512">
        <v>44004</v>
      </c>
      <c r="J122" s="254">
        <f t="shared" si="8"/>
        <v>-1.1217294660486044E-2</v>
      </c>
      <c r="L122" s="251">
        <f t="shared" si="9"/>
        <v>44004</v>
      </c>
      <c r="M122" s="513">
        <v>142.6</v>
      </c>
      <c r="N122" s="254">
        <f t="shared" si="10"/>
        <v>-2.0940611053896441E-2</v>
      </c>
      <c r="O122" s="1137">
        <f t="shared" si="12"/>
        <v>-2.0972030613338896E-2</v>
      </c>
      <c r="P122" s="1138"/>
    </row>
    <row r="123" spans="1:16" x14ac:dyDescent="0.2">
      <c r="A123" s="717">
        <v>41350</v>
      </c>
      <c r="B123" s="533">
        <v>2.3148580000000001</v>
      </c>
      <c r="F123" s="1137">
        <f t="shared" si="11"/>
        <v>7.8014965550227836E-3</v>
      </c>
      <c r="G123" s="1138"/>
      <c r="H123" s="520">
        <v>10266.290000000001</v>
      </c>
      <c r="I123" s="512">
        <v>44001</v>
      </c>
      <c r="J123" s="254">
        <f t="shared" si="8"/>
        <v>7.8329161144652382E-3</v>
      </c>
      <c r="L123" s="251">
        <f t="shared" si="9"/>
        <v>44001</v>
      </c>
      <c r="M123" s="513">
        <v>145.65</v>
      </c>
      <c r="N123" s="254">
        <f t="shared" si="10"/>
        <v>1.7108938547486074E-2</v>
      </c>
      <c r="O123" s="1137">
        <f t="shared" si="12"/>
        <v>1.7077518988043619E-2</v>
      </c>
      <c r="P123" s="1138"/>
    </row>
    <row r="124" spans="1:16" x14ac:dyDescent="0.2">
      <c r="A124" s="717">
        <v>41357</v>
      </c>
      <c r="B124" s="533">
        <v>2.2604000000000002</v>
      </c>
      <c r="F124" s="1137">
        <f t="shared" si="11"/>
        <v>-1.56932465628938E-3</v>
      </c>
      <c r="G124" s="1138"/>
      <c r="H124" s="520">
        <v>10186.5</v>
      </c>
      <c r="I124" s="512">
        <v>44000</v>
      </c>
      <c r="J124" s="254">
        <f t="shared" si="8"/>
        <v>-1.5379050968469254E-3</v>
      </c>
      <c r="L124" s="251">
        <f t="shared" si="9"/>
        <v>44000</v>
      </c>
      <c r="M124" s="513">
        <v>143.19999999999999</v>
      </c>
      <c r="N124" s="254">
        <f t="shared" si="10"/>
        <v>7.0323488045007654E-3</v>
      </c>
      <c r="O124" s="1137">
        <f t="shared" si="12"/>
        <v>7.0009292450583108E-3</v>
      </c>
      <c r="P124" s="1138"/>
    </row>
    <row r="125" spans="1:16" x14ac:dyDescent="0.2">
      <c r="A125" s="717">
        <v>41364</v>
      </c>
      <c r="B125" s="533">
        <v>2.2218140000000002</v>
      </c>
      <c r="F125" s="1137">
        <f t="shared" si="11"/>
        <v>1.6701204273434647E-2</v>
      </c>
      <c r="G125" s="1138"/>
      <c r="H125" s="520">
        <v>10202.19</v>
      </c>
      <c r="I125" s="512">
        <v>43999</v>
      </c>
      <c r="J125" s="254">
        <f t="shared" si="8"/>
        <v>1.6732623832877103E-2</v>
      </c>
      <c r="L125" s="251">
        <f t="shared" si="9"/>
        <v>43999</v>
      </c>
      <c r="M125" s="513">
        <v>142.19999999999999</v>
      </c>
      <c r="N125" s="254">
        <f t="shared" si="10"/>
        <v>1.898960945897521E-2</v>
      </c>
      <c r="O125" s="1137">
        <f t="shared" si="12"/>
        <v>1.8958189899532754E-2</v>
      </c>
      <c r="P125" s="1138"/>
    </row>
    <row r="126" spans="1:16" x14ac:dyDescent="0.2">
      <c r="A126" s="717">
        <v>41371</v>
      </c>
      <c r="B126" s="533">
        <v>2.1568010000000002</v>
      </c>
      <c r="F126" s="1137">
        <f t="shared" si="11"/>
        <v>1.944826865175471E-2</v>
      </c>
      <c r="G126" s="1138"/>
      <c r="H126" s="520">
        <v>10034.290000000001</v>
      </c>
      <c r="I126" s="512">
        <v>43998</v>
      </c>
      <c r="J126" s="254">
        <f t="shared" si="8"/>
        <v>1.9479688211197166E-2</v>
      </c>
      <c r="L126" s="251">
        <f t="shared" si="9"/>
        <v>43998</v>
      </c>
      <c r="M126" s="513">
        <v>139.55000000000001</v>
      </c>
      <c r="N126" s="254">
        <f t="shared" si="10"/>
        <v>2.1969974368363232E-2</v>
      </c>
      <c r="O126" s="1137">
        <f t="shared" si="12"/>
        <v>2.1938554808920777E-2</v>
      </c>
      <c r="P126" s="1138"/>
    </row>
    <row r="127" spans="1:16" x14ac:dyDescent="0.2">
      <c r="A127" s="717">
        <v>41378</v>
      </c>
      <c r="B127" s="533">
        <v>2.1449799999999999</v>
      </c>
      <c r="F127" s="1137">
        <f t="shared" si="11"/>
        <v>4.6835922255350085E-3</v>
      </c>
      <c r="G127" s="1138"/>
      <c r="H127" s="520">
        <v>9842.56</v>
      </c>
      <c r="I127" s="512">
        <v>43997</v>
      </c>
      <c r="J127" s="254">
        <f t="shared" si="8"/>
        <v>4.7150117849774631E-3</v>
      </c>
      <c r="L127" s="251">
        <f t="shared" si="9"/>
        <v>43997</v>
      </c>
      <c r="M127" s="513">
        <v>136.55000000000001</v>
      </c>
      <c r="N127" s="254">
        <f t="shared" si="10"/>
        <v>-2.9207740051111486E-3</v>
      </c>
      <c r="O127" s="1137">
        <f t="shared" si="12"/>
        <v>-2.9521935645536032E-3</v>
      </c>
      <c r="P127" s="1138"/>
    </row>
    <row r="128" spans="1:16" x14ac:dyDescent="0.2">
      <c r="A128" s="717">
        <v>41385</v>
      </c>
      <c r="B128" s="533">
        <v>2.1079979999999998</v>
      </c>
      <c r="F128" s="1137">
        <f t="shared" si="11"/>
        <v>-3.3085969339970286E-3</v>
      </c>
      <c r="G128" s="1138"/>
      <c r="H128" s="520">
        <v>9796.3700000000008</v>
      </c>
      <c r="I128" s="512">
        <v>43994</v>
      </c>
      <c r="J128" s="254">
        <f t="shared" si="8"/>
        <v>-3.277177374554574E-3</v>
      </c>
      <c r="L128" s="251">
        <f t="shared" si="9"/>
        <v>43994</v>
      </c>
      <c r="M128" s="513">
        <v>136.94999999999999</v>
      </c>
      <c r="N128" s="254">
        <f t="shared" si="10"/>
        <v>1.8215613382899454E-2</v>
      </c>
      <c r="O128" s="1137">
        <f t="shared" si="12"/>
        <v>1.8184193823456998E-2</v>
      </c>
      <c r="P128" s="1138"/>
    </row>
    <row r="129" spans="1:16" x14ac:dyDescent="0.2">
      <c r="A129" s="717">
        <v>41392</v>
      </c>
      <c r="B129" s="533">
        <v>2.0798019999999999</v>
      </c>
      <c r="F129" s="1137">
        <f t="shared" si="11"/>
        <v>-3.1429305474544075E-2</v>
      </c>
      <c r="G129" s="1138"/>
      <c r="H129" s="520">
        <v>9828.58</v>
      </c>
      <c r="I129" s="512">
        <v>43993</v>
      </c>
      <c r="J129" s="254">
        <f t="shared" si="8"/>
        <v>-3.139788591510162E-2</v>
      </c>
      <c r="L129" s="251">
        <f t="shared" si="9"/>
        <v>43993</v>
      </c>
      <c r="M129" s="513">
        <v>134.5</v>
      </c>
      <c r="N129" s="254">
        <f t="shared" si="10"/>
        <v>-3.791130185979974E-2</v>
      </c>
      <c r="O129" s="1137">
        <f t="shared" si="12"/>
        <v>-3.7942721419242195E-2</v>
      </c>
      <c r="P129" s="1138"/>
    </row>
    <row r="130" spans="1:16" x14ac:dyDescent="0.2">
      <c r="A130" s="717">
        <v>41399</v>
      </c>
      <c r="B130" s="533">
        <v>2.0676320000000001</v>
      </c>
      <c r="F130" s="1137">
        <f t="shared" si="11"/>
        <v>-3.7271157033114529E-3</v>
      </c>
      <c r="G130" s="1138"/>
      <c r="H130" s="520">
        <v>10147.18</v>
      </c>
      <c r="I130" s="512">
        <v>43992</v>
      </c>
      <c r="J130" s="254">
        <f t="shared" si="8"/>
        <v>-3.6956961438689984E-3</v>
      </c>
      <c r="L130" s="251">
        <f t="shared" si="9"/>
        <v>43992</v>
      </c>
      <c r="M130" s="513">
        <v>139.80000000000001</v>
      </c>
      <c r="N130" s="254">
        <f t="shared" si="10"/>
        <v>-2.4764562260202183E-2</v>
      </c>
      <c r="O130" s="1137">
        <f t="shared" si="12"/>
        <v>-2.4795981819644639E-2</v>
      </c>
      <c r="P130" s="1138"/>
    </row>
    <row r="131" spans="1:16" x14ac:dyDescent="0.2">
      <c r="A131" s="717">
        <v>41406</v>
      </c>
      <c r="B131" s="533">
        <v>2.1329959999999999</v>
      </c>
      <c r="F131" s="1137">
        <f t="shared" si="11"/>
        <v>3.1253544047071405E-3</v>
      </c>
      <c r="G131" s="1138"/>
      <c r="H131" s="520">
        <v>10184.82</v>
      </c>
      <c r="I131" s="512">
        <v>43991</v>
      </c>
      <c r="J131" s="254">
        <f t="shared" si="8"/>
        <v>3.1567739641495951E-3</v>
      </c>
      <c r="L131" s="251">
        <f t="shared" si="9"/>
        <v>43991</v>
      </c>
      <c r="M131" s="513">
        <v>143.35</v>
      </c>
      <c r="N131" s="254">
        <f t="shared" si="10"/>
        <v>-5.8945908460471541E-3</v>
      </c>
      <c r="O131" s="1137">
        <f t="shared" si="12"/>
        <v>-5.9260104054896087E-3</v>
      </c>
      <c r="P131" s="1138"/>
    </row>
    <row r="132" spans="1:16" x14ac:dyDescent="0.2">
      <c r="A132" s="717">
        <v>41413</v>
      </c>
      <c r="B132" s="533">
        <v>2.1285270000000001</v>
      </c>
      <c r="F132" s="1137">
        <f t="shared" si="11"/>
        <v>-3.7211776349588685E-3</v>
      </c>
      <c r="G132" s="1138"/>
      <c r="H132" s="520">
        <v>10152.77</v>
      </c>
      <c r="I132" s="512">
        <v>43990</v>
      </c>
      <c r="J132" s="254">
        <f t="shared" si="8"/>
        <v>-3.6897580755164139E-3</v>
      </c>
      <c r="L132" s="251">
        <f t="shared" si="9"/>
        <v>43990</v>
      </c>
      <c r="M132" s="513">
        <v>144.19999999999999</v>
      </c>
      <c r="N132" s="254">
        <f t="shared" si="10"/>
        <v>-8.934707903780148E-3</v>
      </c>
      <c r="O132" s="1137">
        <f t="shared" si="12"/>
        <v>-8.9661274632226017E-3</v>
      </c>
      <c r="P132" s="1138"/>
    </row>
    <row r="133" spans="1:16" x14ac:dyDescent="0.2">
      <c r="A133" s="717">
        <v>41420</v>
      </c>
      <c r="B133" s="533">
        <v>2.201953</v>
      </c>
      <c r="F133" s="1137">
        <f t="shared" si="11"/>
        <v>1.1351434997272274E-2</v>
      </c>
      <c r="G133" s="1138"/>
      <c r="H133" s="520">
        <v>10190.370000000001</v>
      </c>
      <c r="I133" s="512">
        <v>43987</v>
      </c>
      <c r="J133" s="254">
        <f t="shared" si="8"/>
        <v>1.1382854556714728E-2</v>
      </c>
      <c r="L133" s="251">
        <f t="shared" si="9"/>
        <v>43987</v>
      </c>
      <c r="M133" s="513">
        <v>145.5</v>
      </c>
      <c r="N133" s="254">
        <f t="shared" si="10"/>
        <v>2.4112986565620886E-3</v>
      </c>
      <c r="O133" s="1137">
        <f t="shared" si="12"/>
        <v>2.3798790971196341E-3</v>
      </c>
      <c r="P133" s="1138"/>
    </row>
    <row r="134" spans="1:16" x14ac:dyDescent="0.2">
      <c r="A134" s="717">
        <v>41427</v>
      </c>
      <c r="B134" s="533">
        <v>2.3167330000000002</v>
      </c>
      <c r="F134" s="1137">
        <f t="shared" si="11"/>
        <v>-1.0645367046473271E-2</v>
      </c>
      <c r="G134" s="1138"/>
      <c r="H134" s="520">
        <v>10075.68</v>
      </c>
      <c r="I134" s="512">
        <v>43986</v>
      </c>
      <c r="J134" s="254">
        <f t="shared" si="8"/>
        <v>-1.0613947487030817E-2</v>
      </c>
      <c r="L134" s="251">
        <f t="shared" si="9"/>
        <v>43986</v>
      </c>
      <c r="M134" s="513">
        <v>145.15</v>
      </c>
      <c r="N134" s="254">
        <f t="shared" si="10"/>
        <v>-6.1622731941116671E-3</v>
      </c>
      <c r="O134" s="1137">
        <f t="shared" si="12"/>
        <v>-6.1936927535541217E-3</v>
      </c>
      <c r="P134" s="1138"/>
    </row>
    <row r="135" spans="1:16" x14ac:dyDescent="0.2">
      <c r="A135" s="717">
        <v>41434</v>
      </c>
      <c r="B135" s="533">
        <v>2.330727</v>
      </c>
      <c r="F135" s="1137">
        <f t="shared" si="11"/>
        <v>2.3313922074188878E-2</v>
      </c>
      <c r="G135" s="1138"/>
      <c r="H135" s="520">
        <v>10183.77</v>
      </c>
      <c r="I135" s="512">
        <v>43985</v>
      </c>
      <c r="J135" s="254">
        <f t="shared" si="8"/>
        <v>2.3345341633631334E-2</v>
      </c>
      <c r="L135" s="251">
        <f t="shared" si="9"/>
        <v>43985</v>
      </c>
      <c r="M135" s="513">
        <v>146.05000000000001</v>
      </c>
      <c r="N135" s="254">
        <f t="shared" si="10"/>
        <v>3.7800687285223233E-3</v>
      </c>
      <c r="O135" s="1137">
        <f t="shared" si="12"/>
        <v>3.7486491690798688E-3</v>
      </c>
      <c r="P135" s="1138"/>
    </row>
    <row r="136" spans="1:16" x14ac:dyDescent="0.2">
      <c r="A136" s="717">
        <v>41441</v>
      </c>
      <c r="B136" s="533">
        <v>2.4131680000000002</v>
      </c>
      <c r="F136" s="1137">
        <f t="shared" si="11"/>
        <v>1.2170189759185894E-2</v>
      </c>
      <c r="G136" s="1138"/>
      <c r="H136" s="520">
        <v>9951.4500000000007</v>
      </c>
      <c r="I136" s="512">
        <v>43984</v>
      </c>
      <c r="J136" s="254">
        <f t="shared" si="8"/>
        <v>1.2201609318628348E-2</v>
      </c>
      <c r="L136" s="251">
        <f t="shared" si="9"/>
        <v>43984</v>
      </c>
      <c r="M136" s="513">
        <v>145.5</v>
      </c>
      <c r="N136" s="254">
        <f t="shared" si="10"/>
        <v>-8.1799591002044147E-3</v>
      </c>
      <c r="O136" s="1137">
        <f t="shared" si="12"/>
        <v>-8.2113786596468685E-3</v>
      </c>
      <c r="P136" s="1138"/>
    </row>
    <row r="137" spans="1:16" x14ac:dyDescent="0.2">
      <c r="A137" s="717">
        <v>41448</v>
      </c>
      <c r="B137" s="533">
        <v>2.5573410000000001</v>
      </c>
      <c r="F137" s="1137">
        <f t="shared" si="11"/>
        <v>-9.5558719336546315E-3</v>
      </c>
      <c r="G137" s="1138"/>
      <c r="H137" s="520">
        <v>9831.49</v>
      </c>
      <c r="I137" s="512">
        <v>43980</v>
      </c>
      <c r="J137" s="254">
        <f t="shared" si="8"/>
        <v>-9.5244523742121778E-3</v>
      </c>
      <c r="L137" s="251">
        <f t="shared" si="9"/>
        <v>43980</v>
      </c>
      <c r="M137" s="513">
        <v>146.69999999999999</v>
      </c>
      <c r="N137" s="254">
        <f t="shared" si="10"/>
        <v>-2.0408163265306367E-3</v>
      </c>
      <c r="O137" s="1137">
        <f t="shared" si="12"/>
        <v>-2.0722358859730913E-3</v>
      </c>
      <c r="P137" s="1138"/>
    </row>
    <row r="138" spans="1:16" x14ac:dyDescent="0.2">
      <c r="A138" s="717">
        <v>41455</v>
      </c>
      <c r="B138" s="533">
        <v>2.680288</v>
      </c>
      <c r="F138" s="1137">
        <f t="shared" si="11"/>
        <v>2.1530827006200418E-2</v>
      </c>
      <c r="G138" s="1138"/>
      <c r="H138" s="520">
        <v>9926.0300000000007</v>
      </c>
      <c r="I138" s="512">
        <v>43979</v>
      </c>
      <c r="J138" s="254">
        <f t="shared" si="8"/>
        <v>2.1562246565642873E-2</v>
      </c>
      <c r="L138" s="251">
        <f t="shared" si="9"/>
        <v>43979</v>
      </c>
      <c r="M138" s="513">
        <v>147</v>
      </c>
      <c r="N138" s="254">
        <f t="shared" si="10"/>
        <v>3.5211267605633756E-2</v>
      </c>
      <c r="O138" s="1137">
        <f t="shared" si="12"/>
        <v>3.51798480461913E-2</v>
      </c>
      <c r="P138" s="1138"/>
    </row>
    <row r="139" spans="1:16" x14ac:dyDescent="0.2">
      <c r="A139" s="717">
        <v>41462</v>
      </c>
      <c r="B139" s="533">
        <v>2.6815440000000001</v>
      </c>
      <c r="F139" s="1137">
        <f t="shared" si="11"/>
        <v>-1.1659125460164938E-2</v>
      </c>
      <c r="G139" s="1138"/>
      <c r="H139" s="520">
        <v>9716.52</v>
      </c>
      <c r="I139" s="512">
        <v>43978</v>
      </c>
      <c r="J139" s="254">
        <f t="shared" si="8"/>
        <v>-1.1627705900722485E-2</v>
      </c>
      <c r="L139" s="251">
        <f t="shared" si="9"/>
        <v>43978</v>
      </c>
      <c r="M139" s="513">
        <v>142</v>
      </c>
      <c r="N139" s="254">
        <f t="shared" si="10"/>
        <v>-4.0216289286921225E-2</v>
      </c>
      <c r="O139" s="1137">
        <f t="shared" si="12"/>
        <v>-4.0247708846363681E-2</v>
      </c>
      <c r="P139" s="1138"/>
    </row>
    <row r="140" spans="1:16" x14ac:dyDescent="0.2">
      <c r="A140" s="717">
        <v>41469</v>
      </c>
      <c r="B140" s="533">
        <v>2.6734070000000001</v>
      </c>
      <c r="F140" s="1137">
        <f t="shared" si="11"/>
        <v>6.0881397820918102E-4</v>
      </c>
      <c r="G140" s="1138"/>
      <c r="H140" s="520">
        <v>9830.83</v>
      </c>
      <c r="I140" s="512">
        <v>43977</v>
      </c>
      <c r="J140" s="254">
        <f t="shared" si="8"/>
        <v>6.4023353765163549E-4</v>
      </c>
      <c r="L140" s="251">
        <f t="shared" si="9"/>
        <v>43977</v>
      </c>
      <c r="M140" s="513">
        <v>147.94999999999999</v>
      </c>
      <c r="N140" s="254">
        <f t="shared" si="10"/>
        <v>4.0801969750263734E-2</v>
      </c>
      <c r="O140" s="1137">
        <f t="shared" si="12"/>
        <v>4.0770550190821278E-2</v>
      </c>
      <c r="P140" s="1138"/>
    </row>
    <row r="141" spans="1:16" x14ac:dyDescent="0.2">
      <c r="A141" s="717">
        <v>41476</v>
      </c>
      <c r="B141" s="533">
        <v>2.6760860000000002</v>
      </c>
      <c r="F141" s="1137">
        <f t="shared" si="11"/>
        <v>1.3958686736466679E-2</v>
      </c>
      <c r="G141" s="1138"/>
      <c r="H141" s="520">
        <v>9824.5400000000009</v>
      </c>
      <c r="I141" s="512">
        <v>43976</v>
      </c>
      <c r="J141" s="254">
        <f t="shared" si="8"/>
        <v>1.3990106295909133E-2</v>
      </c>
      <c r="L141" s="251">
        <f t="shared" si="9"/>
        <v>43976</v>
      </c>
      <c r="M141" s="513">
        <v>142.15</v>
      </c>
      <c r="N141" s="254">
        <f t="shared" si="10"/>
        <v>3.0072463768116009E-2</v>
      </c>
      <c r="O141" s="1137">
        <f t="shared" si="12"/>
        <v>3.0041044208673554E-2</v>
      </c>
      <c r="P141" s="1138"/>
    </row>
    <row r="142" spans="1:16" x14ac:dyDescent="0.2">
      <c r="A142" s="717">
        <v>41483</v>
      </c>
      <c r="B142" s="533">
        <v>2.7673160000000001</v>
      </c>
      <c r="F142" s="1137">
        <f t="shared" si="11"/>
        <v>-1.0435010667466811E-2</v>
      </c>
      <c r="G142" s="1138"/>
      <c r="H142" s="520">
        <v>9688.99</v>
      </c>
      <c r="I142" s="512">
        <v>43973</v>
      </c>
      <c r="J142" s="254">
        <f t="shared" si="8"/>
        <v>-1.0403591108024357E-2</v>
      </c>
      <c r="L142" s="251">
        <f t="shared" si="9"/>
        <v>43973</v>
      </c>
      <c r="M142" s="513">
        <v>138</v>
      </c>
      <c r="N142" s="254">
        <f t="shared" si="10"/>
        <v>-1.5691868758915706E-2</v>
      </c>
      <c r="O142" s="1137">
        <f t="shared" si="12"/>
        <v>-1.5723288318358161E-2</v>
      </c>
      <c r="P142" s="1138"/>
    </row>
    <row r="143" spans="1:16" x14ac:dyDescent="0.2">
      <c r="A143" s="717">
        <v>41490</v>
      </c>
      <c r="B143" s="533">
        <v>2.8323070000000001</v>
      </c>
      <c r="F143" s="1137">
        <f t="shared" si="11"/>
        <v>2.6948578838379015E-3</v>
      </c>
      <c r="G143" s="1138"/>
      <c r="H143" s="520">
        <v>9790.85</v>
      </c>
      <c r="I143" s="512">
        <v>43971</v>
      </c>
      <c r="J143" s="254">
        <f t="shared" si="8"/>
        <v>2.726277443280356E-3</v>
      </c>
      <c r="L143" s="251">
        <f t="shared" si="9"/>
        <v>43971</v>
      </c>
      <c r="M143" s="513">
        <v>140.19999999999999</v>
      </c>
      <c r="N143" s="254">
        <f t="shared" si="10"/>
        <v>2.9746603011384432E-2</v>
      </c>
      <c r="O143" s="1137">
        <f t="shared" si="12"/>
        <v>2.9715183451941976E-2</v>
      </c>
      <c r="P143" s="1138"/>
    </row>
    <row r="144" spans="1:16" x14ac:dyDescent="0.2">
      <c r="A144" s="717">
        <v>41497</v>
      </c>
      <c r="B144" s="533">
        <v>2.7935129999999999</v>
      </c>
      <c r="F144" s="1137">
        <f t="shared" si="11"/>
        <v>2.3770142707372913E-3</v>
      </c>
      <c r="G144" s="1138"/>
      <c r="H144" s="520">
        <v>9764.23</v>
      </c>
      <c r="I144" s="512">
        <v>43970</v>
      </c>
      <c r="J144" s="254">
        <f t="shared" si="8"/>
        <v>2.4084338301797459E-3</v>
      </c>
      <c r="L144" s="251">
        <f t="shared" si="9"/>
        <v>43970</v>
      </c>
      <c r="M144" s="513">
        <v>136.15</v>
      </c>
      <c r="N144" s="254">
        <f t="shared" si="10"/>
        <v>3.3788914198937148E-2</v>
      </c>
      <c r="O144" s="1137">
        <f t="shared" si="12"/>
        <v>3.3757494639494692E-2</v>
      </c>
      <c r="P144" s="1138"/>
    </row>
    <row r="145" spans="1:16" x14ac:dyDescent="0.2">
      <c r="A145" s="717">
        <v>41504</v>
      </c>
      <c r="B145" s="533">
        <v>2.9484520000000001</v>
      </c>
      <c r="F145" s="1137">
        <f t="shared" si="11"/>
        <v>2.7140074994026445E-2</v>
      </c>
      <c r="G145" s="1138"/>
      <c r="H145" s="520">
        <v>9740.77</v>
      </c>
      <c r="I145" s="512">
        <v>43969</v>
      </c>
      <c r="J145" s="254">
        <f t="shared" si="8"/>
        <v>2.71714945534689E-2</v>
      </c>
      <c r="L145" s="251">
        <f t="shared" si="9"/>
        <v>43969</v>
      </c>
      <c r="M145" s="513">
        <v>131.69999999999999</v>
      </c>
      <c r="N145" s="254">
        <f t="shared" si="10"/>
        <v>3.7416305632138602E-2</v>
      </c>
      <c r="O145" s="1137">
        <f t="shared" si="12"/>
        <v>3.7384886072696147E-2</v>
      </c>
      <c r="P145" s="1138"/>
    </row>
    <row r="146" spans="1:16" x14ac:dyDescent="0.2">
      <c r="A146" s="717">
        <v>41511</v>
      </c>
      <c r="B146" s="533">
        <v>2.987984</v>
      </c>
      <c r="F146" s="1137">
        <f t="shared" si="11"/>
        <v>3.6687796332030712E-3</v>
      </c>
      <c r="G146" s="1138"/>
      <c r="H146" s="520">
        <v>9483.1</v>
      </c>
      <c r="I146" s="512">
        <v>43966</v>
      </c>
      <c r="J146" s="254">
        <f t="shared" si="8"/>
        <v>3.7001991926455258E-3</v>
      </c>
      <c r="L146" s="251">
        <f t="shared" si="9"/>
        <v>43966</v>
      </c>
      <c r="M146" s="513">
        <v>126.95</v>
      </c>
      <c r="N146" s="254">
        <f t="shared" si="10"/>
        <v>3.1694433157253288E-2</v>
      </c>
      <c r="O146" s="1137">
        <f t="shared" si="12"/>
        <v>3.1663013597810832E-2</v>
      </c>
      <c r="P146" s="1138"/>
    </row>
    <row r="147" spans="1:16" x14ac:dyDescent="0.2">
      <c r="A147" s="717">
        <v>41518</v>
      </c>
      <c r="B147" s="533">
        <v>2.988505</v>
      </c>
      <c r="F147" s="1137">
        <f t="shared" si="11"/>
        <v>-1.9081174429339917E-2</v>
      </c>
      <c r="G147" s="1138"/>
      <c r="H147" s="520">
        <v>9448.14</v>
      </c>
      <c r="I147" s="512">
        <v>43965</v>
      </c>
      <c r="J147" s="254">
        <f t="shared" si="8"/>
        <v>-1.9049754869897462E-2</v>
      </c>
      <c r="L147" s="251">
        <f t="shared" si="9"/>
        <v>43965</v>
      </c>
      <c r="M147" s="513">
        <v>123.05</v>
      </c>
      <c r="N147" s="254">
        <f t="shared" si="10"/>
        <v>-4.9806949806949774E-2</v>
      </c>
      <c r="O147" s="1137">
        <f t="shared" si="12"/>
        <v>-4.9838369366392229E-2</v>
      </c>
      <c r="P147" s="1138"/>
    </row>
    <row r="148" spans="1:16" x14ac:dyDescent="0.2">
      <c r="A148" s="717">
        <v>41525</v>
      </c>
      <c r="B148" s="533">
        <v>3.0685989999999999</v>
      </c>
      <c r="F148" s="1137">
        <f t="shared" si="11"/>
        <v>-1.0501413487647366E-2</v>
      </c>
      <c r="G148" s="1138"/>
      <c r="H148" s="520">
        <v>9631.6200000000008</v>
      </c>
      <c r="I148" s="512">
        <v>43964</v>
      </c>
      <c r="J148" s="254">
        <f t="shared" si="8"/>
        <v>-1.0469993928204913E-2</v>
      </c>
      <c r="L148" s="251">
        <f t="shared" si="9"/>
        <v>43964</v>
      </c>
      <c r="M148" s="513">
        <v>129.5</v>
      </c>
      <c r="N148" s="254">
        <f t="shared" si="10"/>
        <v>-4.2291426374472252E-3</v>
      </c>
      <c r="O148" s="1137">
        <f t="shared" si="12"/>
        <v>-4.2605621968896798E-3</v>
      </c>
      <c r="P148" s="1138"/>
    </row>
    <row r="149" spans="1:16" x14ac:dyDescent="0.2">
      <c r="A149" s="717">
        <v>41532</v>
      </c>
      <c r="B149" s="533">
        <v>3.065849</v>
      </c>
      <c r="F149" s="1137">
        <f t="shared" si="11"/>
        <v>4.4909036060600408E-3</v>
      </c>
      <c r="G149" s="1138"/>
      <c r="H149" s="520">
        <v>9733.5300000000007</v>
      </c>
      <c r="I149" s="512">
        <v>43963</v>
      </c>
      <c r="J149" s="254">
        <f t="shared" si="8"/>
        <v>4.5223231655024954E-3</v>
      </c>
      <c r="L149" s="251">
        <f t="shared" si="9"/>
        <v>43963</v>
      </c>
      <c r="M149" s="513">
        <v>130.05000000000001</v>
      </c>
      <c r="N149" s="254">
        <f t="shared" si="10"/>
        <v>-1.0650437428679882E-2</v>
      </c>
      <c r="O149" s="1137">
        <f t="shared" si="12"/>
        <v>-1.0681856988122336E-2</v>
      </c>
      <c r="P149" s="1138"/>
    </row>
    <row r="150" spans="1:16" x14ac:dyDescent="0.2">
      <c r="A150" s="717">
        <v>41539</v>
      </c>
      <c r="B150" s="533">
        <v>2.952467</v>
      </c>
      <c r="F150" s="1137">
        <f t="shared" si="11"/>
        <v>2.4889237286948732E-3</v>
      </c>
      <c r="G150" s="1138"/>
      <c r="H150" s="520">
        <v>9689.7099999999991</v>
      </c>
      <c r="I150" s="512">
        <v>43962</v>
      </c>
      <c r="J150" s="254">
        <f t="shared" si="8"/>
        <v>2.5203432881373278E-3</v>
      </c>
      <c r="L150" s="251">
        <f t="shared" si="9"/>
        <v>43962</v>
      </c>
      <c r="M150" s="513">
        <v>131.44999999999999</v>
      </c>
      <c r="N150" s="254">
        <f t="shared" si="10"/>
        <v>-4.5437334343053637E-3</v>
      </c>
      <c r="O150" s="1137">
        <f t="shared" si="12"/>
        <v>-4.5751529937478183E-3</v>
      </c>
      <c r="P150" s="1138"/>
    </row>
    <row r="151" spans="1:16" x14ac:dyDescent="0.2">
      <c r="A151" s="717">
        <v>41546</v>
      </c>
      <c r="B151" s="533">
        <v>2.9152809999999998</v>
      </c>
      <c r="F151" s="1137">
        <f t="shared" si="11"/>
        <v>4.8937310439067386E-3</v>
      </c>
      <c r="G151" s="1138"/>
      <c r="H151" s="520">
        <v>9665.35</v>
      </c>
      <c r="I151" s="512">
        <v>43959</v>
      </c>
      <c r="J151" s="254">
        <f t="shared" si="8"/>
        <v>4.9251506033491932E-3</v>
      </c>
      <c r="L151" s="251">
        <f t="shared" si="9"/>
        <v>43959</v>
      </c>
      <c r="M151" s="513">
        <v>132.05000000000001</v>
      </c>
      <c r="N151" s="254">
        <f t="shared" si="10"/>
        <v>1.3430544896392949E-2</v>
      </c>
      <c r="O151" s="1137">
        <f t="shared" si="12"/>
        <v>1.3399125336950495E-2</v>
      </c>
      <c r="P151" s="1138"/>
    </row>
    <row r="152" spans="1:16" x14ac:dyDescent="0.2">
      <c r="A152" s="717">
        <v>41553</v>
      </c>
      <c r="B152" s="533">
        <v>2.8869959999999999</v>
      </c>
      <c r="F152" s="1137">
        <f t="shared" si="11"/>
        <v>4.8036672067536959E-3</v>
      </c>
      <c r="G152" s="1138"/>
      <c r="H152" s="520">
        <v>9617.98</v>
      </c>
      <c r="I152" s="512">
        <v>43958</v>
      </c>
      <c r="J152" s="254">
        <f t="shared" si="8"/>
        <v>4.8350867661961505E-3</v>
      </c>
      <c r="L152" s="251">
        <f t="shared" si="9"/>
        <v>43958</v>
      </c>
      <c r="M152" s="513">
        <v>130.30000000000001</v>
      </c>
      <c r="N152" s="254">
        <f t="shared" si="10"/>
        <v>1.4402491241728432E-2</v>
      </c>
      <c r="O152" s="1137">
        <f t="shared" si="12"/>
        <v>1.4371071682285979E-2</v>
      </c>
      <c r="P152" s="1138"/>
    </row>
    <row r="153" spans="1:16" x14ac:dyDescent="0.2">
      <c r="A153" s="717">
        <v>41560</v>
      </c>
      <c r="B153" s="533">
        <v>2.8892259999999998</v>
      </c>
      <c r="F153" s="1137">
        <f t="shared" si="11"/>
        <v>6.2268790201666794E-3</v>
      </c>
      <c r="G153" s="1138"/>
      <c r="H153" s="520">
        <v>9571.7000000000007</v>
      </c>
      <c r="I153" s="512">
        <v>43957</v>
      </c>
      <c r="J153" s="254">
        <f t="shared" si="8"/>
        <v>6.2582985796091339E-3</v>
      </c>
      <c r="L153" s="251">
        <f t="shared" si="9"/>
        <v>43957</v>
      </c>
      <c r="M153" s="513">
        <v>128.44999999999999</v>
      </c>
      <c r="N153" s="254">
        <f t="shared" si="10"/>
        <v>4.3884599756196518E-2</v>
      </c>
      <c r="O153" s="1137">
        <f t="shared" si="12"/>
        <v>4.3853180196754063E-2</v>
      </c>
      <c r="P153" s="1138"/>
    </row>
    <row r="154" spans="1:16" x14ac:dyDescent="0.2">
      <c r="A154" s="717">
        <v>41567</v>
      </c>
      <c r="B154" s="533">
        <v>2.873542</v>
      </c>
      <c r="F154" s="1137">
        <f t="shared" si="11"/>
        <v>1.2950102803599166E-2</v>
      </c>
      <c r="G154" s="1138"/>
      <c r="H154" s="520">
        <v>9512.17</v>
      </c>
      <c r="I154" s="512">
        <v>43956</v>
      </c>
      <c r="J154" s="254">
        <f t="shared" si="8"/>
        <v>1.298152236304162E-2</v>
      </c>
      <c r="L154" s="251">
        <f t="shared" si="9"/>
        <v>43956</v>
      </c>
      <c r="M154" s="513">
        <v>123.05</v>
      </c>
      <c r="N154" s="254">
        <f t="shared" si="10"/>
        <v>2.3284823284823286E-2</v>
      </c>
      <c r="O154" s="1137">
        <f t="shared" si="12"/>
        <v>2.3253403725380831E-2</v>
      </c>
      <c r="P154" s="1138"/>
    </row>
    <row r="155" spans="1:16" x14ac:dyDescent="0.2">
      <c r="A155" s="717">
        <v>41574</v>
      </c>
      <c r="B155" s="533">
        <v>2.7935279999999998</v>
      </c>
      <c r="F155" s="1137">
        <f t="shared" si="11"/>
        <v>-2.4864742507912638E-2</v>
      </c>
      <c r="G155" s="1138"/>
      <c r="H155" s="520">
        <v>9390.27</v>
      </c>
      <c r="I155" s="512">
        <v>43955</v>
      </c>
      <c r="J155" s="254">
        <f t="shared" si="8"/>
        <v>-2.4833322948470182E-2</v>
      </c>
      <c r="L155" s="251">
        <f t="shared" si="9"/>
        <v>43955</v>
      </c>
      <c r="M155" s="513">
        <v>120.25</v>
      </c>
      <c r="N155" s="254">
        <f t="shared" si="10"/>
        <v>-4.2595541401273862E-2</v>
      </c>
      <c r="O155" s="1137">
        <f t="shared" si="12"/>
        <v>-4.2626960960716317E-2</v>
      </c>
      <c r="P155" s="1138"/>
    </row>
    <row r="156" spans="1:16" x14ac:dyDescent="0.2">
      <c r="A156" s="717">
        <v>41581</v>
      </c>
      <c r="B156" s="533">
        <v>2.8038639999999999</v>
      </c>
      <c r="F156" s="1137">
        <f t="shared" si="11"/>
        <v>-2.3945494318294666E-2</v>
      </c>
      <c r="G156" s="1138"/>
      <c r="H156" s="520">
        <v>9629.4</v>
      </c>
      <c r="I156" s="512">
        <v>43951</v>
      </c>
      <c r="J156" s="254">
        <f t="shared" si="8"/>
        <v>-2.3914074758852211E-2</v>
      </c>
      <c r="L156" s="251">
        <f t="shared" si="9"/>
        <v>43951</v>
      </c>
      <c r="M156" s="513">
        <v>125.6</v>
      </c>
      <c r="N156" s="254">
        <f t="shared" si="10"/>
        <v>-1.2578616352201366E-2</v>
      </c>
      <c r="O156" s="1137">
        <f t="shared" si="12"/>
        <v>-1.261003591164382E-2</v>
      </c>
      <c r="P156" s="1138"/>
    </row>
    <row r="157" spans="1:16" x14ac:dyDescent="0.2">
      <c r="A157" s="717">
        <v>41588</v>
      </c>
      <c r="B157" s="533">
        <v>2.882638</v>
      </c>
      <c r="F157" s="1137">
        <f t="shared" si="11"/>
        <v>-2.4724021813448535E-3</v>
      </c>
      <c r="G157" s="1138"/>
      <c r="H157" s="520">
        <v>9865.32</v>
      </c>
      <c r="I157" s="512">
        <v>43950</v>
      </c>
      <c r="J157" s="254">
        <f t="shared" ref="J157:J220" si="13">H157/H158-1</f>
        <v>-2.4409826219023989E-3</v>
      </c>
      <c r="L157" s="251">
        <f t="shared" ref="L157:L220" si="14">I157</f>
        <v>43950</v>
      </c>
      <c r="M157" s="513">
        <v>127.2</v>
      </c>
      <c r="N157" s="254">
        <f t="shared" ref="N157:N220" si="15">M157/M158-1</f>
        <v>4.2622950819672045E-2</v>
      </c>
      <c r="O157" s="1137">
        <f t="shared" si="12"/>
        <v>4.259153126022959E-2</v>
      </c>
      <c r="P157" s="1138"/>
    </row>
    <row r="158" spans="1:16" x14ac:dyDescent="0.2">
      <c r="A158" s="717">
        <v>41595</v>
      </c>
      <c r="B158" s="533">
        <v>2.9078460000000002</v>
      </c>
      <c r="F158" s="1137">
        <f t="shared" ref="F158:F221" si="16">J158-$I$19</f>
        <v>1.3355444836047963E-2</v>
      </c>
      <c r="G158" s="1138"/>
      <c r="H158" s="520">
        <v>9889.4599999999991</v>
      </c>
      <c r="I158" s="512">
        <v>43949</v>
      </c>
      <c r="J158" s="254">
        <f t="shared" si="13"/>
        <v>1.3386864395490417E-2</v>
      </c>
      <c r="L158" s="251">
        <f t="shared" si="14"/>
        <v>43949</v>
      </c>
      <c r="M158" s="513">
        <v>122</v>
      </c>
      <c r="N158" s="254">
        <f t="shared" si="15"/>
        <v>6.6006600660066805E-3</v>
      </c>
      <c r="O158" s="1137">
        <f t="shared" ref="O158:O221" si="17">N158-$I$19</f>
        <v>6.569240506564226E-3</v>
      </c>
      <c r="P158" s="1138"/>
    </row>
    <row r="159" spans="1:16" x14ac:dyDescent="0.2">
      <c r="A159" s="717">
        <v>41602</v>
      </c>
      <c r="B159" s="533">
        <v>2.9079890000000002</v>
      </c>
      <c r="F159" s="1137">
        <f t="shared" si="16"/>
        <v>1.3803490290801483E-2</v>
      </c>
      <c r="G159" s="1138"/>
      <c r="H159" s="520">
        <v>9758.82</v>
      </c>
      <c r="I159" s="512">
        <v>43948</v>
      </c>
      <c r="J159" s="254">
        <f t="shared" si="13"/>
        <v>1.3834909850243937E-2</v>
      </c>
      <c r="L159" s="251">
        <f t="shared" si="14"/>
        <v>43948</v>
      </c>
      <c r="M159" s="513">
        <v>121.2</v>
      </c>
      <c r="N159" s="254">
        <f t="shared" si="15"/>
        <v>1.9772822885990804E-2</v>
      </c>
      <c r="O159" s="1137">
        <f t="shared" si="17"/>
        <v>1.9741403326548349E-2</v>
      </c>
      <c r="P159" s="1138"/>
    </row>
    <row r="160" spans="1:16" x14ac:dyDescent="0.2">
      <c r="A160" s="717">
        <v>41609</v>
      </c>
      <c r="B160" s="533">
        <v>2.8906269999999998</v>
      </c>
      <c r="F160" s="1137">
        <f t="shared" si="16"/>
        <v>-1.3758102559254396E-5</v>
      </c>
      <c r="G160" s="1138"/>
      <c r="H160" s="520">
        <v>9625.65</v>
      </c>
      <c r="I160" s="512">
        <v>43945</v>
      </c>
      <c r="J160" s="254">
        <f t="shared" si="13"/>
        <v>1.7661456883200088E-5</v>
      </c>
      <c r="L160" s="251">
        <f t="shared" si="14"/>
        <v>43945</v>
      </c>
      <c r="M160" s="513">
        <v>118.85</v>
      </c>
      <c r="N160" s="254">
        <f t="shared" si="15"/>
        <v>-5.0230221850147139E-3</v>
      </c>
      <c r="O160" s="1137">
        <f t="shared" si="17"/>
        <v>-5.0544417444571684E-3</v>
      </c>
      <c r="P160" s="1138"/>
    </row>
    <row r="161" spans="1:16" x14ac:dyDescent="0.2">
      <c r="A161" s="717">
        <v>41616</v>
      </c>
      <c r="B161" s="533">
        <v>2.9918179999999999</v>
      </c>
      <c r="F161" s="1137">
        <f t="shared" si="16"/>
        <v>-5.5890705757337302E-4</v>
      </c>
      <c r="G161" s="1138"/>
      <c r="H161" s="520">
        <v>9625.48</v>
      </c>
      <c r="I161" s="512">
        <v>43944</v>
      </c>
      <c r="J161" s="254">
        <f t="shared" si="13"/>
        <v>-5.2748749813091855E-4</v>
      </c>
      <c r="L161" s="251">
        <f t="shared" si="14"/>
        <v>43944</v>
      </c>
      <c r="M161" s="513">
        <v>119.45</v>
      </c>
      <c r="N161" s="254">
        <f t="shared" si="15"/>
        <v>-1.3217678645187858E-2</v>
      </c>
      <c r="O161" s="1137">
        <f t="shared" si="17"/>
        <v>-1.3249098204630312E-2</v>
      </c>
      <c r="P161" s="1138"/>
    </row>
    <row r="162" spans="1:16" x14ac:dyDescent="0.2">
      <c r="A162" s="717">
        <v>41623</v>
      </c>
      <c r="B162" s="533">
        <v>3.0209570000000001</v>
      </c>
      <c r="F162" s="1137">
        <f t="shared" si="16"/>
        <v>8.6312636624345674E-3</v>
      </c>
      <c r="G162" s="1138"/>
      <c r="H162" s="520">
        <v>9630.56</v>
      </c>
      <c r="I162" s="512">
        <v>43943</v>
      </c>
      <c r="J162" s="254">
        <f t="shared" si="13"/>
        <v>8.6626832218770211E-3</v>
      </c>
      <c r="L162" s="251">
        <f t="shared" si="14"/>
        <v>43943</v>
      </c>
      <c r="M162" s="513">
        <v>121.05</v>
      </c>
      <c r="N162" s="254">
        <f t="shared" si="15"/>
        <v>8.3298625572678642E-3</v>
      </c>
      <c r="O162" s="1137">
        <f t="shared" si="17"/>
        <v>8.2984429978254105E-3</v>
      </c>
      <c r="P162" s="1138"/>
    </row>
    <row r="163" spans="1:16" x14ac:dyDescent="0.2">
      <c r="A163" s="717">
        <v>41630</v>
      </c>
      <c r="B163" s="533">
        <v>3.0308809999999999</v>
      </c>
      <c r="F163" s="1137">
        <f t="shared" si="16"/>
        <v>-2.4294418945254012E-2</v>
      </c>
      <c r="G163" s="1138"/>
      <c r="H163" s="520">
        <v>9547.85</v>
      </c>
      <c r="I163" s="512">
        <v>43942</v>
      </c>
      <c r="J163" s="254">
        <f t="shared" si="13"/>
        <v>-2.4262999385811557E-2</v>
      </c>
      <c r="L163" s="251">
        <f t="shared" si="14"/>
        <v>43942</v>
      </c>
      <c r="M163" s="513">
        <v>120.05</v>
      </c>
      <c r="N163" s="254">
        <f t="shared" si="15"/>
        <v>-3.3802816901408517E-2</v>
      </c>
      <c r="O163" s="1137">
        <f t="shared" si="17"/>
        <v>-3.3834236460850972E-2</v>
      </c>
      <c r="P163" s="1138"/>
    </row>
    <row r="164" spans="1:16" x14ac:dyDescent="0.2">
      <c r="A164" s="717">
        <v>41637</v>
      </c>
      <c r="B164" s="533">
        <v>3.1141160000000001</v>
      </c>
      <c r="F164" s="1137">
        <f t="shared" si="16"/>
        <v>1.790710634812083E-2</v>
      </c>
      <c r="G164" s="1138"/>
      <c r="H164" s="520">
        <v>9785.27</v>
      </c>
      <c r="I164" s="512">
        <v>43941</v>
      </c>
      <c r="J164" s="254">
        <f t="shared" si="13"/>
        <v>1.7938525907563285E-2</v>
      </c>
      <c r="L164" s="251">
        <f t="shared" si="14"/>
        <v>43941</v>
      </c>
      <c r="M164" s="513">
        <v>124.25</v>
      </c>
      <c r="N164" s="254">
        <f t="shared" si="15"/>
        <v>4.4995794785533949E-2</v>
      </c>
      <c r="O164" s="1137">
        <f t="shared" si="17"/>
        <v>4.4964375226091494E-2</v>
      </c>
      <c r="P164" s="1138"/>
    </row>
    <row r="165" spans="1:16" x14ac:dyDescent="0.2">
      <c r="A165" s="717">
        <v>41644</v>
      </c>
      <c r="B165" s="533">
        <v>3.10745</v>
      </c>
      <c r="F165" s="1137">
        <f t="shared" si="16"/>
        <v>1.8286551692402189E-2</v>
      </c>
      <c r="G165" s="1138"/>
      <c r="H165" s="520">
        <v>9612.83</v>
      </c>
      <c r="I165" s="512">
        <v>43938</v>
      </c>
      <c r="J165" s="254">
        <f t="shared" si="13"/>
        <v>1.8317971251844645E-2</v>
      </c>
      <c r="L165" s="251">
        <f t="shared" si="14"/>
        <v>43938</v>
      </c>
      <c r="M165" s="513">
        <v>118.9</v>
      </c>
      <c r="N165" s="254">
        <f t="shared" si="15"/>
        <v>5.9714795008912747E-2</v>
      </c>
      <c r="O165" s="1137">
        <f t="shared" si="17"/>
        <v>5.9683375449470291E-2</v>
      </c>
      <c r="P165" s="1138"/>
    </row>
    <row r="166" spans="1:16" x14ac:dyDescent="0.2">
      <c r="A166" s="717">
        <v>41651</v>
      </c>
      <c r="B166" s="533">
        <v>3.0412249999999998</v>
      </c>
      <c r="F166" s="1137">
        <f t="shared" si="16"/>
        <v>1.2812725415987063E-2</v>
      </c>
      <c r="G166" s="1138"/>
      <c r="H166" s="520">
        <v>9439.91</v>
      </c>
      <c r="I166" s="512">
        <v>43937</v>
      </c>
      <c r="J166" s="254">
        <f t="shared" si="13"/>
        <v>1.2844144975429517E-2</v>
      </c>
      <c r="L166" s="251">
        <f t="shared" si="14"/>
        <v>43937</v>
      </c>
      <c r="M166" s="513">
        <v>112.2</v>
      </c>
      <c r="N166" s="254">
        <f t="shared" si="15"/>
        <v>-7.0796460176990594E-3</v>
      </c>
      <c r="O166" s="1137">
        <f t="shared" si="17"/>
        <v>-7.111065577141514E-3</v>
      </c>
      <c r="P166" s="1138"/>
    </row>
    <row r="167" spans="1:16" x14ac:dyDescent="0.2">
      <c r="A167" s="717">
        <v>41658</v>
      </c>
      <c r="B167" s="533">
        <v>2.9654600000000002</v>
      </c>
      <c r="F167" s="1137">
        <f t="shared" si="16"/>
        <v>-2.2928885752105763E-2</v>
      </c>
      <c r="G167" s="1138"/>
      <c r="H167" s="520">
        <v>9320.2000000000007</v>
      </c>
      <c r="I167" s="512">
        <v>43936</v>
      </c>
      <c r="J167" s="254">
        <f t="shared" si="13"/>
        <v>-2.2897466192663307E-2</v>
      </c>
      <c r="L167" s="251">
        <f t="shared" si="14"/>
        <v>43936</v>
      </c>
      <c r="M167" s="513">
        <v>113</v>
      </c>
      <c r="N167" s="254">
        <f t="shared" si="15"/>
        <v>-5.8333333333333348E-2</v>
      </c>
      <c r="O167" s="1137">
        <f t="shared" si="17"/>
        <v>-5.8364752892775804E-2</v>
      </c>
      <c r="P167" s="1138"/>
    </row>
    <row r="168" spans="1:16" x14ac:dyDescent="0.2">
      <c r="A168" s="717">
        <v>41665</v>
      </c>
      <c r="B168" s="533">
        <v>2.9165070000000002</v>
      </c>
      <c r="F168" s="1137">
        <f t="shared" si="16"/>
        <v>9.0431115598097068E-3</v>
      </c>
      <c r="G168" s="1138"/>
      <c r="H168" s="520">
        <v>9538.61</v>
      </c>
      <c r="I168" s="512">
        <v>43935</v>
      </c>
      <c r="J168" s="254">
        <f t="shared" si="13"/>
        <v>9.0745311192521605E-3</v>
      </c>
      <c r="L168" s="251">
        <f t="shared" si="14"/>
        <v>43935</v>
      </c>
      <c r="M168" s="513">
        <v>120</v>
      </c>
      <c r="N168" s="254">
        <f t="shared" si="15"/>
        <v>1.7811704834605591E-2</v>
      </c>
      <c r="O168" s="1137">
        <f t="shared" si="17"/>
        <v>1.7780285275163135E-2</v>
      </c>
      <c r="P168" s="1138"/>
    </row>
    <row r="169" spans="1:16" x14ac:dyDescent="0.2">
      <c r="A169" s="717">
        <v>41672</v>
      </c>
      <c r="B169" s="533">
        <v>2.8952779999999998</v>
      </c>
      <c r="F169" s="1137">
        <f t="shared" si="16"/>
        <v>2.1355815929697411E-3</v>
      </c>
      <c r="G169" s="1138"/>
      <c r="H169" s="520">
        <v>9452.83</v>
      </c>
      <c r="I169" s="512">
        <v>43930</v>
      </c>
      <c r="J169" s="254">
        <f t="shared" si="13"/>
        <v>2.1670011524121957E-3</v>
      </c>
      <c r="L169" s="251">
        <f t="shared" si="14"/>
        <v>43930</v>
      </c>
      <c r="M169" s="513">
        <v>117.9</v>
      </c>
      <c r="N169" s="254">
        <f t="shared" si="15"/>
        <v>8.1231295425394645E-3</v>
      </c>
      <c r="O169" s="1137">
        <f t="shared" si="17"/>
        <v>8.0917099830970108E-3</v>
      </c>
      <c r="P169" s="1138"/>
    </row>
    <row r="170" spans="1:16" ht="16" customHeight="1" x14ac:dyDescent="0.2">
      <c r="A170" s="717">
        <v>41679</v>
      </c>
      <c r="B170" s="533">
        <v>2.8521459999999998</v>
      </c>
      <c r="C170" s="519"/>
      <c r="D170" s="519"/>
      <c r="E170" s="519"/>
      <c r="F170" s="1137">
        <f t="shared" si="16"/>
        <v>-8.6718248313404755E-3</v>
      </c>
      <c r="G170" s="1138"/>
      <c r="H170" s="520">
        <v>9432.39</v>
      </c>
      <c r="I170" s="512">
        <v>43929</v>
      </c>
      <c r="J170" s="254">
        <f t="shared" si="13"/>
        <v>-8.6404052718980218E-3</v>
      </c>
      <c r="L170" s="251">
        <f t="shared" si="14"/>
        <v>43929</v>
      </c>
      <c r="M170" s="513">
        <v>116.95</v>
      </c>
      <c r="N170" s="254">
        <f t="shared" si="15"/>
        <v>2.2737210319195622E-2</v>
      </c>
      <c r="O170" s="1137">
        <f t="shared" si="17"/>
        <v>2.2705790759753167E-2</v>
      </c>
      <c r="P170" s="1138"/>
    </row>
    <row r="171" spans="1:16" x14ac:dyDescent="0.2">
      <c r="A171" s="717">
        <v>41686</v>
      </c>
      <c r="B171" s="533">
        <v>2.9121429999999999</v>
      </c>
      <c r="C171" s="519"/>
      <c r="D171" s="519"/>
      <c r="E171" s="519"/>
      <c r="F171" s="1137">
        <f t="shared" si="16"/>
        <v>5.4915271957999981E-3</v>
      </c>
      <c r="G171" s="1138"/>
      <c r="H171" s="520">
        <v>9514.6</v>
      </c>
      <c r="I171" s="512">
        <v>43928</v>
      </c>
      <c r="J171" s="254">
        <f t="shared" si="13"/>
        <v>5.5229467552424527E-3</v>
      </c>
      <c r="L171" s="251">
        <f t="shared" si="14"/>
        <v>43928</v>
      </c>
      <c r="M171" s="513">
        <v>114.35</v>
      </c>
      <c r="N171" s="254">
        <f t="shared" si="15"/>
        <v>4.0964952207555694E-2</v>
      </c>
      <c r="O171" s="1137">
        <f t="shared" si="17"/>
        <v>4.0933532648113238E-2</v>
      </c>
      <c r="P171" s="1138"/>
    </row>
    <row r="172" spans="1:16" x14ac:dyDescent="0.2">
      <c r="A172" s="717">
        <v>41693</v>
      </c>
      <c r="B172" s="533">
        <v>2.9098989999999998</v>
      </c>
      <c r="C172" s="519"/>
      <c r="D172" s="519"/>
      <c r="E172" s="519"/>
      <c r="F172" s="1137">
        <f t="shared" si="16"/>
        <v>2.3760998892827748E-2</v>
      </c>
      <c r="G172" s="1138"/>
      <c r="H172" s="520">
        <v>9462.34</v>
      </c>
      <c r="I172" s="512">
        <v>43927</v>
      </c>
      <c r="J172" s="254">
        <f t="shared" si="13"/>
        <v>2.3792418452270203E-2</v>
      </c>
      <c r="L172" s="251">
        <f t="shared" si="14"/>
        <v>43927</v>
      </c>
      <c r="M172" s="513">
        <v>109.85</v>
      </c>
      <c r="N172" s="254">
        <f t="shared" si="15"/>
        <v>1.1510128913443829E-2</v>
      </c>
      <c r="O172" s="1137">
        <f t="shared" si="17"/>
        <v>1.1478709354001375E-2</v>
      </c>
      <c r="P172" s="1138"/>
    </row>
    <row r="173" spans="1:16" x14ac:dyDescent="0.2">
      <c r="A173" s="717">
        <v>41700</v>
      </c>
      <c r="B173" s="533">
        <v>2.8746450000000001</v>
      </c>
      <c r="C173" s="519"/>
      <c r="D173" s="519"/>
      <c r="E173" s="519"/>
      <c r="F173" s="1137">
        <f t="shared" si="16"/>
        <v>-3.1076921353136297E-3</v>
      </c>
      <c r="G173" s="1138"/>
      <c r="H173" s="520">
        <v>9242.44</v>
      </c>
      <c r="I173" s="512">
        <v>43924</v>
      </c>
      <c r="J173" s="254">
        <f t="shared" si="13"/>
        <v>-3.0762725758711751E-3</v>
      </c>
      <c r="L173" s="251">
        <f t="shared" si="14"/>
        <v>43924</v>
      </c>
      <c r="M173" s="513">
        <v>108.6</v>
      </c>
      <c r="N173" s="254">
        <f t="shared" si="15"/>
        <v>-3.035714285714286E-2</v>
      </c>
      <c r="O173" s="1137">
        <f t="shared" si="17"/>
        <v>-3.0388562416585316E-2</v>
      </c>
      <c r="P173" s="1138"/>
    </row>
    <row r="174" spans="1:16" x14ac:dyDescent="0.2">
      <c r="A174" s="717">
        <v>41707</v>
      </c>
      <c r="B174" s="533">
        <v>2.8829259999999999</v>
      </c>
      <c r="C174" s="519"/>
      <c r="D174" s="519"/>
      <c r="E174" s="519"/>
      <c r="F174" s="1137">
        <f t="shared" si="16"/>
        <v>1.109086448960102E-2</v>
      </c>
      <c r="G174" s="1138"/>
      <c r="H174" s="520">
        <v>9270.9599999999991</v>
      </c>
      <c r="I174" s="512">
        <v>43923</v>
      </c>
      <c r="J174" s="254">
        <f t="shared" si="13"/>
        <v>1.1122284049043474E-2</v>
      </c>
      <c r="L174" s="251">
        <f t="shared" si="14"/>
        <v>43923</v>
      </c>
      <c r="M174" s="513">
        <v>112</v>
      </c>
      <c r="N174" s="254">
        <f t="shared" si="15"/>
        <v>-7.2079536039768022E-2</v>
      </c>
      <c r="O174" s="1137">
        <f t="shared" si="17"/>
        <v>-7.2110955599210477E-2</v>
      </c>
      <c r="P174" s="1138"/>
    </row>
    <row r="175" spans="1:16" x14ac:dyDescent="0.2">
      <c r="A175" s="717">
        <v>41714</v>
      </c>
      <c r="B175" s="533">
        <v>2.858206</v>
      </c>
      <c r="C175" s="519"/>
      <c r="D175" s="519"/>
      <c r="E175" s="519"/>
      <c r="F175" s="1137">
        <f t="shared" si="16"/>
        <v>-1.5381637344818717E-2</v>
      </c>
      <c r="G175" s="1138"/>
      <c r="H175" s="520">
        <v>9168.98</v>
      </c>
      <c r="I175" s="512">
        <v>43922</v>
      </c>
      <c r="J175" s="254">
        <f t="shared" si="13"/>
        <v>-1.5350217785376263E-2</v>
      </c>
      <c r="L175" s="251">
        <f t="shared" si="14"/>
        <v>43922</v>
      </c>
      <c r="M175" s="513">
        <v>120.7</v>
      </c>
      <c r="N175" s="254">
        <f t="shared" si="15"/>
        <v>-4.8857368006304247E-2</v>
      </c>
      <c r="O175" s="1137">
        <f t="shared" si="17"/>
        <v>-4.8888787565746702E-2</v>
      </c>
      <c r="P175" s="1138"/>
    </row>
    <row r="176" spans="1:16" x14ac:dyDescent="0.2">
      <c r="A176" s="717">
        <v>41721</v>
      </c>
      <c r="B176" s="533">
        <v>2.891807</v>
      </c>
      <c r="C176" s="519"/>
      <c r="D176" s="519"/>
      <c r="E176" s="519"/>
      <c r="F176" s="1137">
        <f t="shared" si="16"/>
        <v>1.4959222870190652E-2</v>
      </c>
      <c r="G176" s="1138"/>
      <c r="H176" s="520">
        <v>9311.92</v>
      </c>
      <c r="I176" s="512">
        <v>43921</v>
      </c>
      <c r="J176" s="254">
        <f t="shared" si="13"/>
        <v>1.4990642429633105E-2</v>
      </c>
      <c r="L176" s="251">
        <f t="shared" si="14"/>
        <v>43921</v>
      </c>
      <c r="M176" s="513">
        <v>126.9</v>
      </c>
      <c r="N176" s="254">
        <f t="shared" si="15"/>
        <v>2.7530364372469585E-2</v>
      </c>
      <c r="O176" s="1137">
        <f t="shared" si="17"/>
        <v>2.7498944813027129E-2</v>
      </c>
      <c r="P176" s="1138"/>
    </row>
    <row r="177" spans="1:16" x14ac:dyDescent="0.2">
      <c r="A177" s="717">
        <v>41728</v>
      </c>
      <c r="B177" s="533">
        <v>2.8615729999999999</v>
      </c>
      <c r="C177" s="519"/>
      <c r="D177" s="519"/>
      <c r="E177" s="519"/>
      <c r="F177" s="1137">
        <f t="shared" si="16"/>
        <v>1.9756561592955538E-2</v>
      </c>
      <c r="G177" s="1138"/>
      <c r="H177" s="520">
        <v>9174.39</v>
      </c>
      <c r="I177" s="512">
        <v>43920</v>
      </c>
      <c r="J177" s="254">
        <f t="shared" si="13"/>
        <v>1.9787981152397993E-2</v>
      </c>
      <c r="L177" s="251">
        <f t="shared" si="14"/>
        <v>43920</v>
      </c>
      <c r="M177" s="513">
        <v>123.5</v>
      </c>
      <c r="N177" s="254">
        <f t="shared" si="15"/>
        <v>2.3622047244094446E-2</v>
      </c>
      <c r="O177" s="1137">
        <f t="shared" si="17"/>
        <v>2.3590627684651991E-2</v>
      </c>
      <c r="P177" s="1138"/>
    </row>
    <row r="178" spans="1:16" x14ac:dyDescent="0.2">
      <c r="A178" s="717">
        <v>41735</v>
      </c>
      <c r="B178" s="533">
        <v>2.9078550000000001</v>
      </c>
      <c r="C178" s="519"/>
      <c r="D178" s="519"/>
      <c r="E178" s="519"/>
      <c r="F178" s="1137">
        <f t="shared" si="16"/>
        <v>-2.2587965749242864E-2</v>
      </c>
      <c r="G178" s="1138"/>
      <c r="H178" s="520">
        <v>8996.3700000000008</v>
      </c>
      <c r="I178" s="512">
        <v>43917</v>
      </c>
      <c r="J178" s="254">
        <f t="shared" si="13"/>
        <v>-2.2556546189800408E-2</v>
      </c>
      <c r="L178" s="251">
        <f t="shared" si="14"/>
        <v>43917</v>
      </c>
      <c r="M178" s="513">
        <v>120.65</v>
      </c>
      <c r="N178" s="254">
        <f t="shared" si="15"/>
        <v>-2.3076923076922995E-2</v>
      </c>
      <c r="O178" s="1137">
        <f t="shared" si="17"/>
        <v>-2.310834263636545E-2</v>
      </c>
      <c r="P178" s="1138"/>
    </row>
    <row r="179" spans="1:16" x14ac:dyDescent="0.2">
      <c r="A179" s="717">
        <v>41742</v>
      </c>
      <c r="B179" s="533">
        <v>2.832576</v>
      </c>
      <c r="C179" s="519"/>
      <c r="D179" s="519"/>
      <c r="E179" s="519"/>
      <c r="F179" s="1137">
        <f t="shared" si="16"/>
        <v>2.3866252748092356E-2</v>
      </c>
      <c r="G179" s="1138"/>
      <c r="H179" s="520">
        <v>9203.98</v>
      </c>
      <c r="I179" s="512">
        <v>43916</v>
      </c>
      <c r="J179" s="254">
        <f t="shared" si="13"/>
        <v>2.3897672307534812E-2</v>
      </c>
      <c r="L179" s="251">
        <f t="shared" si="14"/>
        <v>43916</v>
      </c>
      <c r="M179" s="513">
        <v>123.5</v>
      </c>
      <c r="N179" s="254">
        <f t="shared" si="15"/>
        <v>4.9723756906077332E-2</v>
      </c>
      <c r="O179" s="1137">
        <f t="shared" si="17"/>
        <v>4.9692337346634877E-2</v>
      </c>
      <c r="P179" s="1138"/>
    </row>
    <row r="180" spans="1:16" x14ac:dyDescent="0.2">
      <c r="A180" s="717">
        <v>41749</v>
      </c>
      <c r="B180" s="533">
        <v>2.8114750000000002</v>
      </c>
      <c r="C180" s="519"/>
      <c r="D180" s="519"/>
      <c r="E180" s="519"/>
      <c r="F180" s="1137">
        <f t="shared" si="16"/>
        <v>2.9263281653841802E-2</v>
      </c>
      <c r="G180" s="1138"/>
      <c r="H180" s="520">
        <v>8989.16</v>
      </c>
      <c r="I180" s="512">
        <v>43915</v>
      </c>
      <c r="J180" s="254">
        <f t="shared" si="13"/>
        <v>2.9294701213284258E-2</v>
      </c>
      <c r="L180" s="251">
        <f t="shared" si="14"/>
        <v>43915</v>
      </c>
      <c r="M180" s="513">
        <v>117.65</v>
      </c>
      <c r="N180" s="254">
        <f t="shared" si="15"/>
        <v>3.7477954144620851E-2</v>
      </c>
      <c r="O180" s="1137">
        <f t="shared" si="17"/>
        <v>3.7446534585178395E-2</v>
      </c>
      <c r="P180" s="1138"/>
    </row>
    <row r="181" spans="1:16" ht="16" customHeight="1" x14ac:dyDescent="0.2">
      <c r="A181" s="717">
        <v>41756</v>
      </c>
      <c r="B181" s="533">
        <v>2.8204250000000002</v>
      </c>
      <c r="C181" s="519"/>
      <c r="D181" s="519"/>
      <c r="E181" s="519"/>
      <c r="F181" s="1137">
        <f t="shared" si="16"/>
        <v>7.0124778553730407E-2</v>
      </c>
      <c r="G181" s="1138"/>
      <c r="H181" s="520">
        <v>8733.32</v>
      </c>
      <c r="I181" s="512">
        <v>43914</v>
      </c>
      <c r="J181" s="254">
        <f t="shared" si="13"/>
        <v>7.0156198113172863E-2</v>
      </c>
      <c r="L181" s="251">
        <f t="shared" si="14"/>
        <v>43914</v>
      </c>
      <c r="M181" s="513">
        <v>113.4</v>
      </c>
      <c r="N181" s="254">
        <f t="shared" si="15"/>
        <v>0.15197074360016272</v>
      </c>
      <c r="O181" s="1137">
        <f t="shared" si="17"/>
        <v>0.15193932404072027</v>
      </c>
      <c r="P181" s="1138"/>
    </row>
    <row r="182" spans="1:16" x14ac:dyDescent="0.2">
      <c r="A182" s="717">
        <v>41763</v>
      </c>
      <c r="B182" s="533">
        <v>2.775401</v>
      </c>
      <c r="C182" s="519"/>
      <c r="D182" s="519"/>
      <c r="E182" s="519"/>
      <c r="F182" s="1137">
        <f t="shared" si="16"/>
        <v>-5.3727792181447007E-2</v>
      </c>
      <c r="G182" s="1138"/>
      <c r="H182" s="520">
        <v>8160.79</v>
      </c>
      <c r="I182" s="512">
        <v>43913</v>
      </c>
      <c r="J182" s="254">
        <f t="shared" si="13"/>
        <v>-5.3696372622004551E-2</v>
      </c>
      <c r="L182" s="251">
        <f t="shared" si="14"/>
        <v>43913</v>
      </c>
      <c r="M182" s="513">
        <v>98.44</v>
      </c>
      <c r="N182" s="254">
        <f t="shared" si="15"/>
        <v>-4.6124031007751976E-2</v>
      </c>
      <c r="O182" s="1137">
        <f t="shared" si="17"/>
        <v>-4.6155450567194431E-2</v>
      </c>
      <c r="P182" s="1138"/>
    </row>
    <row r="183" spans="1:16" x14ac:dyDescent="0.2">
      <c r="A183" s="717">
        <v>41770</v>
      </c>
      <c r="B183" s="533">
        <v>2.7482850000000001</v>
      </c>
      <c r="C183" s="519"/>
      <c r="D183" s="519"/>
      <c r="E183" s="519"/>
      <c r="F183" s="1137">
        <f t="shared" si="16"/>
        <v>-1.806554297214806E-2</v>
      </c>
      <c r="G183" s="1138"/>
      <c r="H183" s="520">
        <v>8623.86</v>
      </c>
      <c r="I183" s="512">
        <v>43910</v>
      </c>
      <c r="J183" s="254">
        <f t="shared" si="13"/>
        <v>-1.8034123412705605E-2</v>
      </c>
      <c r="L183" s="251">
        <f t="shared" si="14"/>
        <v>43910</v>
      </c>
      <c r="M183" s="513">
        <v>103.2</v>
      </c>
      <c r="N183" s="254">
        <f t="shared" si="15"/>
        <v>-8.1691494473810078E-3</v>
      </c>
      <c r="O183" s="1137">
        <f t="shared" si="17"/>
        <v>-8.2005690068234615E-3</v>
      </c>
      <c r="P183" s="1138"/>
    </row>
    <row r="184" spans="1:16" x14ac:dyDescent="0.2">
      <c r="A184" s="717">
        <v>41777</v>
      </c>
      <c r="B184" s="533">
        <v>2.6821820000000001</v>
      </c>
      <c r="C184" s="519"/>
      <c r="D184" s="519"/>
      <c r="E184" s="519"/>
      <c r="F184" s="1137">
        <f t="shared" si="16"/>
        <v>5.3154073692535733E-2</v>
      </c>
      <c r="G184" s="1138"/>
      <c r="H184" s="520">
        <v>8782.24</v>
      </c>
      <c r="I184" s="512">
        <v>43909</v>
      </c>
      <c r="J184" s="254">
        <f t="shared" si="13"/>
        <v>5.3185493251978189E-2</v>
      </c>
      <c r="L184" s="251">
        <f t="shared" si="14"/>
        <v>43909</v>
      </c>
      <c r="M184" s="513">
        <v>104.05</v>
      </c>
      <c r="N184" s="254">
        <f t="shared" si="15"/>
        <v>-6.6825775656325082E-3</v>
      </c>
      <c r="O184" s="1137">
        <f t="shared" si="17"/>
        <v>-6.7139971250749627E-3</v>
      </c>
      <c r="P184" s="1138"/>
    </row>
    <row r="185" spans="1:16" x14ac:dyDescent="0.2">
      <c r="A185" s="717">
        <v>41784</v>
      </c>
      <c r="B185" s="533">
        <v>2.6810939999999999</v>
      </c>
      <c r="C185" s="519"/>
      <c r="D185" s="519"/>
      <c r="E185" s="519"/>
      <c r="F185" s="1137">
        <f t="shared" si="16"/>
        <v>-1.819923697228891E-2</v>
      </c>
      <c r="G185" s="1138"/>
      <c r="H185" s="520">
        <v>8338.74</v>
      </c>
      <c r="I185" s="512">
        <v>43908</v>
      </c>
      <c r="J185" s="254">
        <f t="shared" si="13"/>
        <v>-1.8167817412846454E-2</v>
      </c>
      <c r="L185" s="251">
        <f t="shared" si="14"/>
        <v>43908</v>
      </c>
      <c r="M185" s="513">
        <v>104.75</v>
      </c>
      <c r="N185" s="254">
        <f t="shared" si="15"/>
        <v>-1.7354596622889296E-2</v>
      </c>
      <c r="O185" s="1137">
        <f t="shared" si="17"/>
        <v>-1.7386016182331751E-2</v>
      </c>
      <c r="P185" s="1138"/>
    </row>
    <row r="186" spans="1:16" x14ac:dyDescent="0.2">
      <c r="A186" s="717">
        <v>41791</v>
      </c>
      <c r="B186" s="533">
        <v>2.6225849999999999</v>
      </c>
      <c r="C186" s="519"/>
      <c r="D186" s="519"/>
      <c r="E186" s="519"/>
      <c r="F186" s="1137">
        <f t="shared" si="16"/>
        <v>3.2295967557250241E-2</v>
      </c>
      <c r="G186" s="1138"/>
      <c r="H186" s="520">
        <v>8493.0400000000009</v>
      </c>
      <c r="I186" s="512">
        <v>43907</v>
      </c>
      <c r="J186" s="254">
        <f t="shared" si="13"/>
        <v>3.2327387116692696E-2</v>
      </c>
      <c r="L186" s="251">
        <f t="shared" si="14"/>
        <v>43907</v>
      </c>
      <c r="M186" s="513">
        <v>106.6</v>
      </c>
      <c r="N186" s="254">
        <f t="shared" si="15"/>
        <v>-3.2725572697522853E-3</v>
      </c>
      <c r="O186" s="1137">
        <f t="shared" si="17"/>
        <v>-3.3039768291947399E-3</v>
      </c>
      <c r="P186" s="1138"/>
    </row>
    <row r="187" spans="1:16" x14ac:dyDescent="0.2">
      <c r="A187" s="717">
        <v>41798</v>
      </c>
      <c r="B187" s="533">
        <v>2.6503420000000002</v>
      </c>
      <c r="C187" s="519"/>
      <c r="D187" s="519"/>
      <c r="E187" s="519"/>
      <c r="F187" s="1137">
        <f t="shared" si="16"/>
        <v>-1.6820065233928136E-2</v>
      </c>
      <c r="G187" s="1138"/>
      <c r="H187" s="520">
        <v>8227.08</v>
      </c>
      <c r="I187" s="512">
        <v>43906</v>
      </c>
      <c r="J187" s="254">
        <f t="shared" si="13"/>
        <v>-1.678864567448568E-2</v>
      </c>
      <c r="L187" s="251">
        <f t="shared" si="14"/>
        <v>43906</v>
      </c>
      <c r="M187" s="513">
        <v>106.95</v>
      </c>
      <c r="N187" s="254">
        <f t="shared" si="15"/>
        <v>-9.263547938860528E-3</v>
      </c>
      <c r="O187" s="1137">
        <f t="shared" si="17"/>
        <v>-9.2949674983029817E-3</v>
      </c>
      <c r="P187" s="1138"/>
    </row>
    <row r="188" spans="1:16" x14ac:dyDescent="0.2">
      <c r="A188" s="717">
        <v>41805</v>
      </c>
      <c r="B188" s="533">
        <v>2.690712</v>
      </c>
      <c r="C188" s="519"/>
      <c r="D188" s="519"/>
      <c r="E188" s="519"/>
      <c r="F188" s="1137">
        <f t="shared" si="16"/>
        <v>1.1711607413729301E-2</v>
      </c>
      <c r="G188" s="1138"/>
      <c r="H188" s="520">
        <v>8367.56</v>
      </c>
      <c r="I188" s="512">
        <v>43903</v>
      </c>
      <c r="J188" s="254">
        <f t="shared" si="13"/>
        <v>1.1743026973171755E-2</v>
      </c>
      <c r="L188" s="251">
        <f t="shared" si="14"/>
        <v>43903</v>
      </c>
      <c r="M188" s="513">
        <v>107.95</v>
      </c>
      <c r="N188" s="254">
        <f t="shared" si="15"/>
        <v>-1.8492834026815341E-3</v>
      </c>
      <c r="O188" s="1137">
        <f t="shared" si="17"/>
        <v>-1.8807029621239887E-3</v>
      </c>
      <c r="P188" s="1138"/>
    </row>
    <row r="189" spans="1:16" x14ac:dyDescent="0.2">
      <c r="A189" s="717">
        <v>41812</v>
      </c>
      <c r="B189" s="533">
        <v>2.7006399999999999</v>
      </c>
      <c r="C189" s="519"/>
      <c r="D189" s="519"/>
      <c r="E189" s="519"/>
      <c r="F189" s="1137">
        <f t="shared" si="16"/>
        <v>-9.6405087956055333E-2</v>
      </c>
      <c r="G189" s="1138"/>
      <c r="H189" s="520">
        <v>8270.44</v>
      </c>
      <c r="I189" s="512">
        <v>43902</v>
      </c>
      <c r="J189" s="254">
        <f t="shared" si="13"/>
        <v>-9.6373668396612877E-2</v>
      </c>
      <c r="L189" s="251">
        <f t="shared" si="14"/>
        <v>43902</v>
      </c>
      <c r="M189" s="513">
        <v>108.15</v>
      </c>
      <c r="N189" s="254">
        <f t="shared" si="15"/>
        <v>-0.11533742331288344</v>
      </c>
      <c r="O189" s="1137">
        <f t="shared" si="17"/>
        <v>-0.11536884287232589</v>
      </c>
      <c r="P189" s="1138"/>
    </row>
    <row r="190" spans="1:16" x14ac:dyDescent="0.2">
      <c r="A190" s="717">
        <v>41819</v>
      </c>
      <c r="B190" s="533">
        <v>2.649959</v>
      </c>
      <c r="C190" s="519"/>
      <c r="D190" s="519"/>
      <c r="E190" s="519"/>
      <c r="F190" s="1137">
        <f t="shared" si="16"/>
        <v>-4.7541610331161407E-3</v>
      </c>
      <c r="G190" s="1138"/>
      <c r="H190" s="520">
        <v>9152.5</v>
      </c>
      <c r="I190" s="512">
        <v>43901</v>
      </c>
      <c r="J190" s="254">
        <f t="shared" si="13"/>
        <v>-4.7227414736736861E-3</v>
      </c>
      <c r="L190" s="251">
        <f t="shared" si="14"/>
        <v>43901</v>
      </c>
      <c r="M190" s="513">
        <v>122.25</v>
      </c>
      <c r="N190" s="254">
        <f t="shared" si="15"/>
        <v>-4.1927899686520331E-2</v>
      </c>
      <c r="O190" s="1137">
        <f t="shared" si="17"/>
        <v>-4.1959319245962787E-2</v>
      </c>
      <c r="P190" s="1138"/>
    </row>
    <row r="191" spans="1:16" x14ac:dyDescent="0.2">
      <c r="A191" s="717">
        <v>41826</v>
      </c>
      <c r="B191" s="533">
        <v>2.6442070000000002</v>
      </c>
      <c r="C191" s="519"/>
      <c r="D191" s="519"/>
      <c r="E191" s="519"/>
      <c r="F191" s="1137">
        <f t="shared" si="16"/>
        <v>-1.0427257033777852E-4</v>
      </c>
      <c r="G191" s="1138"/>
      <c r="H191" s="520">
        <v>9195.93</v>
      </c>
      <c r="I191" s="512">
        <v>43900</v>
      </c>
      <c r="J191" s="254">
        <f t="shared" si="13"/>
        <v>-7.2853010895324033E-5</v>
      </c>
      <c r="L191" s="251">
        <f t="shared" si="14"/>
        <v>43900</v>
      </c>
      <c r="M191" s="513">
        <v>127.6</v>
      </c>
      <c r="N191" s="254">
        <f t="shared" si="15"/>
        <v>-2.8549676437000349E-2</v>
      </c>
      <c r="O191" s="1137">
        <f t="shared" si="17"/>
        <v>-2.8581095996442804E-2</v>
      </c>
      <c r="P191" s="1138"/>
    </row>
    <row r="192" spans="1:16" ht="16" customHeight="1" x14ac:dyDescent="0.2">
      <c r="A192" s="717">
        <v>41833</v>
      </c>
      <c r="B192" s="533">
        <v>2.6232850000000001</v>
      </c>
      <c r="C192" s="519"/>
      <c r="D192" s="519"/>
      <c r="E192" s="519"/>
      <c r="F192" s="1137">
        <f t="shared" si="16"/>
        <v>-5.5513599573040293E-2</v>
      </c>
      <c r="G192" s="1138"/>
      <c r="H192" s="520">
        <v>9196.6</v>
      </c>
      <c r="I192" s="512">
        <v>43899</v>
      </c>
      <c r="J192" s="254">
        <f t="shared" si="13"/>
        <v>-5.5482180013597837E-2</v>
      </c>
      <c r="L192" s="251">
        <f t="shared" si="14"/>
        <v>43899</v>
      </c>
      <c r="M192" s="513">
        <v>131.35</v>
      </c>
      <c r="N192" s="254">
        <f t="shared" si="15"/>
        <v>-7.4021854071201987E-2</v>
      </c>
      <c r="O192" s="1137">
        <f t="shared" si="17"/>
        <v>-7.4053273630644442E-2</v>
      </c>
      <c r="P192" s="1138"/>
    </row>
    <row r="193" spans="1:16" x14ac:dyDescent="0.2">
      <c r="A193" s="717">
        <v>41840</v>
      </c>
      <c r="B193" s="533">
        <v>2.5848200000000001</v>
      </c>
      <c r="C193" s="519"/>
      <c r="D193" s="519"/>
      <c r="E193" s="519"/>
      <c r="F193" s="1137">
        <f t="shared" si="16"/>
        <v>-4.0130713989312825E-2</v>
      </c>
      <c r="G193" s="1138"/>
      <c r="H193" s="520">
        <v>9736.82</v>
      </c>
      <c r="I193" s="512">
        <v>43896</v>
      </c>
      <c r="J193" s="254">
        <f t="shared" si="13"/>
        <v>-4.0099294429870369E-2</v>
      </c>
      <c r="L193" s="251">
        <f t="shared" si="14"/>
        <v>43896</v>
      </c>
      <c r="M193" s="513">
        <v>141.85</v>
      </c>
      <c r="N193" s="254">
        <f t="shared" si="15"/>
        <v>-3.1740614334471062E-2</v>
      </c>
      <c r="O193" s="1137">
        <f t="shared" si="17"/>
        <v>-3.1772033893913518E-2</v>
      </c>
      <c r="P193" s="1138"/>
    </row>
    <row r="194" spans="1:16" x14ac:dyDescent="0.2">
      <c r="A194" s="717">
        <v>41847</v>
      </c>
      <c r="B194" s="533">
        <v>2.5490560000000002</v>
      </c>
      <c r="C194" s="519"/>
      <c r="D194" s="519"/>
      <c r="E194" s="519"/>
      <c r="F194" s="1137">
        <f t="shared" si="16"/>
        <v>-1.0549017660773026E-2</v>
      </c>
      <c r="G194" s="1138"/>
      <c r="H194" s="520">
        <v>10143.57</v>
      </c>
      <c r="I194" s="512">
        <v>43895</v>
      </c>
      <c r="J194" s="254">
        <f t="shared" si="13"/>
        <v>-1.0517598101330572E-2</v>
      </c>
      <c r="L194" s="251">
        <f t="shared" si="14"/>
        <v>43895</v>
      </c>
      <c r="M194" s="513">
        <v>146.5</v>
      </c>
      <c r="N194" s="254">
        <f t="shared" si="15"/>
        <v>-1.4463504877228472E-2</v>
      </c>
      <c r="O194" s="1137">
        <f t="shared" si="17"/>
        <v>-1.4494924436670926E-2</v>
      </c>
      <c r="P194" s="1138"/>
    </row>
    <row r="195" spans="1:16" x14ac:dyDescent="0.2">
      <c r="A195" s="717">
        <v>41854</v>
      </c>
      <c r="B195" s="533">
        <v>2.5909810000000002</v>
      </c>
      <c r="C195" s="519"/>
      <c r="D195" s="519"/>
      <c r="E195" s="519"/>
      <c r="F195" s="1137">
        <f t="shared" si="16"/>
        <v>1.6225495007244642E-2</v>
      </c>
      <c r="G195" s="1138"/>
      <c r="H195" s="520">
        <v>10251.39</v>
      </c>
      <c r="I195" s="512">
        <v>43894</v>
      </c>
      <c r="J195" s="254">
        <f t="shared" si="13"/>
        <v>1.6256914566687097E-2</v>
      </c>
      <c r="L195" s="251">
        <f t="shared" si="14"/>
        <v>43894</v>
      </c>
      <c r="M195" s="513">
        <v>148.65</v>
      </c>
      <c r="N195" s="254">
        <f t="shared" si="15"/>
        <v>1.4675767918088667E-2</v>
      </c>
      <c r="O195" s="1137">
        <f t="shared" si="17"/>
        <v>1.4644348358646213E-2</v>
      </c>
      <c r="P195" s="1138"/>
    </row>
    <row r="196" spans="1:16" x14ac:dyDescent="0.2">
      <c r="A196" s="717">
        <v>41861</v>
      </c>
      <c r="B196" s="533">
        <v>2.548378</v>
      </c>
      <c r="C196" s="519"/>
      <c r="D196" s="519"/>
      <c r="E196" s="519"/>
      <c r="F196" s="1137">
        <f t="shared" si="16"/>
        <v>1.369306372486641E-2</v>
      </c>
      <c r="G196" s="1138"/>
      <c r="H196" s="520">
        <v>10087.4</v>
      </c>
      <c r="I196" s="512">
        <v>43893</v>
      </c>
      <c r="J196" s="254">
        <f t="shared" si="13"/>
        <v>1.3724483284308864E-2</v>
      </c>
      <c r="L196" s="251">
        <f t="shared" si="14"/>
        <v>43893</v>
      </c>
      <c r="M196" s="513">
        <v>146.5</v>
      </c>
      <c r="N196" s="254">
        <f t="shared" si="15"/>
        <v>5.9291395516992029E-2</v>
      </c>
      <c r="O196" s="1137">
        <f t="shared" si="17"/>
        <v>5.9259975957549574E-2</v>
      </c>
      <c r="P196" s="1138"/>
    </row>
    <row r="197" spans="1:16" x14ac:dyDescent="0.2">
      <c r="A197" s="717">
        <v>41868</v>
      </c>
      <c r="B197" s="533">
        <v>2.487419</v>
      </c>
      <c r="C197" s="519"/>
      <c r="D197" s="519"/>
      <c r="E197" s="519"/>
      <c r="F197" s="1137">
        <f t="shared" si="16"/>
        <v>1.2154485681412157E-2</v>
      </c>
      <c r="G197" s="1138"/>
      <c r="H197" s="520">
        <v>9950.83</v>
      </c>
      <c r="I197" s="512">
        <v>43892</v>
      </c>
      <c r="J197" s="254">
        <f t="shared" si="13"/>
        <v>1.2185905240854611E-2</v>
      </c>
      <c r="L197" s="251">
        <f t="shared" si="14"/>
        <v>43892</v>
      </c>
      <c r="M197" s="513">
        <v>138.30000000000001</v>
      </c>
      <c r="N197" s="254">
        <f t="shared" si="15"/>
        <v>7.6502732240437687E-3</v>
      </c>
      <c r="O197" s="1137">
        <f t="shared" si="17"/>
        <v>7.6188536646013142E-3</v>
      </c>
      <c r="P197" s="1138"/>
    </row>
    <row r="198" spans="1:16" x14ac:dyDescent="0.2">
      <c r="A198" s="717">
        <v>41875</v>
      </c>
      <c r="B198" s="533">
        <v>2.4771489999999998</v>
      </c>
      <c r="C198" s="519"/>
      <c r="D198" s="519"/>
      <c r="E198" s="519"/>
      <c r="F198" s="1137">
        <f t="shared" si="16"/>
        <v>-3.6720603584464204E-2</v>
      </c>
      <c r="G198" s="1138"/>
      <c r="H198" s="520">
        <v>9831.0300000000007</v>
      </c>
      <c r="I198" s="512">
        <v>43889</v>
      </c>
      <c r="J198" s="254">
        <f t="shared" si="13"/>
        <v>-3.6689184025021748E-2</v>
      </c>
      <c r="L198" s="251">
        <f t="shared" si="14"/>
        <v>43889</v>
      </c>
      <c r="M198" s="513">
        <v>137.25</v>
      </c>
      <c r="N198" s="254">
        <f t="shared" si="15"/>
        <v>-5.5402615278733691E-2</v>
      </c>
      <c r="O198" s="1137">
        <f t="shared" si="17"/>
        <v>-5.5434034838176147E-2</v>
      </c>
      <c r="P198" s="1138"/>
    </row>
    <row r="199" spans="1:16" x14ac:dyDescent="0.2">
      <c r="A199" s="717">
        <v>41882</v>
      </c>
      <c r="B199" s="533">
        <v>2.4384269999999999</v>
      </c>
      <c r="C199" s="519"/>
      <c r="D199" s="519"/>
      <c r="E199" s="519"/>
      <c r="F199" s="1137">
        <f t="shared" si="16"/>
        <v>-2.9206231562695903E-2</v>
      </c>
      <c r="G199" s="1138"/>
      <c r="H199" s="520">
        <v>10205.459999999999</v>
      </c>
      <c r="I199" s="512">
        <v>43888</v>
      </c>
      <c r="J199" s="254">
        <f t="shared" si="13"/>
        <v>-2.9174812003253447E-2</v>
      </c>
      <c r="L199" s="251">
        <f t="shared" si="14"/>
        <v>43888</v>
      </c>
      <c r="M199" s="513">
        <v>145.30000000000001</v>
      </c>
      <c r="N199" s="254">
        <f t="shared" si="15"/>
        <v>-4.4393291680368319E-2</v>
      </c>
      <c r="O199" s="1137">
        <f t="shared" si="17"/>
        <v>-4.4424711239810774E-2</v>
      </c>
      <c r="P199" s="1138"/>
    </row>
    <row r="200" spans="1:16" x14ac:dyDescent="0.2">
      <c r="A200" s="717">
        <v>41889</v>
      </c>
      <c r="B200" s="533">
        <v>2.4791799999999999</v>
      </c>
      <c r="C200" s="519"/>
      <c r="D200" s="519"/>
      <c r="E200" s="519"/>
      <c r="F200" s="1137">
        <f t="shared" si="16"/>
        <v>3.1789605423086656E-3</v>
      </c>
      <c r="G200" s="1138"/>
      <c r="H200" s="520">
        <v>10512.15</v>
      </c>
      <c r="I200" s="512">
        <v>43887</v>
      </c>
      <c r="J200" s="254">
        <f t="shared" si="13"/>
        <v>3.2103801017511202E-3</v>
      </c>
      <c r="L200" s="251">
        <f t="shared" si="14"/>
        <v>43887</v>
      </c>
      <c r="M200" s="513">
        <v>152.05000000000001</v>
      </c>
      <c r="N200" s="254">
        <f t="shared" si="15"/>
        <v>2.1498152502519519E-2</v>
      </c>
      <c r="O200" s="1137">
        <f t="shared" si="17"/>
        <v>2.1466732943077063E-2</v>
      </c>
      <c r="P200" s="1138"/>
    </row>
    <row r="201" spans="1:16" x14ac:dyDescent="0.2">
      <c r="A201" s="717">
        <v>41896</v>
      </c>
      <c r="B201" s="533">
        <v>2.574109</v>
      </c>
      <c r="C201" s="519"/>
      <c r="D201" s="519"/>
      <c r="E201" s="519"/>
      <c r="F201" s="1137">
        <f t="shared" si="16"/>
        <v>-2.1905171057644598E-2</v>
      </c>
      <c r="G201" s="1138"/>
      <c r="H201" s="520">
        <v>10478.51</v>
      </c>
      <c r="I201" s="512">
        <v>43886</v>
      </c>
      <c r="J201" s="254">
        <f t="shared" si="13"/>
        <v>-2.1873751498202143E-2</v>
      </c>
      <c r="L201" s="251">
        <f t="shared" si="14"/>
        <v>43886</v>
      </c>
      <c r="M201" s="513">
        <v>148.85</v>
      </c>
      <c r="N201" s="254">
        <f t="shared" si="15"/>
        <v>-3.8747174685179187E-2</v>
      </c>
      <c r="O201" s="1137">
        <f t="shared" si="17"/>
        <v>-3.8778594244621642E-2</v>
      </c>
      <c r="P201" s="1138"/>
    </row>
    <row r="202" spans="1:16" x14ac:dyDescent="0.2">
      <c r="A202" s="717">
        <v>41903</v>
      </c>
      <c r="B202" s="533">
        <v>2.5969600000000002</v>
      </c>
      <c r="C202" s="519"/>
      <c r="D202" s="519"/>
      <c r="E202" s="519"/>
      <c r="F202" s="1137">
        <f t="shared" si="16"/>
        <v>-3.5847086866328245E-2</v>
      </c>
      <c r="G202" s="1138"/>
      <c r="H202" s="520">
        <v>10712.84</v>
      </c>
      <c r="I202" s="512">
        <v>43885</v>
      </c>
      <c r="J202" s="254">
        <f t="shared" si="13"/>
        <v>-3.581566730688579E-2</v>
      </c>
      <c r="L202" s="251">
        <f t="shared" si="14"/>
        <v>43885</v>
      </c>
      <c r="M202" s="513">
        <v>154.85</v>
      </c>
      <c r="N202" s="254">
        <f t="shared" si="15"/>
        <v>-3.4901838578996536E-2</v>
      </c>
      <c r="O202" s="1137">
        <f t="shared" si="17"/>
        <v>-3.4933258138438991E-2</v>
      </c>
      <c r="P202" s="1138"/>
    </row>
    <row r="203" spans="1:16" ht="16" customHeight="1" x14ac:dyDescent="0.2">
      <c r="A203" s="717">
        <v>41910</v>
      </c>
      <c r="B203" s="533">
        <v>2.5376699999999999</v>
      </c>
      <c r="C203" s="519"/>
      <c r="D203" s="519"/>
      <c r="E203" s="519"/>
      <c r="F203" s="1137">
        <f t="shared" si="16"/>
        <v>-3.9535928827469221E-3</v>
      </c>
      <c r="G203" s="1138"/>
      <c r="H203" s="520">
        <v>11110.78</v>
      </c>
      <c r="I203" s="512">
        <v>43882</v>
      </c>
      <c r="J203" s="254">
        <f t="shared" si="13"/>
        <v>-3.9221733233044676E-3</v>
      </c>
      <c r="L203" s="251">
        <f t="shared" si="14"/>
        <v>43882</v>
      </c>
      <c r="M203" s="513">
        <v>160.44999999999999</v>
      </c>
      <c r="N203" s="254">
        <f t="shared" si="15"/>
        <v>5.0109614782334333E-3</v>
      </c>
      <c r="O203" s="1137">
        <f t="shared" si="17"/>
        <v>4.9795419187909787E-3</v>
      </c>
      <c r="P203" s="1138"/>
    </row>
    <row r="204" spans="1:16" x14ac:dyDescent="0.2">
      <c r="A204" s="717">
        <v>41917</v>
      </c>
      <c r="B204" s="533">
        <v>2.4978509999999998</v>
      </c>
      <c r="C204" s="519"/>
      <c r="D204" s="519"/>
      <c r="E204" s="519"/>
      <c r="F204" s="1137">
        <f t="shared" si="16"/>
        <v>-9.6629478986696559E-3</v>
      </c>
      <c r="G204" s="1138"/>
      <c r="H204" s="520">
        <v>11154.53</v>
      </c>
      <c r="I204" s="512">
        <v>43881</v>
      </c>
      <c r="J204" s="254">
        <f t="shared" si="13"/>
        <v>-9.6315283392272022E-3</v>
      </c>
      <c r="L204" s="251">
        <f t="shared" si="14"/>
        <v>43881</v>
      </c>
      <c r="M204" s="513">
        <v>159.65</v>
      </c>
      <c r="N204" s="254">
        <f t="shared" si="15"/>
        <v>-3.0072904009720514E-2</v>
      </c>
      <c r="O204" s="1137">
        <f t="shared" si="17"/>
        <v>-3.0104323569162969E-2</v>
      </c>
      <c r="P204" s="1138"/>
    </row>
    <row r="205" spans="1:16" x14ac:dyDescent="0.2">
      <c r="A205" s="717">
        <v>41924</v>
      </c>
      <c r="B205" s="533">
        <v>2.4310890000000001</v>
      </c>
      <c r="C205" s="519"/>
      <c r="D205" s="519"/>
      <c r="E205" s="519"/>
      <c r="F205" s="1137">
        <f t="shared" si="16"/>
        <v>1.0441132718088624E-2</v>
      </c>
      <c r="G205" s="1138"/>
      <c r="H205" s="520">
        <v>11263.01</v>
      </c>
      <c r="I205" s="512">
        <v>43880</v>
      </c>
      <c r="J205" s="254">
        <f t="shared" si="13"/>
        <v>1.0472552277531078E-2</v>
      </c>
      <c r="L205" s="251">
        <f t="shared" si="14"/>
        <v>43880</v>
      </c>
      <c r="M205" s="513">
        <v>164.6</v>
      </c>
      <c r="N205" s="254">
        <f t="shared" si="15"/>
        <v>3.0469226081657474E-3</v>
      </c>
      <c r="O205" s="1137">
        <f t="shared" si="17"/>
        <v>3.0155030487232929E-3</v>
      </c>
      <c r="P205" s="1138"/>
    </row>
    <row r="206" spans="1:16" x14ac:dyDescent="0.2">
      <c r="A206" s="717">
        <v>41931</v>
      </c>
      <c r="B206" s="533">
        <v>2.3442020000000001</v>
      </c>
      <c r="C206" s="519"/>
      <c r="D206" s="519"/>
      <c r="E206" s="519"/>
      <c r="F206" s="1137">
        <f t="shared" si="16"/>
        <v>-2.0164756773460154E-3</v>
      </c>
      <c r="G206" s="1138"/>
      <c r="H206" s="520">
        <v>11146.28</v>
      </c>
      <c r="I206" s="512">
        <v>43879</v>
      </c>
      <c r="J206" s="254">
        <f t="shared" si="13"/>
        <v>-1.9850561179035608E-3</v>
      </c>
      <c r="L206" s="251">
        <f t="shared" si="14"/>
        <v>43879</v>
      </c>
      <c r="M206" s="513">
        <v>164.1</v>
      </c>
      <c r="N206" s="254">
        <f t="shared" si="15"/>
        <v>6.0975609756086513E-4</v>
      </c>
      <c r="O206" s="1137">
        <f t="shared" si="17"/>
        <v>5.7833653811841066E-4</v>
      </c>
      <c r="P206" s="1138"/>
    </row>
    <row r="207" spans="1:16" x14ac:dyDescent="0.2">
      <c r="A207" s="717">
        <v>41938</v>
      </c>
      <c r="B207" s="533">
        <v>2.3681610000000002</v>
      </c>
      <c r="C207" s="519"/>
      <c r="D207" s="519"/>
      <c r="E207" s="519"/>
      <c r="F207" s="1137">
        <f t="shared" si="16"/>
        <v>3.5305066483013051E-3</v>
      </c>
      <c r="G207" s="1138"/>
      <c r="H207" s="520">
        <v>11168.45</v>
      </c>
      <c r="I207" s="512">
        <v>43878</v>
      </c>
      <c r="J207" s="254">
        <f t="shared" si="13"/>
        <v>3.5619262077437597E-3</v>
      </c>
      <c r="L207" s="251">
        <f t="shared" si="14"/>
        <v>43878</v>
      </c>
      <c r="M207" s="513">
        <v>164</v>
      </c>
      <c r="N207" s="254">
        <f t="shared" si="15"/>
        <v>-2.1187705162638126E-2</v>
      </c>
      <c r="O207" s="1137">
        <f t="shared" si="17"/>
        <v>-2.1219124722080582E-2</v>
      </c>
      <c r="P207" s="1138"/>
    </row>
    <row r="208" spans="1:16" x14ac:dyDescent="0.2">
      <c r="A208" s="717">
        <v>41945</v>
      </c>
      <c r="B208" s="533">
        <v>2.3813059999999999</v>
      </c>
      <c r="C208" s="519"/>
      <c r="D208" s="519"/>
      <c r="E208" s="519"/>
      <c r="F208" s="1137">
        <f t="shared" si="16"/>
        <v>3.2555304556580325E-3</v>
      </c>
      <c r="G208" s="1138"/>
      <c r="H208" s="520">
        <v>11128.81</v>
      </c>
      <c r="I208" s="512">
        <v>43875</v>
      </c>
      <c r="J208" s="254">
        <f t="shared" si="13"/>
        <v>3.2869500151004871E-3</v>
      </c>
      <c r="L208" s="251">
        <f t="shared" si="14"/>
        <v>43875</v>
      </c>
      <c r="M208" s="513">
        <v>167.55</v>
      </c>
      <c r="N208" s="254">
        <f t="shared" si="15"/>
        <v>1.3305110371938378E-2</v>
      </c>
      <c r="O208" s="1137">
        <f t="shared" si="17"/>
        <v>1.3273690812495924E-2</v>
      </c>
      <c r="P208" s="1138"/>
    </row>
    <row r="209" spans="1:16" x14ac:dyDescent="0.2">
      <c r="A209" s="717">
        <v>41952</v>
      </c>
      <c r="B209" s="533">
        <v>2.3788680000000002</v>
      </c>
      <c r="C209" s="519"/>
      <c r="D209" s="519"/>
      <c r="E209" s="519"/>
      <c r="F209" s="1137">
        <f t="shared" si="16"/>
        <v>2.4903248235670736E-4</v>
      </c>
      <c r="G209" s="1138"/>
      <c r="H209" s="520">
        <v>11092.35</v>
      </c>
      <c r="I209" s="512">
        <v>43874</v>
      </c>
      <c r="J209" s="254">
        <f t="shared" si="13"/>
        <v>2.8045204179916183E-4</v>
      </c>
      <c r="L209" s="251">
        <f t="shared" si="14"/>
        <v>43874</v>
      </c>
      <c r="M209" s="513">
        <v>165.35</v>
      </c>
      <c r="N209" s="254">
        <f t="shared" si="15"/>
        <v>1.9106317411402118E-2</v>
      </c>
      <c r="O209" s="1137">
        <f t="shared" si="17"/>
        <v>1.9074897851959663E-2</v>
      </c>
      <c r="P209" s="1138"/>
    </row>
    <row r="210" spans="1:16" x14ac:dyDescent="0.2">
      <c r="A210" s="717">
        <v>41959</v>
      </c>
      <c r="B210" s="533">
        <v>2.362717</v>
      </c>
      <c r="C210" s="519"/>
      <c r="D210" s="519"/>
      <c r="E210" s="519"/>
      <c r="F210" s="1137">
        <f t="shared" si="16"/>
        <v>-1.1060810590862022E-3</v>
      </c>
      <c r="G210" s="1138"/>
      <c r="H210" s="520">
        <v>11089.24</v>
      </c>
      <c r="I210" s="512">
        <v>43873</v>
      </c>
      <c r="J210" s="254">
        <f t="shared" si="13"/>
        <v>-1.0746614996437476E-3</v>
      </c>
      <c r="L210" s="251">
        <f t="shared" si="14"/>
        <v>43873</v>
      </c>
      <c r="M210" s="513">
        <v>162.25</v>
      </c>
      <c r="N210" s="254">
        <f t="shared" si="15"/>
        <v>2.1618282890671914E-3</v>
      </c>
      <c r="O210" s="1137">
        <f t="shared" si="17"/>
        <v>2.1304087296247368E-3</v>
      </c>
      <c r="P210" s="1138"/>
    </row>
    <row r="211" spans="1:16" x14ac:dyDescent="0.2">
      <c r="A211" s="717">
        <v>41966</v>
      </c>
      <c r="B211" s="533">
        <v>2.3398659999999998</v>
      </c>
      <c r="C211" s="519"/>
      <c r="D211" s="519"/>
      <c r="E211" s="519"/>
      <c r="F211" s="1182">
        <f t="shared" si="16"/>
        <v>5.5293796593824532E-3</v>
      </c>
      <c r="G211" s="1138"/>
      <c r="H211" s="520">
        <v>11101.17</v>
      </c>
      <c r="I211" s="512">
        <v>43872</v>
      </c>
      <c r="J211" s="254">
        <f t="shared" si="13"/>
        <v>5.5607992188249078E-3</v>
      </c>
      <c r="L211" s="251">
        <f t="shared" si="14"/>
        <v>43872</v>
      </c>
      <c r="M211" s="513">
        <v>161.9</v>
      </c>
      <c r="N211" s="254">
        <f t="shared" si="15"/>
        <v>-8.8766452402815332E-3</v>
      </c>
      <c r="O211" s="1137">
        <f t="shared" si="17"/>
        <v>-8.9080647997239869E-3</v>
      </c>
      <c r="P211" s="1138"/>
    </row>
    <row r="212" spans="1:16" x14ac:dyDescent="0.2">
      <c r="A212" s="717">
        <v>41973</v>
      </c>
      <c r="B212" s="533">
        <v>2.2707709999999999</v>
      </c>
      <c r="C212" s="519"/>
      <c r="D212" s="519"/>
      <c r="E212" s="519"/>
      <c r="F212" s="1182">
        <f t="shared" si="16"/>
        <v>3.4453695780684726E-3</v>
      </c>
      <c r="G212" s="1138"/>
      <c r="H212" s="520">
        <v>11039.78</v>
      </c>
      <c r="I212" s="512">
        <v>43871</v>
      </c>
      <c r="J212" s="254">
        <f t="shared" si="13"/>
        <v>3.4767891375109272E-3</v>
      </c>
      <c r="L212" s="251">
        <f t="shared" si="14"/>
        <v>43871</v>
      </c>
      <c r="M212" s="513">
        <v>163.35</v>
      </c>
      <c r="N212" s="254">
        <f t="shared" si="15"/>
        <v>2.454740718011772E-3</v>
      </c>
      <c r="O212" s="1137">
        <f t="shared" si="17"/>
        <v>2.4233211585693174E-3</v>
      </c>
      <c r="P212" s="1138"/>
    </row>
    <row r="213" spans="1:16" x14ac:dyDescent="0.2">
      <c r="A213" s="717">
        <v>41980</v>
      </c>
      <c r="B213" s="533">
        <v>2.25739</v>
      </c>
      <c r="C213" s="519"/>
      <c r="D213" s="519"/>
      <c r="E213" s="519"/>
      <c r="F213" s="1182">
        <f t="shared" si="16"/>
        <v>-1.0148599845647829E-3</v>
      </c>
      <c r="G213" s="1138"/>
      <c r="H213" s="520">
        <v>11001.53</v>
      </c>
      <c r="I213" s="512">
        <v>43868</v>
      </c>
      <c r="J213" s="254">
        <f t="shared" si="13"/>
        <v>-9.8344042512232832E-4</v>
      </c>
      <c r="L213" s="251">
        <f t="shared" si="14"/>
        <v>43868</v>
      </c>
      <c r="M213" s="513">
        <v>162.94999999999999</v>
      </c>
      <c r="N213" s="254">
        <f t="shared" si="15"/>
        <v>-1.8376722817764479E-3</v>
      </c>
      <c r="O213" s="1137">
        <f t="shared" si="17"/>
        <v>-1.8690918412189025E-3</v>
      </c>
      <c r="P213" s="1138"/>
    </row>
    <row r="214" spans="1:16" ht="16" customHeight="1" x14ac:dyDescent="0.2">
      <c r="A214" s="717">
        <v>41987</v>
      </c>
      <c r="B214" s="533">
        <v>2.1781130000000002</v>
      </c>
      <c r="C214" s="519"/>
      <c r="D214" s="519"/>
      <c r="E214" s="519"/>
      <c r="F214" s="1182">
        <f t="shared" si="16"/>
        <v>1.6249158553009605E-3</v>
      </c>
      <c r="G214" s="1138"/>
      <c r="H214" s="520">
        <v>11012.36</v>
      </c>
      <c r="I214" s="512">
        <v>43867</v>
      </c>
      <c r="J214" s="254">
        <f t="shared" si="13"/>
        <v>1.6563354147434151E-3</v>
      </c>
      <c r="L214" s="251">
        <f t="shared" si="14"/>
        <v>43867</v>
      </c>
      <c r="M214" s="513">
        <v>163.25</v>
      </c>
      <c r="N214" s="254">
        <f t="shared" si="15"/>
        <v>-1.2102874432677768E-2</v>
      </c>
      <c r="O214" s="1137">
        <f t="shared" si="17"/>
        <v>-1.2134293992120222E-2</v>
      </c>
      <c r="P214" s="1138"/>
    </row>
    <row r="215" spans="1:16" x14ac:dyDescent="0.2">
      <c r="A215" s="717">
        <v>41994</v>
      </c>
      <c r="B215" s="533">
        <v>2.1913070000000001</v>
      </c>
      <c r="C215" s="519"/>
      <c r="D215" s="519"/>
      <c r="E215" s="519"/>
      <c r="F215" s="1182">
        <f t="shared" si="16"/>
        <v>1.7885111312802196E-2</v>
      </c>
      <c r="G215" s="1138"/>
      <c r="H215" s="520">
        <v>10994.15</v>
      </c>
      <c r="I215" s="512">
        <v>43866</v>
      </c>
      <c r="J215" s="254">
        <f t="shared" si="13"/>
        <v>1.7916530872244651E-2</v>
      </c>
      <c r="L215" s="251">
        <f t="shared" si="14"/>
        <v>43866</v>
      </c>
      <c r="M215" s="513">
        <v>165.25</v>
      </c>
      <c r="N215" s="254">
        <f t="shared" si="15"/>
        <v>1.786264243917457E-2</v>
      </c>
      <c r="O215" s="1137">
        <f t="shared" si="17"/>
        <v>1.7831222879732114E-2</v>
      </c>
      <c r="P215" s="1138"/>
    </row>
    <row r="216" spans="1:16" x14ac:dyDescent="0.2">
      <c r="A216" s="717">
        <v>42001</v>
      </c>
      <c r="B216" s="533">
        <v>2.2225250000000001</v>
      </c>
      <c r="C216" s="519"/>
      <c r="D216" s="519"/>
      <c r="E216" s="519"/>
      <c r="F216" s="1182">
        <f t="shared" si="16"/>
        <v>1.2691565545972909E-2</v>
      </c>
      <c r="G216" s="1138"/>
      <c r="H216" s="520">
        <v>10800.64</v>
      </c>
      <c r="I216" s="512">
        <v>43865</v>
      </c>
      <c r="J216" s="254">
        <f t="shared" si="13"/>
        <v>1.2722985105415363E-2</v>
      </c>
      <c r="L216" s="251">
        <f t="shared" si="14"/>
        <v>43865</v>
      </c>
      <c r="M216" s="513">
        <v>162.35</v>
      </c>
      <c r="N216" s="254">
        <f t="shared" si="15"/>
        <v>2.5260498894853267E-2</v>
      </c>
      <c r="O216" s="1137">
        <f t="shared" si="17"/>
        <v>2.5229079335410812E-2</v>
      </c>
      <c r="P216" s="1138"/>
    </row>
    <row r="217" spans="1:16" x14ac:dyDescent="0.2">
      <c r="A217" s="717">
        <v>42008</v>
      </c>
      <c r="B217" s="533">
        <v>2.180377</v>
      </c>
      <c r="C217" s="519"/>
      <c r="D217" s="519"/>
      <c r="E217" s="519"/>
      <c r="F217" s="1182">
        <f t="shared" si="16"/>
        <v>3.4565761650106755E-3</v>
      </c>
      <c r="G217" s="1138"/>
      <c r="H217" s="520">
        <v>10664.95</v>
      </c>
      <c r="I217" s="512">
        <v>43864</v>
      </c>
      <c r="J217" s="254">
        <f t="shared" si="13"/>
        <v>3.4879957244531301E-3</v>
      </c>
      <c r="L217" s="251">
        <f t="shared" si="14"/>
        <v>43864</v>
      </c>
      <c r="M217" s="513">
        <v>158.35</v>
      </c>
      <c r="N217" s="254">
        <f t="shared" si="15"/>
        <v>1.5715202052597688E-2</v>
      </c>
      <c r="O217" s="1137">
        <f t="shared" si="17"/>
        <v>1.5683782493155232E-2</v>
      </c>
      <c r="P217" s="1138"/>
    </row>
    <row r="218" spans="1:16" x14ac:dyDescent="0.2">
      <c r="A218" s="717">
        <v>42015</v>
      </c>
      <c r="B218" s="533">
        <v>2.0575019999999999</v>
      </c>
      <c r="C218" s="519"/>
      <c r="D218" s="519"/>
      <c r="E218" s="519"/>
      <c r="F218" s="1182">
        <f t="shared" si="16"/>
        <v>-1.1292085747301379E-2</v>
      </c>
      <c r="G218" s="1138"/>
      <c r="H218" s="520">
        <v>10627.88</v>
      </c>
      <c r="I218" s="512">
        <v>43861</v>
      </c>
      <c r="J218" s="254">
        <f t="shared" si="13"/>
        <v>-1.1260666187858925E-2</v>
      </c>
      <c r="L218" s="251">
        <f t="shared" si="14"/>
        <v>43861</v>
      </c>
      <c r="M218" s="513">
        <v>155.9</v>
      </c>
      <c r="N218" s="254">
        <f t="shared" si="15"/>
        <v>-1.980509273813269E-2</v>
      </c>
      <c r="O218" s="1137">
        <f t="shared" si="17"/>
        <v>-1.9836512297575146E-2</v>
      </c>
      <c r="P218" s="1138"/>
    </row>
    <row r="219" spans="1:16" x14ac:dyDescent="0.2">
      <c r="A219" s="717">
        <v>42022</v>
      </c>
      <c r="B219" s="533">
        <v>1.9253469999999999</v>
      </c>
      <c r="C219" s="519"/>
      <c r="D219" s="519"/>
      <c r="E219" s="519"/>
      <c r="F219" s="1182">
        <f t="shared" si="16"/>
        <v>-1.0248843693042393E-2</v>
      </c>
      <c r="G219" s="1138"/>
      <c r="H219" s="520">
        <v>10748.92</v>
      </c>
      <c r="I219" s="512">
        <v>43860</v>
      </c>
      <c r="J219" s="254">
        <f t="shared" si="13"/>
        <v>-1.0217424133599939E-2</v>
      </c>
      <c r="L219" s="251">
        <f t="shared" si="14"/>
        <v>43860</v>
      </c>
      <c r="M219" s="513">
        <v>159.05000000000001</v>
      </c>
      <c r="N219" s="254">
        <f t="shared" si="15"/>
        <v>-3.1069144075540622E-2</v>
      </c>
      <c r="O219" s="1137">
        <f t="shared" si="17"/>
        <v>-3.1100563634983078E-2</v>
      </c>
      <c r="P219" s="1138"/>
    </row>
    <row r="220" spans="1:16" x14ac:dyDescent="0.2">
      <c r="A220" s="717">
        <v>42029</v>
      </c>
      <c r="B220" s="533">
        <v>1.8428310000000001</v>
      </c>
      <c r="C220" s="519"/>
      <c r="D220" s="519"/>
      <c r="E220" s="519"/>
      <c r="F220" s="1182">
        <f t="shared" si="16"/>
        <v>7.1935984799158118E-3</v>
      </c>
      <c r="G220" s="1138"/>
      <c r="H220" s="520">
        <v>10859.88</v>
      </c>
      <c r="I220" s="512">
        <v>43859</v>
      </c>
      <c r="J220" s="254">
        <f t="shared" si="13"/>
        <v>7.2250180393582664E-3</v>
      </c>
      <c r="L220" s="251">
        <f t="shared" si="14"/>
        <v>43859</v>
      </c>
      <c r="M220" s="513">
        <v>164.15</v>
      </c>
      <c r="N220" s="254">
        <f t="shared" si="15"/>
        <v>5.224358974358978E-2</v>
      </c>
      <c r="O220" s="1137">
        <f t="shared" si="17"/>
        <v>5.2212170184147325E-2</v>
      </c>
      <c r="P220" s="1138"/>
    </row>
    <row r="221" spans="1:16" x14ac:dyDescent="0.2">
      <c r="A221" s="717">
        <v>42036</v>
      </c>
      <c r="B221" s="533">
        <v>1.814092</v>
      </c>
      <c r="C221" s="519"/>
      <c r="D221" s="519"/>
      <c r="E221" s="519"/>
      <c r="F221" s="1182">
        <f t="shared" si="16"/>
        <v>9.8993032982678964E-3</v>
      </c>
      <c r="G221" s="1138"/>
      <c r="H221" s="520">
        <v>10781.98</v>
      </c>
      <c r="I221" s="512">
        <v>43858</v>
      </c>
      <c r="J221" s="254">
        <f t="shared" ref="J221:J284" si="18">H221/H222-1</f>
        <v>9.9307228577103501E-3</v>
      </c>
      <c r="L221" s="251">
        <f t="shared" ref="L221:L284" si="19">I221</f>
        <v>43858</v>
      </c>
      <c r="M221" s="513">
        <v>156</v>
      </c>
      <c r="N221" s="254">
        <f t="shared" ref="N221:N284" si="20">M221/M222-1</f>
        <v>1.2658227848101111E-2</v>
      </c>
      <c r="O221" s="1137">
        <f t="shared" si="17"/>
        <v>1.2626808288658658E-2</v>
      </c>
      <c r="P221" s="1138"/>
    </row>
    <row r="222" spans="1:16" x14ac:dyDescent="0.2">
      <c r="A222" s="717">
        <v>42043</v>
      </c>
      <c r="B222" s="533">
        <v>1.8450260000000001</v>
      </c>
      <c r="C222" s="519"/>
      <c r="D222" s="519"/>
      <c r="E222" s="519"/>
      <c r="F222" s="1182">
        <f t="shared" ref="F222:F285" si="21">J222-$I$19</f>
        <v>-1.6049300155769594E-2</v>
      </c>
      <c r="G222" s="1138"/>
      <c r="H222" s="520">
        <v>10675.96</v>
      </c>
      <c r="I222" s="512">
        <v>43857</v>
      </c>
      <c r="J222" s="254">
        <f t="shared" si="18"/>
        <v>-1.6017880596327139E-2</v>
      </c>
      <c r="L222" s="251">
        <f t="shared" si="19"/>
        <v>43857</v>
      </c>
      <c r="M222" s="513">
        <v>154.05000000000001</v>
      </c>
      <c r="N222" s="254">
        <f t="shared" si="20"/>
        <v>-2.2215169787369038E-2</v>
      </c>
      <c r="O222" s="1137">
        <f t="shared" ref="O222:O285" si="22">N222-$I$19</f>
        <v>-2.2246589346811493E-2</v>
      </c>
      <c r="P222" s="1138"/>
    </row>
    <row r="223" spans="1:16" x14ac:dyDescent="0.2">
      <c r="A223" s="717">
        <v>42050</v>
      </c>
      <c r="B223" s="533">
        <v>1.948985</v>
      </c>
      <c r="C223" s="519"/>
      <c r="D223" s="519"/>
      <c r="E223" s="519"/>
      <c r="F223" s="1182">
        <f t="shared" si="21"/>
        <v>3.280046936580309E-3</v>
      </c>
      <c r="G223" s="1138"/>
      <c r="H223" s="520">
        <v>10849.75</v>
      </c>
      <c r="I223" s="512">
        <v>43854</v>
      </c>
      <c r="J223" s="254">
        <f t="shared" si="18"/>
        <v>3.3114664960227636E-3</v>
      </c>
      <c r="L223" s="251">
        <f t="shared" si="19"/>
        <v>43854</v>
      </c>
      <c r="M223" s="513">
        <v>157.55000000000001</v>
      </c>
      <c r="N223" s="254">
        <f t="shared" si="20"/>
        <v>1.8093699515347339E-2</v>
      </c>
      <c r="O223" s="1137">
        <f t="shared" si="22"/>
        <v>1.8062279955904884E-2</v>
      </c>
      <c r="P223" s="1138"/>
    </row>
    <row r="224" spans="1:16" x14ac:dyDescent="0.2">
      <c r="A224" s="717">
        <v>42057</v>
      </c>
      <c r="B224" s="533">
        <v>2.0348120000000001</v>
      </c>
      <c r="C224" s="519"/>
      <c r="D224" s="519"/>
      <c r="E224" s="519"/>
      <c r="F224" s="1182">
        <f t="shared" si="21"/>
        <v>-7.4779068238656618E-3</v>
      </c>
      <c r="G224" s="1138"/>
      <c r="H224" s="520">
        <v>10813.94</v>
      </c>
      <c r="I224" s="512">
        <v>43853</v>
      </c>
      <c r="J224" s="254">
        <f t="shared" si="18"/>
        <v>-7.4464872644232072E-3</v>
      </c>
      <c r="L224" s="251">
        <f t="shared" si="19"/>
        <v>43853</v>
      </c>
      <c r="M224" s="513">
        <v>154.75</v>
      </c>
      <c r="N224" s="254">
        <f t="shared" si="20"/>
        <v>-2.5810513062637708E-2</v>
      </c>
      <c r="O224" s="1137">
        <f t="shared" si="22"/>
        <v>-2.5841932622080163E-2</v>
      </c>
      <c r="P224" s="1138"/>
    </row>
    <row r="225" spans="1:16" x14ac:dyDescent="0.2">
      <c r="A225" s="717">
        <v>42064</v>
      </c>
      <c r="B225" s="533">
        <v>1.9781690000000001</v>
      </c>
      <c r="F225" s="1137">
        <f t="shared" si="21"/>
        <v>9.3876651232367811E-4</v>
      </c>
      <c r="G225" s="1138"/>
      <c r="H225" s="520">
        <v>10895.07</v>
      </c>
      <c r="I225" s="512">
        <v>43852</v>
      </c>
      <c r="J225" s="254">
        <f t="shared" si="18"/>
        <v>9.7018607176613259E-4</v>
      </c>
      <c r="L225" s="251">
        <f t="shared" si="19"/>
        <v>43852</v>
      </c>
      <c r="M225" s="513">
        <v>158.85</v>
      </c>
      <c r="N225" s="254">
        <f t="shared" si="20"/>
        <v>1.0174880763116123E-2</v>
      </c>
      <c r="O225" s="1137">
        <f t="shared" si="22"/>
        <v>1.0143461203673669E-2</v>
      </c>
      <c r="P225" s="1138"/>
    </row>
    <row r="226" spans="1:16" x14ac:dyDescent="0.2">
      <c r="A226" s="717">
        <v>42071</v>
      </c>
      <c r="B226" s="533">
        <v>2.0408710000000001</v>
      </c>
      <c r="F226" s="1137">
        <f t="shared" si="21"/>
        <v>3.492365993036776E-3</v>
      </c>
      <c r="G226" s="1138"/>
      <c r="H226" s="520">
        <v>10884.51</v>
      </c>
      <c r="I226" s="512">
        <v>43851</v>
      </c>
      <c r="J226" s="254">
        <f t="shared" si="18"/>
        <v>3.5237855524792305E-3</v>
      </c>
      <c r="L226" s="251">
        <f t="shared" si="19"/>
        <v>43851</v>
      </c>
      <c r="M226" s="513">
        <v>157.25</v>
      </c>
      <c r="N226" s="254">
        <f t="shared" si="20"/>
        <v>1.6812156482379548E-2</v>
      </c>
      <c r="O226" s="1137">
        <f t="shared" si="22"/>
        <v>1.6780736922937092E-2</v>
      </c>
      <c r="P226" s="1138"/>
    </row>
    <row r="227" spans="1:16" x14ac:dyDescent="0.2">
      <c r="A227" s="717">
        <v>42078</v>
      </c>
      <c r="B227" s="533">
        <v>2.025487</v>
      </c>
      <c r="F227" s="1137">
        <f t="shared" si="21"/>
        <v>3.8087284164896415E-4</v>
      </c>
      <c r="G227" s="1138"/>
      <c r="H227" s="520">
        <v>10846.29</v>
      </c>
      <c r="I227" s="512">
        <v>43850</v>
      </c>
      <c r="J227" s="254">
        <f t="shared" si="18"/>
        <v>4.1229240109141863E-4</v>
      </c>
      <c r="L227" s="251">
        <f t="shared" si="19"/>
        <v>43850</v>
      </c>
      <c r="M227" s="513">
        <v>154.65</v>
      </c>
      <c r="N227" s="254">
        <f t="shared" si="20"/>
        <v>2.247933884297515E-2</v>
      </c>
      <c r="O227" s="1137">
        <f t="shared" si="22"/>
        <v>2.2447919283532694E-2</v>
      </c>
      <c r="P227" s="1138"/>
    </row>
    <row r="228" spans="1:16" x14ac:dyDescent="0.2">
      <c r="A228" s="717">
        <v>42085</v>
      </c>
      <c r="B228" s="533">
        <v>1.957241</v>
      </c>
      <c r="F228" s="1137">
        <f t="shared" si="21"/>
        <v>1.3836792217409149E-2</v>
      </c>
      <c r="G228" s="1138"/>
      <c r="H228" s="520">
        <v>10841.82</v>
      </c>
      <c r="I228" s="512">
        <v>43847</v>
      </c>
      <c r="J228" s="254">
        <f t="shared" si="18"/>
        <v>1.3868211776851602E-2</v>
      </c>
      <c r="L228" s="251">
        <f t="shared" si="19"/>
        <v>43847</v>
      </c>
      <c r="M228" s="513">
        <v>151.25</v>
      </c>
      <c r="N228" s="254">
        <f t="shared" si="20"/>
        <v>-4.9342105263158187E-3</v>
      </c>
      <c r="O228" s="1137">
        <f t="shared" si="22"/>
        <v>-4.9656300857582733E-3</v>
      </c>
      <c r="P228" s="1138"/>
    </row>
    <row r="229" spans="1:16" x14ac:dyDescent="0.2">
      <c r="A229" s="717">
        <v>42092</v>
      </c>
      <c r="B229" s="533">
        <v>1.9131670000000001</v>
      </c>
      <c r="F229" s="1137">
        <f t="shared" si="21"/>
        <v>2.1033902100768423E-3</v>
      </c>
      <c r="G229" s="1138"/>
      <c r="H229" s="520">
        <v>10693.52</v>
      </c>
      <c r="I229" s="512">
        <v>43846</v>
      </c>
      <c r="J229" s="254">
        <f t="shared" si="18"/>
        <v>2.1348097695192969E-3</v>
      </c>
      <c r="L229" s="251">
        <f t="shared" si="19"/>
        <v>43846</v>
      </c>
      <c r="M229" s="513">
        <v>152</v>
      </c>
      <c r="N229" s="254">
        <f t="shared" si="20"/>
        <v>1.3671223741247074E-2</v>
      </c>
      <c r="O229" s="1137">
        <f t="shared" si="22"/>
        <v>1.363980418180462E-2</v>
      </c>
      <c r="P229" s="1138"/>
    </row>
    <row r="230" spans="1:16" x14ac:dyDescent="0.2">
      <c r="A230" s="717">
        <v>42099</v>
      </c>
      <c r="B230" s="533">
        <v>1.8906769999999999</v>
      </c>
      <c r="F230" s="1137">
        <f t="shared" si="21"/>
        <v>1.3687542422921731E-3</v>
      </c>
      <c r="G230" s="1138"/>
      <c r="H230" s="520">
        <v>10670.74</v>
      </c>
      <c r="I230" s="512">
        <v>43845</v>
      </c>
      <c r="J230" s="254">
        <f t="shared" si="18"/>
        <v>1.4001738017346277E-3</v>
      </c>
      <c r="L230" s="251">
        <f t="shared" si="19"/>
        <v>43845</v>
      </c>
      <c r="M230" s="513">
        <v>149.94999999999999</v>
      </c>
      <c r="N230" s="254">
        <f t="shared" si="20"/>
        <v>7.3899899227409804E-3</v>
      </c>
      <c r="O230" s="1137">
        <f t="shared" si="22"/>
        <v>7.3585703632985259E-3</v>
      </c>
      <c r="P230" s="1138"/>
    </row>
    <row r="231" spans="1:16" x14ac:dyDescent="0.2">
      <c r="A231" s="717">
        <v>42106</v>
      </c>
      <c r="B231" s="533">
        <v>1.8813089999999999</v>
      </c>
      <c r="F231" s="1137">
        <f t="shared" si="21"/>
        <v>3.1138177266347303E-3</v>
      </c>
      <c r="G231" s="1138"/>
      <c r="H231" s="520">
        <v>10655.82</v>
      </c>
      <c r="I231" s="512">
        <v>43844</v>
      </c>
      <c r="J231" s="254">
        <f t="shared" si="18"/>
        <v>3.1452372860771849E-3</v>
      </c>
      <c r="L231" s="251">
        <f t="shared" si="19"/>
        <v>43844</v>
      </c>
      <c r="M231" s="513">
        <v>148.85</v>
      </c>
      <c r="N231" s="254">
        <f t="shared" si="20"/>
        <v>-2.1367521367521403E-2</v>
      </c>
      <c r="O231" s="1137">
        <f t="shared" si="22"/>
        <v>-2.1398940926963858E-2</v>
      </c>
      <c r="P231" s="1138"/>
    </row>
    <row r="232" spans="1:16" x14ac:dyDescent="0.2">
      <c r="A232" s="717">
        <v>42113</v>
      </c>
      <c r="B232" s="533">
        <v>1.849558</v>
      </c>
      <c r="F232" s="1137">
        <f t="shared" si="21"/>
        <v>-1.636759665030226E-3</v>
      </c>
      <c r="G232" s="1138"/>
      <c r="H232" s="520">
        <v>10622.41</v>
      </c>
      <c r="I232" s="512">
        <v>43843</v>
      </c>
      <c r="J232" s="254">
        <f t="shared" si="18"/>
        <v>-1.6053401055877714E-3</v>
      </c>
      <c r="L232" s="251">
        <f t="shared" si="19"/>
        <v>43843</v>
      </c>
      <c r="M232" s="513">
        <v>152.1</v>
      </c>
      <c r="N232" s="254">
        <f t="shared" si="20"/>
        <v>-1.2658227848101333E-2</v>
      </c>
      <c r="O232" s="1137">
        <f t="shared" si="22"/>
        <v>-1.2689647407543787E-2</v>
      </c>
      <c r="P232" s="1138"/>
    </row>
    <row r="233" spans="1:16" x14ac:dyDescent="0.2">
      <c r="A233" s="717">
        <v>42120</v>
      </c>
      <c r="B233" s="533">
        <v>1.8768830000000001</v>
      </c>
      <c r="F233" s="1137">
        <f t="shared" si="21"/>
        <v>-1.1092556626330205E-3</v>
      </c>
      <c r="G233" s="1138"/>
      <c r="H233" s="520">
        <v>10639.49</v>
      </c>
      <c r="I233" s="512">
        <v>43840</v>
      </c>
      <c r="J233" s="254">
        <f t="shared" si="18"/>
        <v>-1.0778361031905659E-3</v>
      </c>
      <c r="L233" s="251">
        <f t="shared" si="19"/>
        <v>43840</v>
      </c>
      <c r="M233" s="513">
        <v>154.05000000000001</v>
      </c>
      <c r="N233" s="254">
        <f t="shared" si="20"/>
        <v>-7.0899129874314459E-3</v>
      </c>
      <c r="O233" s="1137">
        <f t="shared" si="22"/>
        <v>-7.1213325468739005E-3</v>
      </c>
      <c r="P233" s="1138"/>
    </row>
    <row r="234" spans="1:16" x14ac:dyDescent="0.2">
      <c r="A234" s="717">
        <v>42127</v>
      </c>
      <c r="B234" s="533">
        <v>1.990688</v>
      </c>
      <c r="F234" s="1137">
        <f t="shared" si="21"/>
        <v>-1.4313399106950688E-4</v>
      </c>
      <c r="G234" s="1138"/>
      <c r="H234" s="520">
        <v>10650.97</v>
      </c>
      <c r="I234" s="512">
        <v>43839</v>
      </c>
      <c r="J234" s="254">
        <f t="shared" si="18"/>
        <v>-1.1171443162705241E-4</v>
      </c>
      <c r="L234" s="251">
        <f t="shared" si="19"/>
        <v>43839</v>
      </c>
      <c r="M234" s="513">
        <v>155.15</v>
      </c>
      <c r="N234" s="254">
        <f t="shared" si="20"/>
        <v>1.5047432122996529E-2</v>
      </c>
      <c r="O234" s="1137">
        <f t="shared" si="22"/>
        <v>1.5016012563554075E-2</v>
      </c>
      <c r="P234" s="1138"/>
    </row>
    <row r="235" spans="1:16" x14ac:dyDescent="0.2">
      <c r="A235" s="717">
        <v>42134</v>
      </c>
      <c r="B235" s="533">
        <v>2.151227</v>
      </c>
      <c r="F235" s="1137">
        <f t="shared" si="21"/>
        <v>-3.2728014511218947E-3</v>
      </c>
      <c r="G235" s="1138"/>
      <c r="H235" s="520">
        <v>10652.16</v>
      </c>
      <c r="I235" s="512">
        <v>43838</v>
      </c>
      <c r="J235" s="254">
        <f t="shared" si="18"/>
        <v>-3.2413818916794401E-3</v>
      </c>
      <c r="L235" s="251">
        <f t="shared" si="19"/>
        <v>43838</v>
      </c>
      <c r="M235" s="513">
        <v>152.85</v>
      </c>
      <c r="N235" s="254">
        <f t="shared" si="20"/>
        <v>8.9108910891089188E-3</v>
      </c>
      <c r="O235" s="1137">
        <f t="shared" si="22"/>
        <v>8.8794715296664651E-3</v>
      </c>
      <c r="P235" s="1138"/>
    </row>
    <row r="236" spans="1:16" x14ac:dyDescent="0.2">
      <c r="A236" s="717">
        <v>42141</v>
      </c>
      <c r="B236" s="533">
        <v>2.1680199999999998</v>
      </c>
      <c r="F236" s="1137">
        <f t="shared" si="21"/>
        <v>1.974129219272939E-3</v>
      </c>
      <c r="G236" s="1138"/>
      <c r="H236" s="520">
        <v>10686.8</v>
      </c>
      <c r="I236" s="512">
        <v>43837</v>
      </c>
      <c r="J236" s="254">
        <f t="shared" si="18"/>
        <v>2.0055487787153936E-3</v>
      </c>
      <c r="L236" s="251">
        <f t="shared" si="19"/>
        <v>43837</v>
      </c>
      <c r="M236" s="513">
        <v>151.5</v>
      </c>
      <c r="N236" s="254">
        <f t="shared" si="20"/>
        <v>-1.1741682974559797E-2</v>
      </c>
      <c r="O236" s="1137">
        <f t="shared" si="22"/>
        <v>-1.1773102534002251E-2</v>
      </c>
      <c r="P236" s="1138"/>
    </row>
    <row r="237" spans="1:16" x14ac:dyDescent="0.2">
      <c r="A237" s="717">
        <v>42148</v>
      </c>
      <c r="B237" s="533">
        <v>2.1389230000000001</v>
      </c>
      <c r="F237" s="1137">
        <f t="shared" si="21"/>
        <v>-3.2473615098677485E-3</v>
      </c>
      <c r="G237" s="1138"/>
      <c r="H237" s="520">
        <v>10665.41</v>
      </c>
      <c r="I237" s="512">
        <v>43836</v>
      </c>
      <c r="J237" s="254">
        <f t="shared" si="18"/>
        <v>-3.215941950425294E-3</v>
      </c>
      <c r="L237" s="251">
        <f t="shared" si="19"/>
        <v>43836</v>
      </c>
      <c r="M237" s="513">
        <v>153.30000000000001</v>
      </c>
      <c r="N237" s="254">
        <f t="shared" si="20"/>
        <v>-1.953124999999889E-3</v>
      </c>
      <c r="O237" s="1137">
        <f t="shared" si="22"/>
        <v>-1.9845445594423436E-3</v>
      </c>
      <c r="P237" s="1138"/>
    </row>
    <row r="238" spans="1:16" x14ac:dyDescent="0.2">
      <c r="A238" s="717">
        <v>42155</v>
      </c>
      <c r="B238" s="533">
        <v>2.078373</v>
      </c>
      <c r="F238" s="1137">
        <f t="shared" si="21"/>
        <v>7.7749728662470244E-3</v>
      </c>
      <c r="G238" s="1138"/>
      <c r="H238" s="520">
        <v>10699.82</v>
      </c>
      <c r="I238" s="512">
        <v>43833</v>
      </c>
      <c r="J238" s="254">
        <f t="shared" si="18"/>
        <v>7.806392425689479E-3</v>
      </c>
      <c r="L238" s="251">
        <f t="shared" si="19"/>
        <v>43833</v>
      </c>
      <c r="M238" s="513">
        <v>153.6</v>
      </c>
      <c r="N238" s="254">
        <f t="shared" si="20"/>
        <v>2.6109660574413773E-3</v>
      </c>
      <c r="O238" s="1137">
        <f t="shared" si="22"/>
        <v>2.5795464979989228E-3</v>
      </c>
      <c r="P238" s="1138"/>
    </row>
    <row r="239" spans="1:16" x14ac:dyDescent="0.2">
      <c r="A239" s="717">
        <v>42162</v>
      </c>
      <c r="B239" s="533">
        <v>2.2769520000000001</v>
      </c>
      <c r="F239" s="1137">
        <f t="shared" si="21"/>
        <v>-1.0582064238221318E-2</v>
      </c>
      <c r="G239" s="1138"/>
      <c r="H239" s="520">
        <v>10616.94</v>
      </c>
      <c r="I239" s="512">
        <v>43829</v>
      </c>
      <c r="J239" s="254">
        <f t="shared" si="18"/>
        <v>-1.0550644678778864E-2</v>
      </c>
      <c r="L239" s="251">
        <f t="shared" si="19"/>
        <v>43829</v>
      </c>
      <c r="M239" s="513">
        <v>153.19999999999999</v>
      </c>
      <c r="N239" s="254">
        <f t="shared" si="20"/>
        <v>-1.1612903225806548E-2</v>
      </c>
      <c r="O239" s="1137">
        <f t="shared" si="22"/>
        <v>-1.1644322785249002E-2</v>
      </c>
      <c r="P239" s="1138"/>
    </row>
    <row r="240" spans="1:16" x14ac:dyDescent="0.2">
      <c r="A240" s="717">
        <v>42169</v>
      </c>
      <c r="B240" s="533">
        <v>2.352595</v>
      </c>
      <c r="F240" s="1137">
        <f t="shared" si="21"/>
        <v>5.1033872125345978E-4</v>
      </c>
      <c r="G240" s="1138"/>
      <c r="H240" s="520">
        <v>10730.15</v>
      </c>
      <c r="I240" s="512">
        <v>43826</v>
      </c>
      <c r="J240" s="254">
        <f t="shared" si="18"/>
        <v>5.4175828069591425E-4</v>
      </c>
      <c r="L240" s="251">
        <f t="shared" si="19"/>
        <v>43826</v>
      </c>
      <c r="M240" s="513">
        <v>155</v>
      </c>
      <c r="N240" s="254">
        <f t="shared" si="20"/>
        <v>6.1668289516390029E-3</v>
      </c>
      <c r="O240" s="1137">
        <f t="shared" si="22"/>
        <v>6.1354093921965483E-3</v>
      </c>
      <c r="P240" s="1138"/>
    </row>
    <row r="241" spans="1:16" x14ac:dyDescent="0.2">
      <c r="A241" s="717">
        <v>42176</v>
      </c>
      <c r="B241" s="533">
        <v>2.2344970000000002</v>
      </c>
      <c r="F241" s="1137">
        <f t="shared" si="21"/>
        <v>4.1795029949777832E-3</v>
      </c>
      <c r="G241" s="1138"/>
      <c r="H241" s="520">
        <v>10724.34</v>
      </c>
      <c r="I241" s="512">
        <v>43822</v>
      </c>
      <c r="J241" s="254">
        <f t="shared" si="18"/>
        <v>4.2109225544202378E-3</v>
      </c>
      <c r="L241" s="251">
        <f t="shared" si="19"/>
        <v>43822</v>
      </c>
      <c r="M241" s="513">
        <v>154.05000000000001</v>
      </c>
      <c r="N241" s="254">
        <f t="shared" si="20"/>
        <v>1.8849206349206504E-2</v>
      </c>
      <c r="O241" s="1137">
        <f t="shared" si="22"/>
        <v>1.8817786789764049E-2</v>
      </c>
      <c r="P241" s="1138"/>
    </row>
    <row r="242" spans="1:16" x14ac:dyDescent="0.2">
      <c r="A242" s="717">
        <v>42183</v>
      </c>
      <c r="B242" s="533">
        <v>2.3478850000000002</v>
      </c>
      <c r="F242" s="1137">
        <f t="shared" si="21"/>
        <v>9.8237597997156857E-3</v>
      </c>
      <c r="G242" s="1138"/>
      <c r="H242" s="520">
        <v>10679.37</v>
      </c>
      <c r="I242" s="512">
        <v>43819</v>
      </c>
      <c r="J242" s="254">
        <f t="shared" si="18"/>
        <v>9.8551793591581394E-3</v>
      </c>
      <c r="L242" s="251">
        <f t="shared" si="19"/>
        <v>43819</v>
      </c>
      <c r="M242" s="513">
        <v>151.19999999999999</v>
      </c>
      <c r="N242" s="254">
        <f t="shared" si="20"/>
        <v>6.6181336863002649E-4</v>
      </c>
      <c r="O242" s="1137">
        <f t="shared" si="22"/>
        <v>6.3039380918757202E-4</v>
      </c>
      <c r="P242" s="1138"/>
    </row>
    <row r="243" spans="1:16" x14ac:dyDescent="0.2">
      <c r="A243" s="717">
        <v>42190</v>
      </c>
      <c r="B243" s="533">
        <v>2.2999719999999999</v>
      </c>
      <c r="F243" s="1137">
        <f t="shared" si="21"/>
        <v>1.7124900187037309E-3</v>
      </c>
      <c r="G243" s="1138"/>
      <c r="H243" s="520">
        <v>10575.15</v>
      </c>
      <c r="I243" s="512">
        <v>43818</v>
      </c>
      <c r="J243" s="254">
        <f t="shared" si="18"/>
        <v>1.7439095781461855E-3</v>
      </c>
      <c r="L243" s="251">
        <f t="shared" si="19"/>
        <v>43818</v>
      </c>
      <c r="M243" s="513">
        <v>151.1</v>
      </c>
      <c r="N243" s="254">
        <f t="shared" si="20"/>
        <v>-8.5301837270341796E-3</v>
      </c>
      <c r="O243" s="1137">
        <f t="shared" si="22"/>
        <v>-8.5616032864766333E-3</v>
      </c>
      <c r="P243" s="1138"/>
    </row>
    <row r="244" spans="1:16" x14ac:dyDescent="0.2">
      <c r="A244" s="717">
        <v>42197</v>
      </c>
      <c r="B244" s="533">
        <v>2.2621880000000001</v>
      </c>
      <c r="F244" s="1137">
        <f t="shared" si="21"/>
        <v>1.6623071992580432E-3</v>
      </c>
      <c r="G244" s="1138"/>
      <c r="H244" s="520">
        <v>10556.74</v>
      </c>
      <c r="I244" s="512">
        <v>43817</v>
      </c>
      <c r="J244" s="254">
        <f t="shared" si="18"/>
        <v>1.6937267587004978E-3</v>
      </c>
      <c r="L244" s="251">
        <f t="shared" si="19"/>
        <v>43817</v>
      </c>
      <c r="M244" s="513">
        <v>152.4</v>
      </c>
      <c r="N244" s="254">
        <f t="shared" si="20"/>
        <v>-3.2701111837802888E-3</v>
      </c>
      <c r="O244" s="1137">
        <f t="shared" si="22"/>
        <v>-3.3015307432227433E-3</v>
      </c>
      <c r="P244" s="1138"/>
    </row>
    <row r="245" spans="1:16" x14ac:dyDescent="0.2">
      <c r="A245" s="717">
        <v>42204</v>
      </c>
      <c r="B245" s="533">
        <v>2.2901250000000002</v>
      </c>
      <c r="F245" s="1137">
        <f t="shared" si="21"/>
        <v>-2.9513489107406323E-4</v>
      </c>
      <c r="G245" s="1138"/>
      <c r="H245" s="520">
        <v>10538.89</v>
      </c>
      <c r="I245" s="512">
        <v>43816</v>
      </c>
      <c r="J245" s="254">
        <f t="shared" si="18"/>
        <v>-2.6371533163160876E-4</v>
      </c>
      <c r="L245" s="251">
        <f t="shared" si="19"/>
        <v>43816</v>
      </c>
      <c r="M245" s="513">
        <v>152.9</v>
      </c>
      <c r="N245" s="254">
        <f t="shared" si="20"/>
        <v>2.2943297279580666E-3</v>
      </c>
      <c r="O245" s="1137">
        <f t="shared" si="22"/>
        <v>2.262910168515612E-3</v>
      </c>
      <c r="P245" s="1138"/>
    </row>
    <row r="246" spans="1:16" x14ac:dyDescent="0.2">
      <c r="A246" s="717">
        <v>42211</v>
      </c>
      <c r="B246" s="533">
        <v>2.2403719999999998</v>
      </c>
      <c r="F246" s="1137">
        <f t="shared" si="21"/>
        <v>1.0745940696836169E-2</v>
      </c>
      <c r="G246" s="1138"/>
      <c r="H246" s="520">
        <v>10541.67</v>
      </c>
      <c r="I246" s="512">
        <v>43815</v>
      </c>
      <c r="J246" s="254">
        <f t="shared" si="18"/>
        <v>1.0777360256278623E-2</v>
      </c>
      <c r="L246" s="251">
        <f t="shared" si="19"/>
        <v>43815</v>
      </c>
      <c r="M246" s="513">
        <v>152.55000000000001</v>
      </c>
      <c r="N246" s="254">
        <f t="shared" si="20"/>
        <v>3.6184210526315486E-3</v>
      </c>
      <c r="O246" s="1137">
        <f t="shared" si="22"/>
        <v>3.587001493189094E-3</v>
      </c>
      <c r="P246" s="1138"/>
    </row>
    <row r="247" spans="1:16" x14ac:dyDescent="0.2">
      <c r="A247" s="717">
        <v>42218</v>
      </c>
      <c r="B247" s="533">
        <v>2.1835420000000001</v>
      </c>
      <c r="F247" s="1137">
        <f t="shared" si="21"/>
        <v>-2.1450200860724652E-3</v>
      </c>
      <c r="G247" s="1138"/>
      <c r="H247" s="520">
        <v>10429.27</v>
      </c>
      <c r="I247" s="512">
        <v>43812</v>
      </c>
      <c r="J247" s="254">
        <f t="shared" si="18"/>
        <v>-2.1136005266300106E-3</v>
      </c>
      <c r="L247" s="251">
        <f t="shared" si="19"/>
        <v>43812</v>
      </c>
      <c r="M247" s="513">
        <v>152</v>
      </c>
      <c r="N247" s="254">
        <f t="shared" si="20"/>
        <v>3.4717494894485945E-2</v>
      </c>
      <c r="O247" s="1137">
        <f t="shared" si="22"/>
        <v>3.468607533504349E-2</v>
      </c>
      <c r="P247" s="1138"/>
    </row>
    <row r="248" spans="1:16" x14ac:dyDescent="0.2">
      <c r="A248" s="717">
        <v>42225</v>
      </c>
      <c r="B248" s="533">
        <v>2.1641849999999998</v>
      </c>
      <c r="F248" s="1137">
        <f t="shared" si="21"/>
        <v>4.3942054339504858E-3</v>
      </c>
      <c r="G248" s="1138"/>
      <c r="H248" s="520">
        <v>10451.36</v>
      </c>
      <c r="I248" s="512">
        <v>43811</v>
      </c>
      <c r="J248" s="254">
        <f t="shared" si="18"/>
        <v>4.4256249933929404E-3</v>
      </c>
      <c r="L248" s="251">
        <f t="shared" si="19"/>
        <v>43811</v>
      </c>
      <c r="M248" s="513">
        <v>146.9</v>
      </c>
      <c r="N248" s="254">
        <f t="shared" si="20"/>
        <v>1.7313019390581719E-2</v>
      </c>
      <c r="O248" s="1137">
        <f t="shared" si="22"/>
        <v>1.7281599831139263E-2</v>
      </c>
      <c r="P248" s="1138"/>
    </row>
    <row r="249" spans="1:16" x14ac:dyDescent="0.2">
      <c r="A249" s="717">
        <v>42232</v>
      </c>
      <c r="B249" s="533">
        <v>2.1233960000000001</v>
      </c>
      <c r="F249" s="1137">
        <f t="shared" si="21"/>
        <v>1.3910295360319439E-3</v>
      </c>
      <c r="G249" s="1138"/>
      <c r="H249" s="520">
        <v>10405.31</v>
      </c>
      <c r="I249" s="512">
        <v>43810</v>
      </c>
      <c r="J249" s="254">
        <f t="shared" si="18"/>
        <v>1.4224490954743985E-3</v>
      </c>
      <c r="L249" s="251">
        <f t="shared" si="19"/>
        <v>43810</v>
      </c>
      <c r="M249" s="513">
        <v>144.4</v>
      </c>
      <c r="N249" s="254">
        <f t="shared" si="20"/>
        <v>-5.8519793459551606E-3</v>
      </c>
      <c r="O249" s="1137">
        <f t="shared" si="22"/>
        <v>-5.8833989053976151E-3</v>
      </c>
      <c r="P249" s="1138"/>
    </row>
    <row r="250" spans="1:16" x14ac:dyDescent="0.2">
      <c r="A250" s="717">
        <v>42239</v>
      </c>
      <c r="B250" s="533">
        <v>2.078109</v>
      </c>
      <c r="F250" s="1137">
        <f t="shared" si="21"/>
        <v>-4.2825424749689941E-3</v>
      </c>
      <c r="G250" s="1138"/>
      <c r="H250" s="520">
        <v>10390.530000000001</v>
      </c>
      <c r="I250" s="512">
        <v>43809</v>
      </c>
      <c r="J250" s="254">
        <f t="shared" si="18"/>
        <v>-4.2511229155265395E-3</v>
      </c>
      <c r="L250" s="251">
        <f t="shared" si="19"/>
        <v>43809</v>
      </c>
      <c r="M250" s="513">
        <v>145.25</v>
      </c>
      <c r="N250" s="254">
        <f t="shared" si="20"/>
        <v>-4.251812788398146E-2</v>
      </c>
      <c r="O250" s="1137">
        <f t="shared" si="22"/>
        <v>-4.2549547443423916E-2</v>
      </c>
      <c r="P250" s="1138"/>
    </row>
    <row r="251" spans="1:16" x14ac:dyDescent="0.2">
      <c r="A251" s="717">
        <v>42246</v>
      </c>
      <c r="B251" s="533">
        <v>2.1354169999999999</v>
      </c>
      <c r="F251" s="1137">
        <f t="shared" si="21"/>
        <v>-2.8019024013710555E-3</v>
      </c>
      <c r="G251" s="1138"/>
      <c r="H251" s="520">
        <v>10434.89</v>
      </c>
      <c r="I251" s="512">
        <v>43808</v>
      </c>
      <c r="J251" s="254">
        <f t="shared" si="18"/>
        <v>-2.7704828419286009E-3</v>
      </c>
      <c r="L251" s="251">
        <f t="shared" si="19"/>
        <v>43808</v>
      </c>
      <c r="M251" s="513">
        <v>151.69999999999999</v>
      </c>
      <c r="N251" s="254">
        <f t="shared" si="20"/>
        <v>-4.9196457855034126E-3</v>
      </c>
      <c r="O251" s="1137">
        <f t="shared" si="22"/>
        <v>-4.9510653449458672E-3</v>
      </c>
      <c r="P251" s="1138"/>
    </row>
    <row r="252" spans="1:16" x14ac:dyDescent="0.2">
      <c r="A252" s="717">
        <v>42253</v>
      </c>
      <c r="B252" s="533">
        <v>2.1560269999999999</v>
      </c>
      <c r="F252" s="1137">
        <f t="shared" si="21"/>
        <v>9.6544973605170049E-3</v>
      </c>
      <c r="G252" s="1138"/>
      <c r="H252" s="520">
        <v>10463.879999999999</v>
      </c>
      <c r="I252" s="512">
        <v>43805</v>
      </c>
      <c r="J252" s="254">
        <f t="shared" si="18"/>
        <v>9.6859169199594586E-3</v>
      </c>
      <c r="L252" s="251">
        <f t="shared" si="19"/>
        <v>43805</v>
      </c>
      <c r="M252" s="513">
        <v>152.44999999999999</v>
      </c>
      <c r="N252" s="254">
        <f t="shared" si="20"/>
        <v>2.6945099360053959E-2</v>
      </c>
      <c r="O252" s="1137">
        <f t="shared" si="22"/>
        <v>2.6913679800611504E-2</v>
      </c>
      <c r="P252" s="1138"/>
    </row>
    <row r="253" spans="1:16" x14ac:dyDescent="0.2">
      <c r="A253" s="717">
        <v>42260</v>
      </c>
      <c r="B253" s="533">
        <v>2.1786129999999999</v>
      </c>
      <c r="F253" s="1137">
        <f t="shared" si="21"/>
        <v>2.7688931776261453E-3</v>
      </c>
      <c r="G253" s="1138"/>
      <c r="H253" s="520">
        <v>10363.5</v>
      </c>
      <c r="I253" s="512">
        <v>43804</v>
      </c>
      <c r="J253" s="254">
        <f t="shared" si="18"/>
        <v>2.8003127370685998E-3</v>
      </c>
      <c r="L253" s="251">
        <f t="shared" si="19"/>
        <v>43804</v>
      </c>
      <c r="M253" s="513">
        <v>148.44999999999999</v>
      </c>
      <c r="N253" s="254">
        <f t="shared" si="20"/>
        <v>1.7477724468814237E-2</v>
      </c>
      <c r="O253" s="1137">
        <f t="shared" si="22"/>
        <v>1.7446304909371782E-2</v>
      </c>
      <c r="P253" s="1138"/>
    </row>
    <row r="254" spans="1:16" x14ac:dyDescent="0.2">
      <c r="A254" s="717">
        <v>42267</v>
      </c>
      <c r="B254" s="533">
        <v>2.173648</v>
      </c>
      <c r="F254" s="1137">
        <f t="shared" si="21"/>
        <v>9.9002422422116033E-3</v>
      </c>
      <c r="G254" s="1138"/>
      <c r="H254" s="520">
        <v>10334.56</v>
      </c>
      <c r="I254" s="512">
        <v>43803</v>
      </c>
      <c r="J254" s="254">
        <f t="shared" si="18"/>
        <v>9.931661801654057E-3</v>
      </c>
      <c r="L254" s="251">
        <f t="shared" si="19"/>
        <v>43803</v>
      </c>
      <c r="M254" s="513">
        <v>145.9</v>
      </c>
      <c r="N254" s="254">
        <f t="shared" si="20"/>
        <v>6.2068965517241281E-3</v>
      </c>
      <c r="O254" s="1137">
        <f t="shared" si="22"/>
        <v>6.1754769922816736E-3</v>
      </c>
      <c r="P254" s="1138"/>
    </row>
    <row r="255" spans="1:16" x14ac:dyDescent="0.2">
      <c r="A255" s="717">
        <v>42274</v>
      </c>
      <c r="B255" s="533">
        <v>2.1424449999999999</v>
      </c>
      <c r="F255" s="1137">
        <f t="shared" si="21"/>
        <v>-1.1193488431658944E-2</v>
      </c>
      <c r="G255" s="1138"/>
      <c r="H255" s="520">
        <v>10232.93</v>
      </c>
      <c r="I255" s="512">
        <v>43802</v>
      </c>
      <c r="J255" s="254">
        <f t="shared" si="18"/>
        <v>-1.1162068872216491E-2</v>
      </c>
      <c r="L255" s="251">
        <f t="shared" si="19"/>
        <v>43802</v>
      </c>
      <c r="M255" s="513">
        <v>145</v>
      </c>
      <c r="N255" s="254">
        <f t="shared" si="20"/>
        <v>-1.9276293540750777E-2</v>
      </c>
      <c r="O255" s="1137">
        <f t="shared" si="22"/>
        <v>-1.9307713100193233E-2</v>
      </c>
      <c r="P255" s="1138"/>
    </row>
    <row r="256" spans="1:16" x14ac:dyDescent="0.2">
      <c r="A256" s="717">
        <v>42281</v>
      </c>
      <c r="B256" s="533">
        <v>2.0154329999999998</v>
      </c>
      <c r="F256" s="1137">
        <f t="shared" si="21"/>
        <v>-1.3830779909534447E-2</v>
      </c>
      <c r="G256" s="1138"/>
      <c r="H256" s="520">
        <v>10348.44</v>
      </c>
      <c r="I256" s="512">
        <v>43801</v>
      </c>
      <c r="J256" s="254">
        <f t="shared" si="18"/>
        <v>-1.3799360350091994E-2</v>
      </c>
      <c r="L256" s="251">
        <f t="shared" si="19"/>
        <v>43801</v>
      </c>
      <c r="M256" s="513">
        <v>147.85</v>
      </c>
      <c r="N256" s="254">
        <f t="shared" si="20"/>
        <v>-2.5379037574159491E-2</v>
      </c>
      <c r="O256" s="1137">
        <f t="shared" si="22"/>
        <v>-2.5410457133601946E-2</v>
      </c>
      <c r="P256" s="1138"/>
    </row>
    <row r="257" spans="1:16" x14ac:dyDescent="0.2">
      <c r="A257" s="717">
        <v>42288</v>
      </c>
      <c r="B257" s="533">
        <v>2.0412140000000001</v>
      </c>
      <c r="F257" s="1137">
        <f t="shared" si="21"/>
        <v>-3.4410047677310559E-3</v>
      </c>
      <c r="G257" s="1138"/>
      <c r="H257" s="520">
        <v>10493.24</v>
      </c>
      <c r="I257" s="512">
        <v>43798</v>
      </c>
      <c r="J257" s="254">
        <f t="shared" si="18"/>
        <v>-3.4095852082886013E-3</v>
      </c>
      <c r="L257" s="251">
        <f t="shared" si="19"/>
        <v>43798</v>
      </c>
      <c r="M257" s="513">
        <v>151.69999999999999</v>
      </c>
      <c r="N257" s="254">
        <f t="shared" si="20"/>
        <v>9.8977235235886418E-4</v>
      </c>
      <c r="O257" s="1137">
        <f t="shared" si="22"/>
        <v>9.5835279291640971E-4</v>
      </c>
      <c r="P257" s="1138"/>
    </row>
    <row r="258" spans="1:16" x14ac:dyDescent="0.2">
      <c r="A258" s="717">
        <v>42295</v>
      </c>
      <c r="B258" s="533">
        <v>1.9954460000000001</v>
      </c>
      <c r="F258" s="1137">
        <f t="shared" si="21"/>
        <v>-4.2816371754113717E-5</v>
      </c>
      <c r="G258" s="1138"/>
      <c r="H258" s="520">
        <v>10529.14</v>
      </c>
      <c r="I258" s="512">
        <v>43797</v>
      </c>
      <c r="J258" s="254">
        <f t="shared" si="18"/>
        <v>-1.1396812311659232E-5</v>
      </c>
      <c r="L258" s="251">
        <f t="shared" si="19"/>
        <v>43797</v>
      </c>
      <c r="M258" s="513">
        <v>151.55000000000001</v>
      </c>
      <c r="N258" s="254">
        <f t="shared" si="20"/>
        <v>-1.0124101894186666E-2</v>
      </c>
      <c r="O258" s="1137">
        <f t="shared" si="22"/>
        <v>-1.0155521453629119E-2</v>
      </c>
      <c r="P258" s="1138"/>
    </row>
    <row r="259" spans="1:16" x14ac:dyDescent="0.2">
      <c r="A259" s="717">
        <v>42302</v>
      </c>
      <c r="B259" s="533">
        <v>1.991568</v>
      </c>
      <c r="F259" s="1137">
        <f t="shared" si="21"/>
        <v>2.0938444329891706E-3</v>
      </c>
      <c r="G259" s="1138"/>
      <c r="H259" s="520">
        <v>10529.26</v>
      </c>
      <c r="I259" s="512">
        <v>43796</v>
      </c>
      <c r="J259" s="254">
        <f t="shared" si="18"/>
        <v>2.1252639924316252E-3</v>
      </c>
      <c r="L259" s="251">
        <f t="shared" si="19"/>
        <v>43796</v>
      </c>
      <c r="M259" s="513">
        <v>153.1</v>
      </c>
      <c r="N259" s="254">
        <f t="shared" si="20"/>
        <v>3.2669062397894244E-4</v>
      </c>
      <c r="O259" s="1137">
        <f t="shared" si="22"/>
        <v>2.9527106453648797E-4</v>
      </c>
      <c r="P259" s="1138"/>
    </row>
    <row r="260" spans="1:16" x14ac:dyDescent="0.2">
      <c r="A260" s="717">
        <v>42309</v>
      </c>
      <c r="B260" s="533">
        <v>2.0140020000000001</v>
      </c>
      <c r="F260" s="1137">
        <f t="shared" si="21"/>
        <v>3.6280885705688029E-3</v>
      </c>
      <c r="G260" s="1138"/>
      <c r="H260" s="520">
        <v>10506.93</v>
      </c>
      <c r="I260" s="512">
        <v>43795</v>
      </c>
      <c r="J260" s="254">
        <f t="shared" si="18"/>
        <v>3.6595081300112575E-3</v>
      </c>
      <c r="L260" s="251">
        <f t="shared" si="19"/>
        <v>43795</v>
      </c>
      <c r="M260" s="513">
        <v>153.05000000000001</v>
      </c>
      <c r="N260" s="254">
        <f t="shared" si="20"/>
        <v>9.89772352358953E-3</v>
      </c>
      <c r="O260" s="1137">
        <f t="shared" si="22"/>
        <v>9.8663039641470763E-3</v>
      </c>
      <c r="P260" s="1138"/>
    </row>
    <row r="261" spans="1:16" x14ac:dyDescent="0.2">
      <c r="A261" s="717">
        <v>42316</v>
      </c>
      <c r="B261" s="533">
        <v>2.1294520000000001</v>
      </c>
      <c r="F261" s="1137">
        <f t="shared" si="21"/>
        <v>9.5332242400298518E-3</v>
      </c>
      <c r="G261" s="1138"/>
      <c r="H261" s="520">
        <v>10468.620000000001</v>
      </c>
      <c r="I261" s="512">
        <v>43794</v>
      </c>
      <c r="J261" s="254">
        <f t="shared" si="18"/>
        <v>9.5646437994723055E-3</v>
      </c>
      <c r="L261" s="251">
        <f t="shared" si="19"/>
        <v>43794</v>
      </c>
      <c r="M261" s="513">
        <v>151.55000000000001</v>
      </c>
      <c r="N261" s="254">
        <f t="shared" si="20"/>
        <v>1.439089692101736E-2</v>
      </c>
      <c r="O261" s="1137">
        <f t="shared" si="22"/>
        <v>1.4359477361574906E-2</v>
      </c>
      <c r="P261" s="1138"/>
    </row>
    <row r="262" spans="1:16" x14ac:dyDescent="0.2">
      <c r="A262" s="717">
        <v>42323</v>
      </c>
      <c r="B262" s="533">
        <v>2.1227689999999999</v>
      </c>
      <c r="F262" s="1137">
        <f t="shared" si="21"/>
        <v>2.9758301467485851E-3</v>
      </c>
      <c r="G262" s="1138"/>
      <c r="H262" s="520">
        <v>10369.44</v>
      </c>
      <c r="I262" s="512">
        <v>43791</v>
      </c>
      <c r="J262" s="254">
        <f t="shared" si="18"/>
        <v>3.0072497061910397E-3</v>
      </c>
      <c r="L262" s="251">
        <f t="shared" si="19"/>
        <v>43791</v>
      </c>
      <c r="M262" s="513">
        <v>149.4</v>
      </c>
      <c r="N262" s="254">
        <f t="shared" si="20"/>
        <v>1.1509817197021155E-2</v>
      </c>
      <c r="O262" s="1137">
        <f t="shared" si="22"/>
        <v>1.1478397637578701E-2</v>
      </c>
      <c r="P262" s="1138"/>
    </row>
    <row r="263" spans="1:16" x14ac:dyDescent="0.2">
      <c r="A263" s="717">
        <v>42330</v>
      </c>
      <c r="B263" s="533">
        <v>2.0754769999999998</v>
      </c>
      <c r="F263" s="1137">
        <f t="shared" si="21"/>
        <v>-4.5944068862963502E-3</v>
      </c>
      <c r="G263" s="1138"/>
      <c r="H263" s="520">
        <v>10338.35</v>
      </c>
      <c r="I263" s="512">
        <v>43790</v>
      </c>
      <c r="J263" s="254">
        <f t="shared" si="18"/>
        <v>-4.5629873268538956E-3</v>
      </c>
      <c r="L263" s="251">
        <f t="shared" si="19"/>
        <v>43790</v>
      </c>
      <c r="M263" s="513">
        <v>147.69999999999999</v>
      </c>
      <c r="N263" s="254">
        <f t="shared" si="20"/>
        <v>4.0788579197823527E-3</v>
      </c>
      <c r="O263" s="1137">
        <f t="shared" si="22"/>
        <v>4.0474383603398981E-3</v>
      </c>
      <c r="P263" s="1138"/>
    </row>
    <row r="264" spans="1:16" x14ac:dyDescent="0.2">
      <c r="A264" s="717">
        <v>42337</v>
      </c>
      <c r="B264" s="533">
        <v>2.0628359999999999</v>
      </c>
      <c r="F264" s="1137">
        <f t="shared" si="21"/>
        <v>1.8709499131226029E-3</v>
      </c>
      <c r="G264" s="1138"/>
      <c r="H264" s="520">
        <v>10385.74</v>
      </c>
      <c r="I264" s="512">
        <v>43789</v>
      </c>
      <c r="J264" s="254">
        <f t="shared" si="18"/>
        <v>1.9023694725650575E-3</v>
      </c>
      <c r="L264" s="251">
        <f t="shared" si="19"/>
        <v>43789</v>
      </c>
      <c r="M264" s="513">
        <v>147.1</v>
      </c>
      <c r="N264" s="254">
        <f t="shared" si="20"/>
        <v>1.2736660929431931E-2</v>
      </c>
      <c r="O264" s="1137">
        <f t="shared" si="22"/>
        <v>1.2705241369989477E-2</v>
      </c>
      <c r="P264" s="1138"/>
    </row>
    <row r="265" spans="1:16" x14ac:dyDescent="0.2">
      <c r="A265" s="717">
        <v>42344</v>
      </c>
      <c r="B265" s="533">
        <v>2.1098080000000001</v>
      </c>
      <c r="F265" s="1137">
        <f t="shared" si="21"/>
        <v>1.7893663938317187E-3</v>
      </c>
      <c r="G265" s="1138"/>
      <c r="H265" s="520">
        <v>10366.02</v>
      </c>
      <c r="I265" s="512">
        <v>43788</v>
      </c>
      <c r="J265" s="254">
        <f t="shared" si="18"/>
        <v>1.8207859532741733E-3</v>
      </c>
      <c r="L265" s="251">
        <f t="shared" si="19"/>
        <v>43788</v>
      </c>
      <c r="M265" s="513">
        <v>145.25</v>
      </c>
      <c r="N265" s="254">
        <f t="shared" si="20"/>
        <v>-1.7182130584192379E-3</v>
      </c>
      <c r="O265" s="1137">
        <f t="shared" si="22"/>
        <v>-1.7496326178616925E-3</v>
      </c>
      <c r="P265" s="1138"/>
    </row>
    <row r="266" spans="1:16" x14ac:dyDescent="0.2">
      <c r="A266" s="717">
        <v>42351</v>
      </c>
      <c r="B266" s="533">
        <v>2.0863960000000001</v>
      </c>
      <c r="F266" s="1137">
        <f t="shared" si="21"/>
        <v>3.563106983410517E-3</v>
      </c>
      <c r="G266" s="1138"/>
      <c r="H266" s="520">
        <v>10347.18</v>
      </c>
      <c r="I266" s="512">
        <v>43787</v>
      </c>
      <c r="J266" s="254">
        <f t="shared" si="18"/>
        <v>3.5945265428529716E-3</v>
      </c>
      <c r="L266" s="251">
        <f t="shared" si="19"/>
        <v>43787</v>
      </c>
      <c r="M266" s="513">
        <v>145.5</v>
      </c>
      <c r="N266" s="254">
        <f t="shared" si="20"/>
        <v>0</v>
      </c>
      <c r="O266" s="1137">
        <f t="shared" si="22"/>
        <v>-3.1419559442454485E-5</v>
      </c>
      <c r="P266" s="1138"/>
    </row>
    <row r="267" spans="1:16" x14ac:dyDescent="0.2">
      <c r="A267" s="717">
        <v>42358</v>
      </c>
      <c r="B267" s="533">
        <v>2.1108950000000002</v>
      </c>
      <c r="F267" s="1137">
        <f t="shared" si="21"/>
        <v>7.4823370941265602E-3</v>
      </c>
      <c r="G267" s="1138"/>
      <c r="H267" s="520">
        <v>10310.120000000001</v>
      </c>
      <c r="I267" s="512">
        <v>43784</v>
      </c>
      <c r="J267" s="254">
        <f t="shared" si="18"/>
        <v>7.5137566535690148E-3</v>
      </c>
      <c r="L267" s="251">
        <f t="shared" si="19"/>
        <v>43784</v>
      </c>
      <c r="M267" s="513">
        <v>145.5</v>
      </c>
      <c r="N267" s="254">
        <f t="shared" si="20"/>
        <v>-3.424657534246589E-3</v>
      </c>
      <c r="O267" s="1137">
        <f t="shared" si="22"/>
        <v>-3.4560770936890436E-3</v>
      </c>
      <c r="P267" s="1138"/>
    </row>
    <row r="268" spans="1:16" x14ac:dyDescent="0.2">
      <c r="A268" s="717">
        <v>42365</v>
      </c>
      <c r="B268" s="533">
        <v>2.1271650000000002</v>
      </c>
      <c r="F268" s="1137">
        <f t="shared" si="21"/>
        <v>-6.4387008875429882E-3</v>
      </c>
      <c r="G268" s="1138"/>
      <c r="H268" s="520">
        <v>10233.23</v>
      </c>
      <c r="I268" s="512">
        <v>43783</v>
      </c>
      <c r="J268" s="254">
        <f t="shared" si="18"/>
        <v>-6.4072813281005336E-3</v>
      </c>
      <c r="L268" s="251">
        <f t="shared" si="19"/>
        <v>43783</v>
      </c>
      <c r="M268" s="513">
        <v>146</v>
      </c>
      <c r="N268" s="254">
        <f t="shared" si="20"/>
        <v>9.3328724507431016E-3</v>
      </c>
      <c r="O268" s="1137">
        <f t="shared" si="22"/>
        <v>9.3014528913006479E-3</v>
      </c>
      <c r="P268" s="1138"/>
    </row>
    <row r="269" spans="1:16" x14ac:dyDescent="0.2">
      <c r="A269" s="717">
        <v>42372</v>
      </c>
      <c r="B269" s="533">
        <v>2.169788</v>
      </c>
      <c r="F269" s="1137">
        <f t="shared" si="21"/>
        <v>-1.4799136685120081E-3</v>
      </c>
      <c r="G269" s="1138"/>
      <c r="H269" s="520">
        <v>10299.219999999999</v>
      </c>
      <c r="I269" s="512">
        <v>43782</v>
      </c>
      <c r="J269" s="254">
        <f t="shared" si="18"/>
        <v>-1.4484941090695536E-3</v>
      </c>
      <c r="L269" s="251">
        <f t="shared" si="19"/>
        <v>43782</v>
      </c>
      <c r="M269" s="513">
        <v>144.65</v>
      </c>
      <c r="N269" s="254">
        <f t="shared" si="20"/>
        <v>-3.1013094417642328E-3</v>
      </c>
      <c r="O269" s="1137">
        <f t="shared" si="22"/>
        <v>-3.1327290012066874E-3</v>
      </c>
      <c r="P269" s="1138"/>
    </row>
    <row r="270" spans="1:16" x14ac:dyDescent="0.2">
      <c r="A270" s="717">
        <v>42379</v>
      </c>
      <c r="B270" s="533">
        <v>2.084695</v>
      </c>
      <c r="F270" s="1137">
        <f t="shared" si="21"/>
        <v>8.3124585349665756E-4</v>
      </c>
      <c r="G270" s="1138"/>
      <c r="H270" s="520">
        <v>10314.16</v>
      </c>
      <c r="I270" s="512">
        <v>43781</v>
      </c>
      <c r="J270" s="254">
        <f t="shared" si="18"/>
        <v>8.6266541293911203E-4</v>
      </c>
      <c r="L270" s="251">
        <f t="shared" si="19"/>
        <v>43781</v>
      </c>
      <c r="M270" s="513">
        <v>145.1</v>
      </c>
      <c r="N270" s="254">
        <f t="shared" si="20"/>
        <v>2.7643400138217533E-3</v>
      </c>
      <c r="O270" s="1137">
        <f t="shared" si="22"/>
        <v>2.7329204543792987E-3</v>
      </c>
      <c r="P270" s="1138"/>
    </row>
    <row r="271" spans="1:16" x14ac:dyDescent="0.2">
      <c r="A271" s="717">
        <v>42386</v>
      </c>
      <c r="B271" s="533">
        <v>2.0368889999999999</v>
      </c>
      <c r="F271" s="1137">
        <f t="shared" si="21"/>
        <v>-4.1554136097358876E-4</v>
      </c>
      <c r="G271" s="1138"/>
      <c r="H271" s="520">
        <v>10305.27</v>
      </c>
      <c r="I271" s="512">
        <v>43780</v>
      </c>
      <c r="J271" s="254">
        <f t="shared" si="18"/>
        <v>-3.8412180153113429E-4</v>
      </c>
      <c r="L271" s="251">
        <f t="shared" si="19"/>
        <v>43780</v>
      </c>
      <c r="M271" s="513">
        <v>144.69999999999999</v>
      </c>
      <c r="N271" s="254">
        <f t="shared" si="20"/>
        <v>9.4175095919077911E-3</v>
      </c>
      <c r="O271" s="1137">
        <f t="shared" si="22"/>
        <v>9.3860900324653374E-3</v>
      </c>
      <c r="P271" s="1138"/>
    </row>
    <row r="272" spans="1:16" x14ac:dyDescent="0.2">
      <c r="A272" s="717">
        <v>42393</v>
      </c>
      <c r="B272" s="533">
        <v>1.993007</v>
      </c>
      <c r="F272" s="1137">
        <f t="shared" si="21"/>
        <v>-1.7308844458834701E-3</v>
      </c>
      <c r="G272" s="1138"/>
      <c r="H272" s="520">
        <v>10309.23</v>
      </c>
      <c r="I272" s="512">
        <v>43777</v>
      </c>
      <c r="J272" s="254">
        <f t="shared" si="18"/>
        <v>-1.6994648864410156E-3</v>
      </c>
      <c r="L272" s="251">
        <f t="shared" si="19"/>
        <v>43777</v>
      </c>
      <c r="M272" s="513">
        <v>143.35</v>
      </c>
      <c r="N272" s="254">
        <f t="shared" si="20"/>
        <v>-1.4776632302405557E-2</v>
      </c>
      <c r="O272" s="1137">
        <f t="shared" si="22"/>
        <v>-1.4808051861848011E-2</v>
      </c>
      <c r="P272" s="1138"/>
    </row>
    <row r="273" spans="1:16" x14ac:dyDescent="0.2">
      <c r="A273" s="717">
        <v>42400</v>
      </c>
      <c r="B273" s="533">
        <v>1.9256899999999999</v>
      </c>
      <c r="F273" s="1137">
        <f t="shared" si="21"/>
        <v>8.0982059136043658E-4</v>
      </c>
      <c r="G273" s="1138"/>
      <c r="H273" s="520">
        <v>10326.780000000001</v>
      </c>
      <c r="I273" s="512">
        <v>43776</v>
      </c>
      <c r="J273" s="254">
        <f t="shared" si="18"/>
        <v>8.4124015080289105E-4</v>
      </c>
      <c r="L273" s="251">
        <f t="shared" si="19"/>
        <v>43776</v>
      </c>
      <c r="M273" s="513">
        <v>145.5</v>
      </c>
      <c r="N273" s="254">
        <f t="shared" si="20"/>
        <v>2.3566654941962639E-2</v>
      </c>
      <c r="O273" s="1137">
        <f t="shared" si="22"/>
        <v>2.3535235382520184E-2</v>
      </c>
      <c r="P273" s="1138"/>
    </row>
    <row r="274" spans="1:16" x14ac:dyDescent="0.2">
      <c r="A274" s="717">
        <v>42407</v>
      </c>
      <c r="B274" s="533">
        <v>1.8619129999999999</v>
      </c>
      <c r="F274" s="1137">
        <f t="shared" si="21"/>
        <v>4.3606847763979087E-3</v>
      </c>
      <c r="G274" s="1138"/>
      <c r="H274" s="520">
        <v>10318.1</v>
      </c>
      <c r="I274" s="512">
        <v>43775</v>
      </c>
      <c r="J274" s="254">
        <f t="shared" si="18"/>
        <v>4.3921043358403633E-3</v>
      </c>
      <c r="L274" s="251">
        <f t="shared" si="19"/>
        <v>43775</v>
      </c>
      <c r="M274" s="513">
        <v>142.15</v>
      </c>
      <c r="N274" s="254">
        <f t="shared" si="20"/>
        <v>-1.0541110330288816E-3</v>
      </c>
      <c r="O274" s="1137">
        <f t="shared" si="22"/>
        <v>-1.0855305924713362E-3</v>
      </c>
      <c r="P274" s="1138"/>
    </row>
    <row r="275" spans="1:16" x14ac:dyDescent="0.2">
      <c r="A275" s="717">
        <v>42414</v>
      </c>
      <c r="B275" s="533">
        <v>1.7651479999999999</v>
      </c>
      <c r="F275" s="1137">
        <f t="shared" si="21"/>
        <v>-6.2314356181515781E-3</v>
      </c>
      <c r="G275" s="1138"/>
      <c r="H275" s="520">
        <v>10272.98</v>
      </c>
      <c r="I275" s="512">
        <v>43774</v>
      </c>
      <c r="J275" s="254">
        <f t="shared" si="18"/>
        <v>-6.2000160587091235E-3</v>
      </c>
      <c r="L275" s="251">
        <f t="shared" si="19"/>
        <v>43774</v>
      </c>
      <c r="M275" s="513">
        <v>142.30000000000001</v>
      </c>
      <c r="N275" s="254">
        <f t="shared" si="20"/>
        <v>7.0323488045032079E-4</v>
      </c>
      <c r="O275" s="1137">
        <f t="shared" si="22"/>
        <v>6.7181532100786632E-4</v>
      </c>
      <c r="P275" s="1138"/>
    </row>
    <row r="276" spans="1:16" x14ac:dyDescent="0.2">
      <c r="A276" s="717">
        <v>42421</v>
      </c>
      <c r="B276" s="533">
        <v>1.79786</v>
      </c>
      <c r="F276" s="1137">
        <f t="shared" si="21"/>
        <v>8.2428697665974538E-3</v>
      </c>
      <c r="G276" s="1138"/>
      <c r="H276" s="520">
        <v>10337.07</v>
      </c>
      <c r="I276" s="512">
        <v>43773</v>
      </c>
      <c r="J276" s="254">
        <f t="shared" si="18"/>
        <v>8.2742893260399075E-3</v>
      </c>
      <c r="L276" s="251">
        <f t="shared" si="19"/>
        <v>43773</v>
      </c>
      <c r="M276" s="513">
        <v>142.19999999999999</v>
      </c>
      <c r="N276" s="254">
        <f t="shared" si="20"/>
        <v>1.2820512820512775E-2</v>
      </c>
      <c r="O276" s="1137">
        <f t="shared" si="22"/>
        <v>1.2789093261070321E-2</v>
      </c>
      <c r="P276" s="1138"/>
    </row>
    <row r="277" spans="1:16" x14ac:dyDescent="0.2">
      <c r="A277" s="717">
        <v>42428</v>
      </c>
      <c r="B277" s="533">
        <v>1.7838369999999999</v>
      </c>
      <c r="F277" s="1137">
        <f t="shared" si="21"/>
        <v>3.1408476624851947E-3</v>
      </c>
      <c r="G277" s="1138"/>
      <c r="H277" s="520">
        <v>10252.24</v>
      </c>
      <c r="I277" s="512">
        <v>43770</v>
      </c>
      <c r="J277" s="254">
        <f t="shared" si="18"/>
        <v>3.1722672219276493E-3</v>
      </c>
      <c r="L277" s="251">
        <f t="shared" si="19"/>
        <v>43770</v>
      </c>
      <c r="M277" s="513">
        <v>140.4</v>
      </c>
      <c r="N277" s="254">
        <f t="shared" si="20"/>
        <v>-2.4866785079928899E-3</v>
      </c>
      <c r="O277" s="1137">
        <f t="shared" si="22"/>
        <v>-2.5180980674353445E-3</v>
      </c>
      <c r="P277" s="1138"/>
    </row>
    <row r="278" spans="1:16" x14ac:dyDescent="0.2">
      <c r="A278" s="717">
        <v>42435</v>
      </c>
      <c r="B278" s="533">
        <v>1.7878909999999999</v>
      </c>
      <c r="F278" s="1137">
        <f t="shared" si="21"/>
        <v>-3.4570822881735816E-3</v>
      </c>
      <c r="G278" s="1138"/>
      <c r="H278" s="520">
        <v>10219.82</v>
      </c>
      <c r="I278" s="512">
        <v>43769</v>
      </c>
      <c r="J278" s="254">
        <f t="shared" si="18"/>
        <v>-3.425662728731127E-3</v>
      </c>
      <c r="L278" s="251">
        <f t="shared" si="19"/>
        <v>43769</v>
      </c>
      <c r="M278" s="513">
        <v>140.75</v>
      </c>
      <c r="N278" s="254">
        <f t="shared" si="20"/>
        <v>4.2811273635390279E-3</v>
      </c>
      <c r="O278" s="1137">
        <f t="shared" si="22"/>
        <v>4.2497078040965733E-3</v>
      </c>
      <c r="P278" s="1138"/>
    </row>
    <row r="279" spans="1:16" x14ac:dyDescent="0.2">
      <c r="A279" s="717">
        <v>42442</v>
      </c>
      <c r="B279" s="533">
        <v>1.8317870000000001</v>
      </c>
      <c r="F279" s="1137">
        <f t="shared" si="21"/>
        <v>-2.9853622995983E-4</v>
      </c>
      <c r="G279" s="1138"/>
      <c r="H279" s="520">
        <v>10254.950000000001</v>
      </c>
      <c r="I279" s="512">
        <v>43768</v>
      </c>
      <c r="J279" s="254">
        <f t="shared" si="18"/>
        <v>-2.6711667051737553E-4</v>
      </c>
      <c r="L279" s="251">
        <f t="shared" si="19"/>
        <v>43768</v>
      </c>
      <c r="M279" s="513">
        <v>140.15</v>
      </c>
      <c r="N279" s="254">
        <f t="shared" si="20"/>
        <v>-8.4895649097982417E-3</v>
      </c>
      <c r="O279" s="1137">
        <f t="shared" si="22"/>
        <v>-8.5209844692406955E-3</v>
      </c>
      <c r="P279" s="1138"/>
    </row>
    <row r="280" spans="1:16" x14ac:dyDescent="0.2">
      <c r="A280" s="717">
        <v>42449</v>
      </c>
      <c r="B280" s="533">
        <v>1.8187040000000001</v>
      </c>
      <c r="F280" s="1137">
        <f t="shared" si="21"/>
        <v>2.4989270071442285E-3</v>
      </c>
      <c r="G280" s="1138"/>
      <c r="H280" s="520">
        <v>10257.69</v>
      </c>
      <c r="I280" s="512">
        <v>43767</v>
      </c>
      <c r="J280" s="254">
        <f t="shared" si="18"/>
        <v>2.5303465665866831E-3</v>
      </c>
      <c r="L280" s="251">
        <f t="shared" si="19"/>
        <v>43767</v>
      </c>
      <c r="M280" s="513">
        <v>141.35</v>
      </c>
      <c r="N280" s="254">
        <f t="shared" si="20"/>
        <v>-2.2813688212927841E-2</v>
      </c>
      <c r="O280" s="1137">
        <f t="shared" si="22"/>
        <v>-2.2845107772370296E-2</v>
      </c>
      <c r="P280" s="1138"/>
    </row>
    <row r="281" spans="1:16" x14ac:dyDescent="0.2">
      <c r="A281" s="717">
        <v>42456</v>
      </c>
      <c r="B281" s="533">
        <v>1.7932250000000001</v>
      </c>
      <c r="F281" s="1137">
        <f t="shared" si="21"/>
        <v>3.3724927331821456E-3</v>
      </c>
      <c r="G281" s="1138"/>
      <c r="H281" s="520">
        <v>10231.799999999999</v>
      </c>
      <c r="I281" s="512">
        <v>43766</v>
      </c>
      <c r="J281" s="254">
        <f t="shared" si="18"/>
        <v>3.4039122926246002E-3</v>
      </c>
      <c r="L281" s="251">
        <f t="shared" si="19"/>
        <v>43766</v>
      </c>
      <c r="M281" s="513">
        <v>144.65</v>
      </c>
      <c r="N281" s="254">
        <f t="shared" si="20"/>
        <v>1.0125698324022547E-2</v>
      </c>
      <c r="O281" s="1137">
        <f t="shared" si="22"/>
        <v>1.0094278764580094E-2</v>
      </c>
      <c r="P281" s="1138"/>
    </row>
    <row r="282" spans="1:16" x14ac:dyDescent="0.2">
      <c r="A282" s="717">
        <v>42463</v>
      </c>
      <c r="B282" s="533">
        <v>1.7288950000000001</v>
      </c>
      <c r="F282" s="1137">
        <f t="shared" si="21"/>
        <v>8.9291237724428863E-3</v>
      </c>
      <c r="G282" s="1138"/>
      <c r="H282" s="520">
        <v>10197.09</v>
      </c>
      <c r="I282" s="512">
        <v>43763</v>
      </c>
      <c r="J282" s="254">
        <f t="shared" si="18"/>
        <v>8.96054333188534E-3</v>
      </c>
      <c r="L282" s="251">
        <f t="shared" si="19"/>
        <v>43763</v>
      </c>
      <c r="M282" s="513">
        <v>143.19999999999999</v>
      </c>
      <c r="N282" s="254">
        <f t="shared" si="20"/>
        <v>4.2212518195050786E-2</v>
      </c>
      <c r="O282" s="1137">
        <f t="shared" si="22"/>
        <v>4.218109863560833E-2</v>
      </c>
      <c r="P282" s="1138"/>
    </row>
    <row r="283" spans="1:16" x14ac:dyDescent="0.2">
      <c r="A283" s="717">
        <v>42470</v>
      </c>
      <c r="B283" s="533">
        <v>1.6872229999999999</v>
      </c>
      <c r="F283" s="1137">
        <f t="shared" si="21"/>
        <v>8.2501023011413866E-3</v>
      </c>
      <c r="G283" s="1138"/>
      <c r="H283" s="520">
        <v>10106.530000000001</v>
      </c>
      <c r="I283" s="512">
        <v>43762</v>
      </c>
      <c r="J283" s="254">
        <f t="shared" si="18"/>
        <v>8.2815218605838403E-3</v>
      </c>
      <c r="L283" s="251">
        <f t="shared" si="19"/>
        <v>43762</v>
      </c>
      <c r="M283" s="513">
        <v>137.4</v>
      </c>
      <c r="N283" s="254">
        <f t="shared" si="20"/>
        <v>2.8828154249344706E-2</v>
      </c>
      <c r="O283" s="1137">
        <f t="shared" si="22"/>
        <v>2.8796734689902251E-2</v>
      </c>
      <c r="P283" s="1138"/>
    </row>
    <row r="284" spans="1:16" x14ac:dyDescent="0.2">
      <c r="A284" s="717">
        <v>42477</v>
      </c>
      <c r="B284" s="533">
        <v>1.7274830000000001</v>
      </c>
      <c r="F284" s="1137">
        <f t="shared" si="21"/>
        <v>5.8451179964942688E-4</v>
      </c>
      <c r="G284" s="1138"/>
      <c r="H284" s="520">
        <v>10023.52</v>
      </c>
      <c r="I284" s="512">
        <v>43761</v>
      </c>
      <c r="J284" s="254">
        <f t="shared" si="18"/>
        <v>6.1593135909188135E-4</v>
      </c>
      <c r="L284" s="251">
        <f t="shared" si="19"/>
        <v>43761</v>
      </c>
      <c r="M284" s="513">
        <v>133.55000000000001</v>
      </c>
      <c r="N284" s="254">
        <f t="shared" si="20"/>
        <v>-2.8727272727272601E-2</v>
      </c>
      <c r="O284" s="1137">
        <f t="shared" si="22"/>
        <v>-2.8758692286715057E-2</v>
      </c>
      <c r="P284" s="1138"/>
    </row>
    <row r="285" spans="1:16" x14ac:dyDescent="0.2">
      <c r="A285" s="717">
        <v>42484</v>
      </c>
      <c r="B285" s="533">
        <v>1.776939</v>
      </c>
      <c r="F285" s="1137">
        <f t="shared" si="21"/>
        <v>2.5638071450699443E-3</v>
      </c>
      <c r="G285" s="1138"/>
      <c r="H285" s="520">
        <v>10017.35</v>
      </c>
      <c r="I285" s="512">
        <v>43760</v>
      </c>
      <c r="J285" s="254">
        <f t="shared" ref="J285:J348" si="23">H285/H286-1</f>
        <v>2.5952267045123989E-3</v>
      </c>
      <c r="L285" s="251">
        <f t="shared" ref="L285:L348" si="24">I285</f>
        <v>43760</v>
      </c>
      <c r="M285" s="513">
        <v>137.5</v>
      </c>
      <c r="N285" s="254">
        <f t="shared" ref="N285:N348" si="25">M285/M286-1</f>
        <v>-4.2812391228680857E-2</v>
      </c>
      <c r="O285" s="1137">
        <f t="shared" si="22"/>
        <v>-4.2843810788123313E-2</v>
      </c>
      <c r="P285" s="1138"/>
    </row>
    <row r="286" spans="1:16" x14ac:dyDescent="0.2">
      <c r="A286" s="717">
        <v>42491</v>
      </c>
      <c r="B286" s="533">
        <v>1.8159970000000001</v>
      </c>
      <c r="F286" s="1137">
        <f t="shared" ref="F286:F349" si="26">J286-$I$19</f>
        <v>2.5705598715739112E-3</v>
      </c>
      <c r="G286" s="1138"/>
      <c r="H286" s="520">
        <v>9991.42</v>
      </c>
      <c r="I286" s="512">
        <v>43759</v>
      </c>
      <c r="J286" s="254">
        <f t="shared" si="23"/>
        <v>2.6019794310163658E-3</v>
      </c>
      <c r="L286" s="251">
        <f t="shared" si="24"/>
        <v>43759</v>
      </c>
      <c r="M286" s="513">
        <v>143.65</v>
      </c>
      <c r="N286" s="254">
        <f t="shared" si="25"/>
        <v>5.6002800140007025E-3</v>
      </c>
      <c r="O286" s="1137">
        <f t="shared" ref="O286:O349" si="27">N286-$I$19</f>
        <v>5.5688604545582479E-3</v>
      </c>
      <c r="P286" s="1138"/>
    </row>
    <row r="287" spans="1:16" x14ac:dyDescent="0.2">
      <c r="A287" s="717">
        <v>42498</v>
      </c>
      <c r="B287" s="533">
        <v>1.7590760000000001</v>
      </c>
      <c r="F287" s="1137">
        <f t="shared" si="26"/>
        <v>-4.3725385990211326E-3</v>
      </c>
      <c r="G287" s="1138"/>
      <c r="H287" s="520">
        <v>9965.49</v>
      </c>
      <c r="I287" s="512">
        <v>43756</v>
      </c>
      <c r="J287" s="254">
        <f t="shared" si="23"/>
        <v>-4.3411190395786781E-3</v>
      </c>
      <c r="L287" s="251">
        <f t="shared" si="24"/>
        <v>43756</v>
      </c>
      <c r="M287" s="513">
        <v>142.85</v>
      </c>
      <c r="N287" s="254">
        <f t="shared" si="25"/>
        <v>-4.9567531603459836E-2</v>
      </c>
      <c r="O287" s="1137">
        <f t="shared" si="27"/>
        <v>-4.9598951162902291E-2</v>
      </c>
      <c r="P287" s="1138"/>
    </row>
    <row r="288" spans="1:16" x14ac:dyDescent="0.2">
      <c r="A288" s="717">
        <v>42505</v>
      </c>
      <c r="B288" s="533">
        <v>1.7203520000000001</v>
      </c>
      <c r="F288" s="1137">
        <f t="shared" si="26"/>
        <v>-2.3787929433181495E-3</v>
      </c>
      <c r="G288" s="1138"/>
      <c r="H288" s="520">
        <v>10008.94</v>
      </c>
      <c r="I288" s="512">
        <v>43755</v>
      </c>
      <c r="J288" s="254">
        <f t="shared" si="23"/>
        <v>-2.3473733838756949E-3</v>
      </c>
      <c r="L288" s="251">
        <f t="shared" si="24"/>
        <v>43755</v>
      </c>
      <c r="M288" s="513">
        <v>150.30000000000001</v>
      </c>
      <c r="N288" s="254">
        <f t="shared" si="25"/>
        <v>-0.15036743923120399</v>
      </c>
      <c r="O288" s="1137">
        <f t="shared" si="27"/>
        <v>-0.15039885879064643</v>
      </c>
      <c r="P288" s="1138"/>
    </row>
    <row r="289" spans="1:16" x14ac:dyDescent="0.2">
      <c r="A289" s="717">
        <v>42512</v>
      </c>
      <c r="B289" s="533">
        <v>1.777056</v>
      </c>
      <c r="F289" s="1137">
        <f t="shared" si="26"/>
        <v>-1.6495312648784751E-3</v>
      </c>
      <c r="G289" s="1138"/>
      <c r="H289" s="520">
        <v>10032.49</v>
      </c>
      <c r="I289" s="512">
        <v>43754</v>
      </c>
      <c r="J289" s="254">
        <f t="shared" si="23"/>
        <v>-1.6181117054360206E-3</v>
      </c>
      <c r="L289" s="251">
        <f t="shared" si="24"/>
        <v>43754</v>
      </c>
      <c r="M289" s="513">
        <v>176.9</v>
      </c>
      <c r="N289" s="254">
        <f t="shared" si="25"/>
        <v>2.8787438208781824E-2</v>
      </c>
      <c r="O289" s="1137">
        <f t="shared" si="27"/>
        <v>2.8756018649339368E-2</v>
      </c>
      <c r="P289" s="1138"/>
    </row>
    <row r="290" spans="1:16" x14ac:dyDescent="0.2">
      <c r="A290" s="717">
        <v>42519</v>
      </c>
      <c r="B290" s="533">
        <v>1.7829649999999999</v>
      </c>
      <c r="F290" s="1137">
        <f t="shared" si="26"/>
        <v>8.4499096738958768E-3</v>
      </c>
      <c r="G290" s="1138"/>
      <c r="H290" s="520">
        <v>10048.75</v>
      </c>
      <c r="I290" s="512">
        <v>43753</v>
      </c>
      <c r="J290" s="254">
        <f t="shared" si="23"/>
        <v>8.4813292333383306E-3</v>
      </c>
      <c r="L290" s="251">
        <f t="shared" si="24"/>
        <v>43753</v>
      </c>
      <c r="M290" s="513">
        <v>171.95</v>
      </c>
      <c r="N290" s="254">
        <f t="shared" si="25"/>
        <v>1.565268753691651E-2</v>
      </c>
      <c r="O290" s="1137">
        <f t="shared" si="27"/>
        <v>1.5621267977474056E-2</v>
      </c>
      <c r="P290" s="1138"/>
    </row>
    <row r="291" spans="1:16" x14ac:dyDescent="0.2">
      <c r="A291" s="717">
        <v>42526</v>
      </c>
      <c r="B291" s="533">
        <v>1.7512490000000001</v>
      </c>
      <c r="F291" s="1137">
        <f t="shared" si="26"/>
        <v>-5.337192819742805E-3</v>
      </c>
      <c r="G291" s="1138"/>
      <c r="H291" s="520">
        <v>9964.24</v>
      </c>
      <c r="I291" s="512">
        <v>43752</v>
      </c>
      <c r="J291" s="254">
        <f t="shared" si="23"/>
        <v>-5.3057732603003505E-3</v>
      </c>
      <c r="L291" s="251">
        <f t="shared" si="24"/>
        <v>43752</v>
      </c>
      <c r="M291" s="513">
        <v>169.3</v>
      </c>
      <c r="N291" s="254">
        <f t="shared" si="25"/>
        <v>-1.0230926629640424E-2</v>
      </c>
      <c r="O291" s="1137">
        <f t="shared" si="27"/>
        <v>-1.0262346189082878E-2</v>
      </c>
      <c r="P291" s="1138"/>
    </row>
    <row r="292" spans="1:16" x14ac:dyDescent="0.2">
      <c r="A292" s="717">
        <v>42533</v>
      </c>
      <c r="B292" s="533">
        <v>1.6691849999999999</v>
      </c>
      <c r="F292" s="1137">
        <f t="shared" si="26"/>
        <v>1.1517582664121577E-2</v>
      </c>
      <c r="G292" s="1138"/>
      <c r="H292" s="520">
        <v>10017.39</v>
      </c>
      <c r="I292" s="512">
        <v>43749</v>
      </c>
      <c r="J292" s="254">
        <f t="shared" si="23"/>
        <v>1.1549002223564031E-2</v>
      </c>
      <c r="L292" s="251">
        <f t="shared" si="24"/>
        <v>43749</v>
      </c>
      <c r="M292" s="513">
        <v>171.05</v>
      </c>
      <c r="N292" s="254">
        <f t="shared" si="25"/>
        <v>3.8239757207890746E-2</v>
      </c>
      <c r="O292" s="1137">
        <f t="shared" si="27"/>
        <v>3.820833764844829E-2</v>
      </c>
      <c r="P292" s="1138"/>
    </row>
    <row r="293" spans="1:16" x14ac:dyDescent="0.2">
      <c r="A293" s="717">
        <v>42540</v>
      </c>
      <c r="B293" s="533">
        <v>1.633513</v>
      </c>
      <c r="F293" s="1137">
        <f t="shared" si="26"/>
        <v>7.3917369860482954E-3</v>
      </c>
      <c r="G293" s="1138"/>
      <c r="H293" s="520">
        <v>9903.02</v>
      </c>
      <c r="I293" s="512">
        <v>43748</v>
      </c>
      <c r="J293" s="254">
        <f t="shared" si="23"/>
        <v>7.42315654549075E-3</v>
      </c>
      <c r="L293" s="251">
        <f t="shared" si="24"/>
        <v>43748</v>
      </c>
      <c r="M293" s="513">
        <v>164.75</v>
      </c>
      <c r="N293" s="254">
        <f t="shared" si="25"/>
        <v>-2.4220405691796065E-3</v>
      </c>
      <c r="O293" s="1137">
        <f t="shared" si="27"/>
        <v>-2.4534601286220611E-3</v>
      </c>
      <c r="P293" s="1138"/>
    </row>
    <row r="294" spans="1:16" x14ac:dyDescent="0.2">
      <c r="A294" s="717">
        <v>42547</v>
      </c>
      <c r="B294" s="533">
        <v>1.628951</v>
      </c>
      <c r="F294" s="1137">
        <f t="shared" si="26"/>
        <v>3.0103426831149119E-3</v>
      </c>
      <c r="G294" s="1138"/>
      <c r="H294" s="520">
        <v>9830.0499999999993</v>
      </c>
      <c r="I294" s="512">
        <v>43747</v>
      </c>
      <c r="J294" s="254">
        <f t="shared" si="23"/>
        <v>3.0417622425573665E-3</v>
      </c>
      <c r="L294" s="251">
        <f t="shared" si="24"/>
        <v>43747</v>
      </c>
      <c r="M294" s="513">
        <v>165.15</v>
      </c>
      <c r="N294" s="254">
        <f t="shared" si="25"/>
        <v>2.2917311861257561E-2</v>
      </c>
      <c r="O294" s="1137">
        <f t="shared" si="27"/>
        <v>2.2885892301815106E-2</v>
      </c>
      <c r="P294" s="1138"/>
    </row>
    <row r="295" spans="1:16" x14ac:dyDescent="0.2">
      <c r="A295" s="717">
        <v>42554</v>
      </c>
      <c r="B295" s="533">
        <v>1.504591</v>
      </c>
      <c r="F295" s="1137">
        <f t="shared" si="26"/>
        <v>-1.1512084393022244E-2</v>
      </c>
      <c r="G295" s="1138"/>
      <c r="H295" s="520">
        <v>9800.24</v>
      </c>
      <c r="I295" s="512">
        <v>43746</v>
      </c>
      <c r="J295" s="254">
        <f t="shared" si="23"/>
        <v>-1.148066483357979E-2</v>
      </c>
      <c r="L295" s="251">
        <f t="shared" si="24"/>
        <v>43746</v>
      </c>
      <c r="M295" s="513">
        <v>161.44999999999999</v>
      </c>
      <c r="N295" s="254">
        <f t="shared" si="25"/>
        <v>2.7950310559006208E-3</v>
      </c>
      <c r="O295" s="1137">
        <f t="shared" si="27"/>
        <v>2.7636114964581663E-3</v>
      </c>
      <c r="P295" s="1138"/>
    </row>
    <row r="296" spans="1:16" x14ac:dyDescent="0.2">
      <c r="A296" s="717">
        <v>42561</v>
      </c>
      <c r="B296" s="533">
        <v>1.4247030000000001</v>
      </c>
      <c r="F296" s="1137">
        <f t="shared" si="26"/>
        <v>8.7539345206492803E-3</v>
      </c>
      <c r="G296" s="1138"/>
      <c r="H296" s="520">
        <v>9914.06</v>
      </c>
      <c r="I296" s="512">
        <v>43745</v>
      </c>
      <c r="J296" s="254">
        <f t="shared" si="23"/>
        <v>8.785354080091734E-3</v>
      </c>
      <c r="L296" s="251">
        <f t="shared" si="24"/>
        <v>43745</v>
      </c>
      <c r="M296" s="513">
        <v>161</v>
      </c>
      <c r="N296" s="254">
        <f t="shared" si="25"/>
        <v>1.098901098901095E-2</v>
      </c>
      <c r="O296" s="1137">
        <f t="shared" si="27"/>
        <v>1.0957591429568496E-2</v>
      </c>
      <c r="P296" s="1138"/>
    </row>
    <row r="297" spans="1:16" x14ac:dyDescent="0.2">
      <c r="A297" s="717">
        <v>42568</v>
      </c>
      <c r="B297" s="533">
        <v>1.4987280000000001</v>
      </c>
      <c r="F297" s="1137">
        <f t="shared" si="26"/>
        <v>6.8617123075633427E-3</v>
      </c>
      <c r="G297" s="1138"/>
      <c r="H297" s="520">
        <v>9827.7199999999993</v>
      </c>
      <c r="I297" s="512">
        <v>43742</v>
      </c>
      <c r="J297" s="254">
        <f t="shared" si="23"/>
        <v>6.8931318670057973E-3</v>
      </c>
      <c r="L297" s="251">
        <f t="shared" si="24"/>
        <v>43742</v>
      </c>
      <c r="M297" s="513">
        <v>159.25</v>
      </c>
      <c r="N297" s="254">
        <f t="shared" si="25"/>
        <v>3.7819098644815696E-3</v>
      </c>
      <c r="O297" s="1137">
        <f t="shared" si="27"/>
        <v>3.750490305039115E-3</v>
      </c>
      <c r="P297" s="1138"/>
    </row>
    <row r="298" spans="1:16" x14ac:dyDescent="0.2">
      <c r="A298" s="717">
        <v>42575</v>
      </c>
      <c r="B298" s="533">
        <v>1.5216400000000001</v>
      </c>
      <c r="F298" s="1137">
        <f t="shared" si="26"/>
        <v>2.9244118863487698E-4</v>
      </c>
      <c r="G298" s="1138"/>
      <c r="H298" s="520">
        <v>9760.44</v>
      </c>
      <c r="I298" s="512">
        <v>43741</v>
      </c>
      <c r="J298" s="254">
        <f t="shared" si="23"/>
        <v>3.2386074807733145E-4</v>
      </c>
      <c r="L298" s="251">
        <f t="shared" si="24"/>
        <v>43741</v>
      </c>
      <c r="M298" s="513">
        <v>158.65</v>
      </c>
      <c r="N298" s="254">
        <f t="shared" si="25"/>
        <v>4.1139240506329333E-3</v>
      </c>
      <c r="O298" s="1137">
        <f t="shared" si="27"/>
        <v>4.0825044911904787E-3</v>
      </c>
      <c r="P298" s="1138"/>
    </row>
    <row r="299" spans="1:16" x14ac:dyDescent="0.2">
      <c r="A299" s="717">
        <v>42582</v>
      </c>
      <c r="B299" s="533">
        <v>1.482469</v>
      </c>
      <c r="F299" s="1137">
        <f t="shared" si="26"/>
        <v>-1.9646591626762119E-2</v>
      </c>
      <c r="G299" s="1138"/>
      <c r="H299" s="520">
        <v>9757.2800000000007</v>
      </c>
      <c r="I299" s="512">
        <v>43740</v>
      </c>
      <c r="J299" s="254">
        <f t="shared" si="23"/>
        <v>-1.9615172067319664E-2</v>
      </c>
      <c r="L299" s="251">
        <f t="shared" si="24"/>
        <v>43740</v>
      </c>
      <c r="M299" s="513">
        <v>158</v>
      </c>
      <c r="N299" s="254">
        <f t="shared" si="25"/>
        <v>-4.3872919818456868E-2</v>
      </c>
      <c r="O299" s="1137">
        <f t="shared" si="27"/>
        <v>-4.3904339377899324E-2</v>
      </c>
      <c r="P299" s="1138"/>
    </row>
    <row r="300" spans="1:16" x14ac:dyDescent="0.2">
      <c r="A300" s="717">
        <v>42589</v>
      </c>
      <c r="B300" s="533">
        <v>1.4993570000000001</v>
      </c>
      <c r="F300" s="1137">
        <f t="shared" si="26"/>
        <v>-1.2515643120512161E-2</v>
      </c>
      <c r="G300" s="1138"/>
      <c r="H300" s="520">
        <v>9952.5</v>
      </c>
      <c r="I300" s="512">
        <v>43739</v>
      </c>
      <c r="J300" s="254">
        <f t="shared" si="23"/>
        <v>-1.2484223561069707E-2</v>
      </c>
      <c r="L300" s="251">
        <f t="shared" si="24"/>
        <v>43739</v>
      </c>
      <c r="M300" s="513">
        <v>165.25</v>
      </c>
      <c r="N300" s="254">
        <f t="shared" si="25"/>
        <v>-1.0479041916167664E-2</v>
      </c>
      <c r="O300" s="1137">
        <f t="shared" si="27"/>
        <v>-1.0510461475610118E-2</v>
      </c>
      <c r="P300" s="1138"/>
    </row>
    <row r="301" spans="1:16" x14ac:dyDescent="0.2">
      <c r="A301" s="717">
        <v>42596</v>
      </c>
      <c r="B301" s="533">
        <v>1.4750350000000001</v>
      </c>
      <c r="F301" s="1137">
        <f t="shared" si="26"/>
        <v>4.0043213043516471E-3</v>
      </c>
      <c r="G301" s="1138"/>
      <c r="H301" s="520">
        <v>10078.32</v>
      </c>
      <c r="I301" s="512">
        <v>43738</v>
      </c>
      <c r="J301" s="254">
        <f t="shared" si="23"/>
        <v>4.0357408637941017E-3</v>
      </c>
      <c r="L301" s="251">
        <f t="shared" si="24"/>
        <v>43738</v>
      </c>
      <c r="M301" s="513">
        <v>167</v>
      </c>
      <c r="N301" s="254">
        <f t="shared" si="25"/>
        <v>-1.4167650531286879E-2</v>
      </c>
      <c r="O301" s="1137">
        <f t="shared" si="27"/>
        <v>-1.4199070090729333E-2</v>
      </c>
      <c r="P301" s="1138"/>
    </row>
    <row r="302" spans="1:16" x14ac:dyDescent="0.2">
      <c r="A302" s="717">
        <v>42603</v>
      </c>
      <c r="B302" s="533">
        <v>1.4979830000000001</v>
      </c>
      <c r="F302" s="1137">
        <f t="shared" si="26"/>
        <v>2.6756811357131075E-3</v>
      </c>
      <c r="G302" s="1138"/>
      <c r="H302" s="520">
        <v>10037.81</v>
      </c>
      <c r="I302" s="512">
        <v>43735</v>
      </c>
      <c r="J302" s="254">
        <f t="shared" si="23"/>
        <v>2.7071006951555621E-3</v>
      </c>
      <c r="L302" s="251">
        <f t="shared" si="24"/>
        <v>43735</v>
      </c>
      <c r="M302" s="513">
        <v>169.4</v>
      </c>
      <c r="N302" s="254">
        <f t="shared" si="25"/>
        <v>2.2329511164755678E-2</v>
      </c>
      <c r="O302" s="1137">
        <f t="shared" si="27"/>
        <v>2.2298091605313222E-2</v>
      </c>
      <c r="P302" s="1138"/>
    </row>
    <row r="303" spans="1:16" x14ac:dyDescent="0.2">
      <c r="A303" s="717">
        <v>42610</v>
      </c>
      <c r="B303" s="533">
        <v>1.4968129999999999</v>
      </c>
      <c r="F303" s="1137">
        <f t="shared" si="26"/>
        <v>9.639961262397816E-3</v>
      </c>
      <c r="G303" s="1138"/>
      <c r="H303" s="520">
        <v>10010.709999999999</v>
      </c>
      <c r="I303" s="512">
        <v>43734</v>
      </c>
      <c r="J303" s="254">
        <f t="shared" si="23"/>
        <v>9.6713808218402697E-3</v>
      </c>
      <c r="L303" s="251">
        <f t="shared" si="24"/>
        <v>43734</v>
      </c>
      <c r="M303" s="513">
        <v>165.7</v>
      </c>
      <c r="N303" s="254">
        <f t="shared" si="25"/>
        <v>1.5629788538154887E-2</v>
      </c>
      <c r="O303" s="1137">
        <f t="shared" si="27"/>
        <v>1.5598368978712434E-2</v>
      </c>
      <c r="P303" s="1138"/>
    </row>
    <row r="304" spans="1:16" x14ac:dyDescent="0.2">
      <c r="A304" s="717">
        <v>42617</v>
      </c>
      <c r="B304" s="533">
        <v>1.5142260000000001</v>
      </c>
      <c r="F304" s="1137">
        <f t="shared" si="26"/>
        <v>-7.6870723216927858E-3</v>
      </c>
      <c r="G304" s="1138"/>
      <c r="H304" s="520">
        <v>9914.82</v>
      </c>
      <c r="I304" s="512">
        <v>43733</v>
      </c>
      <c r="J304" s="254">
        <f t="shared" si="23"/>
        <v>-7.6556527622503312E-3</v>
      </c>
      <c r="L304" s="251">
        <f t="shared" si="24"/>
        <v>43733</v>
      </c>
      <c r="M304" s="513">
        <v>163.15</v>
      </c>
      <c r="N304" s="254">
        <f t="shared" si="25"/>
        <v>-5.1829268292682418E-3</v>
      </c>
      <c r="O304" s="1137">
        <f t="shared" si="27"/>
        <v>-5.2143463887106964E-3</v>
      </c>
      <c r="P304" s="1138"/>
    </row>
    <row r="305" spans="1:16" x14ac:dyDescent="0.2">
      <c r="A305" s="717">
        <v>42624</v>
      </c>
      <c r="B305" s="533">
        <v>1.5235510000000001</v>
      </c>
      <c r="F305" s="1137">
        <f t="shared" si="26"/>
        <v>-6.395782888707753E-4</v>
      </c>
      <c r="G305" s="1138"/>
      <c r="H305" s="520">
        <v>9991.31</v>
      </c>
      <c r="I305" s="512">
        <v>43732</v>
      </c>
      <c r="J305" s="254">
        <f t="shared" si="23"/>
        <v>-6.0815872942832083E-4</v>
      </c>
      <c r="L305" s="251">
        <f t="shared" si="24"/>
        <v>43732</v>
      </c>
      <c r="M305" s="513">
        <v>164</v>
      </c>
      <c r="N305" s="254">
        <f t="shared" si="25"/>
        <v>-6.0938452163306067E-4</v>
      </c>
      <c r="O305" s="1137">
        <f t="shared" si="27"/>
        <v>-6.4080408107551514E-4</v>
      </c>
      <c r="P305" s="1138"/>
    </row>
    <row r="306" spans="1:16" x14ac:dyDescent="0.2">
      <c r="A306" s="717">
        <v>42631</v>
      </c>
      <c r="B306" s="533">
        <v>1.5959319999999999</v>
      </c>
      <c r="F306" s="1137">
        <f t="shared" si="26"/>
        <v>-5.9418306929706474E-3</v>
      </c>
      <c r="G306" s="1138"/>
      <c r="H306" s="520">
        <v>9997.39</v>
      </c>
      <c r="I306" s="512">
        <v>43731</v>
      </c>
      <c r="J306" s="254">
        <f t="shared" si="23"/>
        <v>-5.9104111335281928E-3</v>
      </c>
      <c r="L306" s="251">
        <f t="shared" si="24"/>
        <v>43731</v>
      </c>
      <c r="M306" s="513">
        <v>164.1</v>
      </c>
      <c r="N306" s="254">
        <f t="shared" si="25"/>
        <v>-2.1758569299552888E-2</v>
      </c>
      <c r="O306" s="1137">
        <f t="shared" si="27"/>
        <v>-2.1789988858995343E-2</v>
      </c>
      <c r="P306" s="1138"/>
    </row>
    <row r="307" spans="1:16" x14ac:dyDescent="0.2">
      <c r="A307" s="717">
        <v>42638</v>
      </c>
      <c r="B307" s="533">
        <v>1.535857</v>
      </c>
      <c r="F307" s="1137">
        <f t="shared" si="26"/>
        <v>-7.8953276174035982E-4</v>
      </c>
      <c r="G307" s="1138"/>
      <c r="H307" s="520">
        <v>10056.83</v>
      </c>
      <c r="I307" s="512">
        <v>43728</v>
      </c>
      <c r="J307" s="254">
        <f t="shared" si="23"/>
        <v>-7.5811320229790535E-4</v>
      </c>
      <c r="L307" s="251">
        <f t="shared" si="24"/>
        <v>43728</v>
      </c>
      <c r="M307" s="513">
        <v>167.75</v>
      </c>
      <c r="N307" s="254">
        <f t="shared" si="25"/>
        <v>-1.1199528440907769E-2</v>
      </c>
      <c r="O307" s="1137">
        <f t="shared" si="27"/>
        <v>-1.1230948000350223E-2</v>
      </c>
      <c r="P307" s="1138"/>
    </row>
    <row r="308" spans="1:16" x14ac:dyDescent="0.2">
      <c r="A308" s="717">
        <v>42645</v>
      </c>
      <c r="B308" s="533">
        <v>1.4773320000000001</v>
      </c>
      <c r="F308" s="1137">
        <f t="shared" si="26"/>
        <v>4.5220017947262417E-3</v>
      </c>
      <c r="G308" s="1138"/>
      <c r="H308" s="520">
        <v>10064.459999999999</v>
      </c>
      <c r="I308" s="512">
        <v>43727</v>
      </c>
      <c r="J308" s="254">
        <f t="shared" si="23"/>
        <v>4.5534213541686963E-3</v>
      </c>
      <c r="L308" s="251">
        <f t="shared" si="24"/>
        <v>43727</v>
      </c>
      <c r="M308" s="513">
        <v>169.65</v>
      </c>
      <c r="N308" s="254">
        <f t="shared" si="25"/>
        <v>1.2231503579952285E-2</v>
      </c>
      <c r="O308" s="1137">
        <f t="shared" si="27"/>
        <v>1.2200084020509832E-2</v>
      </c>
      <c r="P308" s="1138"/>
    </row>
    <row r="309" spans="1:16" x14ac:dyDescent="0.2">
      <c r="A309" s="717">
        <v>42652</v>
      </c>
      <c r="B309" s="533">
        <v>1.551903</v>
      </c>
      <c r="F309" s="1137">
        <f t="shared" si="26"/>
        <v>4.6988763401630094E-4</v>
      </c>
      <c r="G309" s="1138"/>
      <c r="H309" s="520">
        <v>10018.84</v>
      </c>
      <c r="I309" s="512">
        <v>43726</v>
      </c>
      <c r="J309" s="254">
        <f t="shared" si="23"/>
        <v>5.0130719345875541E-4</v>
      </c>
      <c r="L309" s="251">
        <f t="shared" si="24"/>
        <v>43726</v>
      </c>
      <c r="M309" s="513">
        <v>167.6</v>
      </c>
      <c r="N309" s="254">
        <f t="shared" si="25"/>
        <v>1.1466505733252808E-2</v>
      </c>
      <c r="O309" s="1137">
        <f t="shared" si="27"/>
        <v>1.1435086173810354E-2</v>
      </c>
      <c r="P309" s="1138"/>
    </row>
    <row r="310" spans="1:16" x14ac:dyDescent="0.2">
      <c r="A310" s="717">
        <v>42659</v>
      </c>
      <c r="B310" s="533">
        <v>1.5961639999999999</v>
      </c>
      <c r="F310" s="1137">
        <f t="shared" si="26"/>
        <v>4.4453734397881953E-3</v>
      </c>
      <c r="G310" s="1138"/>
      <c r="H310" s="520">
        <v>10013.82</v>
      </c>
      <c r="I310" s="512">
        <v>43725</v>
      </c>
      <c r="J310" s="254">
        <f t="shared" si="23"/>
        <v>4.4767929992306499E-3</v>
      </c>
      <c r="L310" s="251">
        <f t="shared" si="24"/>
        <v>43725</v>
      </c>
      <c r="M310" s="513">
        <v>165.7</v>
      </c>
      <c r="N310" s="254">
        <f t="shared" si="25"/>
        <v>1.0365853658536484E-2</v>
      </c>
      <c r="O310" s="1137">
        <f t="shared" si="27"/>
        <v>1.033443409909403E-2</v>
      </c>
      <c r="P310" s="1138"/>
    </row>
    <row r="311" spans="1:16" x14ac:dyDescent="0.2">
      <c r="A311" s="717">
        <v>42666</v>
      </c>
      <c r="B311" s="533">
        <v>1.579189</v>
      </c>
      <c r="F311" s="1137">
        <f t="shared" si="26"/>
        <v>-7.8095976642940509E-3</v>
      </c>
      <c r="G311" s="1138"/>
      <c r="H311" s="520">
        <v>9969.19</v>
      </c>
      <c r="I311" s="512">
        <v>43724</v>
      </c>
      <c r="J311" s="254">
        <f t="shared" si="23"/>
        <v>-7.7781781048515963E-3</v>
      </c>
      <c r="L311" s="251">
        <f t="shared" si="24"/>
        <v>43724</v>
      </c>
      <c r="M311" s="513">
        <v>164</v>
      </c>
      <c r="N311" s="254">
        <f t="shared" si="25"/>
        <v>-1.501501501501501E-2</v>
      </c>
      <c r="O311" s="1137">
        <f t="shared" si="27"/>
        <v>-1.5046434574457463E-2</v>
      </c>
      <c r="P311" s="1138"/>
    </row>
    <row r="312" spans="1:16" x14ac:dyDescent="0.2">
      <c r="A312" s="717">
        <v>42673</v>
      </c>
      <c r="B312" s="533">
        <v>1.646415</v>
      </c>
      <c r="F312" s="1137">
        <f t="shared" si="26"/>
        <v>-4.6628425009855165E-3</v>
      </c>
      <c r="G312" s="1138"/>
      <c r="H312" s="520">
        <v>10047.34</v>
      </c>
      <c r="I312" s="512">
        <v>43721</v>
      </c>
      <c r="J312" s="254">
        <f t="shared" si="23"/>
        <v>-4.6314229415430619E-3</v>
      </c>
      <c r="L312" s="251">
        <f t="shared" si="24"/>
        <v>43721</v>
      </c>
      <c r="M312" s="513">
        <v>166.5</v>
      </c>
      <c r="N312" s="254">
        <f t="shared" si="25"/>
        <v>6.0096153846145306E-4</v>
      </c>
      <c r="O312" s="1137">
        <f t="shared" si="27"/>
        <v>5.6954197901899859E-4</v>
      </c>
      <c r="P312" s="1138"/>
    </row>
    <row r="313" spans="1:16" x14ac:dyDescent="0.2">
      <c r="A313" s="717">
        <v>42680</v>
      </c>
      <c r="B313" s="533">
        <v>1.6589940000000001</v>
      </c>
      <c r="F313" s="1137">
        <f t="shared" si="26"/>
        <v>-4.7702632236683209E-4</v>
      </c>
      <c r="G313" s="1138"/>
      <c r="H313" s="520">
        <v>10094.09</v>
      </c>
      <c r="I313" s="512">
        <v>43720</v>
      </c>
      <c r="J313" s="254">
        <f t="shared" si="23"/>
        <v>-4.4560676292437762E-4</v>
      </c>
      <c r="L313" s="251">
        <f t="shared" si="24"/>
        <v>43720</v>
      </c>
      <c r="M313" s="513">
        <v>166.4</v>
      </c>
      <c r="N313" s="254">
        <f t="shared" si="25"/>
        <v>2.4096385542169418E-3</v>
      </c>
      <c r="O313" s="1137">
        <f t="shared" si="27"/>
        <v>2.3782189947744873E-3</v>
      </c>
      <c r="P313" s="1138"/>
    </row>
    <row r="314" spans="1:16" x14ac:dyDescent="0.2">
      <c r="A314" s="717">
        <v>42687</v>
      </c>
      <c r="B314" s="533">
        <v>1.776926</v>
      </c>
      <c r="F314" s="1137">
        <f t="shared" si="26"/>
        <v>7.7636162073073259E-3</v>
      </c>
      <c r="G314" s="1138"/>
      <c r="H314" s="520">
        <v>10098.59</v>
      </c>
      <c r="I314" s="512">
        <v>43719</v>
      </c>
      <c r="J314" s="254">
        <f t="shared" si="23"/>
        <v>7.7950357667497805E-3</v>
      </c>
      <c r="L314" s="251">
        <f t="shared" si="24"/>
        <v>43719</v>
      </c>
      <c r="M314" s="513">
        <v>166</v>
      </c>
      <c r="N314" s="254">
        <f t="shared" si="25"/>
        <v>1.4359914451573363E-2</v>
      </c>
      <c r="O314" s="1137">
        <f t="shared" si="27"/>
        <v>1.432849489213091E-2</v>
      </c>
      <c r="P314" s="1138"/>
    </row>
    <row r="315" spans="1:16" x14ac:dyDescent="0.2">
      <c r="A315" s="717">
        <v>42694</v>
      </c>
      <c r="B315" s="533">
        <v>1.901451</v>
      </c>
      <c r="F315" s="1137">
        <f t="shared" si="26"/>
        <v>-3.8974668367571094E-3</v>
      </c>
      <c r="G315" s="1138"/>
      <c r="H315" s="520">
        <v>10020.48</v>
      </c>
      <c r="I315" s="512">
        <v>43718</v>
      </c>
      <c r="J315" s="254">
        <f t="shared" si="23"/>
        <v>-3.8660472773146548E-3</v>
      </c>
      <c r="L315" s="251">
        <f t="shared" si="24"/>
        <v>43718</v>
      </c>
      <c r="M315" s="513">
        <v>163.65</v>
      </c>
      <c r="N315" s="254">
        <f t="shared" si="25"/>
        <v>-4.4379562043795562E-2</v>
      </c>
      <c r="O315" s="1137">
        <f t="shared" si="27"/>
        <v>-4.4410981603238017E-2</v>
      </c>
      <c r="P315" s="1138"/>
    </row>
    <row r="316" spans="1:16" x14ac:dyDescent="0.2">
      <c r="A316" s="717">
        <v>42701</v>
      </c>
      <c r="B316" s="533">
        <v>1.885427</v>
      </c>
      <c r="F316" s="1137">
        <f t="shared" si="26"/>
        <v>-1.4658307361359721E-3</v>
      </c>
      <c r="G316" s="1138"/>
      <c r="H316" s="520">
        <v>10059.370000000001</v>
      </c>
      <c r="I316" s="512">
        <v>43717</v>
      </c>
      <c r="J316" s="254">
        <f t="shared" si="23"/>
        <v>-1.4344111766935175E-3</v>
      </c>
      <c r="L316" s="251">
        <f t="shared" si="24"/>
        <v>43717</v>
      </c>
      <c r="M316" s="513">
        <v>171.25</v>
      </c>
      <c r="N316" s="254">
        <f t="shared" si="25"/>
        <v>-1.6087331226659063E-2</v>
      </c>
      <c r="O316" s="1137">
        <f t="shared" si="27"/>
        <v>-1.6118750786101518E-2</v>
      </c>
      <c r="P316" s="1138"/>
    </row>
    <row r="317" spans="1:16" x14ac:dyDescent="0.2">
      <c r="A317" s="717">
        <v>42708</v>
      </c>
      <c r="B317" s="533">
        <v>1.9230719999999999</v>
      </c>
      <c r="F317" s="1137">
        <f t="shared" si="26"/>
        <v>9.0589704708789621E-3</v>
      </c>
      <c r="G317" s="1138"/>
      <c r="H317" s="520">
        <v>10073.82</v>
      </c>
      <c r="I317" s="512">
        <v>43714</v>
      </c>
      <c r="J317" s="254">
        <f t="shared" si="23"/>
        <v>9.0903900303214158E-3</v>
      </c>
      <c r="L317" s="251">
        <f t="shared" si="24"/>
        <v>43714</v>
      </c>
      <c r="M317" s="513">
        <v>174.05</v>
      </c>
      <c r="N317" s="254">
        <f t="shared" si="25"/>
        <v>1.1504170261720237E-3</v>
      </c>
      <c r="O317" s="1137">
        <f t="shared" si="27"/>
        <v>1.1189974667295691E-3</v>
      </c>
      <c r="P317" s="1138"/>
    </row>
    <row r="318" spans="1:16" x14ac:dyDescent="0.2">
      <c r="A318" s="717">
        <v>42715</v>
      </c>
      <c r="B318" s="533">
        <v>1.9812190000000001</v>
      </c>
      <c r="F318" s="1137">
        <f t="shared" si="26"/>
        <v>8.9098211172901776E-3</v>
      </c>
      <c r="G318" s="1138"/>
      <c r="H318" s="520">
        <v>9983.07</v>
      </c>
      <c r="I318" s="512">
        <v>43713</v>
      </c>
      <c r="J318" s="254">
        <f t="shared" si="23"/>
        <v>8.9412406767326313E-3</v>
      </c>
      <c r="L318" s="251">
        <f t="shared" si="24"/>
        <v>43713</v>
      </c>
      <c r="M318" s="513">
        <v>173.85</v>
      </c>
      <c r="N318" s="254">
        <f t="shared" si="25"/>
        <v>2.2947925860547169E-2</v>
      </c>
      <c r="O318" s="1137">
        <f t="shared" si="27"/>
        <v>2.2916506301104714E-2</v>
      </c>
      <c r="P318" s="1138"/>
    </row>
    <row r="319" spans="1:16" x14ac:dyDescent="0.2">
      <c r="A319" s="717">
        <v>42722</v>
      </c>
      <c r="B319" s="533">
        <v>2.0579510000000001</v>
      </c>
      <c r="F319" s="1137">
        <f t="shared" si="26"/>
        <v>4.2212218484964517E-3</v>
      </c>
      <c r="G319" s="1138"/>
      <c r="H319" s="520">
        <v>9894.6</v>
      </c>
      <c r="I319" s="512">
        <v>43712</v>
      </c>
      <c r="J319" s="254">
        <f t="shared" si="23"/>
        <v>4.2526414079389063E-3</v>
      </c>
      <c r="L319" s="251">
        <f t="shared" si="24"/>
        <v>43712</v>
      </c>
      <c r="M319" s="513">
        <v>169.95</v>
      </c>
      <c r="N319" s="254">
        <f t="shared" si="25"/>
        <v>3.7862595419847267E-2</v>
      </c>
      <c r="O319" s="1137">
        <f t="shared" si="27"/>
        <v>3.7831175860404812E-2</v>
      </c>
      <c r="P319" s="1138"/>
    </row>
    <row r="320" spans="1:16" x14ac:dyDescent="0.2">
      <c r="A320" s="717">
        <v>42729</v>
      </c>
      <c r="B320" s="533">
        <v>2.0305490000000002</v>
      </c>
      <c r="F320" s="1137">
        <f t="shared" si="26"/>
        <v>-7.2700422059328992E-3</v>
      </c>
      <c r="G320" s="1138"/>
      <c r="H320" s="520">
        <v>9852.7000000000007</v>
      </c>
      <c r="I320" s="512">
        <v>43711</v>
      </c>
      <c r="J320" s="254">
        <f t="shared" si="23"/>
        <v>-7.2386226464904446E-3</v>
      </c>
      <c r="L320" s="251">
        <f t="shared" si="24"/>
        <v>43711</v>
      </c>
      <c r="M320" s="513">
        <v>163.75</v>
      </c>
      <c r="N320" s="254">
        <f t="shared" si="25"/>
        <v>4.6012269938651151E-3</v>
      </c>
      <c r="O320" s="1137">
        <f t="shared" si="27"/>
        <v>4.5698074344226606E-3</v>
      </c>
      <c r="P320" s="1138"/>
    </row>
    <row r="321" spans="1:16" x14ac:dyDescent="0.2">
      <c r="A321" s="717">
        <v>42736</v>
      </c>
      <c r="B321" s="533">
        <v>1.992178</v>
      </c>
      <c r="F321" s="1137">
        <f t="shared" si="26"/>
        <v>2.8880450537968764E-3</v>
      </c>
      <c r="G321" s="1138"/>
      <c r="H321" s="520">
        <v>9924.5400000000009</v>
      </c>
      <c r="I321" s="512">
        <v>43710</v>
      </c>
      <c r="J321" s="254">
        <f t="shared" si="23"/>
        <v>2.9194646132393309E-3</v>
      </c>
      <c r="L321" s="251">
        <f t="shared" si="24"/>
        <v>43710</v>
      </c>
      <c r="M321" s="513">
        <v>163</v>
      </c>
      <c r="N321" s="254">
        <f t="shared" si="25"/>
        <v>-1.6887816646562137E-2</v>
      </c>
      <c r="O321" s="1137">
        <f t="shared" si="27"/>
        <v>-1.6919236206004593E-2</v>
      </c>
      <c r="P321" s="1138"/>
    </row>
    <row r="322" spans="1:16" x14ac:dyDescent="0.2">
      <c r="A322" s="717">
        <v>42743</v>
      </c>
      <c r="B322" s="533">
        <v>1.960043</v>
      </c>
      <c r="F322" s="1137">
        <f t="shared" si="26"/>
        <v>5.7794374022019515E-3</v>
      </c>
      <c r="G322" s="1138"/>
      <c r="H322" s="520">
        <v>9895.65</v>
      </c>
      <c r="I322" s="512">
        <v>43707</v>
      </c>
      <c r="J322" s="254">
        <f t="shared" si="23"/>
        <v>5.8108569616444061E-3</v>
      </c>
      <c r="L322" s="251">
        <f t="shared" si="24"/>
        <v>43707</v>
      </c>
      <c r="M322" s="513">
        <v>165.8</v>
      </c>
      <c r="N322" s="254">
        <f t="shared" si="25"/>
        <v>2.1250384970742386E-2</v>
      </c>
      <c r="O322" s="1137">
        <f t="shared" si="27"/>
        <v>2.1218965411299931E-2</v>
      </c>
      <c r="P322" s="1138"/>
    </row>
    <row r="323" spans="1:16" x14ac:dyDescent="0.2">
      <c r="A323" s="717">
        <v>42750</v>
      </c>
      <c r="B323" s="533">
        <v>1.9340649999999999</v>
      </c>
      <c r="F323" s="1137">
        <f t="shared" si="26"/>
        <v>8.196540748770258E-3</v>
      </c>
      <c r="G323" s="1138"/>
      <c r="H323" s="520">
        <v>9838.48</v>
      </c>
      <c r="I323" s="512">
        <v>43706</v>
      </c>
      <c r="J323" s="254">
        <f t="shared" si="23"/>
        <v>8.2279603082127117E-3</v>
      </c>
      <c r="L323" s="251">
        <f t="shared" si="24"/>
        <v>43706</v>
      </c>
      <c r="M323" s="513">
        <v>162.35</v>
      </c>
      <c r="N323" s="254">
        <f t="shared" si="25"/>
        <v>2.7856916745805593E-2</v>
      </c>
      <c r="O323" s="1137">
        <f t="shared" si="27"/>
        <v>2.7825497186363138E-2</v>
      </c>
      <c r="P323" s="1138"/>
    </row>
    <row r="324" spans="1:16" x14ac:dyDescent="0.2">
      <c r="A324" s="717">
        <v>42757</v>
      </c>
      <c r="B324" s="533">
        <v>1.980423</v>
      </c>
      <c r="F324" s="1137">
        <f t="shared" si="26"/>
        <v>-2.8813860424468504E-3</v>
      </c>
      <c r="G324" s="1138"/>
      <c r="H324" s="520">
        <v>9758.19</v>
      </c>
      <c r="I324" s="512">
        <v>43705</v>
      </c>
      <c r="J324" s="254">
        <f t="shared" si="23"/>
        <v>-2.8499664830043958E-3</v>
      </c>
      <c r="L324" s="251">
        <f t="shared" si="24"/>
        <v>43705</v>
      </c>
      <c r="M324" s="513">
        <v>157.94999999999999</v>
      </c>
      <c r="N324" s="254">
        <f t="shared" si="25"/>
        <v>-2.1375464684014966E-2</v>
      </c>
      <c r="O324" s="1137">
        <f t="shared" si="27"/>
        <v>-2.1406884243457422E-2</v>
      </c>
      <c r="P324" s="1138"/>
    </row>
    <row r="325" spans="1:16" x14ac:dyDescent="0.2">
      <c r="A325" s="717">
        <v>42764</v>
      </c>
      <c r="B325" s="533">
        <v>2.0201090000000002</v>
      </c>
      <c r="F325" s="1137">
        <f t="shared" si="26"/>
        <v>7.1990486558310566E-3</v>
      </c>
      <c r="G325" s="1138"/>
      <c r="H325" s="520">
        <v>9786.08</v>
      </c>
      <c r="I325" s="512">
        <v>43704</v>
      </c>
      <c r="J325" s="254">
        <f t="shared" si="23"/>
        <v>7.2304682152735111E-3</v>
      </c>
      <c r="L325" s="251">
        <f t="shared" si="24"/>
        <v>43704</v>
      </c>
      <c r="M325" s="513">
        <v>161.4</v>
      </c>
      <c r="N325" s="254">
        <f t="shared" si="25"/>
        <v>6.2344139650871711E-3</v>
      </c>
      <c r="O325" s="1137">
        <f t="shared" si="27"/>
        <v>6.2029944056447165E-3</v>
      </c>
      <c r="P325" s="1138"/>
    </row>
    <row r="326" spans="1:16" x14ac:dyDescent="0.2">
      <c r="A326" s="717">
        <v>42771</v>
      </c>
      <c r="B326" s="533">
        <v>2.0046940000000002</v>
      </c>
      <c r="F326" s="1137">
        <f t="shared" si="26"/>
        <v>-3.0227032768025816E-3</v>
      </c>
      <c r="G326" s="1138"/>
      <c r="H326" s="520">
        <v>9715.83</v>
      </c>
      <c r="I326" s="512">
        <v>43703</v>
      </c>
      <c r="J326" s="254">
        <f t="shared" si="23"/>
        <v>-2.991283717360127E-3</v>
      </c>
      <c r="L326" s="251">
        <f t="shared" si="24"/>
        <v>43703</v>
      </c>
      <c r="M326" s="513">
        <v>160.4</v>
      </c>
      <c r="N326" s="254">
        <f t="shared" si="25"/>
        <v>-3.4172103137619647E-3</v>
      </c>
      <c r="O326" s="1137">
        <f t="shared" si="27"/>
        <v>-3.4486298732044193E-3</v>
      </c>
      <c r="P326" s="1138"/>
    </row>
    <row r="327" spans="1:16" x14ac:dyDescent="0.2">
      <c r="A327" s="717">
        <v>42778</v>
      </c>
      <c r="B327" s="533">
        <v>1.9891650000000001</v>
      </c>
      <c r="F327" s="1137">
        <f t="shared" si="26"/>
        <v>-6.2034658599881406E-3</v>
      </c>
      <c r="G327" s="1138"/>
      <c r="H327" s="520">
        <v>9744.98</v>
      </c>
      <c r="I327" s="512">
        <v>43700</v>
      </c>
      <c r="J327" s="254">
        <f t="shared" si="23"/>
        <v>-6.172046300545686E-3</v>
      </c>
      <c r="L327" s="251">
        <f t="shared" si="24"/>
        <v>43700</v>
      </c>
      <c r="M327" s="513">
        <v>160.94999999999999</v>
      </c>
      <c r="N327" s="254">
        <f t="shared" si="25"/>
        <v>-9.3109869646190724E-4</v>
      </c>
      <c r="O327" s="1137">
        <f t="shared" si="27"/>
        <v>-9.6251825590436171E-4</v>
      </c>
      <c r="P327" s="1138"/>
    </row>
    <row r="328" spans="1:16" x14ac:dyDescent="0.2">
      <c r="A328" s="717">
        <v>42785</v>
      </c>
      <c r="B328" s="533">
        <v>2.01247</v>
      </c>
      <c r="F328" s="1137">
        <f t="shared" si="26"/>
        <v>-4.3581380871600536E-3</v>
      </c>
      <c r="G328" s="1138"/>
      <c r="H328" s="520">
        <v>9805.5</v>
      </c>
      <c r="I328" s="512">
        <v>43699</v>
      </c>
      <c r="J328" s="254">
        <f t="shared" si="23"/>
        <v>-4.326718527717599E-3</v>
      </c>
      <c r="L328" s="251">
        <f t="shared" si="24"/>
        <v>43699</v>
      </c>
      <c r="M328" s="513">
        <v>161.1</v>
      </c>
      <c r="N328" s="254">
        <f t="shared" si="25"/>
        <v>-2.3636363636363678E-2</v>
      </c>
      <c r="O328" s="1137">
        <f t="shared" si="27"/>
        <v>-2.3667783195806133E-2</v>
      </c>
      <c r="P328" s="1138"/>
    </row>
    <row r="329" spans="1:16" x14ac:dyDescent="0.2">
      <c r="A329" s="717">
        <v>42792</v>
      </c>
      <c r="B329" s="533">
        <v>1.971873</v>
      </c>
      <c r="F329" s="1137">
        <f t="shared" si="26"/>
        <v>7.92322708209388E-3</v>
      </c>
      <c r="G329" s="1138"/>
      <c r="H329" s="520">
        <v>9848.11</v>
      </c>
      <c r="I329" s="512">
        <v>43698</v>
      </c>
      <c r="J329" s="254">
        <f t="shared" si="23"/>
        <v>7.9546466415363337E-3</v>
      </c>
      <c r="L329" s="251">
        <f t="shared" si="24"/>
        <v>43698</v>
      </c>
      <c r="M329" s="513">
        <v>165</v>
      </c>
      <c r="N329" s="254">
        <f t="shared" si="25"/>
        <v>2.9641185647425905E-2</v>
      </c>
      <c r="O329" s="1137">
        <f t="shared" si="27"/>
        <v>2.960976608798345E-2</v>
      </c>
      <c r="P329" s="1138"/>
    </row>
    <row r="330" spans="1:16" x14ac:dyDescent="0.2">
      <c r="A330" s="717">
        <v>42799</v>
      </c>
      <c r="B330" s="533">
        <v>2.0026410000000001</v>
      </c>
      <c r="F330" s="1137">
        <f t="shared" si="26"/>
        <v>-5.6494028052323361E-3</v>
      </c>
      <c r="G330" s="1138"/>
      <c r="H330" s="520">
        <v>9770.39</v>
      </c>
      <c r="I330" s="512">
        <v>43697</v>
      </c>
      <c r="J330" s="254">
        <f t="shared" si="23"/>
        <v>-5.6179832457898815E-3</v>
      </c>
      <c r="L330" s="251">
        <f t="shared" si="24"/>
        <v>43697</v>
      </c>
      <c r="M330" s="513">
        <v>160.25</v>
      </c>
      <c r="N330" s="254">
        <f t="shared" si="25"/>
        <v>-1.1107682813946362E-2</v>
      </c>
      <c r="O330" s="1137">
        <f t="shared" si="27"/>
        <v>-1.1139102373388816E-2</v>
      </c>
      <c r="P330" s="1138"/>
    </row>
    <row r="331" spans="1:16" x14ac:dyDescent="0.2">
      <c r="A331" s="717">
        <v>42806</v>
      </c>
      <c r="B331" s="533">
        <v>2.1346790000000002</v>
      </c>
      <c r="F331" s="1137">
        <f t="shared" si="26"/>
        <v>9.9599561974916418E-3</v>
      </c>
      <c r="G331" s="1138"/>
      <c r="H331" s="520">
        <v>9825.59</v>
      </c>
      <c r="I331" s="512">
        <v>43696</v>
      </c>
      <c r="J331" s="254">
        <f t="shared" si="23"/>
        <v>9.9913757569340955E-3</v>
      </c>
      <c r="L331" s="251">
        <f t="shared" si="24"/>
        <v>43696</v>
      </c>
      <c r="M331" s="513">
        <v>162.05000000000001</v>
      </c>
      <c r="N331" s="254">
        <f t="shared" si="25"/>
        <v>1.8541797611565158E-2</v>
      </c>
      <c r="O331" s="1137">
        <f t="shared" si="27"/>
        <v>1.8510378052122703E-2</v>
      </c>
      <c r="P331" s="1138"/>
    </row>
    <row r="332" spans="1:16" x14ac:dyDescent="0.2">
      <c r="A332" s="717">
        <v>42813</v>
      </c>
      <c r="B332" s="533">
        <v>2.1162610000000002</v>
      </c>
      <c r="F332" s="1137">
        <f t="shared" si="26"/>
        <v>1.2682165123878613E-2</v>
      </c>
      <c r="G332" s="1138"/>
      <c r="H332" s="520">
        <v>9728.39</v>
      </c>
      <c r="I332" s="512">
        <v>43693</v>
      </c>
      <c r="J332" s="254">
        <f t="shared" si="23"/>
        <v>1.2713584683321066E-2</v>
      </c>
      <c r="L332" s="251">
        <f t="shared" si="24"/>
        <v>43693</v>
      </c>
      <c r="M332" s="513">
        <v>159.1</v>
      </c>
      <c r="N332" s="254">
        <f t="shared" si="25"/>
        <v>8.2382762991126679E-3</v>
      </c>
      <c r="O332" s="1137">
        <f t="shared" si="27"/>
        <v>8.2068567396702142E-3</v>
      </c>
      <c r="P332" s="1138"/>
    </row>
    <row r="333" spans="1:16" x14ac:dyDescent="0.2">
      <c r="A333" s="717">
        <v>42820</v>
      </c>
      <c r="B333" s="533">
        <v>2.0413130000000002</v>
      </c>
      <c r="F333" s="1137">
        <f t="shared" si="26"/>
        <v>-2.3391566062036925E-3</v>
      </c>
      <c r="G333" s="1138"/>
      <c r="H333" s="520">
        <v>9606.26</v>
      </c>
      <c r="I333" s="512">
        <v>43692</v>
      </c>
      <c r="J333" s="254">
        <f t="shared" si="23"/>
        <v>-2.3077370467612379E-3</v>
      </c>
      <c r="L333" s="251">
        <f t="shared" si="24"/>
        <v>43692</v>
      </c>
      <c r="M333" s="513">
        <v>157.80000000000001</v>
      </c>
      <c r="N333" s="254">
        <f t="shared" si="25"/>
        <v>-8.1709616593336198E-3</v>
      </c>
      <c r="O333" s="1137">
        <f t="shared" si="27"/>
        <v>-8.2023812187760736E-3</v>
      </c>
      <c r="P333" s="1138"/>
    </row>
    <row r="334" spans="1:16" x14ac:dyDescent="0.2">
      <c r="A334" s="717">
        <v>42827</v>
      </c>
      <c r="B334" s="533">
        <v>1.9883930000000001</v>
      </c>
      <c r="F334" s="1137">
        <f t="shared" si="26"/>
        <v>-1.6152013372796745E-2</v>
      </c>
      <c r="G334" s="1138"/>
      <c r="H334" s="520">
        <v>9628.48</v>
      </c>
      <c r="I334" s="512">
        <v>43691</v>
      </c>
      <c r="J334" s="254">
        <f t="shared" si="23"/>
        <v>-1.6120593813354289E-2</v>
      </c>
      <c r="L334" s="251">
        <f t="shared" si="24"/>
        <v>43691</v>
      </c>
      <c r="M334" s="513">
        <v>159.1</v>
      </c>
      <c r="N334" s="254">
        <f t="shared" si="25"/>
        <v>-2.6017753290480616E-2</v>
      </c>
      <c r="O334" s="1137">
        <f t="shared" si="27"/>
        <v>-2.6049172849923072E-2</v>
      </c>
      <c r="P334" s="1138"/>
    </row>
    <row r="335" spans="1:16" x14ac:dyDescent="0.2">
      <c r="A335" s="717">
        <v>42834</v>
      </c>
      <c r="B335" s="533">
        <v>1.9580439999999999</v>
      </c>
      <c r="F335" s="1137">
        <f t="shared" si="26"/>
        <v>2.6550503453321586E-3</v>
      </c>
      <c r="G335" s="1138"/>
      <c r="H335" s="520">
        <v>9786.24</v>
      </c>
      <c r="I335" s="512">
        <v>43690</v>
      </c>
      <c r="J335" s="254">
        <f t="shared" si="23"/>
        <v>2.6864699047746132E-3</v>
      </c>
      <c r="L335" s="251">
        <f t="shared" si="24"/>
        <v>43690</v>
      </c>
      <c r="M335" s="513">
        <v>163.35</v>
      </c>
      <c r="N335" s="254">
        <f t="shared" si="25"/>
        <v>-3.9634146341464005E-3</v>
      </c>
      <c r="O335" s="1137">
        <f t="shared" si="27"/>
        <v>-3.9948341935888551E-3</v>
      </c>
      <c r="P335" s="1138"/>
    </row>
    <row r="336" spans="1:16" x14ac:dyDescent="0.2">
      <c r="A336" s="717">
        <v>42841</v>
      </c>
      <c r="B336" s="533">
        <v>1.899513</v>
      </c>
      <c r="F336" s="1137">
        <f t="shared" si="26"/>
        <v>1.0044863761959491E-3</v>
      </c>
      <c r="G336" s="1138"/>
      <c r="H336" s="520">
        <v>9760.02</v>
      </c>
      <c r="I336" s="512">
        <v>43689</v>
      </c>
      <c r="J336" s="254">
        <f t="shared" si="23"/>
        <v>1.0359059356384037E-3</v>
      </c>
      <c r="L336" s="251">
        <f t="shared" si="24"/>
        <v>43689</v>
      </c>
      <c r="M336" s="513">
        <v>164</v>
      </c>
      <c r="N336" s="254">
        <f t="shared" si="25"/>
        <v>-1.4719134875337825E-2</v>
      </c>
      <c r="O336" s="1137">
        <f t="shared" si="27"/>
        <v>-1.4750554434780279E-2</v>
      </c>
      <c r="P336" s="1138"/>
    </row>
    <row r="337" spans="1:16" x14ac:dyDescent="0.2">
      <c r="A337" s="717">
        <v>42848</v>
      </c>
      <c r="B337" s="533">
        <v>1.8860509999999999</v>
      </c>
      <c r="F337" s="1137">
        <f t="shared" si="26"/>
        <v>-1.9857247359449006E-4</v>
      </c>
      <c r="G337" s="1138"/>
      <c r="H337" s="520">
        <v>9749.92</v>
      </c>
      <c r="I337" s="512">
        <v>43686</v>
      </c>
      <c r="J337" s="254">
        <f t="shared" si="23"/>
        <v>-1.6715291415203559E-4</v>
      </c>
      <c r="L337" s="251">
        <f t="shared" si="24"/>
        <v>43686</v>
      </c>
      <c r="M337" s="513">
        <v>166.45</v>
      </c>
      <c r="N337" s="254">
        <f t="shared" si="25"/>
        <v>-7.4537865235539957E-3</v>
      </c>
      <c r="O337" s="1137">
        <f t="shared" si="27"/>
        <v>-7.4852060829964503E-3</v>
      </c>
      <c r="P337" s="1138"/>
    </row>
    <row r="338" spans="1:16" x14ac:dyDescent="0.2">
      <c r="A338" s="717">
        <v>42855</v>
      </c>
      <c r="B338" s="533">
        <v>1.956189</v>
      </c>
      <c r="F338" s="1137">
        <f t="shared" si="26"/>
        <v>2.2789060449955392E-2</v>
      </c>
      <c r="G338" s="1138"/>
      <c r="H338" s="520">
        <v>9751.5499999999993</v>
      </c>
      <c r="I338" s="512">
        <v>43685</v>
      </c>
      <c r="J338" s="254">
        <f t="shared" si="23"/>
        <v>2.2820480009397848E-2</v>
      </c>
      <c r="L338" s="251">
        <f t="shared" si="24"/>
        <v>43685</v>
      </c>
      <c r="M338" s="513">
        <v>167.7</v>
      </c>
      <c r="N338" s="254">
        <f t="shared" si="25"/>
        <v>3.8390092879256876E-2</v>
      </c>
      <c r="O338" s="1137">
        <f t="shared" si="27"/>
        <v>3.8358673319814421E-2</v>
      </c>
      <c r="P338" s="1138"/>
    </row>
    <row r="339" spans="1:16" x14ac:dyDescent="0.2">
      <c r="A339" s="717">
        <v>42862</v>
      </c>
      <c r="B339" s="533">
        <v>1.9896579999999999</v>
      </c>
      <c r="F339" s="1137">
        <f t="shared" si="26"/>
        <v>-2.1143429371695407E-3</v>
      </c>
      <c r="G339" s="1138"/>
      <c r="H339" s="520">
        <v>9533.98</v>
      </c>
      <c r="I339" s="512">
        <v>43684</v>
      </c>
      <c r="J339" s="254">
        <f t="shared" si="23"/>
        <v>-2.0829233777270861E-3</v>
      </c>
      <c r="L339" s="251">
        <f t="shared" si="24"/>
        <v>43684</v>
      </c>
      <c r="M339" s="513">
        <v>161.5</v>
      </c>
      <c r="N339" s="254">
        <f t="shared" si="25"/>
        <v>1.2399256044637319E-3</v>
      </c>
      <c r="O339" s="1137">
        <f t="shared" si="27"/>
        <v>1.2085060450212773E-3</v>
      </c>
      <c r="P339" s="1138"/>
    </row>
    <row r="340" spans="1:16" x14ac:dyDescent="0.2">
      <c r="A340" s="717">
        <v>42869</v>
      </c>
      <c r="B340" s="533">
        <v>2.0118529999999999</v>
      </c>
      <c r="F340" s="1137">
        <f t="shared" si="26"/>
        <v>-4.7764929648426565E-3</v>
      </c>
      <c r="G340" s="1138"/>
      <c r="H340" s="520">
        <v>9553.8799999999992</v>
      </c>
      <c r="I340" s="512">
        <v>43683</v>
      </c>
      <c r="J340" s="254">
        <f t="shared" si="23"/>
        <v>-4.7450734054002019E-3</v>
      </c>
      <c r="L340" s="251">
        <f t="shared" si="24"/>
        <v>43683</v>
      </c>
      <c r="M340" s="513">
        <v>161.30000000000001</v>
      </c>
      <c r="N340" s="254">
        <f t="shared" si="25"/>
        <v>-1.2549739822466988E-2</v>
      </c>
      <c r="O340" s="1137">
        <f t="shared" si="27"/>
        <v>-1.2581159381909441E-2</v>
      </c>
      <c r="P340" s="1138"/>
    </row>
    <row r="341" spans="1:16" x14ac:dyDescent="0.2">
      <c r="A341" s="717">
        <v>42876</v>
      </c>
      <c r="B341" s="533">
        <v>1.952256</v>
      </c>
      <c r="F341" s="1137">
        <f t="shared" si="26"/>
        <v>-2.0866431682428785E-2</v>
      </c>
      <c r="G341" s="1138"/>
      <c r="H341" s="520">
        <v>9599.43</v>
      </c>
      <c r="I341" s="512">
        <v>43682</v>
      </c>
      <c r="J341" s="254">
        <f t="shared" si="23"/>
        <v>-2.0835012122986329E-2</v>
      </c>
      <c r="L341" s="251">
        <f t="shared" si="24"/>
        <v>43682</v>
      </c>
      <c r="M341" s="513">
        <v>163.35</v>
      </c>
      <c r="N341" s="254">
        <f t="shared" si="25"/>
        <v>-4.3338213762811106E-2</v>
      </c>
      <c r="O341" s="1137">
        <f t="shared" si="27"/>
        <v>-4.3369633322253562E-2</v>
      </c>
      <c r="P341" s="1138"/>
    </row>
    <row r="342" spans="1:16" x14ac:dyDescent="0.2">
      <c r="A342" s="717">
        <v>42883</v>
      </c>
      <c r="B342" s="533">
        <v>1.923284</v>
      </c>
      <c r="F342" s="1137">
        <f t="shared" si="26"/>
        <v>-1.1683486697447605E-2</v>
      </c>
      <c r="G342" s="1138"/>
      <c r="H342" s="520">
        <v>9803.69</v>
      </c>
      <c r="I342" s="512">
        <v>43679</v>
      </c>
      <c r="J342" s="254">
        <f t="shared" si="23"/>
        <v>-1.1652067138005151E-2</v>
      </c>
      <c r="L342" s="251">
        <f t="shared" si="24"/>
        <v>43679</v>
      </c>
      <c r="M342" s="513">
        <v>170.75</v>
      </c>
      <c r="N342" s="254">
        <f t="shared" si="25"/>
        <v>-3.0380465644520127E-2</v>
      </c>
      <c r="O342" s="1137">
        <f t="shared" si="27"/>
        <v>-3.0411885203962583E-2</v>
      </c>
      <c r="P342" s="1138"/>
    </row>
    <row r="343" spans="1:16" x14ac:dyDescent="0.2">
      <c r="A343" s="717">
        <v>42890</v>
      </c>
      <c r="B343" s="533">
        <v>1.8575680000000001</v>
      </c>
      <c r="F343" s="1137">
        <f t="shared" si="26"/>
        <v>2.8368735180328156E-3</v>
      </c>
      <c r="G343" s="1138"/>
      <c r="H343" s="520">
        <v>9919.27</v>
      </c>
      <c r="I343" s="512">
        <v>43677</v>
      </c>
      <c r="J343" s="254">
        <f t="shared" si="23"/>
        <v>2.8682930774752702E-3</v>
      </c>
      <c r="L343" s="251">
        <f t="shared" si="24"/>
        <v>43677</v>
      </c>
      <c r="M343" s="513">
        <v>176.1</v>
      </c>
      <c r="N343" s="254">
        <f t="shared" si="25"/>
        <v>1.4985590778098024E-2</v>
      </c>
      <c r="O343" s="1137">
        <f t="shared" si="27"/>
        <v>1.495417121865557E-2</v>
      </c>
      <c r="P343" s="1138"/>
    </row>
    <row r="344" spans="1:16" x14ac:dyDescent="0.2">
      <c r="A344" s="717">
        <v>42897</v>
      </c>
      <c r="B344" s="533">
        <v>1.8328819999999999</v>
      </c>
      <c r="F344" s="1137">
        <f t="shared" si="26"/>
        <v>-8.0517828777888888E-3</v>
      </c>
      <c r="G344" s="1138"/>
      <c r="H344" s="520">
        <v>9890.9</v>
      </c>
      <c r="I344" s="512">
        <v>43676</v>
      </c>
      <c r="J344" s="254">
        <f t="shared" si="23"/>
        <v>-8.0203633183464351E-3</v>
      </c>
      <c r="L344" s="251">
        <f t="shared" si="24"/>
        <v>43676</v>
      </c>
      <c r="M344" s="513">
        <v>173.5</v>
      </c>
      <c r="N344" s="254">
        <f t="shared" si="25"/>
        <v>-8.5714285714285632E-3</v>
      </c>
      <c r="O344" s="1137">
        <f t="shared" si="27"/>
        <v>-8.6028481308710169E-3</v>
      </c>
      <c r="P344" s="1138"/>
    </row>
    <row r="345" spans="1:16" x14ac:dyDescent="0.2">
      <c r="A345" s="717">
        <v>42904</v>
      </c>
      <c r="B345" s="533">
        <v>1.837018</v>
      </c>
      <c r="F345" s="1137">
        <f t="shared" si="26"/>
        <v>2.4847386035360783E-4</v>
      </c>
      <c r="G345" s="1138"/>
      <c r="H345" s="520">
        <v>9970.8700000000008</v>
      </c>
      <c r="I345" s="512">
        <v>43675</v>
      </c>
      <c r="J345" s="254">
        <f t="shared" si="23"/>
        <v>2.798934197960623E-4</v>
      </c>
      <c r="L345" s="251">
        <f t="shared" si="24"/>
        <v>43675</v>
      </c>
      <c r="M345" s="513">
        <v>175</v>
      </c>
      <c r="N345" s="254">
        <f t="shared" si="25"/>
        <v>-1.1415525114154557E-3</v>
      </c>
      <c r="O345" s="1137">
        <f t="shared" si="27"/>
        <v>-1.1729720708579102E-3</v>
      </c>
      <c r="P345" s="1138"/>
    </row>
    <row r="346" spans="1:16" x14ac:dyDescent="0.2">
      <c r="A346" s="717">
        <v>42911</v>
      </c>
      <c r="B346" s="533">
        <v>1.816943</v>
      </c>
      <c r="F346" s="1137">
        <f t="shared" si="26"/>
        <v>9.1869385907301249E-3</v>
      </c>
      <c r="G346" s="1138"/>
      <c r="H346" s="520">
        <v>9968.08</v>
      </c>
      <c r="I346" s="512">
        <v>43672</v>
      </c>
      <c r="J346" s="254">
        <f t="shared" si="23"/>
        <v>9.2183581501725786E-3</v>
      </c>
      <c r="L346" s="251">
        <f t="shared" si="24"/>
        <v>43672</v>
      </c>
      <c r="M346" s="513">
        <v>175.2</v>
      </c>
      <c r="N346" s="254">
        <f t="shared" si="25"/>
        <v>9.2165898617511122E-3</v>
      </c>
      <c r="O346" s="1137">
        <f t="shared" si="27"/>
        <v>9.1851703023086585E-3</v>
      </c>
      <c r="P346" s="1138"/>
    </row>
    <row r="347" spans="1:16" x14ac:dyDescent="0.2">
      <c r="A347" s="717">
        <v>42918</v>
      </c>
      <c r="B347" s="533">
        <v>1.908747</v>
      </c>
      <c r="F347" s="1137">
        <f t="shared" si="26"/>
        <v>-3.1249793029948644E-3</v>
      </c>
      <c r="G347" s="1138"/>
      <c r="H347" s="520">
        <v>9877.0300000000007</v>
      </c>
      <c r="I347" s="512">
        <v>43671</v>
      </c>
      <c r="J347" s="254">
        <f t="shared" si="23"/>
        <v>-3.0935597435524098E-3</v>
      </c>
      <c r="L347" s="251">
        <f t="shared" si="24"/>
        <v>43671</v>
      </c>
      <c r="M347" s="513">
        <v>173.6</v>
      </c>
      <c r="N347" s="254">
        <f t="shared" si="25"/>
        <v>6.3768115942028913E-3</v>
      </c>
      <c r="O347" s="1137">
        <f t="shared" si="27"/>
        <v>6.3453920347604368E-3</v>
      </c>
      <c r="P347" s="1138"/>
    </row>
    <row r="348" spans="1:16" x14ac:dyDescent="0.2">
      <c r="A348" s="717">
        <v>42925</v>
      </c>
      <c r="B348" s="533">
        <v>2.0182380000000002</v>
      </c>
      <c r="F348" s="1137">
        <f t="shared" si="26"/>
        <v>-5.7985178971492876E-3</v>
      </c>
      <c r="G348" s="1138"/>
      <c r="H348" s="520">
        <v>9907.68</v>
      </c>
      <c r="I348" s="512">
        <v>43670</v>
      </c>
      <c r="J348" s="254">
        <f t="shared" si="23"/>
        <v>-5.767098337706833E-3</v>
      </c>
      <c r="L348" s="251">
        <f t="shared" si="24"/>
        <v>43670</v>
      </c>
      <c r="M348" s="513">
        <v>172.5</v>
      </c>
      <c r="N348" s="254">
        <f t="shared" si="25"/>
        <v>1.7699115044247815E-2</v>
      </c>
      <c r="O348" s="1137">
        <f t="shared" si="27"/>
        <v>1.766769548480536E-2</v>
      </c>
      <c r="P348" s="1138"/>
    </row>
    <row r="349" spans="1:16" x14ac:dyDescent="0.2">
      <c r="A349" s="717">
        <v>42932</v>
      </c>
      <c r="B349" s="533">
        <v>2.0076890000000001</v>
      </c>
      <c r="F349" s="1137">
        <f t="shared" si="26"/>
        <v>4.280050381710602E-3</v>
      </c>
      <c r="G349" s="1138"/>
      <c r="H349" s="520">
        <v>9965.15</v>
      </c>
      <c r="I349" s="512">
        <v>43669</v>
      </c>
      <c r="J349" s="254">
        <f t="shared" ref="J349:J412" si="28">H349/H350-1</f>
        <v>4.3114699411530566E-3</v>
      </c>
      <c r="L349" s="251">
        <f t="shared" ref="L349:L412" si="29">I349</f>
        <v>43669</v>
      </c>
      <c r="M349" s="513">
        <v>169.5</v>
      </c>
      <c r="N349" s="254">
        <f t="shared" ref="N349:N412" si="30">M349/M350-1</f>
        <v>-2.9489826010031805E-4</v>
      </c>
      <c r="O349" s="1137">
        <f t="shared" si="27"/>
        <v>-3.2631781954277253E-4</v>
      </c>
      <c r="P349" s="1138"/>
    </row>
    <row r="350" spans="1:16" x14ac:dyDescent="0.2">
      <c r="A350" s="717">
        <v>42939</v>
      </c>
      <c r="B350" s="533">
        <v>1.946369</v>
      </c>
      <c r="F350" s="1137">
        <f t="shared" ref="F350:F413" si="31">J350-$I$19</f>
        <v>-1.5067094599459504E-3</v>
      </c>
      <c r="G350" s="1138"/>
      <c r="H350" s="520">
        <v>9922.3700000000008</v>
      </c>
      <c r="I350" s="512">
        <v>43668</v>
      </c>
      <c r="J350" s="254">
        <f t="shared" si="28"/>
        <v>-1.4752899005034958E-3</v>
      </c>
      <c r="L350" s="251">
        <f t="shared" si="29"/>
        <v>43668</v>
      </c>
      <c r="M350" s="513">
        <v>169.55</v>
      </c>
      <c r="N350" s="254">
        <f t="shared" si="30"/>
        <v>-1.1658408627222339E-2</v>
      </c>
      <c r="O350" s="1137">
        <f t="shared" ref="O350:O413" si="32">N350-$I$19</f>
        <v>-1.1689828186664792E-2</v>
      </c>
      <c r="P350" s="1138"/>
    </row>
    <row r="351" spans="1:16" x14ac:dyDescent="0.2">
      <c r="A351" s="717">
        <v>42946</v>
      </c>
      <c r="B351" s="533">
        <v>1.974861</v>
      </c>
      <c r="F351" s="1137">
        <f t="shared" si="31"/>
        <v>-7.3360054048093168E-3</v>
      </c>
      <c r="G351" s="1138"/>
      <c r="H351" s="520">
        <v>9937.0300000000007</v>
      </c>
      <c r="I351" s="512">
        <v>43665</v>
      </c>
      <c r="J351" s="254">
        <f t="shared" si="28"/>
        <v>-7.3045858453668622E-3</v>
      </c>
      <c r="L351" s="251">
        <f t="shared" si="29"/>
        <v>43665</v>
      </c>
      <c r="M351" s="513">
        <v>171.55</v>
      </c>
      <c r="N351" s="254">
        <f t="shared" si="30"/>
        <v>-2.9137529137523988E-4</v>
      </c>
      <c r="O351" s="1137">
        <f t="shared" si="32"/>
        <v>-3.2279485081769435E-4</v>
      </c>
      <c r="P351" s="1138"/>
    </row>
    <row r="352" spans="1:16" x14ac:dyDescent="0.2">
      <c r="A352" s="717">
        <v>42953</v>
      </c>
      <c r="B352" s="533">
        <v>1.944801</v>
      </c>
      <c r="F352" s="1137">
        <f t="shared" si="31"/>
        <v>6.8223253070382609E-3</v>
      </c>
      <c r="G352" s="1138"/>
      <c r="H352" s="520">
        <v>10010.15</v>
      </c>
      <c r="I352" s="512">
        <v>43664</v>
      </c>
      <c r="J352" s="254">
        <f t="shared" si="28"/>
        <v>6.8537448664807155E-3</v>
      </c>
      <c r="L352" s="251">
        <f t="shared" si="29"/>
        <v>43664</v>
      </c>
      <c r="M352" s="513">
        <v>171.6</v>
      </c>
      <c r="N352" s="254">
        <f t="shared" si="30"/>
        <v>-4.1608489248813219E-2</v>
      </c>
      <c r="O352" s="1137">
        <f t="shared" si="32"/>
        <v>-4.1639908808255674E-2</v>
      </c>
      <c r="P352" s="1138"/>
    </row>
    <row r="353" spans="1:16" x14ac:dyDescent="0.2">
      <c r="A353" s="717">
        <v>42960</v>
      </c>
      <c r="B353" s="533">
        <v>1.893659</v>
      </c>
      <c r="F353" s="1137">
        <f t="shared" si="31"/>
        <v>9.2564149914237826E-3</v>
      </c>
      <c r="G353" s="1138"/>
      <c r="H353" s="520">
        <v>9942.01</v>
      </c>
      <c r="I353" s="512">
        <v>43663</v>
      </c>
      <c r="J353" s="254">
        <f t="shared" si="28"/>
        <v>9.2878345508662363E-3</v>
      </c>
      <c r="L353" s="251">
        <f t="shared" si="29"/>
        <v>43663</v>
      </c>
      <c r="M353" s="513">
        <v>179.05</v>
      </c>
      <c r="N353" s="254">
        <f t="shared" si="30"/>
        <v>2.3727844482561489E-2</v>
      </c>
      <c r="O353" s="1137">
        <f t="shared" si="32"/>
        <v>2.3696424923119033E-2</v>
      </c>
      <c r="P353" s="1138"/>
    </row>
    <row r="354" spans="1:16" x14ac:dyDescent="0.2">
      <c r="A354" s="717">
        <v>42967</v>
      </c>
      <c r="B354" s="533">
        <v>1.9020429999999999</v>
      </c>
      <c r="F354" s="1137">
        <f t="shared" si="31"/>
        <v>4.2444287284850316E-3</v>
      </c>
      <c r="G354" s="1138"/>
      <c r="H354" s="520">
        <v>9850.52</v>
      </c>
      <c r="I354" s="512">
        <v>43662</v>
      </c>
      <c r="J354" s="254">
        <f t="shared" si="28"/>
        <v>4.2758482879274862E-3</v>
      </c>
      <c r="L354" s="251">
        <f t="shared" si="29"/>
        <v>43662</v>
      </c>
      <c r="M354" s="513">
        <v>174.9</v>
      </c>
      <c r="N354" s="254">
        <f t="shared" si="30"/>
        <v>-4.2698548249359147E-3</v>
      </c>
      <c r="O354" s="1137">
        <f t="shared" si="32"/>
        <v>-4.3012743843783693E-3</v>
      </c>
      <c r="P354" s="1138"/>
    </row>
    <row r="355" spans="1:16" x14ac:dyDescent="0.2">
      <c r="A355" s="717">
        <v>42974</v>
      </c>
      <c r="B355" s="533">
        <v>1.891988</v>
      </c>
      <c r="F355" s="1137">
        <f t="shared" si="31"/>
        <v>4.6392854916792051E-3</v>
      </c>
      <c r="G355" s="1138"/>
      <c r="H355" s="520">
        <v>9808.58</v>
      </c>
      <c r="I355" s="512">
        <v>43661</v>
      </c>
      <c r="J355" s="254">
        <f t="shared" si="28"/>
        <v>4.6707050511216597E-3</v>
      </c>
      <c r="L355" s="251">
        <f t="shared" si="29"/>
        <v>43661</v>
      </c>
      <c r="M355" s="513">
        <v>175.65</v>
      </c>
      <c r="N355" s="254">
        <f t="shared" si="30"/>
        <v>9.7729232538086297E-3</v>
      </c>
      <c r="O355" s="1137">
        <f t="shared" si="32"/>
        <v>9.741503694366176E-3</v>
      </c>
      <c r="P355" s="1138"/>
    </row>
    <row r="356" spans="1:16" x14ac:dyDescent="0.2">
      <c r="A356" s="717">
        <v>42981</v>
      </c>
      <c r="B356" s="533">
        <v>1.8555489999999999</v>
      </c>
      <c r="F356" s="1137">
        <f t="shared" si="31"/>
        <v>-1.1828539462919769E-2</v>
      </c>
      <c r="G356" s="1138"/>
      <c r="H356" s="520">
        <v>9762.98</v>
      </c>
      <c r="I356" s="512">
        <v>43658</v>
      </c>
      <c r="J356" s="254">
        <f t="shared" si="28"/>
        <v>-1.1797119903477316E-2</v>
      </c>
      <c r="L356" s="251">
        <f t="shared" si="29"/>
        <v>43658</v>
      </c>
      <c r="M356" s="513">
        <v>173.95</v>
      </c>
      <c r="N356" s="254">
        <f t="shared" si="30"/>
        <v>-6.0000000000001164E-3</v>
      </c>
      <c r="O356" s="1137">
        <f t="shared" si="32"/>
        <v>-6.0314195594425709E-3</v>
      </c>
      <c r="P356" s="1138"/>
    </row>
    <row r="357" spans="1:16" x14ac:dyDescent="0.2">
      <c r="A357" s="717">
        <v>42988</v>
      </c>
      <c r="B357" s="533">
        <v>1.8091060000000001</v>
      </c>
      <c r="F357" s="1137">
        <f t="shared" si="31"/>
        <v>-5.8708811576615857E-3</v>
      </c>
      <c r="G357" s="1138"/>
      <c r="H357" s="520">
        <v>9879.5300000000007</v>
      </c>
      <c r="I357" s="512">
        <v>43657</v>
      </c>
      <c r="J357" s="254">
        <f t="shared" si="28"/>
        <v>-5.8394615982191311E-3</v>
      </c>
      <c r="L357" s="251">
        <f t="shared" si="29"/>
        <v>43657</v>
      </c>
      <c r="M357" s="513">
        <v>175</v>
      </c>
      <c r="N357" s="254">
        <f t="shared" si="30"/>
        <v>2.8653295128939771E-3</v>
      </c>
      <c r="O357" s="1137">
        <f t="shared" si="32"/>
        <v>2.8339099534515225E-3</v>
      </c>
      <c r="P357" s="1138"/>
    </row>
    <row r="358" spans="1:16" x14ac:dyDescent="0.2">
      <c r="A358" s="717">
        <v>42995</v>
      </c>
      <c r="B358" s="533">
        <v>1.9012960000000001</v>
      </c>
      <c r="F358" s="1137">
        <f t="shared" si="31"/>
        <v>-2.4186485868625115E-3</v>
      </c>
      <c r="G358" s="1138"/>
      <c r="H358" s="520">
        <v>9937.56</v>
      </c>
      <c r="I358" s="512">
        <v>43656</v>
      </c>
      <c r="J358" s="254">
        <f t="shared" si="28"/>
        <v>-2.3872290274200569E-3</v>
      </c>
      <c r="L358" s="251">
        <f t="shared" si="29"/>
        <v>43656</v>
      </c>
      <c r="M358" s="513">
        <v>174.5</v>
      </c>
      <c r="N358" s="254">
        <f t="shared" si="30"/>
        <v>2.8661507595306723E-4</v>
      </c>
      <c r="O358" s="1137">
        <f t="shared" si="32"/>
        <v>2.5519551651061276E-4</v>
      </c>
      <c r="P358" s="1138"/>
    </row>
    <row r="359" spans="1:16" x14ac:dyDescent="0.2">
      <c r="A359" s="717">
        <v>43002</v>
      </c>
      <c r="B359" s="533">
        <v>1.963956</v>
      </c>
      <c r="F359" s="1137">
        <f t="shared" si="31"/>
        <v>-3.309353540491263E-3</v>
      </c>
      <c r="G359" s="1138"/>
      <c r="H359" s="520">
        <v>9961.34</v>
      </c>
      <c r="I359" s="512">
        <v>43655</v>
      </c>
      <c r="J359" s="254">
        <f t="shared" si="28"/>
        <v>-3.2779339810488084E-3</v>
      </c>
      <c r="L359" s="251">
        <f t="shared" si="29"/>
        <v>43655</v>
      </c>
      <c r="M359" s="513">
        <v>174.45</v>
      </c>
      <c r="N359" s="254">
        <f t="shared" si="30"/>
        <v>-8.5910652920961894E-4</v>
      </c>
      <c r="O359" s="1137">
        <f t="shared" si="32"/>
        <v>-8.9052608865207341E-4</v>
      </c>
      <c r="P359" s="1138"/>
    </row>
    <row r="360" spans="1:16" x14ac:dyDescent="0.2">
      <c r="A360" s="717">
        <v>43009</v>
      </c>
      <c r="B360" s="533">
        <v>1.9772130000000001</v>
      </c>
      <c r="F360" s="1137">
        <f t="shared" si="31"/>
        <v>1.3593313458483839E-3</v>
      </c>
      <c r="G360" s="1138"/>
      <c r="H360" s="520">
        <v>9994.1</v>
      </c>
      <c r="I360" s="512">
        <v>43654</v>
      </c>
      <c r="J360" s="254">
        <f t="shared" si="28"/>
        <v>1.3907509052908384E-3</v>
      </c>
      <c r="L360" s="251">
        <f t="shared" si="29"/>
        <v>43654</v>
      </c>
      <c r="M360" s="513">
        <v>174.6</v>
      </c>
      <c r="N360" s="254">
        <f t="shared" si="30"/>
        <v>2.008608321377281E-3</v>
      </c>
      <c r="O360" s="1137">
        <f t="shared" si="32"/>
        <v>1.9771887619348264E-3</v>
      </c>
      <c r="P360" s="1138"/>
    </row>
    <row r="361" spans="1:16" x14ac:dyDescent="0.2">
      <c r="A361" s="717">
        <v>43016</v>
      </c>
      <c r="B361" s="533">
        <v>2.0147309999999998</v>
      </c>
      <c r="F361" s="1137">
        <f t="shared" si="31"/>
        <v>-8.6004526276053771E-3</v>
      </c>
      <c r="G361" s="1138"/>
      <c r="H361" s="520">
        <v>9980.2199999999993</v>
      </c>
      <c r="I361" s="512">
        <v>43651</v>
      </c>
      <c r="J361" s="254">
        <f t="shared" si="28"/>
        <v>-8.5690330681629234E-3</v>
      </c>
      <c r="L361" s="251">
        <f t="shared" si="29"/>
        <v>43651</v>
      </c>
      <c r="M361" s="513">
        <v>174.25</v>
      </c>
      <c r="N361" s="254">
        <f t="shared" si="30"/>
        <v>-1.1908137227105153E-2</v>
      </c>
      <c r="O361" s="1137">
        <f t="shared" si="32"/>
        <v>-1.1939556786547607E-2</v>
      </c>
      <c r="P361" s="1138"/>
    </row>
    <row r="362" spans="1:16" x14ac:dyDescent="0.2">
      <c r="A362" s="717">
        <v>43023</v>
      </c>
      <c r="B362" s="533">
        <v>1.982083</v>
      </c>
      <c r="F362" s="1137">
        <f t="shared" si="31"/>
        <v>-3.6386514291982401E-5</v>
      </c>
      <c r="G362" s="1138"/>
      <c r="H362" s="520">
        <v>10066.48</v>
      </c>
      <c r="I362" s="512">
        <v>43650</v>
      </c>
      <c r="J362" s="254">
        <f t="shared" si="28"/>
        <v>-4.9669548495279159E-6</v>
      </c>
      <c r="L362" s="251">
        <f t="shared" si="29"/>
        <v>43650</v>
      </c>
      <c r="M362" s="513">
        <v>176.35</v>
      </c>
      <c r="N362" s="254">
        <f t="shared" si="30"/>
        <v>-6.4788732394366333E-3</v>
      </c>
      <c r="O362" s="1137">
        <f t="shared" si="32"/>
        <v>-6.5102927988790879E-3</v>
      </c>
      <c r="P362" s="1138"/>
    </row>
    <row r="363" spans="1:16" x14ac:dyDescent="0.2">
      <c r="A363" s="717">
        <v>43030</v>
      </c>
      <c r="B363" s="533">
        <v>1.999706</v>
      </c>
      <c r="F363" s="1137">
        <f t="shared" si="31"/>
        <v>4.5190562945951066E-3</v>
      </c>
      <c r="G363" s="1138"/>
      <c r="H363" s="520">
        <v>10066.530000000001</v>
      </c>
      <c r="I363" s="512">
        <v>43649</v>
      </c>
      <c r="J363" s="254">
        <f t="shared" si="28"/>
        <v>4.5504758540375612E-3</v>
      </c>
      <c r="L363" s="251">
        <f t="shared" si="29"/>
        <v>43649</v>
      </c>
      <c r="M363" s="513">
        <v>177.5</v>
      </c>
      <c r="N363" s="254">
        <f t="shared" si="30"/>
        <v>9.957325746799528E-3</v>
      </c>
      <c r="O363" s="1137">
        <f t="shared" si="32"/>
        <v>9.9259061873570743E-3</v>
      </c>
      <c r="P363" s="1138"/>
    </row>
    <row r="364" spans="1:16" x14ac:dyDescent="0.2">
      <c r="A364" s="717">
        <v>43037</v>
      </c>
      <c r="B364" s="533">
        <v>2.0425840000000002</v>
      </c>
      <c r="F364" s="1137">
        <f t="shared" si="31"/>
        <v>5.0769054154824059E-3</v>
      </c>
      <c r="G364" s="1138"/>
      <c r="H364" s="520">
        <v>10020.93</v>
      </c>
      <c r="I364" s="512">
        <v>43648</v>
      </c>
      <c r="J364" s="254">
        <f t="shared" si="28"/>
        <v>5.1083249749248605E-3</v>
      </c>
      <c r="L364" s="251">
        <f t="shared" si="29"/>
        <v>43648</v>
      </c>
      <c r="M364" s="513">
        <v>175.75</v>
      </c>
      <c r="N364" s="254">
        <f t="shared" si="30"/>
        <v>-1.1366865586813768E-3</v>
      </c>
      <c r="O364" s="1137">
        <f t="shared" si="32"/>
        <v>-1.1681061181238314E-3</v>
      </c>
      <c r="P364" s="1138"/>
    </row>
    <row r="365" spans="1:16" x14ac:dyDescent="0.2">
      <c r="A365" s="717">
        <v>43044</v>
      </c>
      <c r="B365" s="533">
        <v>1.999649</v>
      </c>
      <c r="F365" s="1137">
        <f t="shared" si="31"/>
        <v>7.2183541376997376E-3</v>
      </c>
      <c r="G365" s="1138"/>
      <c r="H365" s="520">
        <v>9970</v>
      </c>
      <c r="I365" s="512">
        <v>43647</v>
      </c>
      <c r="J365" s="254">
        <f t="shared" si="28"/>
        <v>7.2497736971421922E-3</v>
      </c>
      <c r="L365" s="251">
        <f t="shared" si="29"/>
        <v>43647</v>
      </c>
      <c r="M365" s="513">
        <v>175.95</v>
      </c>
      <c r="N365" s="254">
        <f t="shared" si="30"/>
        <v>7.443458345261833E-3</v>
      </c>
      <c r="O365" s="1137">
        <f t="shared" si="32"/>
        <v>7.4120387858193785E-3</v>
      </c>
      <c r="P365" s="1138"/>
    </row>
    <row r="366" spans="1:16" x14ac:dyDescent="0.2">
      <c r="A366" s="717">
        <v>43051</v>
      </c>
      <c r="B366" s="533">
        <v>1.9995339999999999</v>
      </c>
      <c r="F366" s="1137">
        <f t="shared" si="31"/>
        <v>3.8713123528961316E-3</v>
      </c>
      <c r="G366" s="1138"/>
      <c r="H366" s="520">
        <v>9898.24</v>
      </c>
      <c r="I366" s="512">
        <v>43644</v>
      </c>
      <c r="J366" s="254">
        <f t="shared" si="28"/>
        <v>3.9027319123385862E-3</v>
      </c>
      <c r="L366" s="251">
        <f t="shared" si="29"/>
        <v>43644</v>
      </c>
      <c r="M366" s="513">
        <v>174.65</v>
      </c>
      <c r="N366" s="254">
        <f t="shared" si="30"/>
        <v>9.5375722543353803E-3</v>
      </c>
      <c r="O366" s="1137">
        <f t="shared" si="32"/>
        <v>9.5061526948929265E-3</v>
      </c>
      <c r="P366" s="1138"/>
    </row>
    <row r="367" spans="1:16" x14ac:dyDescent="0.2">
      <c r="A367" s="717">
        <v>43058</v>
      </c>
      <c r="B367" s="533">
        <v>2.0257290000000001</v>
      </c>
      <c r="F367" s="1137">
        <f t="shared" si="31"/>
        <v>2.1671689934634345E-3</v>
      </c>
      <c r="G367" s="1138"/>
      <c r="H367" s="520">
        <v>9859.76</v>
      </c>
      <c r="I367" s="512">
        <v>43643</v>
      </c>
      <c r="J367" s="254">
        <f t="shared" si="28"/>
        <v>2.1985885529058891E-3</v>
      </c>
      <c r="L367" s="251">
        <f t="shared" si="29"/>
        <v>43643</v>
      </c>
      <c r="M367" s="513">
        <v>173</v>
      </c>
      <c r="N367" s="254">
        <f t="shared" si="30"/>
        <v>-5.7471264367816577E-3</v>
      </c>
      <c r="O367" s="1137">
        <f t="shared" si="32"/>
        <v>-5.7785459962241123E-3</v>
      </c>
      <c r="P367" s="1138"/>
    </row>
    <row r="368" spans="1:16" x14ac:dyDescent="0.2">
      <c r="A368" s="717">
        <v>43065</v>
      </c>
      <c r="B368" s="533">
        <v>2.0031379999999999</v>
      </c>
      <c r="F368" s="1137">
        <f t="shared" si="31"/>
        <v>-6.1704855162660185E-3</v>
      </c>
      <c r="G368" s="1138"/>
      <c r="H368" s="520">
        <v>9838.1299999999992</v>
      </c>
      <c r="I368" s="512">
        <v>43642</v>
      </c>
      <c r="J368" s="254">
        <f t="shared" si="28"/>
        <v>-6.1390659568235639E-3</v>
      </c>
      <c r="L368" s="251">
        <f t="shared" si="29"/>
        <v>43642</v>
      </c>
      <c r="M368" s="513">
        <v>174</v>
      </c>
      <c r="N368" s="254">
        <f t="shared" si="30"/>
        <v>-1.4164305949008527E-2</v>
      </c>
      <c r="O368" s="1137">
        <f t="shared" si="32"/>
        <v>-1.419572550845098E-2</v>
      </c>
      <c r="P368" s="1138"/>
    </row>
    <row r="369" spans="1:16" x14ac:dyDescent="0.2">
      <c r="A369" s="717">
        <v>43072</v>
      </c>
      <c r="B369" s="533">
        <v>2.009064</v>
      </c>
      <c r="F369" s="1137">
        <f t="shared" si="31"/>
        <v>-2.6368467648959097E-5</v>
      </c>
      <c r="G369" s="1138"/>
      <c r="H369" s="520">
        <v>9898.9</v>
      </c>
      <c r="I369" s="512">
        <v>43641</v>
      </c>
      <c r="J369" s="254">
        <f t="shared" si="28"/>
        <v>5.0510917934953881E-6</v>
      </c>
      <c r="L369" s="251">
        <f t="shared" si="29"/>
        <v>43641</v>
      </c>
      <c r="M369" s="513">
        <v>176.5</v>
      </c>
      <c r="N369" s="254">
        <f t="shared" si="30"/>
        <v>6.8454078722188783E-3</v>
      </c>
      <c r="O369" s="1137">
        <f t="shared" si="32"/>
        <v>6.8139883127764237E-3</v>
      </c>
      <c r="P369" s="1138"/>
    </row>
    <row r="370" spans="1:16" x14ac:dyDescent="0.2">
      <c r="A370" s="717">
        <v>43079</v>
      </c>
      <c r="B370" s="533">
        <v>1.9947950000000001</v>
      </c>
      <c r="F370" s="1137">
        <f t="shared" si="31"/>
        <v>-2.448068841955516E-3</v>
      </c>
      <c r="G370" s="1138"/>
      <c r="H370" s="520">
        <v>9898.85</v>
      </c>
      <c r="I370" s="512">
        <v>43640</v>
      </c>
      <c r="J370" s="254">
        <f t="shared" si="28"/>
        <v>-2.4166492825130614E-3</v>
      </c>
      <c r="L370" s="251">
        <f t="shared" si="29"/>
        <v>43640</v>
      </c>
      <c r="M370" s="513">
        <v>175.3</v>
      </c>
      <c r="N370" s="254">
        <f t="shared" si="30"/>
        <v>5.1605504587155515E-3</v>
      </c>
      <c r="O370" s="1137">
        <f t="shared" si="32"/>
        <v>5.1291308992730969E-3</v>
      </c>
      <c r="P370" s="1138"/>
    </row>
    <row r="371" spans="1:16" x14ac:dyDescent="0.2">
      <c r="A371" s="717">
        <v>43086</v>
      </c>
      <c r="B371" s="533">
        <v>1.9833400000000001</v>
      </c>
      <c r="F371" s="1137">
        <f t="shared" si="31"/>
        <v>-5.6124075215851351E-3</v>
      </c>
      <c r="G371" s="1138"/>
      <c r="H371" s="520">
        <v>9922.83</v>
      </c>
      <c r="I371" s="512">
        <v>43637</v>
      </c>
      <c r="J371" s="254">
        <f t="shared" si="28"/>
        <v>-5.5809879621426806E-3</v>
      </c>
      <c r="L371" s="251">
        <f t="shared" si="29"/>
        <v>43637</v>
      </c>
      <c r="M371" s="513">
        <v>174.4</v>
      </c>
      <c r="N371" s="254">
        <f t="shared" si="30"/>
        <v>-2.2969187675069946E-2</v>
      </c>
      <c r="O371" s="1137">
        <f t="shared" si="32"/>
        <v>-2.3000607234512402E-2</v>
      </c>
      <c r="P371" s="1138"/>
    </row>
    <row r="372" spans="1:16" x14ac:dyDescent="0.2">
      <c r="A372" s="717">
        <v>43093</v>
      </c>
      <c r="B372" s="533">
        <v>2.0666370000000001</v>
      </c>
      <c r="F372" s="1137">
        <f t="shared" si="31"/>
        <v>1.6620749921629355E-3</v>
      </c>
      <c r="G372" s="1138"/>
      <c r="H372" s="520">
        <v>9978.52</v>
      </c>
      <c r="I372" s="512">
        <v>43636</v>
      </c>
      <c r="J372" s="254">
        <f t="shared" si="28"/>
        <v>1.6934945516053901E-3</v>
      </c>
      <c r="L372" s="251">
        <f t="shared" si="29"/>
        <v>43636</v>
      </c>
      <c r="M372" s="513">
        <v>178.5</v>
      </c>
      <c r="N372" s="254">
        <f t="shared" si="30"/>
        <v>5.3506054632497246E-3</v>
      </c>
      <c r="O372" s="1137">
        <f t="shared" si="32"/>
        <v>5.3191859038072701E-3</v>
      </c>
      <c r="P372" s="1138"/>
    </row>
    <row r="373" spans="1:16" x14ac:dyDescent="0.2">
      <c r="A373" s="717">
        <v>43100</v>
      </c>
      <c r="B373" s="533">
        <v>2.0650900000000001</v>
      </c>
      <c r="F373" s="1137">
        <f t="shared" si="31"/>
        <v>-2.7245031401423167E-3</v>
      </c>
      <c r="G373" s="1138"/>
      <c r="H373" s="520">
        <v>9961.65</v>
      </c>
      <c r="I373" s="512">
        <v>43635</v>
      </c>
      <c r="J373" s="254">
        <f t="shared" si="28"/>
        <v>-2.6930835806998621E-3</v>
      </c>
      <c r="L373" s="251">
        <f t="shared" si="29"/>
        <v>43635</v>
      </c>
      <c r="M373" s="513">
        <v>177.55</v>
      </c>
      <c r="N373" s="254">
        <f t="shared" si="30"/>
        <v>-2.5280898876404168E-3</v>
      </c>
      <c r="O373" s="1137">
        <f t="shared" si="32"/>
        <v>-2.5595094470828713E-3</v>
      </c>
      <c r="P373" s="1138"/>
    </row>
    <row r="374" spans="1:16" x14ac:dyDescent="0.2">
      <c r="A374" s="717">
        <v>43107</v>
      </c>
      <c r="B374" s="533">
        <v>2.07342</v>
      </c>
      <c r="F374" s="1137">
        <f t="shared" si="31"/>
        <v>1.3872963193763259E-2</v>
      </c>
      <c r="G374" s="1138"/>
      <c r="H374" s="520">
        <v>9988.5499999999993</v>
      </c>
      <c r="I374" s="512">
        <v>43634</v>
      </c>
      <c r="J374" s="254">
        <f t="shared" si="28"/>
        <v>1.3904382753205713E-2</v>
      </c>
      <c r="L374" s="251">
        <f t="shared" si="29"/>
        <v>43634</v>
      </c>
      <c r="M374" s="513">
        <v>178</v>
      </c>
      <c r="N374" s="254">
        <f t="shared" si="30"/>
        <v>1.6852327906312414E-2</v>
      </c>
      <c r="O374" s="1137">
        <f t="shared" si="32"/>
        <v>1.6820908346869959E-2</v>
      </c>
      <c r="P374" s="1138"/>
    </row>
    <row r="375" spans="1:16" x14ac:dyDescent="0.2">
      <c r="A375" s="717">
        <v>43114</v>
      </c>
      <c r="B375" s="533">
        <v>2.1519409999999999</v>
      </c>
      <c r="F375" s="1137">
        <f t="shared" si="31"/>
        <v>3.7070846959182211E-4</v>
      </c>
      <c r="G375" s="1138"/>
      <c r="H375" s="520">
        <v>9851.57</v>
      </c>
      <c r="I375" s="512">
        <v>43633</v>
      </c>
      <c r="J375" s="254">
        <f t="shared" si="28"/>
        <v>4.0212802903427658E-4</v>
      </c>
      <c r="L375" s="251">
        <f t="shared" si="29"/>
        <v>43633</v>
      </c>
      <c r="M375" s="513">
        <v>175.05</v>
      </c>
      <c r="N375" s="254">
        <f t="shared" si="30"/>
        <v>2.5773195876288568E-3</v>
      </c>
      <c r="O375" s="1137">
        <f t="shared" si="32"/>
        <v>2.5459000281864022E-3</v>
      </c>
      <c r="P375" s="1138"/>
    </row>
    <row r="376" spans="1:16" x14ac:dyDescent="0.2">
      <c r="A376" s="717">
        <v>43121</v>
      </c>
      <c r="B376" s="533">
        <v>2.2033100000000001</v>
      </c>
      <c r="F376" s="1137">
        <f t="shared" si="31"/>
        <v>-1.4733426102351696E-3</v>
      </c>
      <c r="G376" s="1138"/>
      <c r="H376" s="520">
        <v>9847.61</v>
      </c>
      <c r="I376" s="512">
        <v>43630</v>
      </c>
      <c r="J376" s="254">
        <f t="shared" si="28"/>
        <v>-1.441923050792715E-3</v>
      </c>
      <c r="L376" s="251">
        <f t="shared" si="29"/>
        <v>43630</v>
      </c>
      <c r="M376" s="513">
        <v>174.6</v>
      </c>
      <c r="N376" s="254">
        <f t="shared" si="30"/>
        <v>-8.7993187624184621E-3</v>
      </c>
      <c r="O376" s="1137">
        <f t="shared" si="32"/>
        <v>-8.8307383218609158E-3</v>
      </c>
      <c r="P376" s="1138"/>
    </row>
    <row r="377" spans="1:16" x14ac:dyDescent="0.2">
      <c r="A377" s="717">
        <v>43128</v>
      </c>
      <c r="B377" s="533">
        <v>2.2211180000000001</v>
      </c>
      <c r="F377" s="1137">
        <f t="shared" si="31"/>
        <v>1.8156801729647773E-4</v>
      </c>
      <c r="G377" s="1138"/>
      <c r="H377" s="520">
        <v>9861.83</v>
      </c>
      <c r="I377" s="512">
        <v>43629</v>
      </c>
      <c r="J377" s="254">
        <f t="shared" si="28"/>
        <v>2.129875767389322E-4</v>
      </c>
      <c r="L377" s="251">
        <f t="shared" si="29"/>
        <v>43629</v>
      </c>
      <c r="M377" s="513">
        <v>176.15</v>
      </c>
      <c r="N377" s="254">
        <f t="shared" si="30"/>
        <v>-8.1644144144144004E-3</v>
      </c>
      <c r="O377" s="1137">
        <f t="shared" si="32"/>
        <v>-8.1958339738568541E-3</v>
      </c>
      <c r="P377" s="1138"/>
    </row>
    <row r="378" spans="1:16" x14ac:dyDescent="0.2">
      <c r="A378" s="717">
        <v>43135</v>
      </c>
      <c r="B378" s="533">
        <v>2.3565839999999998</v>
      </c>
      <c r="F378" s="1137">
        <f t="shared" si="31"/>
        <v>2.394395340510295E-3</v>
      </c>
      <c r="G378" s="1138"/>
      <c r="H378" s="520">
        <v>9859.73</v>
      </c>
      <c r="I378" s="512">
        <v>43628</v>
      </c>
      <c r="J378" s="254">
        <f t="shared" si="28"/>
        <v>2.4258148999527496E-3</v>
      </c>
      <c r="L378" s="251">
        <f t="shared" si="29"/>
        <v>43628</v>
      </c>
      <c r="M378" s="513">
        <v>177.6</v>
      </c>
      <c r="N378" s="254">
        <f t="shared" si="30"/>
        <v>-2.0678246484698071E-2</v>
      </c>
      <c r="O378" s="1137">
        <f t="shared" si="32"/>
        <v>-2.0709666044140526E-2</v>
      </c>
      <c r="P378" s="1138"/>
    </row>
    <row r="379" spans="1:16" x14ac:dyDescent="0.2">
      <c r="A379" s="717">
        <v>43142</v>
      </c>
      <c r="B379" s="533">
        <v>2.3697219999999999</v>
      </c>
      <c r="F379" s="1137">
        <f t="shared" si="31"/>
        <v>8.865784601339315E-3</v>
      </c>
      <c r="G379" s="1138"/>
      <c r="H379" s="520">
        <v>9835.8700000000008</v>
      </c>
      <c r="I379" s="512">
        <v>43627</v>
      </c>
      <c r="J379" s="254">
        <f t="shared" si="28"/>
        <v>8.8972041607817687E-3</v>
      </c>
      <c r="L379" s="251">
        <f t="shared" si="29"/>
        <v>43627</v>
      </c>
      <c r="M379" s="513">
        <v>181.35</v>
      </c>
      <c r="N379" s="254">
        <f t="shared" si="30"/>
        <v>3.1569965870307026E-2</v>
      </c>
      <c r="O379" s="1137">
        <f t="shared" si="32"/>
        <v>3.1538546310864571E-2</v>
      </c>
      <c r="P379" s="1138"/>
    </row>
    <row r="380" spans="1:16" x14ac:dyDescent="0.2">
      <c r="A380" s="717">
        <v>43149</v>
      </c>
      <c r="B380" s="533">
        <v>2.4025280000000002</v>
      </c>
      <c r="F380" s="1137">
        <f t="shared" si="31"/>
        <v>6.8719059968049426E-3</v>
      </c>
      <c r="G380" s="1138"/>
      <c r="H380" s="520">
        <v>9749.1299999999992</v>
      </c>
      <c r="I380" s="512">
        <v>43623</v>
      </c>
      <c r="J380" s="254">
        <f t="shared" si="28"/>
        <v>6.9033255562473972E-3</v>
      </c>
      <c r="L380" s="251">
        <f t="shared" si="29"/>
        <v>43623</v>
      </c>
      <c r="M380" s="513">
        <v>175.8</v>
      </c>
      <c r="N380" s="254">
        <f t="shared" si="30"/>
        <v>2.3878858474082776E-2</v>
      </c>
      <c r="O380" s="1137">
        <f t="shared" si="32"/>
        <v>2.384743891464032E-2</v>
      </c>
      <c r="P380" s="1138"/>
    </row>
    <row r="381" spans="1:16" x14ac:dyDescent="0.2">
      <c r="A381" s="717">
        <v>43156</v>
      </c>
      <c r="B381" s="533">
        <v>2.4241839999999999</v>
      </c>
      <c r="F381" s="1137">
        <f t="shared" si="31"/>
        <v>2.4192410939427181E-3</v>
      </c>
      <c r="G381" s="1138"/>
      <c r="H381" s="520">
        <v>9682.2900000000009</v>
      </c>
      <c r="I381" s="512">
        <v>43622</v>
      </c>
      <c r="J381" s="254">
        <f t="shared" si="28"/>
        <v>2.4506606533851727E-3</v>
      </c>
      <c r="L381" s="251">
        <f t="shared" si="29"/>
        <v>43622</v>
      </c>
      <c r="M381" s="513">
        <v>171.7</v>
      </c>
      <c r="N381" s="254">
        <f t="shared" si="30"/>
        <v>-8.0878105141537482E-3</v>
      </c>
      <c r="O381" s="1137">
        <f t="shared" si="32"/>
        <v>-8.1192300735962019E-3</v>
      </c>
      <c r="P381" s="1138"/>
    </row>
    <row r="382" spans="1:16" x14ac:dyDescent="0.2">
      <c r="A382" s="717">
        <v>43163</v>
      </c>
      <c r="B382" s="533">
        <v>2.3934030000000002</v>
      </c>
      <c r="F382" s="1137">
        <f t="shared" si="31"/>
        <v>6.3148859655215031E-3</v>
      </c>
      <c r="G382" s="1138"/>
      <c r="H382" s="520">
        <v>9658.6200000000008</v>
      </c>
      <c r="I382" s="512">
        <v>43621</v>
      </c>
      <c r="J382" s="254">
        <f t="shared" si="28"/>
        <v>6.3463055249639577E-3</v>
      </c>
      <c r="L382" s="251">
        <f t="shared" si="29"/>
        <v>43621</v>
      </c>
      <c r="M382" s="513">
        <v>173.1</v>
      </c>
      <c r="N382" s="254">
        <f t="shared" si="30"/>
        <v>2.5777777777777677E-2</v>
      </c>
      <c r="O382" s="1137">
        <f t="shared" si="32"/>
        <v>2.5746358218335222E-2</v>
      </c>
      <c r="P382" s="1138"/>
    </row>
    <row r="383" spans="1:16" x14ac:dyDescent="0.2">
      <c r="A383" s="717">
        <v>43170</v>
      </c>
      <c r="B383" s="533">
        <v>2.408153</v>
      </c>
      <c r="F383" s="1137">
        <f t="shared" si="31"/>
        <v>-5.5418756395790483E-4</v>
      </c>
      <c r="G383" s="1138"/>
      <c r="H383" s="520">
        <v>9597.7099999999991</v>
      </c>
      <c r="I383" s="512">
        <v>43620</v>
      </c>
      <c r="J383" s="254">
        <f t="shared" si="28"/>
        <v>-5.2276800451545036E-4</v>
      </c>
      <c r="L383" s="251">
        <f t="shared" si="29"/>
        <v>43620</v>
      </c>
      <c r="M383" s="513">
        <v>168.75</v>
      </c>
      <c r="N383" s="254">
        <f t="shared" si="30"/>
        <v>-3.1007751937984551E-2</v>
      </c>
      <c r="O383" s="1137">
        <f t="shared" si="32"/>
        <v>-3.1039171497427007E-2</v>
      </c>
      <c r="P383" s="1138"/>
    </row>
    <row r="384" spans="1:16" x14ac:dyDescent="0.2">
      <c r="A384" s="717">
        <v>43177</v>
      </c>
      <c r="B384" s="533">
        <v>2.3534130000000002</v>
      </c>
      <c r="F384" s="1137">
        <f t="shared" si="31"/>
        <v>8.2371824325819399E-3</v>
      </c>
      <c r="G384" s="1138"/>
      <c r="H384" s="520">
        <v>9602.73</v>
      </c>
      <c r="I384" s="512">
        <v>43619</v>
      </c>
      <c r="J384" s="254">
        <f t="shared" si="28"/>
        <v>8.2686019920243936E-3</v>
      </c>
      <c r="L384" s="251">
        <f t="shared" si="29"/>
        <v>43619</v>
      </c>
      <c r="M384" s="513">
        <v>174.15</v>
      </c>
      <c r="N384" s="254">
        <f t="shared" si="30"/>
        <v>-1.4334862385321223E-3</v>
      </c>
      <c r="O384" s="1137">
        <f t="shared" si="32"/>
        <v>-1.4649057979745769E-3</v>
      </c>
      <c r="P384" s="1138"/>
    </row>
    <row r="385" spans="1:16" x14ac:dyDescent="0.2">
      <c r="A385" s="717">
        <v>43184</v>
      </c>
      <c r="B385" s="533">
        <v>2.3463080000000001</v>
      </c>
      <c r="F385" s="1137">
        <f t="shared" si="31"/>
        <v>-1.9167744704304121E-3</v>
      </c>
      <c r="G385" s="1138"/>
      <c r="H385" s="520">
        <v>9523.98</v>
      </c>
      <c r="I385" s="512">
        <v>43616</v>
      </c>
      <c r="J385" s="254">
        <f t="shared" si="28"/>
        <v>-1.8853549109879575E-3</v>
      </c>
      <c r="L385" s="251">
        <f t="shared" si="29"/>
        <v>43616</v>
      </c>
      <c r="M385" s="513">
        <v>174.4</v>
      </c>
      <c r="N385" s="254">
        <f t="shared" si="30"/>
        <v>2.2988505747125743E-3</v>
      </c>
      <c r="O385" s="1137">
        <f t="shared" si="32"/>
        <v>2.2674310152701197E-3</v>
      </c>
      <c r="P385" s="1138"/>
    </row>
    <row r="386" spans="1:16" x14ac:dyDescent="0.2">
      <c r="A386" s="717">
        <v>43191</v>
      </c>
      <c r="B386" s="533">
        <v>2.2783359999999999</v>
      </c>
      <c r="F386" s="1137">
        <f t="shared" si="31"/>
        <v>-1.4379303582262843E-2</v>
      </c>
      <c r="G386" s="1138"/>
      <c r="H386" s="520">
        <v>9541.9699999999993</v>
      </c>
      <c r="I386" s="512">
        <v>43614</v>
      </c>
      <c r="J386" s="254">
        <f t="shared" si="28"/>
        <v>-1.434788402282039E-2</v>
      </c>
      <c r="L386" s="251">
        <f t="shared" si="29"/>
        <v>43614</v>
      </c>
      <c r="M386" s="513">
        <v>174</v>
      </c>
      <c r="N386" s="254">
        <f t="shared" si="30"/>
        <v>-5.0995364057812909E-2</v>
      </c>
      <c r="O386" s="1137">
        <f t="shared" si="32"/>
        <v>-5.1026783617255364E-2</v>
      </c>
      <c r="P386" s="1138"/>
    </row>
    <row r="387" spans="1:16" x14ac:dyDescent="0.2">
      <c r="A387" s="717">
        <v>43198</v>
      </c>
      <c r="B387" s="533">
        <v>2.2578480000000001</v>
      </c>
      <c r="F387" s="1137">
        <f t="shared" si="31"/>
        <v>-3.3352527884476365E-3</v>
      </c>
      <c r="G387" s="1138"/>
      <c r="H387" s="520">
        <v>9680.8700000000008</v>
      </c>
      <c r="I387" s="512">
        <v>43613</v>
      </c>
      <c r="J387" s="254">
        <f t="shared" si="28"/>
        <v>-3.3038332290051819E-3</v>
      </c>
      <c r="L387" s="251">
        <f t="shared" si="29"/>
        <v>43613</v>
      </c>
      <c r="M387" s="513">
        <v>183.35</v>
      </c>
      <c r="N387" s="254">
        <f t="shared" si="30"/>
        <v>1.3823610727121904E-2</v>
      </c>
      <c r="O387" s="1137">
        <f t="shared" si="32"/>
        <v>1.3792191167679451E-2</v>
      </c>
      <c r="P387" s="1138"/>
    </row>
    <row r="388" spans="1:16" x14ac:dyDescent="0.2">
      <c r="A388" s="717">
        <v>43205</v>
      </c>
      <c r="B388" s="533">
        <v>2.300087</v>
      </c>
      <c r="F388" s="1137">
        <f t="shared" si="31"/>
        <v>4.7343324042190141E-3</v>
      </c>
      <c r="G388" s="1138"/>
      <c r="H388" s="520">
        <v>9712.9599999999991</v>
      </c>
      <c r="I388" s="512">
        <v>43612</v>
      </c>
      <c r="J388" s="254">
        <f t="shared" si="28"/>
        <v>4.7657519636614687E-3</v>
      </c>
      <c r="L388" s="251">
        <f t="shared" si="29"/>
        <v>43612</v>
      </c>
      <c r="M388" s="513">
        <v>180.85</v>
      </c>
      <c r="N388" s="254">
        <f t="shared" si="30"/>
        <v>5.5325034578146415E-4</v>
      </c>
      <c r="O388" s="1137">
        <f t="shared" si="32"/>
        <v>5.2183078633900968E-4</v>
      </c>
      <c r="P388" s="1138"/>
    </row>
    <row r="389" spans="1:16" x14ac:dyDescent="0.2">
      <c r="A389" s="717">
        <v>43212</v>
      </c>
      <c r="B389" s="533">
        <v>2.3979409999999999</v>
      </c>
      <c r="F389" s="1137">
        <f t="shared" si="31"/>
        <v>7.5334808867594952E-3</v>
      </c>
      <c r="G389" s="1138"/>
      <c r="H389" s="520">
        <v>9666.89</v>
      </c>
      <c r="I389" s="512">
        <v>43609</v>
      </c>
      <c r="J389" s="254">
        <f t="shared" si="28"/>
        <v>7.5649004462019498E-3</v>
      </c>
      <c r="L389" s="251">
        <f t="shared" si="29"/>
        <v>43609</v>
      </c>
      <c r="M389" s="513">
        <v>180.75</v>
      </c>
      <c r="N389" s="254">
        <f t="shared" si="30"/>
        <v>9.2127303182580889E-3</v>
      </c>
      <c r="O389" s="1137">
        <f t="shared" si="32"/>
        <v>9.1813107588156351E-3</v>
      </c>
      <c r="P389" s="1138"/>
    </row>
    <row r="390" spans="1:16" x14ac:dyDescent="0.2">
      <c r="A390" s="717">
        <v>43219</v>
      </c>
      <c r="B390" s="533">
        <v>2.4615610000000001</v>
      </c>
      <c r="F390" s="1137">
        <f t="shared" si="31"/>
        <v>-5.2911178084908269E-3</v>
      </c>
      <c r="G390" s="1138"/>
      <c r="H390" s="520">
        <v>9594.31</v>
      </c>
      <c r="I390" s="512">
        <v>43608</v>
      </c>
      <c r="J390" s="254">
        <f t="shared" si="28"/>
        <v>-5.2596982490483724E-3</v>
      </c>
      <c r="L390" s="251">
        <f t="shared" si="29"/>
        <v>43608</v>
      </c>
      <c r="M390" s="513">
        <v>179.1</v>
      </c>
      <c r="N390" s="254">
        <f t="shared" si="30"/>
        <v>-6.930967563071766E-3</v>
      </c>
      <c r="O390" s="1137">
        <f t="shared" si="32"/>
        <v>-6.9623871225142206E-3</v>
      </c>
      <c r="P390" s="1138"/>
    </row>
    <row r="391" spans="1:16" x14ac:dyDescent="0.2">
      <c r="A391" s="717">
        <v>43226</v>
      </c>
      <c r="B391" s="533">
        <v>2.424992</v>
      </c>
      <c r="F391" s="1137">
        <f t="shared" si="31"/>
        <v>2.1381204315801964E-3</v>
      </c>
      <c r="G391" s="1138"/>
      <c r="H391" s="520">
        <v>9645.0400000000009</v>
      </c>
      <c r="I391" s="512">
        <v>43607</v>
      </c>
      <c r="J391" s="254">
        <f t="shared" si="28"/>
        <v>2.1695399910226509E-3</v>
      </c>
      <c r="L391" s="251">
        <f t="shared" si="29"/>
        <v>43607</v>
      </c>
      <c r="M391" s="513">
        <v>180.35</v>
      </c>
      <c r="N391" s="254">
        <f t="shared" si="30"/>
        <v>1.8926553672316437E-2</v>
      </c>
      <c r="O391" s="1137">
        <f t="shared" si="32"/>
        <v>1.8895134112873982E-2</v>
      </c>
      <c r="P391" s="1138"/>
    </row>
    <row r="392" spans="1:16" x14ac:dyDescent="0.2">
      <c r="A392" s="717">
        <v>43233</v>
      </c>
      <c r="B392" s="533">
        <v>2.4230870000000002</v>
      </c>
      <c r="F392" s="1137">
        <f t="shared" si="31"/>
        <v>4.360111298158346E-3</v>
      </c>
      <c r="G392" s="1138"/>
      <c r="H392" s="520">
        <v>9624.16</v>
      </c>
      <c r="I392" s="512">
        <v>43606</v>
      </c>
      <c r="J392" s="254">
        <f t="shared" si="28"/>
        <v>4.3915308576008005E-3</v>
      </c>
      <c r="L392" s="251">
        <f t="shared" si="29"/>
        <v>43606</v>
      </c>
      <c r="M392" s="513">
        <v>177</v>
      </c>
      <c r="N392" s="254">
        <f t="shared" si="30"/>
        <v>5.4198927933293506E-2</v>
      </c>
      <c r="O392" s="1137">
        <f t="shared" si="32"/>
        <v>5.416750837385105E-2</v>
      </c>
      <c r="P392" s="1138"/>
    </row>
    <row r="393" spans="1:16" x14ac:dyDescent="0.2">
      <c r="A393" s="717">
        <v>43240</v>
      </c>
      <c r="B393" s="533">
        <v>2.4967160000000002</v>
      </c>
      <c r="F393" s="1137">
        <f t="shared" si="31"/>
        <v>-8.0031932687398121E-3</v>
      </c>
      <c r="G393" s="1138"/>
      <c r="H393" s="520">
        <v>9582.08</v>
      </c>
      <c r="I393" s="512">
        <v>43605</v>
      </c>
      <c r="J393" s="254">
        <f t="shared" si="28"/>
        <v>-7.9717737092973584E-3</v>
      </c>
      <c r="L393" s="251">
        <f t="shared" si="29"/>
        <v>43605</v>
      </c>
      <c r="M393" s="513">
        <v>167.9</v>
      </c>
      <c r="N393" s="254">
        <f t="shared" si="30"/>
        <v>-2.2985161478033089E-2</v>
      </c>
      <c r="O393" s="1137">
        <f t="shared" si="32"/>
        <v>-2.3016581037475545E-2</v>
      </c>
      <c r="P393" s="1138"/>
    </row>
    <row r="394" spans="1:16" x14ac:dyDescent="0.2">
      <c r="A394" s="717">
        <v>43247</v>
      </c>
      <c r="B394" s="533">
        <v>2.4249160000000001</v>
      </c>
      <c r="F394" s="1137">
        <f t="shared" si="31"/>
        <v>-1.8772471264742643E-4</v>
      </c>
      <c r="G394" s="1138"/>
      <c r="H394" s="520">
        <v>9659.08</v>
      </c>
      <c r="I394" s="512">
        <v>43602</v>
      </c>
      <c r="J394" s="254">
        <f t="shared" si="28"/>
        <v>-1.5630515320497196E-4</v>
      </c>
      <c r="L394" s="251">
        <f t="shared" si="29"/>
        <v>43602</v>
      </c>
      <c r="M394" s="513">
        <v>171.85</v>
      </c>
      <c r="N394" s="254">
        <f t="shared" si="30"/>
        <v>-8.3669936526256095E-3</v>
      </c>
      <c r="O394" s="1137">
        <f t="shared" si="32"/>
        <v>-8.3984132120680632E-3</v>
      </c>
      <c r="P394" s="1138"/>
    </row>
    <row r="395" spans="1:16" x14ac:dyDescent="0.2">
      <c r="A395" s="717">
        <v>43254</v>
      </c>
      <c r="B395" s="533">
        <v>2.3278129999999999</v>
      </c>
      <c r="F395" s="1137">
        <f t="shared" si="31"/>
        <v>1.8936469090834421E-2</v>
      </c>
      <c r="G395" s="1138"/>
      <c r="H395" s="520">
        <v>9660.59</v>
      </c>
      <c r="I395" s="512">
        <v>43601</v>
      </c>
      <c r="J395" s="254">
        <f t="shared" si="28"/>
        <v>1.8967888650276876E-2</v>
      </c>
      <c r="L395" s="251">
        <f t="shared" si="29"/>
        <v>43601</v>
      </c>
      <c r="M395" s="513">
        <v>173.3</v>
      </c>
      <c r="N395" s="254">
        <f t="shared" si="30"/>
        <v>3.0933967876264123E-2</v>
      </c>
      <c r="O395" s="1137">
        <f t="shared" si="32"/>
        <v>3.0902548316821668E-2</v>
      </c>
      <c r="P395" s="1138"/>
    </row>
    <row r="396" spans="1:16" x14ac:dyDescent="0.2">
      <c r="A396" s="717">
        <v>43261</v>
      </c>
      <c r="B396" s="533">
        <v>2.4065560000000001</v>
      </c>
      <c r="F396" s="1137">
        <f t="shared" si="31"/>
        <v>8.1224881061665189E-3</v>
      </c>
      <c r="G396" s="1138"/>
      <c r="H396" s="520">
        <v>9480.76</v>
      </c>
      <c r="I396" s="512">
        <v>43600</v>
      </c>
      <c r="J396" s="254">
        <f t="shared" si="28"/>
        <v>8.1539076656089726E-3</v>
      </c>
      <c r="L396" s="251">
        <f t="shared" si="29"/>
        <v>43600</v>
      </c>
      <c r="M396" s="513">
        <v>168.1</v>
      </c>
      <c r="N396" s="254">
        <f t="shared" si="30"/>
        <v>5.3827751196171558E-3</v>
      </c>
      <c r="O396" s="1137">
        <f t="shared" si="32"/>
        <v>5.3513555601747012E-3</v>
      </c>
      <c r="P396" s="1138"/>
    </row>
    <row r="397" spans="1:16" x14ac:dyDescent="0.2">
      <c r="A397" s="717">
        <v>43268</v>
      </c>
      <c r="B397" s="533">
        <v>2.4113030000000002</v>
      </c>
      <c r="F397" s="1137">
        <f t="shared" si="31"/>
        <v>4.3367545010796907E-3</v>
      </c>
      <c r="G397" s="1138"/>
      <c r="H397" s="520">
        <v>9404.08</v>
      </c>
      <c r="I397" s="512">
        <v>43599</v>
      </c>
      <c r="J397" s="254">
        <f t="shared" si="28"/>
        <v>4.3681740605221453E-3</v>
      </c>
      <c r="L397" s="251">
        <f t="shared" si="29"/>
        <v>43599</v>
      </c>
      <c r="M397" s="513">
        <v>167.2</v>
      </c>
      <c r="N397" s="254">
        <f t="shared" si="30"/>
        <v>3.9477774323904313E-2</v>
      </c>
      <c r="O397" s="1137">
        <f t="shared" si="32"/>
        <v>3.9446354764461858E-2</v>
      </c>
      <c r="P397" s="1138"/>
    </row>
    <row r="398" spans="1:16" x14ac:dyDescent="0.2">
      <c r="A398" s="717">
        <v>43275</v>
      </c>
      <c r="B398" s="533">
        <v>2.3588689999999999</v>
      </c>
      <c r="F398" s="1137">
        <f t="shared" si="31"/>
        <v>-1.160662992424359E-2</v>
      </c>
      <c r="G398" s="1138"/>
      <c r="H398" s="520">
        <v>9363.18</v>
      </c>
      <c r="I398" s="512">
        <v>43598</v>
      </c>
      <c r="J398" s="254">
        <f t="shared" si="28"/>
        <v>-1.1575210364801136E-2</v>
      </c>
      <c r="L398" s="251">
        <f t="shared" si="29"/>
        <v>43598</v>
      </c>
      <c r="M398" s="513">
        <v>160.85</v>
      </c>
      <c r="N398" s="254">
        <f t="shared" si="30"/>
        <v>-2.3079259034315291E-2</v>
      </c>
      <c r="O398" s="1137">
        <f t="shared" si="32"/>
        <v>-2.3110678593757747E-2</v>
      </c>
      <c r="P398" s="1138"/>
    </row>
    <row r="399" spans="1:16" x14ac:dyDescent="0.2">
      <c r="A399" s="717">
        <v>43282</v>
      </c>
      <c r="B399" s="533">
        <v>2.336004</v>
      </c>
      <c r="F399" s="1137">
        <f t="shared" si="31"/>
        <v>4.4785111956768412E-3</v>
      </c>
      <c r="G399" s="1138"/>
      <c r="H399" s="520">
        <v>9472.83</v>
      </c>
      <c r="I399" s="512">
        <v>43595</v>
      </c>
      <c r="J399" s="254">
        <f t="shared" si="28"/>
        <v>4.5099307551192958E-3</v>
      </c>
      <c r="L399" s="251">
        <f t="shared" si="29"/>
        <v>43595</v>
      </c>
      <c r="M399" s="513">
        <v>164.65</v>
      </c>
      <c r="N399" s="254">
        <f t="shared" si="30"/>
        <v>1.0742786985880937E-2</v>
      </c>
      <c r="O399" s="1137">
        <f t="shared" si="32"/>
        <v>1.0711367426438483E-2</v>
      </c>
      <c r="P399" s="1138"/>
    </row>
    <row r="400" spans="1:16" x14ac:dyDescent="0.2">
      <c r="A400" s="717">
        <v>43289</v>
      </c>
      <c r="B400" s="533">
        <v>2.302435</v>
      </c>
      <c r="F400" s="1137">
        <f t="shared" si="31"/>
        <v>-1.995043813777779E-2</v>
      </c>
      <c r="G400" s="1138"/>
      <c r="H400" s="520">
        <v>9430.2999999999993</v>
      </c>
      <c r="I400" s="512">
        <v>43594</v>
      </c>
      <c r="J400" s="254">
        <f t="shared" si="28"/>
        <v>-1.9919018578335335E-2</v>
      </c>
      <c r="L400" s="251">
        <f t="shared" si="29"/>
        <v>43594</v>
      </c>
      <c r="M400" s="513">
        <v>162.9</v>
      </c>
      <c r="N400" s="254">
        <f t="shared" si="30"/>
        <v>-2.3966446974236111E-2</v>
      </c>
      <c r="O400" s="1137">
        <f t="shared" si="32"/>
        <v>-2.3997866533678566E-2</v>
      </c>
      <c r="P400" s="1138"/>
    </row>
    <row r="401" spans="1:16" x14ac:dyDescent="0.2">
      <c r="A401" s="717">
        <v>43296</v>
      </c>
      <c r="B401" s="533">
        <v>2.304081</v>
      </c>
      <c r="F401" s="1137">
        <f t="shared" si="31"/>
        <v>4.6232981190876413E-3</v>
      </c>
      <c r="G401" s="1138"/>
      <c r="H401" s="520">
        <v>9621.9599999999991</v>
      </c>
      <c r="I401" s="512">
        <v>43593</v>
      </c>
      <c r="J401" s="254">
        <f t="shared" si="28"/>
        <v>4.6547176785300959E-3</v>
      </c>
      <c r="L401" s="251">
        <f t="shared" si="29"/>
        <v>43593</v>
      </c>
      <c r="M401" s="513">
        <v>166.9</v>
      </c>
      <c r="N401" s="254">
        <f t="shared" si="30"/>
        <v>1.4898145332927992E-2</v>
      </c>
      <c r="O401" s="1137">
        <f t="shared" si="32"/>
        <v>1.4866725773485539E-2</v>
      </c>
      <c r="P401" s="1138"/>
    </row>
    <row r="402" spans="1:16" x14ac:dyDescent="0.2">
      <c r="A402" s="717">
        <v>43303</v>
      </c>
      <c r="B402" s="533">
        <v>2.3223319999999998</v>
      </c>
      <c r="F402" s="1137">
        <f t="shared" si="31"/>
        <v>-8.3008630029108143E-3</v>
      </c>
      <c r="G402" s="1138"/>
      <c r="H402" s="520">
        <v>9577.3799999999992</v>
      </c>
      <c r="I402" s="512">
        <v>43592</v>
      </c>
      <c r="J402" s="254">
        <f t="shared" si="28"/>
        <v>-8.2694434434683606E-3</v>
      </c>
      <c r="L402" s="251">
        <f t="shared" si="29"/>
        <v>43592</v>
      </c>
      <c r="M402" s="513">
        <v>164.45</v>
      </c>
      <c r="N402" s="254">
        <f t="shared" si="30"/>
        <v>-1.5269461077844326E-2</v>
      </c>
      <c r="O402" s="1137">
        <f t="shared" si="32"/>
        <v>-1.530088063728678E-2</v>
      </c>
      <c r="P402" s="1138"/>
    </row>
    <row r="403" spans="1:16" x14ac:dyDescent="0.2">
      <c r="A403" s="717">
        <v>43310</v>
      </c>
      <c r="B403" s="533">
        <v>2.3792710000000001</v>
      </c>
      <c r="F403" s="1137">
        <f t="shared" si="31"/>
        <v>-8.7308741883222307E-3</v>
      </c>
      <c r="G403" s="1138"/>
      <c r="H403" s="520">
        <v>9657.24</v>
      </c>
      <c r="I403" s="512">
        <v>43591</v>
      </c>
      <c r="J403" s="254">
        <f t="shared" si="28"/>
        <v>-8.6994546288797769E-3</v>
      </c>
      <c r="L403" s="251">
        <f t="shared" si="29"/>
        <v>43591</v>
      </c>
      <c r="M403" s="513">
        <v>167</v>
      </c>
      <c r="N403" s="254">
        <f t="shared" si="30"/>
        <v>-5.9523809523809312E-3</v>
      </c>
      <c r="O403" s="1137">
        <f t="shared" si="32"/>
        <v>-5.9838005118233858E-3</v>
      </c>
      <c r="P403" s="1138"/>
    </row>
    <row r="404" spans="1:16" x14ac:dyDescent="0.2">
      <c r="A404" s="717">
        <v>43317</v>
      </c>
      <c r="B404" s="533">
        <v>2.3922150000000002</v>
      </c>
      <c r="F404" s="1137">
        <f t="shared" si="31"/>
        <v>-4.4902421198915368E-4</v>
      </c>
      <c r="G404" s="1138"/>
      <c r="H404" s="520">
        <v>9741.99</v>
      </c>
      <c r="I404" s="512">
        <v>43588</v>
      </c>
      <c r="J404" s="254">
        <f t="shared" si="28"/>
        <v>-4.1760465254669921E-4</v>
      </c>
      <c r="L404" s="251">
        <f t="shared" si="29"/>
        <v>43588</v>
      </c>
      <c r="M404" s="513">
        <v>168</v>
      </c>
      <c r="N404" s="254">
        <f t="shared" si="30"/>
        <v>-7.0921985815601829E-3</v>
      </c>
      <c r="O404" s="1137">
        <f t="shared" si="32"/>
        <v>-7.1236181410026375E-3</v>
      </c>
      <c r="P404" s="1138"/>
    </row>
    <row r="405" spans="1:16" x14ac:dyDescent="0.2">
      <c r="A405" s="717">
        <v>43324</v>
      </c>
      <c r="B405" s="533">
        <v>2.3512740000000001</v>
      </c>
      <c r="F405" s="1137">
        <f t="shared" si="31"/>
        <v>-2.4552302237999387E-3</v>
      </c>
      <c r="G405" s="1138"/>
      <c r="H405" s="520">
        <v>9746.06</v>
      </c>
      <c r="I405" s="512">
        <v>43587</v>
      </c>
      <c r="J405" s="254">
        <f t="shared" si="28"/>
        <v>-2.4238106643574842E-3</v>
      </c>
      <c r="L405" s="251">
        <f t="shared" si="29"/>
        <v>43587</v>
      </c>
      <c r="M405" s="513">
        <v>169.2</v>
      </c>
      <c r="N405" s="254">
        <f t="shared" si="30"/>
        <v>-1.1806375442739991E-3</v>
      </c>
      <c r="O405" s="1137">
        <f t="shared" si="32"/>
        <v>-1.2120571037164537E-3</v>
      </c>
      <c r="P405" s="1138"/>
    </row>
    <row r="406" spans="1:16" x14ac:dyDescent="0.2">
      <c r="A406" s="717">
        <v>43331</v>
      </c>
      <c r="B406" s="533">
        <v>2.3253159999999999</v>
      </c>
      <c r="F406" s="1137">
        <f t="shared" si="31"/>
        <v>2.9725391777039737E-3</v>
      </c>
      <c r="G406" s="1138"/>
      <c r="H406" s="520">
        <v>9769.74</v>
      </c>
      <c r="I406" s="512">
        <v>43585</v>
      </c>
      <c r="J406" s="254">
        <f t="shared" si="28"/>
        <v>3.0039587371464282E-3</v>
      </c>
      <c r="L406" s="251">
        <f t="shared" si="29"/>
        <v>43585</v>
      </c>
      <c r="M406" s="513">
        <v>169.4</v>
      </c>
      <c r="N406" s="254">
        <f t="shared" si="30"/>
        <v>8.6335218815125625E-3</v>
      </c>
      <c r="O406" s="1137">
        <f t="shared" si="32"/>
        <v>8.6021023220701088E-3</v>
      </c>
      <c r="P406" s="1138"/>
    </row>
    <row r="407" spans="1:16" x14ac:dyDescent="0.2">
      <c r="A407" s="717">
        <v>43338</v>
      </c>
      <c r="B407" s="533">
        <v>2.3069039999999998</v>
      </c>
      <c r="F407" s="1137">
        <f t="shared" si="31"/>
        <v>1.6355436161994011E-3</v>
      </c>
      <c r="G407" s="1138"/>
      <c r="H407" s="520">
        <v>9740.48</v>
      </c>
      <c r="I407" s="512">
        <v>43584</v>
      </c>
      <c r="J407" s="254">
        <f t="shared" si="28"/>
        <v>1.6669631756418557E-3</v>
      </c>
      <c r="L407" s="251">
        <f t="shared" si="29"/>
        <v>43584</v>
      </c>
      <c r="M407" s="513">
        <v>167.95</v>
      </c>
      <c r="N407" s="254">
        <f t="shared" si="30"/>
        <v>-1.2349309026757016E-2</v>
      </c>
      <c r="O407" s="1137">
        <f t="shared" si="32"/>
        <v>-1.238072858619947E-2</v>
      </c>
      <c r="P407" s="1138"/>
    </row>
    <row r="408" spans="1:16" x14ac:dyDescent="0.2">
      <c r="A408" s="717">
        <v>43345</v>
      </c>
      <c r="B408" s="533">
        <v>2.32938</v>
      </c>
      <c r="F408" s="1137">
        <f t="shared" si="31"/>
        <v>3.0849217877330784E-3</v>
      </c>
      <c r="G408" s="1138"/>
      <c r="H408" s="520">
        <v>9724.27</v>
      </c>
      <c r="I408" s="512">
        <v>43581</v>
      </c>
      <c r="J408" s="254">
        <f t="shared" si="28"/>
        <v>3.116341347175533E-3</v>
      </c>
      <c r="L408" s="251">
        <f t="shared" si="29"/>
        <v>43581</v>
      </c>
      <c r="M408" s="513">
        <v>170.05</v>
      </c>
      <c r="N408" s="254">
        <f t="shared" si="30"/>
        <v>1.5223880597015071E-2</v>
      </c>
      <c r="O408" s="1137">
        <f t="shared" si="32"/>
        <v>1.5192461037572618E-2</v>
      </c>
      <c r="P408" s="1138"/>
    </row>
    <row r="409" spans="1:16" x14ac:dyDescent="0.2">
      <c r="A409" s="717">
        <v>43352</v>
      </c>
      <c r="B409" s="533">
        <v>2.3688400000000001</v>
      </c>
      <c r="F409" s="1137">
        <f t="shared" si="31"/>
        <v>3.9444826824525806E-3</v>
      </c>
      <c r="G409" s="1138"/>
      <c r="H409" s="520">
        <v>9694.06</v>
      </c>
      <c r="I409" s="512">
        <v>43580</v>
      </c>
      <c r="J409" s="254">
        <f t="shared" si="28"/>
        <v>3.9759022418950352E-3</v>
      </c>
      <c r="L409" s="251">
        <f t="shared" si="29"/>
        <v>43580</v>
      </c>
      <c r="M409" s="513">
        <v>167.5</v>
      </c>
      <c r="N409" s="254">
        <f t="shared" si="30"/>
        <v>-4.4576523031203408E-3</v>
      </c>
      <c r="O409" s="1137">
        <f t="shared" si="32"/>
        <v>-4.4890718625627954E-3</v>
      </c>
      <c r="P409" s="1138"/>
    </row>
    <row r="410" spans="1:16" x14ac:dyDescent="0.2">
      <c r="A410" s="717">
        <v>43359</v>
      </c>
      <c r="B410" s="533">
        <v>2.4335640000000001</v>
      </c>
      <c r="F410" s="1137">
        <f t="shared" si="31"/>
        <v>2.1066033090992456E-3</v>
      </c>
      <c r="G410" s="1138"/>
      <c r="H410" s="520">
        <v>9655.67</v>
      </c>
      <c r="I410" s="512">
        <v>43579</v>
      </c>
      <c r="J410" s="254">
        <f t="shared" si="28"/>
        <v>2.1380228685417002E-3</v>
      </c>
      <c r="L410" s="251">
        <f t="shared" si="29"/>
        <v>43579</v>
      </c>
      <c r="M410" s="513">
        <v>168.25</v>
      </c>
      <c r="N410" s="254">
        <f t="shared" si="30"/>
        <v>3.2796660703637848E-3</v>
      </c>
      <c r="O410" s="1137">
        <f t="shared" si="32"/>
        <v>3.2482465109213302E-3</v>
      </c>
      <c r="P410" s="1138"/>
    </row>
    <row r="411" spans="1:16" x14ac:dyDescent="0.2">
      <c r="A411" s="717">
        <v>43366</v>
      </c>
      <c r="B411" s="533">
        <v>2.4797229999999999</v>
      </c>
      <c r="F411" s="1137">
        <f t="shared" si="31"/>
        <v>6.6396213318963984E-3</v>
      </c>
      <c r="G411" s="1138"/>
      <c r="H411" s="520">
        <v>9635.07</v>
      </c>
      <c r="I411" s="512">
        <v>43578</v>
      </c>
      <c r="J411" s="254">
        <f t="shared" si="28"/>
        <v>6.671040891338853E-3</v>
      </c>
      <c r="L411" s="251">
        <f t="shared" si="29"/>
        <v>43578</v>
      </c>
      <c r="M411" s="513">
        <v>167.7</v>
      </c>
      <c r="N411" s="254">
        <f t="shared" si="30"/>
        <v>1.0849909584086603E-2</v>
      </c>
      <c r="O411" s="1137">
        <f t="shared" si="32"/>
        <v>1.081849002464415E-2</v>
      </c>
      <c r="P411" s="1138"/>
    </row>
    <row r="412" spans="1:16" x14ac:dyDescent="0.2">
      <c r="A412" s="717">
        <v>43373</v>
      </c>
      <c r="B412" s="533">
        <v>2.4779550000000001</v>
      </c>
      <c r="F412" s="1137">
        <f t="shared" si="31"/>
        <v>-2.676106219301296E-3</v>
      </c>
      <c r="G412" s="1138"/>
      <c r="H412" s="520">
        <v>9571.2199999999993</v>
      </c>
      <c r="I412" s="512">
        <v>43573</v>
      </c>
      <c r="J412" s="254">
        <f t="shared" si="28"/>
        <v>-2.6446866598588414E-3</v>
      </c>
      <c r="L412" s="251">
        <f t="shared" si="29"/>
        <v>43573</v>
      </c>
      <c r="M412" s="513">
        <v>165.9</v>
      </c>
      <c r="N412" s="254">
        <f t="shared" si="30"/>
        <v>1.127704967997567E-2</v>
      </c>
      <c r="O412" s="1137">
        <f t="shared" si="32"/>
        <v>1.1245630120533217E-2</v>
      </c>
      <c r="P412" s="1138"/>
    </row>
    <row r="413" spans="1:16" x14ac:dyDescent="0.2">
      <c r="A413" s="717">
        <v>43380</v>
      </c>
      <c r="B413" s="533">
        <v>2.537585</v>
      </c>
      <c r="F413" s="1137">
        <f t="shared" si="31"/>
        <v>1.7170420553009472E-3</v>
      </c>
      <c r="G413" s="1138"/>
      <c r="H413" s="520">
        <v>9596.6</v>
      </c>
      <c r="I413" s="512">
        <v>43572</v>
      </c>
      <c r="J413" s="254">
        <f t="shared" ref="J413:J476" si="33">H413/H414-1</f>
        <v>1.7484616147434018E-3</v>
      </c>
      <c r="L413" s="251">
        <f t="shared" ref="L413:L476" si="34">I413</f>
        <v>43572</v>
      </c>
      <c r="M413" s="513">
        <v>164.05</v>
      </c>
      <c r="N413" s="254">
        <f t="shared" ref="N413:N476" si="35">M413/M414-1</f>
        <v>3.4037188780334127E-2</v>
      </c>
      <c r="O413" s="1137">
        <f t="shared" si="32"/>
        <v>3.4005769220891671E-2</v>
      </c>
      <c r="P413" s="1138"/>
    </row>
    <row r="414" spans="1:16" x14ac:dyDescent="0.2">
      <c r="A414" s="717">
        <v>43387</v>
      </c>
      <c r="B414" s="533">
        <v>2.530437</v>
      </c>
      <c r="F414" s="1137">
        <f t="shared" ref="F414:F477" si="36">J414-$I$19</f>
        <v>6.9206527656548592E-3</v>
      </c>
      <c r="G414" s="1138"/>
      <c r="H414" s="520">
        <v>9579.85</v>
      </c>
      <c r="I414" s="512">
        <v>43571</v>
      </c>
      <c r="J414" s="254">
        <f t="shared" si="33"/>
        <v>6.9520723250973138E-3</v>
      </c>
      <c r="L414" s="251">
        <f t="shared" si="34"/>
        <v>43571</v>
      </c>
      <c r="M414" s="513">
        <v>158.65</v>
      </c>
      <c r="N414" s="254">
        <f t="shared" si="35"/>
        <v>-5.9523809523809312E-3</v>
      </c>
      <c r="O414" s="1137">
        <f t="shared" ref="O414:O477" si="37">N414-$I$19</f>
        <v>-5.9838005118233858E-3</v>
      </c>
      <c r="P414" s="1138"/>
    </row>
    <row r="415" spans="1:16" x14ac:dyDescent="0.2">
      <c r="A415" s="717">
        <v>43394</v>
      </c>
      <c r="B415" s="533">
        <v>2.5084059999999999</v>
      </c>
      <c r="F415" s="1137">
        <f t="shared" si="36"/>
        <v>3.0049824728381616E-3</v>
      </c>
      <c r="G415" s="1138"/>
      <c r="H415" s="520">
        <v>9513.7099999999991</v>
      </c>
      <c r="I415" s="512">
        <v>43570</v>
      </c>
      <c r="J415" s="254">
        <f t="shared" si="33"/>
        <v>3.0364020322806162E-3</v>
      </c>
      <c r="L415" s="251">
        <f t="shared" si="34"/>
        <v>43570</v>
      </c>
      <c r="M415" s="513">
        <v>159.6</v>
      </c>
      <c r="N415" s="254">
        <f t="shared" si="35"/>
        <v>1.1727416798732238E-2</v>
      </c>
      <c r="O415" s="1137">
        <f t="shared" si="37"/>
        <v>1.1695997239289784E-2</v>
      </c>
      <c r="P415" s="1138"/>
    </row>
    <row r="416" spans="1:16" x14ac:dyDescent="0.2">
      <c r="A416" s="717">
        <v>43401</v>
      </c>
      <c r="B416" s="533">
        <v>2.4523649999999999</v>
      </c>
      <c r="F416" s="1137">
        <f t="shared" si="36"/>
        <v>-6.7701616190366928E-3</v>
      </c>
      <c r="G416" s="1138"/>
      <c r="H416" s="520">
        <v>9484.91</v>
      </c>
      <c r="I416" s="512">
        <v>43567</v>
      </c>
      <c r="J416" s="254">
        <f t="shared" si="33"/>
        <v>-6.7387420595942382E-3</v>
      </c>
      <c r="L416" s="251">
        <f t="shared" si="34"/>
        <v>43567</v>
      </c>
      <c r="M416" s="513">
        <v>157.75</v>
      </c>
      <c r="N416" s="254">
        <f t="shared" si="35"/>
        <v>1.1217948717948678E-2</v>
      </c>
      <c r="O416" s="1137">
        <f t="shared" si="37"/>
        <v>1.1186529158506224E-2</v>
      </c>
      <c r="P416" s="1138"/>
    </row>
    <row r="417" spans="1:16" x14ac:dyDescent="0.2">
      <c r="A417" s="717">
        <v>43408</v>
      </c>
      <c r="B417" s="533">
        <v>2.4484520000000001</v>
      </c>
      <c r="F417" s="1137">
        <f t="shared" si="36"/>
        <v>-7.6915201056630591E-4</v>
      </c>
      <c r="G417" s="1138"/>
      <c r="H417" s="520">
        <v>9549.26</v>
      </c>
      <c r="I417" s="512">
        <v>43566</v>
      </c>
      <c r="J417" s="254">
        <f t="shared" si="33"/>
        <v>-7.3773245112385144E-4</v>
      </c>
      <c r="L417" s="251">
        <f t="shared" si="34"/>
        <v>43566</v>
      </c>
      <c r="M417" s="513">
        <v>156</v>
      </c>
      <c r="N417" s="254">
        <f t="shared" si="35"/>
        <v>5.1546391752577136E-3</v>
      </c>
      <c r="O417" s="1137">
        <f t="shared" si="37"/>
        <v>5.1232196158152591E-3</v>
      </c>
      <c r="P417" s="1138"/>
    </row>
    <row r="418" spans="1:16" x14ac:dyDescent="0.2">
      <c r="A418" s="717">
        <v>43415</v>
      </c>
      <c r="B418" s="533">
        <v>2.4741870000000001</v>
      </c>
      <c r="F418" s="1137">
        <f t="shared" si="36"/>
        <v>-2.7353858637017411E-3</v>
      </c>
      <c r="G418" s="1138"/>
      <c r="H418" s="520">
        <v>9556.31</v>
      </c>
      <c r="I418" s="512">
        <v>43565</v>
      </c>
      <c r="J418" s="254">
        <f t="shared" si="33"/>
        <v>-2.7039663042592865E-3</v>
      </c>
      <c r="L418" s="251">
        <f t="shared" si="34"/>
        <v>43565</v>
      </c>
      <c r="M418" s="513">
        <v>155.19999999999999</v>
      </c>
      <c r="N418" s="254">
        <f t="shared" si="35"/>
        <v>1.1074918566775116E-2</v>
      </c>
      <c r="O418" s="1137">
        <f t="shared" si="37"/>
        <v>1.1043499007332662E-2</v>
      </c>
      <c r="P418" s="1138"/>
    </row>
    <row r="419" spans="1:16" x14ac:dyDescent="0.2">
      <c r="A419" s="717">
        <v>43422</v>
      </c>
      <c r="B419" s="533">
        <v>2.424464</v>
      </c>
      <c r="F419" s="1137">
        <f t="shared" si="36"/>
        <v>3.6230052902274804E-3</v>
      </c>
      <c r="G419" s="1138"/>
      <c r="H419" s="520">
        <v>9582.2199999999993</v>
      </c>
      <c r="I419" s="512">
        <v>43564</v>
      </c>
      <c r="J419" s="254">
        <f t="shared" si="33"/>
        <v>3.654424849669935E-3</v>
      </c>
      <c r="L419" s="251">
        <f t="shared" si="34"/>
        <v>43564</v>
      </c>
      <c r="M419" s="513">
        <v>153.5</v>
      </c>
      <c r="N419" s="254">
        <f t="shared" si="35"/>
        <v>-1.4762516046213148E-2</v>
      </c>
      <c r="O419" s="1137">
        <f t="shared" si="37"/>
        <v>-1.4793935605655601E-2</v>
      </c>
      <c r="P419" s="1138"/>
    </row>
    <row r="420" spans="1:16" x14ac:dyDescent="0.2">
      <c r="A420" s="717">
        <v>43429</v>
      </c>
      <c r="B420" s="533">
        <v>2.3736160000000002</v>
      </c>
      <c r="F420" s="1137">
        <f t="shared" si="36"/>
        <v>6.1630110316120243E-4</v>
      </c>
      <c r="G420" s="1138"/>
      <c r="H420" s="520">
        <v>9547.33</v>
      </c>
      <c r="I420" s="512">
        <v>43563</v>
      </c>
      <c r="J420" s="254">
        <f t="shared" si="33"/>
        <v>6.477206626036569E-4</v>
      </c>
      <c r="L420" s="251">
        <f t="shared" si="34"/>
        <v>43563</v>
      </c>
      <c r="M420" s="513">
        <v>155.80000000000001</v>
      </c>
      <c r="N420" s="254">
        <f t="shared" si="35"/>
        <v>1.5976524290838068E-2</v>
      </c>
      <c r="O420" s="1137">
        <f t="shared" si="37"/>
        <v>1.5945104731395612E-2</v>
      </c>
      <c r="P420" s="1138"/>
    </row>
    <row r="421" spans="1:16" x14ac:dyDescent="0.2">
      <c r="A421" s="717">
        <v>43436</v>
      </c>
      <c r="B421" s="533">
        <v>2.340357</v>
      </c>
      <c r="F421" s="1137">
        <f t="shared" si="36"/>
        <v>-2.3903367578936149E-3</v>
      </c>
      <c r="G421" s="1138"/>
      <c r="H421" s="520">
        <v>9541.15</v>
      </c>
      <c r="I421" s="512">
        <v>43560</v>
      </c>
      <c r="J421" s="254">
        <f t="shared" si="33"/>
        <v>-2.3589171984511603E-3</v>
      </c>
      <c r="L421" s="251">
        <f t="shared" si="34"/>
        <v>43560</v>
      </c>
      <c r="M421" s="513">
        <v>153.35</v>
      </c>
      <c r="N421" s="254">
        <f t="shared" si="35"/>
        <v>1.5562913907284814E-2</v>
      </c>
      <c r="O421" s="1137">
        <f t="shared" si="37"/>
        <v>1.5531494347842361E-2</v>
      </c>
      <c r="P421" s="1138"/>
    </row>
    <row r="422" spans="1:16" x14ac:dyDescent="0.2">
      <c r="A422" s="717">
        <v>43443</v>
      </c>
      <c r="B422" s="533">
        <v>2.2262659999999999</v>
      </c>
      <c r="F422" s="1137">
        <f t="shared" si="36"/>
        <v>-6.9807995657571078E-4</v>
      </c>
      <c r="G422" s="1138"/>
      <c r="H422" s="520">
        <v>9563.7099999999991</v>
      </c>
      <c r="I422" s="512">
        <v>43559</v>
      </c>
      <c r="J422" s="254">
        <f t="shared" si="33"/>
        <v>-6.6666039713325631E-4</v>
      </c>
      <c r="L422" s="251">
        <f t="shared" si="34"/>
        <v>43559</v>
      </c>
      <c r="M422" s="513">
        <v>151</v>
      </c>
      <c r="N422" s="254">
        <f t="shared" si="35"/>
        <v>-8.8611749261567896E-3</v>
      </c>
      <c r="O422" s="1137">
        <f t="shared" si="37"/>
        <v>-8.8925944855992433E-3</v>
      </c>
      <c r="P422" s="1138"/>
    </row>
    <row r="423" spans="1:16" x14ac:dyDescent="0.2">
      <c r="A423" s="717">
        <v>43450</v>
      </c>
      <c r="B423" s="533">
        <v>2.2273429999999999</v>
      </c>
      <c r="F423" s="1137">
        <f t="shared" si="36"/>
        <v>3.4834710144222162E-3</v>
      </c>
      <c r="G423" s="1138"/>
      <c r="H423" s="520">
        <v>9570.09</v>
      </c>
      <c r="I423" s="512">
        <v>43558</v>
      </c>
      <c r="J423" s="254">
        <f t="shared" si="33"/>
        <v>3.5148905738646707E-3</v>
      </c>
      <c r="L423" s="251">
        <f t="shared" si="34"/>
        <v>43558</v>
      </c>
      <c r="M423" s="513">
        <v>152.35</v>
      </c>
      <c r="N423" s="254">
        <f t="shared" si="35"/>
        <v>1.8722835172183094E-2</v>
      </c>
      <c r="O423" s="1137">
        <f t="shared" si="37"/>
        <v>1.8691415612740639E-2</v>
      </c>
      <c r="P423" s="1138"/>
    </row>
    <row r="424" spans="1:16" x14ac:dyDescent="0.2">
      <c r="A424" s="717">
        <v>43457</v>
      </c>
      <c r="B424" s="533">
        <v>2.160263</v>
      </c>
      <c r="F424" s="1137">
        <f t="shared" si="36"/>
        <v>-1.9287712283826044E-4</v>
      </c>
      <c r="G424" s="1138"/>
      <c r="H424" s="520">
        <v>9536.57</v>
      </c>
      <c r="I424" s="512">
        <v>43557</v>
      </c>
      <c r="J424" s="254">
        <f t="shared" si="33"/>
        <v>-1.6145756339580597E-4</v>
      </c>
      <c r="L424" s="251">
        <f t="shared" si="34"/>
        <v>43557</v>
      </c>
      <c r="M424" s="513">
        <v>149.55000000000001</v>
      </c>
      <c r="N424" s="254">
        <f t="shared" si="35"/>
        <v>4.3653458697112679E-3</v>
      </c>
      <c r="O424" s="1137">
        <f t="shared" si="37"/>
        <v>4.3339263102688133E-3</v>
      </c>
      <c r="P424" s="1138"/>
    </row>
    <row r="425" spans="1:16" x14ac:dyDescent="0.2">
      <c r="A425" s="717">
        <v>43464</v>
      </c>
      <c r="B425" s="533">
        <v>2.1357010000000001</v>
      </c>
      <c r="F425" s="1137">
        <f t="shared" si="36"/>
        <v>6.3276242733296276E-3</v>
      </c>
      <c r="G425" s="1138"/>
      <c r="H425" s="520">
        <v>9538.11</v>
      </c>
      <c r="I425" s="512">
        <v>43556</v>
      </c>
      <c r="J425" s="254">
        <f t="shared" si="33"/>
        <v>6.3590438327720822E-3</v>
      </c>
      <c r="L425" s="251">
        <f t="shared" si="34"/>
        <v>43556</v>
      </c>
      <c r="M425" s="513">
        <v>148.9</v>
      </c>
      <c r="N425" s="254">
        <f t="shared" si="35"/>
        <v>1.4305177111716638E-2</v>
      </c>
      <c r="O425" s="1137">
        <f t="shared" si="37"/>
        <v>1.4273757552274184E-2</v>
      </c>
      <c r="P425" s="1138"/>
    </row>
    <row r="426" spans="1:16" x14ac:dyDescent="0.2">
      <c r="A426" s="717">
        <v>43471</v>
      </c>
      <c r="B426" s="533">
        <v>2.095558</v>
      </c>
      <c r="F426" s="1137">
        <f t="shared" si="36"/>
        <v>7.6137574724936688E-3</v>
      </c>
      <c r="G426" s="1138"/>
      <c r="H426" s="520">
        <v>9477.84</v>
      </c>
      <c r="I426" s="512">
        <v>43553</v>
      </c>
      <c r="J426" s="254">
        <f t="shared" si="33"/>
        <v>7.6451770319361234E-3</v>
      </c>
      <c r="L426" s="251">
        <f t="shared" si="34"/>
        <v>43553</v>
      </c>
      <c r="M426" s="513">
        <v>146.80000000000001</v>
      </c>
      <c r="N426" s="254">
        <f t="shared" si="35"/>
        <v>2.8011204481792618E-2</v>
      </c>
      <c r="O426" s="1137">
        <f t="shared" si="37"/>
        <v>2.7979784922350162E-2</v>
      </c>
      <c r="P426" s="1138"/>
    </row>
    <row r="427" spans="1:16" x14ac:dyDescent="0.2">
      <c r="A427" s="717">
        <v>43478</v>
      </c>
      <c r="B427" s="533">
        <v>2.1336249999999999</v>
      </c>
      <c r="F427" s="1137">
        <f t="shared" si="36"/>
        <v>1.602130622175583E-3</v>
      </c>
      <c r="G427" s="1138"/>
      <c r="H427" s="520">
        <v>9405.93</v>
      </c>
      <c r="I427" s="512">
        <v>43552</v>
      </c>
      <c r="J427" s="254">
        <f t="shared" si="33"/>
        <v>1.6335501816180376E-3</v>
      </c>
      <c r="L427" s="251">
        <f t="shared" si="34"/>
        <v>43552</v>
      </c>
      <c r="M427" s="513">
        <v>142.80000000000001</v>
      </c>
      <c r="N427" s="254">
        <f t="shared" si="35"/>
        <v>1.7818959372772669E-2</v>
      </c>
      <c r="O427" s="1137">
        <f t="shared" si="37"/>
        <v>1.7787539813330214E-2</v>
      </c>
      <c r="P427" s="1138"/>
    </row>
    <row r="428" spans="1:16" x14ac:dyDescent="0.2">
      <c r="A428" s="717">
        <v>43485</v>
      </c>
      <c r="B428" s="533">
        <v>2.1817389999999999</v>
      </c>
      <c r="F428" s="1137">
        <f t="shared" si="36"/>
        <v>1.0597087434934079E-4</v>
      </c>
      <c r="G428" s="1138"/>
      <c r="H428" s="520">
        <v>9390.59</v>
      </c>
      <c r="I428" s="512">
        <v>43551</v>
      </c>
      <c r="J428" s="254">
        <f t="shared" si="33"/>
        <v>1.3739043379179527E-4</v>
      </c>
      <c r="L428" s="251">
        <f t="shared" si="34"/>
        <v>43551</v>
      </c>
      <c r="M428" s="513">
        <v>140.30000000000001</v>
      </c>
      <c r="N428" s="254">
        <f t="shared" si="35"/>
        <v>-9.8800282286519714E-3</v>
      </c>
      <c r="O428" s="1137">
        <f t="shared" si="37"/>
        <v>-9.9114477880944251E-3</v>
      </c>
      <c r="P428" s="1138"/>
    </row>
    <row r="429" spans="1:16" x14ac:dyDescent="0.2">
      <c r="A429" s="717">
        <v>43492</v>
      </c>
      <c r="B429" s="533">
        <v>2.1621069999999998</v>
      </c>
      <c r="F429" s="1137">
        <f t="shared" si="36"/>
        <v>8.9740073386285913E-3</v>
      </c>
      <c r="G429" s="1138"/>
      <c r="H429" s="520">
        <v>9389.2999999999993</v>
      </c>
      <c r="I429" s="512">
        <v>43550</v>
      </c>
      <c r="J429" s="254">
        <f t="shared" si="33"/>
        <v>9.005426898071045E-3</v>
      </c>
      <c r="L429" s="251">
        <f t="shared" si="34"/>
        <v>43550</v>
      </c>
      <c r="M429" s="513">
        <v>141.69999999999999</v>
      </c>
      <c r="N429" s="254">
        <f t="shared" si="35"/>
        <v>1.2142857142857011E-2</v>
      </c>
      <c r="O429" s="1137">
        <f t="shared" si="37"/>
        <v>1.2111437583414557E-2</v>
      </c>
      <c r="P429" s="1138"/>
    </row>
    <row r="430" spans="1:16" x14ac:dyDescent="0.2">
      <c r="A430" s="717">
        <v>43499</v>
      </c>
      <c r="B430" s="533">
        <v>2.1259679999999999</v>
      </c>
      <c r="F430" s="1137">
        <f t="shared" si="36"/>
        <v>-1.5250747439925902E-3</v>
      </c>
      <c r="G430" s="1138"/>
      <c r="H430" s="520">
        <v>9305.5</v>
      </c>
      <c r="I430" s="512">
        <v>43549</v>
      </c>
      <c r="J430" s="254">
        <f t="shared" si="33"/>
        <v>-1.4936551845501356E-3</v>
      </c>
      <c r="L430" s="251">
        <f t="shared" si="34"/>
        <v>43549</v>
      </c>
      <c r="M430" s="513">
        <v>140</v>
      </c>
      <c r="N430" s="254">
        <f t="shared" si="35"/>
        <v>-1.2693935119887256E-2</v>
      </c>
      <c r="O430" s="1137">
        <f t="shared" si="37"/>
        <v>-1.272535467932971E-2</v>
      </c>
      <c r="P430" s="1138"/>
    </row>
    <row r="431" spans="1:16" x14ac:dyDescent="0.2">
      <c r="A431" s="717">
        <v>43506</v>
      </c>
      <c r="B431" s="533">
        <v>2.0871770000000001</v>
      </c>
      <c r="F431" s="1137">
        <f t="shared" si="36"/>
        <v>-1.427187735266326E-2</v>
      </c>
      <c r="G431" s="1138"/>
      <c r="H431" s="520">
        <v>9319.42</v>
      </c>
      <c r="I431" s="512">
        <v>43546</v>
      </c>
      <c r="J431" s="254">
        <f t="shared" si="33"/>
        <v>-1.4240457793220807E-2</v>
      </c>
      <c r="L431" s="251">
        <f t="shared" si="34"/>
        <v>43546</v>
      </c>
      <c r="M431" s="513">
        <v>141.80000000000001</v>
      </c>
      <c r="N431" s="254">
        <f t="shared" si="35"/>
        <v>-8.3916083916083517E-3</v>
      </c>
      <c r="O431" s="1137">
        <f t="shared" si="37"/>
        <v>-8.4230279510508054E-3</v>
      </c>
      <c r="P431" s="1138"/>
    </row>
    <row r="432" spans="1:16" x14ac:dyDescent="0.2">
      <c r="A432" s="717">
        <v>43513</v>
      </c>
      <c r="B432" s="533">
        <v>2.0812759999999999</v>
      </c>
      <c r="F432" s="1137">
        <f t="shared" si="36"/>
        <v>-1.0109912108290783E-3</v>
      </c>
      <c r="G432" s="1138"/>
      <c r="H432" s="520">
        <v>9454.0499999999993</v>
      </c>
      <c r="I432" s="512">
        <v>43545</v>
      </c>
      <c r="J432" s="254">
        <f t="shared" si="33"/>
        <v>-9.7957165138662372E-4</v>
      </c>
      <c r="L432" s="251">
        <f t="shared" si="34"/>
        <v>43545</v>
      </c>
      <c r="M432" s="513">
        <v>143</v>
      </c>
      <c r="N432" s="254">
        <f t="shared" si="35"/>
        <v>2.8050490883591017E-3</v>
      </c>
      <c r="O432" s="1137">
        <f t="shared" si="37"/>
        <v>2.7736295289166471E-3</v>
      </c>
      <c r="P432" s="1138"/>
    </row>
    <row r="433" spans="1:16" x14ac:dyDescent="0.2">
      <c r="A433" s="717">
        <v>43520</v>
      </c>
      <c r="B433" s="533">
        <v>2.0850870000000001</v>
      </c>
      <c r="F433" s="1137">
        <f t="shared" si="36"/>
        <v>-6.6029633053484157E-3</v>
      </c>
      <c r="G433" s="1138"/>
      <c r="H433" s="520">
        <v>9463.32</v>
      </c>
      <c r="I433" s="512">
        <v>43544</v>
      </c>
      <c r="J433" s="254">
        <f t="shared" si="33"/>
        <v>-6.5715437459059611E-3</v>
      </c>
      <c r="L433" s="251">
        <f t="shared" si="34"/>
        <v>43544</v>
      </c>
      <c r="M433" s="513">
        <v>142.6</v>
      </c>
      <c r="N433" s="254">
        <f t="shared" si="35"/>
        <v>-1.4005602240897419E-3</v>
      </c>
      <c r="O433" s="1137">
        <f t="shared" si="37"/>
        <v>-1.4319797835321965E-3</v>
      </c>
      <c r="P433" s="1138"/>
    </row>
    <row r="434" spans="1:16" x14ac:dyDescent="0.2">
      <c r="A434" s="717">
        <v>43527</v>
      </c>
      <c r="B434" s="533">
        <v>2.120374</v>
      </c>
      <c r="F434" s="1137">
        <f t="shared" si="36"/>
        <v>3.021145848536703E-3</v>
      </c>
      <c r="G434" s="1138"/>
      <c r="H434" s="520">
        <v>9525.92</v>
      </c>
      <c r="I434" s="512">
        <v>43543</v>
      </c>
      <c r="J434" s="254">
        <f t="shared" si="33"/>
        <v>3.0525654079791575E-3</v>
      </c>
      <c r="L434" s="251">
        <f t="shared" si="34"/>
        <v>43543</v>
      </c>
      <c r="M434" s="513">
        <v>142.80000000000001</v>
      </c>
      <c r="N434" s="254">
        <f t="shared" si="35"/>
        <v>-4.1841004184099972E-3</v>
      </c>
      <c r="O434" s="1137">
        <f t="shared" si="37"/>
        <v>-4.2155199778524518E-3</v>
      </c>
      <c r="P434" s="1138"/>
    </row>
    <row r="435" spans="1:16" x14ac:dyDescent="0.2">
      <c r="A435" s="717">
        <v>43534</v>
      </c>
      <c r="B435" s="533">
        <v>2.0818439999999998</v>
      </c>
      <c r="F435" s="1137">
        <f t="shared" si="36"/>
        <v>1.4269643023749482E-3</v>
      </c>
      <c r="G435" s="1138"/>
      <c r="H435" s="520">
        <v>9496.93</v>
      </c>
      <c r="I435" s="512">
        <v>43542</v>
      </c>
      <c r="J435" s="254">
        <f t="shared" si="33"/>
        <v>1.4583838618174028E-3</v>
      </c>
      <c r="L435" s="251">
        <f t="shared" si="34"/>
        <v>43542</v>
      </c>
      <c r="M435" s="513">
        <v>143.4</v>
      </c>
      <c r="N435" s="254">
        <f t="shared" si="35"/>
        <v>-3.887399463806962E-2</v>
      </c>
      <c r="O435" s="1137">
        <f t="shared" si="37"/>
        <v>-3.8905414197512075E-2</v>
      </c>
      <c r="P435" s="1138"/>
    </row>
    <row r="436" spans="1:16" x14ac:dyDescent="0.2">
      <c r="A436" s="717">
        <v>43541</v>
      </c>
      <c r="B436" s="533">
        <v>2.0486260000000001</v>
      </c>
      <c r="F436" s="1137">
        <f t="shared" si="36"/>
        <v>9.5137354256328706E-5</v>
      </c>
      <c r="G436" s="1138"/>
      <c r="H436" s="520">
        <v>9483.1</v>
      </c>
      <c r="I436" s="512">
        <v>43539</v>
      </c>
      <c r="J436" s="254">
        <f t="shared" si="33"/>
        <v>1.2655691369878319E-4</v>
      </c>
      <c r="L436" s="251">
        <f t="shared" si="34"/>
        <v>43539</v>
      </c>
      <c r="M436" s="513">
        <v>149.19999999999999</v>
      </c>
      <c r="N436" s="254">
        <f t="shared" si="35"/>
        <v>1.4965986394557707E-2</v>
      </c>
      <c r="O436" s="1137">
        <f t="shared" si="37"/>
        <v>1.4934566835115253E-2</v>
      </c>
      <c r="P436" s="1138"/>
    </row>
    <row r="437" spans="1:16" x14ac:dyDescent="0.2">
      <c r="A437" s="717">
        <v>43548</v>
      </c>
      <c r="B437" s="533">
        <v>1.9759439999999999</v>
      </c>
      <c r="F437" s="1137">
        <f t="shared" si="36"/>
        <v>1.0032037638107743E-2</v>
      </c>
      <c r="G437" s="1138"/>
      <c r="H437" s="520">
        <v>9481.9</v>
      </c>
      <c r="I437" s="512">
        <v>43538</v>
      </c>
      <c r="J437" s="254">
        <f t="shared" si="33"/>
        <v>1.0063457197550196E-2</v>
      </c>
      <c r="L437" s="251">
        <f t="shared" si="34"/>
        <v>43538</v>
      </c>
      <c r="M437" s="513">
        <v>147</v>
      </c>
      <c r="N437" s="254">
        <f t="shared" si="35"/>
        <v>6.8073519400946303E-4</v>
      </c>
      <c r="O437" s="1137">
        <f t="shared" si="37"/>
        <v>6.4931563456700856E-4</v>
      </c>
      <c r="P437" s="1138"/>
    </row>
    <row r="438" spans="1:16" x14ac:dyDescent="0.2">
      <c r="A438" s="717">
        <v>43555</v>
      </c>
      <c r="B438" s="533">
        <v>1.9064509999999999</v>
      </c>
      <c r="F438" s="1137">
        <f t="shared" si="36"/>
        <v>5.9493211908238789E-3</v>
      </c>
      <c r="G438" s="1138"/>
      <c r="H438" s="520">
        <v>9387.43</v>
      </c>
      <c r="I438" s="512">
        <v>43537</v>
      </c>
      <c r="J438" s="254">
        <f t="shared" si="33"/>
        <v>5.9807407502663334E-3</v>
      </c>
      <c r="L438" s="251">
        <f t="shared" si="34"/>
        <v>43537</v>
      </c>
      <c r="M438" s="513">
        <v>146.9</v>
      </c>
      <c r="N438" s="254">
        <f t="shared" si="35"/>
        <v>1.2405237767057375E-2</v>
      </c>
      <c r="O438" s="1137">
        <f t="shared" si="37"/>
        <v>1.2373818207614922E-2</v>
      </c>
      <c r="P438" s="1138"/>
    </row>
    <row r="439" spans="1:16" x14ac:dyDescent="0.2">
      <c r="A439" s="717">
        <v>43562</v>
      </c>
      <c r="B439" s="533">
        <v>1.974896</v>
      </c>
      <c r="F439" s="1137">
        <f t="shared" si="36"/>
        <v>-1.0730248948596496E-3</v>
      </c>
      <c r="G439" s="1138"/>
      <c r="H439" s="520">
        <v>9331.6200000000008</v>
      </c>
      <c r="I439" s="512">
        <v>43536</v>
      </c>
      <c r="J439" s="254">
        <f t="shared" si="33"/>
        <v>-1.041605335417195E-3</v>
      </c>
      <c r="L439" s="251">
        <f t="shared" si="34"/>
        <v>43536</v>
      </c>
      <c r="M439" s="513">
        <v>145.1</v>
      </c>
      <c r="N439" s="254">
        <f t="shared" si="35"/>
        <v>-7.523939808481539E-3</v>
      </c>
      <c r="O439" s="1137">
        <f t="shared" si="37"/>
        <v>-7.5553593679239936E-3</v>
      </c>
      <c r="P439" s="1138"/>
    </row>
    <row r="440" spans="1:16" x14ac:dyDescent="0.2">
      <c r="A440" s="717">
        <v>43569</v>
      </c>
      <c r="B440" s="533">
        <v>2.0050150000000002</v>
      </c>
      <c r="F440" s="1137">
        <f t="shared" si="36"/>
        <v>7.8437600839895306E-3</v>
      </c>
      <c r="G440" s="1138"/>
      <c r="H440" s="520">
        <v>9341.35</v>
      </c>
      <c r="I440" s="512">
        <v>43535</v>
      </c>
      <c r="J440" s="254">
        <f t="shared" si="33"/>
        <v>7.8751796434319843E-3</v>
      </c>
      <c r="L440" s="251">
        <f t="shared" si="34"/>
        <v>43535</v>
      </c>
      <c r="M440" s="513">
        <v>146.19999999999999</v>
      </c>
      <c r="N440" s="254">
        <f t="shared" si="35"/>
        <v>2.2377622377622197E-2</v>
      </c>
      <c r="O440" s="1137">
        <f t="shared" si="37"/>
        <v>2.2346202818179742E-2</v>
      </c>
      <c r="P440" s="1138"/>
    </row>
    <row r="441" spans="1:16" x14ac:dyDescent="0.2">
      <c r="A441" s="717">
        <v>43576</v>
      </c>
      <c r="B441" s="533">
        <v>2.0335719999999999</v>
      </c>
      <c r="F441" s="1137">
        <f t="shared" si="36"/>
        <v>-6.0606455406662504E-3</v>
      </c>
      <c r="G441" s="1138"/>
      <c r="H441" s="520">
        <v>9268.36</v>
      </c>
      <c r="I441" s="512">
        <v>43532</v>
      </c>
      <c r="J441" s="254">
        <f t="shared" si="33"/>
        <v>-6.0292259812237958E-3</v>
      </c>
      <c r="L441" s="251">
        <f t="shared" si="34"/>
        <v>43532</v>
      </c>
      <c r="M441" s="513">
        <v>143</v>
      </c>
      <c r="N441" s="254">
        <f t="shared" si="35"/>
        <v>-2.5221540558963751E-2</v>
      </c>
      <c r="O441" s="1137">
        <f t="shared" si="37"/>
        <v>-2.5252960118406206E-2</v>
      </c>
      <c r="P441" s="1138"/>
    </row>
    <row r="442" spans="1:16" x14ac:dyDescent="0.2">
      <c r="A442" s="717">
        <v>43583</v>
      </c>
      <c r="B442" s="533">
        <v>2.0058159999999998</v>
      </c>
      <c r="F442" s="1137">
        <f t="shared" si="36"/>
        <v>-8.3881847320014646E-3</v>
      </c>
      <c r="G442" s="1138"/>
      <c r="H442" s="520">
        <v>9324.58</v>
      </c>
      <c r="I442" s="512">
        <v>43531</v>
      </c>
      <c r="J442" s="254">
        <f t="shared" si="33"/>
        <v>-8.3567651725590109E-3</v>
      </c>
      <c r="L442" s="251">
        <f t="shared" si="34"/>
        <v>43531</v>
      </c>
      <c r="M442" s="513">
        <v>146.69999999999999</v>
      </c>
      <c r="N442" s="254">
        <f t="shared" si="35"/>
        <v>2.049180327868827E-3</v>
      </c>
      <c r="O442" s="1137">
        <f t="shared" si="37"/>
        <v>2.0177607684263724E-3</v>
      </c>
      <c r="P442" s="1138"/>
    </row>
    <row r="443" spans="1:16" x14ac:dyDescent="0.2">
      <c r="A443" s="717">
        <v>43590</v>
      </c>
      <c r="B443" s="533">
        <v>2.0161920000000002</v>
      </c>
      <c r="F443" s="1137">
        <f t="shared" si="36"/>
        <v>3.9521476387412255E-4</v>
      </c>
      <c r="G443" s="1138"/>
      <c r="H443" s="520">
        <v>9403.16</v>
      </c>
      <c r="I443" s="512">
        <v>43530</v>
      </c>
      <c r="J443" s="254">
        <f t="shared" si="33"/>
        <v>4.2663432331657702E-4</v>
      </c>
      <c r="L443" s="251">
        <f t="shared" si="34"/>
        <v>43530</v>
      </c>
      <c r="M443" s="513">
        <v>146.4</v>
      </c>
      <c r="N443" s="254">
        <f t="shared" si="35"/>
        <v>5.494505494505475E-3</v>
      </c>
      <c r="O443" s="1137">
        <f t="shared" si="37"/>
        <v>5.4630859350630204E-3</v>
      </c>
      <c r="P443" s="1138"/>
    </row>
    <row r="444" spans="1:16" x14ac:dyDescent="0.2">
      <c r="A444" s="717">
        <v>43597</v>
      </c>
      <c r="B444" s="533">
        <v>1.9639979999999999</v>
      </c>
      <c r="F444" s="1137">
        <f t="shared" si="36"/>
        <v>5.1147727419161113E-4</v>
      </c>
      <c r="G444" s="1138"/>
      <c r="H444" s="520">
        <v>9399.15</v>
      </c>
      <c r="I444" s="512">
        <v>43529</v>
      </c>
      <c r="J444" s="254">
        <f t="shared" si="33"/>
        <v>5.428968336340656E-4</v>
      </c>
      <c r="L444" s="251">
        <f t="shared" si="34"/>
        <v>43529</v>
      </c>
      <c r="M444" s="513">
        <v>145.6</v>
      </c>
      <c r="N444" s="254">
        <f t="shared" si="35"/>
        <v>9.009009009008917E-3</v>
      </c>
      <c r="O444" s="1137">
        <f t="shared" si="37"/>
        <v>8.9775894495664633E-3</v>
      </c>
      <c r="P444" s="1138"/>
    </row>
    <row r="445" spans="1:16" x14ac:dyDescent="0.2">
      <c r="A445" s="717">
        <v>43604</v>
      </c>
      <c r="B445" s="533">
        <v>1.911179</v>
      </c>
      <c r="F445" s="1137">
        <f t="shared" si="36"/>
        <v>-1.9406802707458278E-3</v>
      </c>
      <c r="G445" s="1138"/>
      <c r="H445" s="520">
        <v>9394.0499999999993</v>
      </c>
      <c r="I445" s="512">
        <v>43528</v>
      </c>
      <c r="J445" s="254">
        <f t="shared" si="33"/>
        <v>-1.9092607113033733E-3</v>
      </c>
      <c r="L445" s="251">
        <f t="shared" si="34"/>
        <v>43528</v>
      </c>
      <c r="M445" s="513">
        <v>144.30000000000001</v>
      </c>
      <c r="N445" s="254">
        <f t="shared" si="35"/>
        <v>-1.36705399863295E-2</v>
      </c>
      <c r="O445" s="1137">
        <f t="shared" si="37"/>
        <v>-1.3701959545771953E-2</v>
      </c>
      <c r="P445" s="1138"/>
    </row>
    <row r="446" spans="1:16" x14ac:dyDescent="0.2">
      <c r="A446" s="717">
        <v>43611</v>
      </c>
      <c r="B446" s="533">
        <v>1.8799600000000001</v>
      </c>
      <c r="F446" s="1137">
        <f t="shared" si="36"/>
        <v>2.4267919106488326E-3</v>
      </c>
      <c r="G446" s="1138"/>
      <c r="H446" s="520">
        <v>9412.02</v>
      </c>
      <c r="I446" s="512">
        <v>43525</v>
      </c>
      <c r="J446" s="254">
        <f t="shared" si="33"/>
        <v>2.4582114700912872E-3</v>
      </c>
      <c r="L446" s="251">
        <f t="shared" si="34"/>
        <v>43525</v>
      </c>
      <c r="M446" s="513">
        <v>146.30000000000001</v>
      </c>
      <c r="N446" s="254">
        <f t="shared" si="35"/>
        <v>1.1057360055287013E-2</v>
      </c>
      <c r="O446" s="1137">
        <f t="shared" si="37"/>
        <v>1.102594049584456E-2</v>
      </c>
      <c r="P446" s="1138"/>
    </row>
    <row r="447" spans="1:16" x14ac:dyDescent="0.2">
      <c r="A447" s="717">
        <v>43618</v>
      </c>
      <c r="B447" s="533">
        <v>1.7668299999999999</v>
      </c>
      <c r="F447" s="1137">
        <f t="shared" si="36"/>
        <v>-2.501620437240267E-3</v>
      </c>
      <c r="G447" s="1138"/>
      <c r="H447" s="520">
        <v>9388.94</v>
      </c>
      <c r="I447" s="512">
        <v>43524</v>
      </c>
      <c r="J447" s="254">
        <f t="shared" si="33"/>
        <v>-2.4702008777978124E-3</v>
      </c>
      <c r="L447" s="251">
        <f t="shared" si="34"/>
        <v>43524</v>
      </c>
      <c r="M447" s="513">
        <v>144.69999999999999</v>
      </c>
      <c r="N447" s="254">
        <f t="shared" si="35"/>
        <v>5.5594162612924158E-3</v>
      </c>
      <c r="O447" s="1137">
        <f t="shared" si="37"/>
        <v>5.5279967018499613E-3</v>
      </c>
      <c r="P447" s="1138"/>
    </row>
    <row r="448" spans="1:16" x14ac:dyDescent="0.2">
      <c r="A448" s="717">
        <v>43625</v>
      </c>
      <c r="B448" s="533">
        <v>1.693819</v>
      </c>
      <c r="F448" s="1137">
        <f t="shared" si="36"/>
        <v>-5.212575035327501E-3</v>
      </c>
      <c r="G448" s="1138"/>
      <c r="H448" s="520">
        <v>9412.19</v>
      </c>
      <c r="I448" s="512">
        <v>43523</v>
      </c>
      <c r="J448" s="254">
        <f t="shared" si="33"/>
        <v>-5.1811554758850464E-3</v>
      </c>
      <c r="L448" s="251">
        <f t="shared" si="34"/>
        <v>43523</v>
      </c>
      <c r="M448" s="513">
        <v>143.9</v>
      </c>
      <c r="N448" s="254">
        <f t="shared" si="35"/>
        <v>-8.9531680440769756E-3</v>
      </c>
      <c r="O448" s="1137">
        <f t="shared" si="37"/>
        <v>-8.9845876035194294E-3</v>
      </c>
      <c r="P448" s="1138"/>
    </row>
    <row r="449" spans="1:16" x14ac:dyDescent="0.2">
      <c r="A449" s="717">
        <v>43632</v>
      </c>
      <c r="B449" s="533">
        <v>1.685594</v>
      </c>
      <c r="F449" s="1137">
        <f t="shared" si="36"/>
        <v>6.6548462504798104E-3</v>
      </c>
      <c r="G449" s="1138"/>
      <c r="H449" s="520">
        <v>9461.2099999999991</v>
      </c>
      <c r="I449" s="512">
        <v>43522</v>
      </c>
      <c r="J449" s="254">
        <f t="shared" si="33"/>
        <v>6.6862658099222649E-3</v>
      </c>
      <c r="L449" s="251">
        <f t="shared" si="34"/>
        <v>43522</v>
      </c>
      <c r="M449" s="513">
        <v>145.19999999999999</v>
      </c>
      <c r="N449" s="254">
        <f t="shared" si="35"/>
        <v>1.3258897418004123E-2</v>
      </c>
      <c r="O449" s="1137">
        <f t="shared" si="37"/>
        <v>1.3227477858561669E-2</v>
      </c>
      <c r="P449" s="1138"/>
    </row>
    <row r="450" spans="1:16" x14ac:dyDescent="0.2">
      <c r="A450" s="717">
        <v>43639</v>
      </c>
      <c r="B450" s="533">
        <v>1.643545</v>
      </c>
      <c r="F450" s="1137">
        <f t="shared" si="36"/>
        <v>5.2568861611052712E-3</v>
      </c>
      <c r="G450" s="1138"/>
      <c r="H450" s="520">
        <v>9398.3700000000008</v>
      </c>
      <c r="I450" s="512">
        <v>43521</v>
      </c>
      <c r="J450" s="254">
        <f t="shared" si="33"/>
        <v>5.2883057205477257E-3</v>
      </c>
      <c r="L450" s="251">
        <f t="shared" si="34"/>
        <v>43521</v>
      </c>
      <c r="M450" s="513">
        <v>143.30000000000001</v>
      </c>
      <c r="N450" s="254">
        <f t="shared" si="35"/>
        <v>9.1549295774648876E-3</v>
      </c>
      <c r="O450" s="1137">
        <f t="shared" si="37"/>
        <v>9.1235100180224338E-3</v>
      </c>
      <c r="P450" s="1138"/>
    </row>
    <row r="451" spans="1:16" x14ac:dyDescent="0.2">
      <c r="A451" s="717">
        <v>43646</v>
      </c>
      <c r="B451" s="533">
        <v>1.6249100000000001</v>
      </c>
      <c r="F451" s="1137">
        <f t="shared" si="36"/>
        <v>1.6142529967177613E-3</v>
      </c>
      <c r="G451" s="1138"/>
      <c r="H451" s="520">
        <v>9348.93</v>
      </c>
      <c r="I451" s="512">
        <v>43518</v>
      </c>
      <c r="J451" s="254">
        <f t="shared" si="33"/>
        <v>1.6456725561602159E-3</v>
      </c>
      <c r="L451" s="251">
        <f t="shared" si="34"/>
        <v>43518</v>
      </c>
      <c r="M451" s="513">
        <v>142</v>
      </c>
      <c r="N451" s="254">
        <f t="shared" si="35"/>
        <v>9.2395167022032432E-3</v>
      </c>
      <c r="O451" s="1137">
        <f t="shared" si="37"/>
        <v>9.2080971427607895E-3</v>
      </c>
      <c r="P451" s="1138"/>
    </row>
    <row r="452" spans="1:16" x14ac:dyDescent="0.2">
      <c r="A452" s="717">
        <v>43653</v>
      </c>
      <c r="B452" s="533">
        <v>1.5670869999999999</v>
      </c>
      <c r="F452" s="1137">
        <f t="shared" si="36"/>
        <v>1.8943761194327316E-3</v>
      </c>
      <c r="G452" s="1138"/>
      <c r="H452" s="520">
        <v>9333.57</v>
      </c>
      <c r="I452" s="512">
        <v>43517</v>
      </c>
      <c r="J452" s="254">
        <f t="shared" si="33"/>
        <v>1.9257956788751862E-3</v>
      </c>
      <c r="L452" s="251">
        <f t="shared" si="34"/>
        <v>43517</v>
      </c>
      <c r="M452" s="513">
        <v>140.69999999999999</v>
      </c>
      <c r="N452" s="254">
        <f t="shared" si="35"/>
        <v>-4.2462845010616812E-3</v>
      </c>
      <c r="O452" s="1137">
        <f t="shared" si="37"/>
        <v>-4.2777040605041358E-3</v>
      </c>
      <c r="P452" s="1138"/>
    </row>
    <row r="453" spans="1:16" x14ac:dyDescent="0.2">
      <c r="A453" s="717">
        <v>43660</v>
      </c>
      <c r="B453" s="533">
        <v>1.6131180000000001</v>
      </c>
      <c r="F453" s="1137">
        <f t="shared" si="36"/>
        <v>6.3924036849447178E-3</v>
      </c>
      <c r="G453" s="1138"/>
      <c r="H453" s="520">
        <v>9315.6299999999992</v>
      </c>
      <c r="I453" s="512">
        <v>43516</v>
      </c>
      <c r="J453" s="254">
        <f t="shared" si="33"/>
        <v>6.4238232443871723E-3</v>
      </c>
      <c r="L453" s="251">
        <f t="shared" si="34"/>
        <v>43516</v>
      </c>
      <c r="M453" s="513">
        <v>141.30000000000001</v>
      </c>
      <c r="N453" s="254">
        <f t="shared" si="35"/>
        <v>-7.0721357850067612E-4</v>
      </c>
      <c r="O453" s="1137">
        <f t="shared" si="37"/>
        <v>-7.3863313794313059E-4</v>
      </c>
      <c r="P453" s="1138"/>
    </row>
    <row r="454" spans="1:16" x14ac:dyDescent="0.2">
      <c r="A454" s="717">
        <v>43667</v>
      </c>
      <c r="B454" s="533">
        <v>1.5774900000000001</v>
      </c>
      <c r="F454" s="1137">
        <f t="shared" si="36"/>
        <v>-1.2496605877283925E-3</v>
      </c>
      <c r="G454" s="1138"/>
      <c r="H454" s="520">
        <v>9256.17</v>
      </c>
      <c r="I454" s="512">
        <v>43515</v>
      </c>
      <c r="J454" s="254">
        <f t="shared" si="33"/>
        <v>-1.2182410282859379E-3</v>
      </c>
      <c r="L454" s="251">
        <f t="shared" si="34"/>
        <v>43515</v>
      </c>
      <c r="M454" s="513">
        <v>141.4</v>
      </c>
      <c r="N454" s="254">
        <f t="shared" si="35"/>
        <v>-1.4634146341463428E-2</v>
      </c>
      <c r="O454" s="1137">
        <f t="shared" si="37"/>
        <v>-1.4665565900905881E-2</v>
      </c>
      <c r="P454" s="1138"/>
    </row>
    <row r="455" spans="1:16" x14ac:dyDescent="0.2">
      <c r="A455" s="717">
        <v>43674</v>
      </c>
      <c r="B455" s="533">
        <v>1.570368</v>
      </c>
      <c r="F455" s="1137">
        <f t="shared" si="36"/>
        <v>2.7103756130934667E-3</v>
      </c>
      <c r="G455" s="1138"/>
      <c r="H455" s="520">
        <v>9267.4599999999991</v>
      </c>
      <c r="I455" s="512">
        <v>43514</v>
      </c>
      <c r="J455" s="254">
        <f t="shared" si="33"/>
        <v>2.7417951725359213E-3</v>
      </c>
      <c r="L455" s="251">
        <f t="shared" si="34"/>
        <v>43514</v>
      </c>
      <c r="M455" s="513">
        <v>143.5</v>
      </c>
      <c r="N455" s="254">
        <f t="shared" si="35"/>
        <v>1.8452803406671325E-2</v>
      </c>
      <c r="O455" s="1137">
        <f t="shared" si="37"/>
        <v>1.842138384722887E-2</v>
      </c>
      <c r="P455" s="1138"/>
    </row>
    <row r="456" spans="1:16" x14ac:dyDescent="0.2">
      <c r="A456" s="717">
        <v>43681</v>
      </c>
      <c r="B456" s="533">
        <v>1.4721599999999999</v>
      </c>
      <c r="F456" s="1137">
        <f t="shared" si="36"/>
        <v>1.0841724180214745E-2</v>
      </c>
      <c r="G456" s="1138"/>
      <c r="H456" s="520">
        <v>9242.1200000000008</v>
      </c>
      <c r="I456" s="512">
        <v>43511</v>
      </c>
      <c r="J456" s="254">
        <f t="shared" si="33"/>
        <v>1.0873143739657198E-2</v>
      </c>
      <c r="L456" s="251">
        <f t="shared" si="34"/>
        <v>43511</v>
      </c>
      <c r="M456" s="513">
        <v>140.9</v>
      </c>
      <c r="N456" s="254">
        <f t="shared" si="35"/>
        <v>-1.5373864430468176E-2</v>
      </c>
      <c r="O456" s="1137">
        <f t="shared" si="37"/>
        <v>-1.540528398991063E-2</v>
      </c>
      <c r="P456" s="1138"/>
    </row>
    <row r="457" spans="1:16" x14ac:dyDescent="0.2">
      <c r="A457" s="717">
        <v>43688</v>
      </c>
      <c r="B457" s="533">
        <v>1.3160130000000001</v>
      </c>
      <c r="F457" s="1137">
        <f t="shared" si="36"/>
        <v>-2.3611729656838739E-3</v>
      </c>
      <c r="G457" s="1138"/>
      <c r="H457" s="520">
        <v>9142.7099999999991</v>
      </c>
      <c r="I457" s="512">
        <v>43510</v>
      </c>
      <c r="J457" s="254">
        <f t="shared" si="33"/>
        <v>-2.3297534062414194E-3</v>
      </c>
      <c r="L457" s="251">
        <f t="shared" si="34"/>
        <v>43510</v>
      </c>
      <c r="M457" s="513">
        <v>143.1</v>
      </c>
      <c r="N457" s="254">
        <f t="shared" si="35"/>
        <v>3.5455861070911698E-2</v>
      </c>
      <c r="O457" s="1137">
        <f t="shared" si="37"/>
        <v>3.5424441511469243E-2</v>
      </c>
      <c r="P457" s="1138"/>
    </row>
    <row r="458" spans="1:16" x14ac:dyDescent="0.2">
      <c r="A458" s="717">
        <v>43695</v>
      </c>
      <c r="B458" s="533">
        <v>1.215114</v>
      </c>
      <c r="F458" s="1137">
        <f t="shared" si="36"/>
        <v>3.9850582984359431E-3</v>
      </c>
      <c r="G458" s="1138"/>
      <c r="H458" s="520">
        <v>9164.06</v>
      </c>
      <c r="I458" s="512">
        <v>43509</v>
      </c>
      <c r="J458" s="254">
        <f t="shared" si="33"/>
        <v>4.0164778578783977E-3</v>
      </c>
      <c r="L458" s="251">
        <f t="shared" si="34"/>
        <v>43509</v>
      </c>
      <c r="M458" s="513">
        <v>138.19999999999999</v>
      </c>
      <c r="N458" s="254">
        <f t="shared" si="35"/>
        <v>-5.7553956834532904E-3</v>
      </c>
      <c r="O458" s="1137">
        <f t="shared" si="37"/>
        <v>-5.786815242895745E-3</v>
      </c>
      <c r="P458" s="1138"/>
    </row>
    <row r="459" spans="1:16" x14ac:dyDescent="0.2">
      <c r="A459" s="717">
        <v>43702</v>
      </c>
      <c r="B459" s="533">
        <v>1.2322839999999999</v>
      </c>
      <c r="F459" s="1137">
        <f t="shared" si="36"/>
        <v>6.4502722525420922E-3</v>
      </c>
      <c r="G459" s="1138"/>
      <c r="H459" s="520">
        <v>9127.4</v>
      </c>
      <c r="I459" s="512">
        <v>43508</v>
      </c>
      <c r="J459" s="254">
        <f t="shared" si="33"/>
        <v>6.4816918119845468E-3</v>
      </c>
      <c r="L459" s="251">
        <f t="shared" si="34"/>
        <v>43508</v>
      </c>
      <c r="M459" s="513">
        <v>139</v>
      </c>
      <c r="N459" s="254">
        <f t="shared" si="35"/>
        <v>5.0614605929137912E-3</v>
      </c>
      <c r="O459" s="1137">
        <f t="shared" si="37"/>
        <v>5.0300410334713367E-3</v>
      </c>
      <c r="P459" s="1138"/>
    </row>
    <row r="460" spans="1:16" x14ac:dyDescent="0.2">
      <c r="A460" s="717">
        <v>43709</v>
      </c>
      <c r="B460" s="533">
        <v>1.1917979999999999</v>
      </c>
      <c r="F460" s="1137">
        <f t="shared" si="36"/>
        <v>7.2113917753741799E-3</v>
      </c>
      <c r="G460" s="1138"/>
      <c r="H460" s="520">
        <v>9068.6200000000008</v>
      </c>
      <c r="I460" s="512">
        <v>43507</v>
      </c>
      <c r="J460" s="254">
        <f t="shared" si="33"/>
        <v>7.2428113348166345E-3</v>
      </c>
      <c r="L460" s="251">
        <f t="shared" si="34"/>
        <v>43507</v>
      </c>
      <c r="M460" s="513">
        <v>138.30000000000001</v>
      </c>
      <c r="N460" s="254">
        <f t="shared" si="35"/>
        <v>-7.2254335260113489E-4</v>
      </c>
      <c r="O460" s="1137">
        <f t="shared" si="37"/>
        <v>-7.5396291204358936E-4</v>
      </c>
      <c r="P460" s="1138"/>
    </row>
    <row r="461" spans="1:16" x14ac:dyDescent="0.2">
      <c r="A461" s="717">
        <v>43716</v>
      </c>
      <c r="B461" s="533">
        <v>1.2145699999999999</v>
      </c>
      <c r="F461" s="1137">
        <f t="shared" si="36"/>
        <v>-3.6270768819006002E-3</v>
      </c>
      <c r="G461" s="1138"/>
      <c r="H461" s="520">
        <v>9003.41</v>
      </c>
      <c r="I461" s="512">
        <v>43504</v>
      </c>
      <c r="J461" s="254">
        <f t="shared" si="33"/>
        <v>-3.5956573224581456E-3</v>
      </c>
      <c r="L461" s="251">
        <f t="shared" si="34"/>
        <v>43504</v>
      </c>
      <c r="M461" s="513">
        <v>138.4</v>
      </c>
      <c r="N461" s="254">
        <f t="shared" si="35"/>
        <v>3.6258158085569203E-3</v>
      </c>
      <c r="O461" s="1137">
        <f t="shared" si="37"/>
        <v>3.5943962491144657E-3</v>
      </c>
      <c r="P461" s="1138"/>
    </row>
    <row r="462" spans="1:16" x14ac:dyDescent="0.2">
      <c r="A462" s="717">
        <v>43723</v>
      </c>
      <c r="B462" s="533">
        <v>1.388833</v>
      </c>
      <c r="F462" s="1137">
        <f t="shared" si="36"/>
        <v>-1.1745299030075746E-2</v>
      </c>
      <c r="G462" s="1138"/>
      <c r="H462" s="520">
        <v>9035.9</v>
      </c>
      <c r="I462" s="512">
        <v>43503</v>
      </c>
      <c r="J462" s="254">
        <f t="shared" si="33"/>
        <v>-1.1713879470633293E-2</v>
      </c>
      <c r="L462" s="251">
        <f t="shared" si="34"/>
        <v>43503</v>
      </c>
      <c r="M462" s="513">
        <v>137.9</v>
      </c>
      <c r="N462" s="254">
        <f t="shared" si="35"/>
        <v>-2.1291696238467051E-2</v>
      </c>
      <c r="O462" s="1137">
        <f t="shared" si="37"/>
        <v>-2.1323115797909506E-2</v>
      </c>
      <c r="P462" s="1138"/>
    </row>
    <row r="463" spans="1:16" x14ac:dyDescent="0.2">
      <c r="A463" s="717">
        <v>43730</v>
      </c>
      <c r="B463" s="533">
        <v>1.430771</v>
      </c>
      <c r="F463" s="1137">
        <f t="shared" si="36"/>
        <v>-8.5759850368187409E-4</v>
      </c>
      <c r="G463" s="1138"/>
      <c r="H463" s="520">
        <v>9143</v>
      </c>
      <c r="I463" s="512">
        <v>43502</v>
      </c>
      <c r="J463" s="254">
        <f t="shared" si="33"/>
        <v>-8.2617894423941962E-4</v>
      </c>
      <c r="L463" s="251">
        <f t="shared" si="34"/>
        <v>43502</v>
      </c>
      <c r="M463" s="513">
        <v>140.9</v>
      </c>
      <c r="N463" s="254">
        <f t="shared" si="35"/>
        <v>1.4398848092152639E-2</v>
      </c>
      <c r="O463" s="1137">
        <f t="shared" si="37"/>
        <v>1.4367428532710185E-2</v>
      </c>
      <c r="P463" s="1138"/>
    </row>
    <row r="464" spans="1:16" x14ac:dyDescent="0.2">
      <c r="A464" s="717">
        <v>43737</v>
      </c>
      <c r="B464" s="533">
        <v>1.3633470000000001</v>
      </c>
      <c r="F464" s="1137">
        <f t="shared" si="36"/>
        <v>1.5402227299897002E-2</v>
      </c>
      <c r="G464" s="1138"/>
      <c r="H464" s="520">
        <v>9150.56</v>
      </c>
      <c r="I464" s="512">
        <v>43501</v>
      </c>
      <c r="J464" s="254">
        <f t="shared" si="33"/>
        <v>1.5433646859339456E-2</v>
      </c>
      <c r="L464" s="251">
        <f t="shared" si="34"/>
        <v>43501</v>
      </c>
      <c r="M464" s="513">
        <v>138.9</v>
      </c>
      <c r="N464" s="254">
        <f t="shared" si="35"/>
        <v>1.832844574780057E-2</v>
      </c>
      <c r="O464" s="1137">
        <f t="shared" si="37"/>
        <v>1.8297026188358115E-2</v>
      </c>
      <c r="P464" s="1138"/>
    </row>
    <row r="465" spans="1:16" x14ac:dyDescent="0.2">
      <c r="A465" s="717">
        <v>43744</v>
      </c>
      <c r="B465" s="533">
        <v>1.3004849999999999</v>
      </c>
      <c r="F465" s="1137">
        <f t="shared" si="36"/>
        <v>1.6492601821418021E-3</v>
      </c>
      <c r="G465" s="1138"/>
      <c r="H465" s="520">
        <v>9011.48</v>
      </c>
      <c r="I465" s="512">
        <v>43500</v>
      </c>
      <c r="J465" s="254">
        <f t="shared" si="33"/>
        <v>1.6806797415842567E-3</v>
      </c>
      <c r="L465" s="251">
        <f t="shared" si="34"/>
        <v>43500</v>
      </c>
      <c r="M465" s="513">
        <v>136.4</v>
      </c>
      <c r="N465" s="254">
        <f t="shared" si="35"/>
        <v>2.1722846441947663E-2</v>
      </c>
      <c r="O465" s="1137">
        <f t="shared" si="37"/>
        <v>2.1691426882505208E-2</v>
      </c>
      <c r="P465" s="1138"/>
    </row>
    <row r="466" spans="1:16" x14ac:dyDescent="0.2">
      <c r="A466" s="717">
        <v>43751</v>
      </c>
      <c r="B466" s="533">
        <v>1.348295</v>
      </c>
      <c r="F466" s="1137">
        <f t="shared" si="36"/>
        <v>2.9888931304419978E-3</v>
      </c>
      <c r="G466" s="1138"/>
      <c r="H466" s="520">
        <v>8996.36</v>
      </c>
      <c r="I466" s="512">
        <v>43497</v>
      </c>
      <c r="J466" s="254">
        <f t="shared" si="33"/>
        <v>3.0203126898844523E-3</v>
      </c>
      <c r="L466" s="251">
        <f t="shared" si="34"/>
        <v>43497</v>
      </c>
      <c r="M466" s="513">
        <v>133.5</v>
      </c>
      <c r="N466" s="254">
        <f t="shared" si="35"/>
        <v>-2.9873039581778116E-3</v>
      </c>
      <c r="O466" s="1137">
        <f t="shared" si="37"/>
        <v>-3.0187235176202662E-3</v>
      </c>
      <c r="P466" s="1138"/>
    </row>
    <row r="467" spans="1:16" x14ac:dyDescent="0.2">
      <c r="A467" s="717">
        <v>43758</v>
      </c>
      <c r="B467" s="533">
        <v>1.4519919999999999</v>
      </c>
      <c r="F467" s="1137">
        <f t="shared" si="36"/>
        <v>3.6564882666430363E-4</v>
      </c>
      <c r="G467" s="1138"/>
      <c r="H467" s="520">
        <v>8969.27</v>
      </c>
      <c r="I467" s="512">
        <v>43496</v>
      </c>
      <c r="J467" s="254">
        <f t="shared" si="33"/>
        <v>3.970683861067581E-4</v>
      </c>
      <c r="L467" s="251">
        <f t="shared" si="34"/>
        <v>43496</v>
      </c>
      <c r="M467" s="513">
        <v>133.9</v>
      </c>
      <c r="N467" s="254">
        <f t="shared" si="35"/>
        <v>4.5011252813202951E-3</v>
      </c>
      <c r="O467" s="1137">
        <f t="shared" si="37"/>
        <v>4.4697057218778405E-3</v>
      </c>
      <c r="P467" s="1138"/>
    </row>
    <row r="468" spans="1:16" x14ac:dyDescent="0.2">
      <c r="A468" s="717">
        <v>43765</v>
      </c>
      <c r="B468" s="533">
        <v>1.4696130000000001</v>
      </c>
      <c r="F468" s="1137">
        <f t="shared" si="36"/>
        <v>2.7860899366493755E-3</v>
      </c>
      <c r="G468" s="1138"/>
      <c r="H468" s="520">
        <v>8965.7099999999991</v>
      </c>
      <c r="I468" s="512">
        <v>43495</v>
      </c>
      <c r="J468" s="254">
        <f t="shared" si="33"/>
        <v>2.8175094960918301E-3</v>
      </c>
      <c r="L468" s="251">
        <f t="shared" si="34"/>
        <v>43495</v>
      </c>
      <c r="M468" s="513">
        <v>133.30000000000001</v>
      </c>
      <c r="N468" s="254">
        <f t="shared" si="35"/>
        <v>-5.2238805970148405E-3</v>
      </c>
      <c r="O468" s="1137">
        <f t="shared" si="37"/>
        <v>-5.2553001564572951E-3</v>
      </c>
      <c r="P468" s="1138"/>
    </row>
    <row r="469" spans="1:16" x14ac:dyDescent="0.2">
      <c r="A469" s="717">
        <v>43772</v>
      </c>
      <c r="B469" s="533">
        <v>1.4509399999999999</v>
      </c>
      <c r="F469" s="1137">
        <f t="shared" si="36"/>
        <v>9.3015449861301881E-3</v>
      </c>
      <c r="G469" s="1138"/>
      <c r="H469" s="520">
        <v>8940.52</v>
      </c>
      <c r="I469" s="512">
        <v>43494</v>
      </c>
      <c r="J469" s="254">
        <f t="shared" si="33"/>
        <v>9.3329645455726418E-3</v>
      </c>
      <c r="L469" s="251">
        <f t="shared" si="34"/>
        <v>43494</v>
      </c>
      <c r="M469" s="513">
        <v>134</v>
      </c>
      <c r="N469" s="254">
        <f t="shared" si="35"/>
        <v>9.0361445783131433E-3</v>
      </c>
      <c r="O469" s="1137">
        <f t="shared" si="37"/>
        <v>9.0047250188706896E-3</v>
      </c>
      <c r="P469" s="1138"/>
    </row>
    <row r="470" spans="1:16" x14ac:dyDescent="0.2">
      <c r="A470" s="717">
        <v>43779</v>
      </c>
      <c r="B470" s="533">
        <v>1.541614</v>
      </c>
      <c r="F470" s="1137">
        <f t="shared" si="36"/>
        <v>-7.276034011237816E-3</v>
      </c>
      <c r="G470" s="1138"/>
      <c r="H470" s="520">
        <v>8857.85</v>
      </c>
      <c r="I470" s="512">
        <v>43493</v>
      </c>
      <c r="J470" s="254">
        <f t="shared" si="33"/>
        <v>-7.2446144517953615E-3</v>
      </c>
      <c r="L470" s="251">
        <f t="shared" si="34"/>
        <v>43493</v>
      </c>
      <c r="M470" s="513">
        <v>132.80000000000001</v>
      </c>
      <c r="N470" s="254">
        <f t="shared" si="35"/>
        <v>-3.1363967906637313E-2</v>
      </c>
      <c r="O470" s="1137">
        <f t="shared" si="37"/>
        <v>-3.1395387466079769E-2</v>
      </c>
      <c r="P470" s="1138"/>
    </row>
    <row r="471" spans="1:16" x14ac:dyDescent="0.2">
      <c r="A471" s="717">
        <v>43786</v>
      </c>
      <c r="B471" s="533">
        <v>1.520391</v>
      </c>
      <c r="F471" s="1137">
        <f t="shared" si="36"/>
        <v>-1.6985729453861528E-3</v>
      </c>
      <c r="G471" s="1138"/>
      <c r="H471" s="520">
        <v>8922.49</v>
      </c>
      <c r="I471" s="512">
        <v>43490</v>
      </c>
      <c r="J471" s="254">
        <f t="shared" si="33"/>
        <v>-1.6671533859436982E-3</v>
      </c>
      <c r="L471" s="251">
        <f t="shared" si="34"/>
        <v>43490</v>
      </c>
      <c r="M471" s="513">
        <v>137.1</v>
      </c>
      <c r="N471" s="254">
        <f t="shared" si="35"/>
        <v>6.6079295154184425E-3</v>
      </c>
      <c r="O471" s="1137">
        <f t="shared" si="37"/>
        <v>6.576509955975988E-3</v>
      </c>
      <c r="P471" s="1138"/>
    </row>
    <row r="472" spans="1:16" x14ac:dyDescent="0.2">
      <c r="A472" s="717">
        <v>43793</v>
      </c>
      <c r="B472" s="533">
        <v>1.4520630000000001</v>
      </c>
      <c r="F472" s="1137">
        <f t="shared" si="36"/>
        <v>-2.2419342409442508E-3</v>
      </c>
      <c r="G472" s="1138"/>
      <c r="H472" s="520">
        <v>8937.39</v>
      </c>
      <c r="I472" s="512">
        <v>43489</v>
      </c>
      <c r="J472" s="254">
        <f t="shared" si="33"/>
        <v>-2.2105146815017962E-3</v>
      </c>
      <c r="L472" s="251">
        <f t="shared" si="34"/>
        <v>43489</v>
      </c>
      <c r="M472" s="513">
        <v>136.19999999999999</v>
      </c>
      <c r="N472" s="254">
        <f t="shared" si="35"/>
        <v>1.2639405204460941E-2</v>
      </c>
      <c r="O472" s="1137">
        <f t="shared" si="37"/>
        <v>1.2607985645018487E-2</v>
      </c>
      <c r="P472" s="1138"/>
    </row>
    <row r="473" spans="1:16" x14ac:dyDescent="0.2">
      <c r="A473" s="717">
        <v>43800</v>
      </c>
      <c r="B473" s="533">
        <v>1.4343520000000001</v>
      </c>
      <c r="F473" s="1137">
        <f t="shared" si="36"/>
        <v>-1.0519028335542044E-3</v>
      </c>
      <c r="G473" s="1138"/>
      <c r="H473" s="520">
        <v>8957.19</v>
      </c>
      <c r="I473" s="512">
        <v>43488</v>
      </c>
      <c r="J473" s="254">
        <f t="shared" si="33"/>
        <v>-1.0204832741117498E-3</v>
      </c>
      <c r="L473" s="251">
        <f t="shared" si="34"/>
        <v>43488</v>
      </c>
      <c r="M473" s="513">
        <v>134.5</v>
      </c>
      <c r="N473" s="254">
        <f t="shared" si="35"/>
        <v>9.7597597597598451E-3</v>
      </c>
      <c r="O473" s="1137">
        <f t="shared" si="37"/>
        <v>9.7283402003173914E-3</v>
      </c>
      <c r="P473" s="1138"/>
    </row>
    <row r="474" spans="1:16" x14ac:dyDescent="0.2">
      <c r="A474" s="717">
        <v>43807</v>
      </c>
      <c r="B474" s="533">
        <v>1.489166</v>
      </c>
      <c r="F474" s="1137">
        <f t="shared" si="36"/>
        <v>-5.0328566264497407E-3</v>
      </c>
      <c r="G474" s="1138"/>
      <c r="H474" s="520">
        <v>8966.34</v>
      </c>
      <c r="I474" s="512">
        <v>43487</v>
      </c>
      <c r="J474" s="254">
        <f t="shared" si="33"/>
        <v>-5.0014370670072861E-3</v>
      </c>
      <c r="L474" s="251">
        <f t="shared" si="34"/>
        <v>43487</v>
      </c>
      <c r="M474" s="513">
        <v>133.19999999999999</v>
      </c>
      <c r="N474" s="254">
        <f t="shared" si="35"/>
        <v>-2.2471910112360494E-3</v>
      </c>
      <c r="O474" s="1137">
        <f t="shared" si="37"/>
        <v>-2.2786105706785039E-3</v>
      </c>
      <c r="P474" s="1138"/>
    </row>
    <row r="475" spans="1:16" x14ac:dyDescent="0.2">
      <c r="A475" s="717">
        <v>43814</v>
      </c>
      <c r="B475" s="533">
        <v>1.5276320000000001</v>
      </c>
      <c r="F475" s="1137">
        <f t="shared" si="36"/>
        <v>-1.4221615396815953E-3</v>
      </c>
      <c r="G475" s="1138"/>
      <c r="H475" s="520">
        <v>9011.41</v>
      </c>
      <c r="I475" s="512">
        <v>43486</v>
      </c>
      <c r="J475" s="254">
        <f t="shared" si="33"/>
        <v>-1.3907419802391408E-3</v>
      </c>
      <c r="L475" s="251">
        <f t="shared" si="34"/>
        <v>43486</v>
      </c>
      <c r="M475" s="513">
        <v>133.5</v>
      </c>
      <c r="N475" s="254">
        <f t="shared" si="35"/>
        <v>1.0598031794095464E-2</v>
      </c>
      <c r="O475" s="1137">
        <f t="shared" si="37"/>
        <v>1.056661223465301E-2</v>
      </c>
      <c r="P475" s="1138"/>
    </row>
    <row r="476" spans="1:16" x14ac:dyDescent="0.2">
      <c r="A476" s="717">
        <v>43821</v>
      </c>
      <c r="B476" s="533">
        <v>1.5402130000000001</v>
      </c>
      <c r="F476" s="1137">
        <f t="shared" si="36"/>
        <v>1.2288333103181075E-2</v>
      </c>
      <c r="G476" s="1138"/>
      <c r="H476" s="520">
        <v>9023.9599999999991</v>
      </c>
      <c r="I476" s="512">
        <v>43483</v>
      </c>
      <c r="J476" s="254">
        <f t="shared" si="33"/>
        <v>1.2319752662623529E-2</v>
      </c>
      <c r="L476" s="251">
        <f t="shared" si="34"/>
        <v>43483</v>
      </c>
      <c r="M476" s="513">
        <v>132.1</v>
      </c>
      <c r="N476" s="254">
        <f t="shared" si="35"/>
        <v>3.7706205813039961E-2</v>
      </c>
      <c r="O476" s="1137">
        <f t="shared" si="37"/>
        <v>3.7674786253597506E-2</v>
      </c>
      <c r="P476" s="1138"/>
    </row>
    <row r="477" spans="1:16" x14ac:dyDescent="0.2">
      <c r="A477" s="717">
        <v>43828</v>
      </c>
      <c r="B477" s="533">
        <v>1.5334509999999999</v>
      </c>
      <c r="F477" s="1137">
        <f t="shared" si="36"/>
        <v>4.5179433381758597E-3</v>
      </c>
      <c r="G477" s="1138"/>
      <c r="H477" s="520">
        <v>8914.14</v>
      </c>
      <c r="I477" s="512">
        <v>43482</v>
      </c>
      <c r="J477" s="254">
        <f t="shared" ref="J477:J540" si="38">H477/H478-1</f>
        <v>4.5493628976183142E-3</v>
      </c>
      <c r="L477" s="251">
        <f t="shared" ref="L477:L540" si="39">I477</f>
        <v>43482</v>
      </c>
      <c r="M477" s="513">
        <v>127.3</v>
      </c>
      <c r="N477" s="254">
        <f t="shared" ref="N477:N540" si="40">M477/M478-1</f>
        <v>1.9215372297838096E-2</v>
      </c>
      <c r="O477" s="1137">
        <f t="shared" si="37"/>
        <v>1.918395273839564E-2</v>
      </c>
      <c r="P477" s="1138"/>
    </row>
    <row r="478" spans="1:16" x14ac:dyDescent="0.2">
      <c r="A478" s="717">
        <v>43835</v>
      </c>
      <c r="B478" s="533">
        <v>1.5229600000000001</v>
      </c>
      <c r="F478" s="1137">
        <f t="shared" ref="F478:F541" si="41">J478-$I$19</f>
        <v>5.5256909697182924E-3</v>
      </c>
      <c r="G478" s="1138"/>
      <c r="H478" s="520">
        <v>8873.77</v>
      </c>
      <c r="I478" s="512">
        <v>43481</v>
      </c>
      <c r="J478" s="254">
        <f t="shared" si="38"/>
        <v>5.557110529160747E-3</v>
      </c>
      <c r="L478" s="251">
        <f t="shared" si="39"/>
        <v>43481</v>
      </c>
      <c r="M478" s="513">
        <v>124.9</v>
      </c>
      <c r="N478" s="254">
        <f t="shared" si="40"/>
        <v>3.3940397350993523E-2</v>
      </c>
      <c r="O478" s="1137">
        <f t="shared" ref="O478:O541" si="42">N478-$I$19</f>
        <v>3.3908977791551068E-2</v>
      </c>
      <c r="P478" s="1138"/>
    </row>
    <row r="479" spans="1:16" x14ac:dyDescent="0.2">
      <c r="A479" s="717">
        <v>43842</v>
      </c>
      <c r="B479" s="533">
        <v>1.524902</v>
      </c>
      <c r="F479" s="1137">
        <f t="shared" si="41"/>
        <v>7.3210515831642767E-3</v>
      </c>
      <c r="G479" s="1138"/>
      <c r="H479" s="520">
        <v>8824.73</v>
      </c>
      <c r="I479" s="512">
        <v>43480</v>
      </c>
      <c r="J479" s="254">
        <f t="shared" si="38"/>
        <v>7.3524711426067313E-3</v>
      </c>
      <c r="L479" s="251">
        <f t="shared" si="39"/>
        <v>43480</v>
      </c>
      <c r="M479" s="513">
        <v>120.8</v>
      </c>
      <c r="N479" s="254">
        <f t="shared" si="40"/>
        <v>1.5126050420168013E-2</v>
      </c>
      <c r="O479" s="1137">
        <f t="shared" si="42"/>
        <v>1.509463086072556E-2</v>
      </c>
      <c r="P479" s="1138"/>
    </row>
    <row r="480" spans="1:16" x14ac:dyDescent="0.2">
      <c r="A480" s="717">
        <v>43849</v>
      </c>
      <c r="B480" s="533">
        <v>1.5204139999999999</v>
      </c>
      <c r="F480" s="1137">
        <f t="shared" si="41"/>
        <v>-7.7226642271103615E-3</v>
      </c>
      <c r="G480" s="1138"/>
      <c r="H480" s="520">
        <v>8760.32</v>
      </c>
      <c r="I480" s="512">
        <v>43479</v>
      </c>
      <c r="J480" s="254">
        <f t="shared" si="38"/>
        <v>-7.6912446676679069E-3</v>
      </c>
      <c r="L480" s="251">
        <f t="shared" si="39"/>
        <v>43479</v>
      </c>
      <c r="M480" s="513">
        <v>119</v>
      </c>
      <c r="N480" s="254">
        <f t="shared" si="40"/>
        <v>-2.777777777777779E-2</v>
      </c>
      <c r="O480" s="1137">
        <f t="shared" si="42"/>
        <v>-2.7809197337220246E-2</v>
      </c>
      <c r="P480" s="1138"/>
    </row>
    <row r="481" spans="1:16" x14ac:dyDescent="0.2">
      <c r="A481" s="717">
        <v>43856</v>
      </c>
      <c r="B481" s="533">
        <v>1.4375899999999999</v>
      </c>
      <c r="F481" s="1137">
        <f t="shared" si="41"/>
        <v>3.0067058467393029E-3</v>
      </c>
      <c r="G481" s="1138"/>
      <c r="H481" s="520">
        <v>8828.2199999999993</v>
      </c>
      <c r="I481" s="512">
        <v>43476</v>
      </c>
      <c r="J481" s="254">
        <f t="shared" si="38"/>
        <v>3.0381254061817575E-3</v>
      </c>
      <c r="L481" s="251">
        <f t="shared" si="39"/>
        <v>43476</v>
      </c>
      <c r="M481" s="513">
        <v>122.4</v>
      </c>
      <c r="N481" s="254">
        <f t="shared" si="40"/>
        <v>1.0734929810074512E-2</v>
      </c>
      <c r="O481" s="1137">
        <f t="shared" si="42"/>
        <v>1.0703510250632058E-2</v>
      </c>
      <c r="P481" s="1138"/>
    </row>
    <row r="482" spans="1:16" x14ac:dyDescent="0.2">
      <c r="A482" s="717">
        <v>43863</v>
      </c>
      <c r="B482" s="533">
        <v>1.336147</v>
      </c>
      <c r="F482" s="1137">
        <f t="shared" si="41"/>
        <v>1.3064091225332768E-2</v>
      </c>
      <c r="G482" s="1138"/>
      <c r="H482" s="520">
        <v>8801.48</v>
      </c>
      <c r="I482" s="512">
        <v>43475</v>
      </c>
      <c r="J482" s="254">
        <f t="shared" si="38"/>
        <v>1.3095510784775222E-2</v>
      </c>
      <c r="L482" s="251">
        <f t="shared" si="39"/>
        <v>43475</v>
      </c>
      <c r="M482" s="513">
        <v>121.1</v>
      </c>
      <c r="N482" s="254">
        <f t="shared" si="40"/>
        <v>0</v>
      </c>
      <c r="O482" s="1137">
        <f t="shared" si="42"/>
        <v>-3.1419559442454485E-5</v>
      </c>
      <c r="P482" s="1138"/>
    </row>
    <row r="483" spans="1:16" x14ac:dyDescent="0.2">
      <c r="A483" s="717">
        <v>43870</v>
      </c>
      <c r="B483" s="533">
        <v>1.342946</v>
      </c>
      <c r="F483" s="1137">
        <f t="shared" si="41"/>
        <v>6.7163798444613435E-3</v>
      </c>
      <c r="G483" s="1138"/>
      <c r="H483" s="520">
        <v>8687.7099999999991</v>
      </c>
      <c r="I483" s="512">
        <v>43474</v>
      </c>
      <c r="J483" s="254">
        <f t="shared" si="38"/>
        <v>6.7477994039037981E-3</v>
      </c>
      <c r="L483" s="251">
        <f t="shared" si="39"/>
        <v>43474</v>
      </c>
      <c r="M483" s="513">
        <v>121.1</v>
      </c>
      <c r="N483" s="254">
        <f t="shared" si="40"/>
        <v>2.0219039595619215E-2</v>
      </c>
      <c r="O483" s="1137">
        <f t="shared" si="42"/>
        <v>2.0187620036176759E-2</v>
      </c>
      <c r="P483" s="1138"/>
    </row>
    <row r="484" spans="1:16" x14ac:dyDescent="0.2">
      <c r="A484" s="717">
        <v>43877</v>
      </c>
      <c r="B484" s="533">
        <v>1.324022</v>
      </c>
      <c r="F484" s="1137">
        <f t="shared" si="41"/>
        <v>1.0925767396900947E-2</v>
      </c>
      <c r="G484" s="1138"/>
      <c r="H484" s="520">
        <v>8629.48</v>
      </c>
      <c r="I484" s="512">
        <v>43473</v>
      </c>
      <c r="J484" s="254">
        <f t="shared" si="38"/>
        <v>1.0957186956343401E-2</v>
      </c>
      <c r="L484" s="251">
        <f t="shared" si="39"/>
        <v>43473</v>
      </c>
      <c r="M484" s="513">
        <v>118.7</v>
      </c>
      <c r="N484" s="254">
        <f t="shared" si="40"/>
        <v>3.2173913043478386E-2</v>
      </c>
      <c r="O484" s="1137">
        <f t="shared" si="42"/>
        <v>3.2142493484035931E-2</v>
      </c>
      <c r="P484" s="1138"/>
    </row>
    <row r="485" spans="1:16" x14ac:dyDescent="0.2">
      <c r="A485" s="717">
        <v>43884</v>
      </c>
      <c r="B485" s="533">
        <v>1.287293</v>
      </c>
      <c r="F485" s="1137">
        <f t="shared" si="41"/>
        <v>-8.4660474182246936E-3</v>
      </c>
      <c r="G485" s="1138"/>
      <c r="H485" s="520">
        <v>8535.9500000000007</v>
      </c>
      <c r="I485" s="512">
        <v>43472</v>
      </c>
      <c r="J485" s="254">
        <f t="shared" si="38"/>
        <v>-8.4346278587822399E-3</v>
      </c>
      <c r="L485" s="251">
        <f t="shared" si="39"/>
        <v>43472</v>
      </c>
      <c r="M485" s="513">
        <v>115</v>
      </c>
      <c r="N485" s="254">
        <f t="shared" si="40"/>
        <v>1.4109347442680775E-2</v>
      </c>
      <c r="O485" s="1137">
        <f t="shared" si="42"/>
        <v>1.4077927883238322E-2</v>
      </c>
      <c r="P485" s="1138"/>
    </row>
    <row r="486" spans="1:16" x14ac:dyDescent="0.2">
      <c r="A486" s="717">
        <v>43891</v>
      </c>
      <c r="B486" s="533">
        <v>1.1210310000000001</v>
      </c>
      <c r="F486" s="1137">
        <f t="shared" si="41"/>
        <v>1.6806500546959494E-2</v>
      </c>
      <c r="G486" s="1138"/>
      <c r="H486" s="520">
        <v>8608.56</v>
      </c>
      <c r="I486" s="512">
        <v>43469</v>
      </c>
      <c r="J486" s="254">
        <f t="shared" si="38"/>
        <v>1.6837920106401949E-2</v>
      </c>
      <c r="L486" s="251">
        <f t="shared" si="39"/>
        <v>43469</v>
      </c>
      <c r="M486" s="513">
        <v>113.4</v>
      </c>
      <c r="N486" s="254">
        <f t="shared" si="40"/>
        <v>4.2279411764706065E-2</v>
      </c>
      <c r="O486" s="1137">
        <f t="shared" si="42"/>
        <v>4.224799220526361E-2</v>
      </c>
      <c r="P486" s="1138"/>
    </row>
    <row r="487" spans="1:16" x14ac:dyDescent="0.2">
      <c r="A487" s="717">
        <v>43898</v>
      </c>
      <c r="B487" s="533">
        <v>0.93746300000000005</v>
      </c>
      <c r="F487" s="1137">
        <f t="shared" si="41"/>
        <v>4.3236277161322204E-3</v>
      </c>
      <c r="G487" s="1138"/>
      <c r="H487" s="520">
        <v>8466.01</v>
      </c>
      <c r="I487" s="512">
        <v>43468</v>
      </c>
      <c r="J487" s="254">
        <f t="shared" si="38"/>
        <v>4.355047275574675E-3</v>
      </c>
      <c r="L487" s="251">
        <f t="shared" si="39"/>
        <v>43468</v>
      </c>
      <c r="M487" s="513">
        <v>108.8</v>
      </c>
      <c r="N487" s="254">
        <f t="shared" si="40"/>
        <v>-7.7184054283291004E-2</v>
      </c>
      <c r="O487" s="1137">
        <f t="shared" si="42"/>
        <v>-7.7215473842733459E-2</v>
      </c>
      <c r="P487" s="1138"/>
    </row>
    <row r="488" spans="1:16" x14ac:dyDescent="0.2">
      <c r="A488" s="717">
        <v>43905</v>
      </c>
      <c r="B488" s="533">
        <v>0.96329399999999998</v>
      </c>
      <c r="F488" s="1137">
        <f t="shared" si="41"/>
        <v>2.8478861516837164E-2</v>
      </c>
      <c r="G488" s="1138"/>
      <c r="H488" s="520">
        <v>8429.2999999999993</v>
      </c>
      <c r="I488" s="512">
        <v>43462</v>
      </c>
      <c r="J488" s="254">
        <f t="shared" si="38"/>
        <v>2.851028107627962E-2</v>
      </c>
      <c r="L488" s="251">
        <f t="shared" si="39"/>
        <v>43462</v>
      </c>
      <c r="M488" s="513">
        <v>117.9</v>
      </c>
      <c r="N488" s="254">
        <f t="shared" si="40"/>
        <v>2.4326672458731657E-2</v>
      </c>
      <c r="O488" s="1137">
        <f t="shared" si="42"/>
        <v>2.4295252899289202E-2</v>
      </c>
      <c r="P488" s="1138"/>
    </row>
    <row r="489" spans="1:16" x14ac:dyDescent="0.2">
      <c r="A489" s="717">
        <v>43912</v>
      </c>
      <c r="B489" s="533">
        <v>1.171775</v>
      </c>
      <c r="F489" s="1137">
        <f t="shared" si="41"/>
        <v>-2.636412284042737E-2</v>
      </c>
      <c r="G489" s="1138"/>
      <c r="H489" s="520">
        <v>8195.64</v>
      </c>
      <c r="I489" s="512">
        <v>43461</v>
      </c>
      <c r="J489" s="254">
        <f t="shared" si="38"/>
        <v>-2.6332703280984915E-2</v>
      </c>
      <c r="L489" s="251">
        <f t="shared" si="39"/>
        <v>43461</v>
      </c>
      <c r="M489" s="513">
        <v>115.1</v>
      </c>
      <c r="N489" s="254">
        <f t="shared" si="40"/>
        <v>1.7683465959328126E-2</v>
      </c>
      <c r="O489" s="1137">
        <f t="shared" si="42"/>
        <v>1.7652046399885671E-2</v>
      </c>
      <c r="P489" s="1138"/>
    </row>
    <row r="490" spans="1:16" x14ac:dyDescent="0.2">
      <c r="A490" s="717">
        <v>43919</v>
      </c>
      <c r="B490" s="533">
        <v>1.055798</v>
      </c>
      <c r="F490" s="1137">
        <f t="shared" si="41"/>
        <v>3.0252858708608541E-4</v>
      </c>
      <c r="G490" s="1138"/>
      <c r="H490" s="520">
        <v>8417.2900000000009</v>
      </c>
      <c r="I490" s="512">
        <v>43455</v>
      </c>
      <c r="J490" s="254">
        <f t="shared" si="38"/>
        <v>3.3394814652853988E-4</v>
      </c>
      <c r="L490" s="251">
        <f t="shared" si="39"/>
        <v>43455</v>
      </c>
      <c r="M490" s="513">
        <v>113.1</v>
      </c>
      <c r="N490" s="254">
        <f t="shared" si="40"/>
        <v>4.4404973357015098E-3</v>
      </c>
      <c r="O490" s="1137">
        <f t="shared" si="42"/>
        <v>4.4090777762590553E-3</v>
      </c>
      <c r="P490" s="1138"/>
    </row>
    <row r="491" spans="1:16" x14ac:dyDescent="0.2">
      <c r="A491" s="717">
        <v>43926</v>
      </c>
      <c r="B491" s="533">
        <v>0.97461200000000003</v>
      </c>
      <c r="F491" s="1137">
        <f t="shared" si="41"/>
        <v>-1.4747771477907663E-2</v>
      </c>
      <c r="G491" s="1138"/>
      <c r="H491" s="520">
        <v>8414.48</v>
      </c>
      <c r="I491" s="512">
        <v>43454</v>
      </c>
      <c r="J491" s="254">
        <f t="shared" si="38"/>
        <v>-1.4716351918465209E-2</v>
      </c>
      <c r="L491" s="251">
        <f t="shared" si="39"/>
        <v>43454</v>
      </c>
      <c r="M491" s="513">
        <v>112.6</v>
      </c>
      <c r="N491" s="254">
        <f t="shared" si="40"/>
        <v>-4.8986486486486625E-2</v>
      </c>
      <c r="O491" s="1137">
        <f t="shared" si="42"/>
        <v>-4.901790604592908E-2</v>
      </c>
      <c r="P491" s="1138"/>
    </row>
    <row r="492" spans="1:16" x14ac:dyDescent="0.2">
      <c r="A492" s="717">
        <v>43933</v>
      </c>
      <c r="B492" s="533">
        <v>1.0585819999999999</v>
      </c>
      <c r="F492" s="1137">
        <f t="shared" si="41"/>
        <v>1.3627670692641517E-3</v>
      </c>
      <c r="G492" s="1138"/>
      <c r="H492" s="520">
        <v>8540.16</v>
      </c>
      <c r="I492" s="512">
        <v>43453</v>
      </c>
      <c r="J492" s="254">
        <f t="shared" si="38"/>
        <v>1.3941866287066063E-3</v>
      </c>
      <c r="L492" s="251">
        <f t="shared" si="39"/>
        <v>43453</v>
      </c>
      <c r="M492" s="513">
        <v>118.4</v>
      </c>
      <c r="N492" s="254">
        <f t="shared" si="40"/>
        <v>1.2831479897348119E-2</v>
      </c>
      <c r="O492" s="1137">
        <f t="shared" si="42"/>
        <v>1.2800060337905666E-2</v>
      </c>
      <c r="P492" s="1138"/>
    </row>
    <row r="493" spans="1:16" x14ac:dyDescent="0.2">
      <c r="A493" s="717">
        <v>43940</v>
      </c>
      <c r="B493" s="533">
        <v>0.96117200000000003</v>
      </c>
      <c r="F493" s="1137">
        <f t="shared" si="41"/>
        <v>-8.6729829919356804E-3</v>
      </c>
      <c r="G493" s="1138"/>
      <c r="H493" s="520">
        <v>8528.27</v>
      </c>
      <c r="I493" s="512">
        <v>43452</v>
      </c>
      <c r="J493" s="254">
        <f t="shared" si="38"/>
        <v>-8.6415634324932267E-3</v>
      </c>
      <c r="L493" s="251">
        <f t="shared" si="39"/>
        <v>43452</v>
      </c>
      <c r="M493" s="513">
        <v>116.9</v>
      </c>
      <c r="N493" s="254">
        <f t="shared" si="40"/>
        <v>-2.826267664172899E-2</v>
      </c>
      <c r="O493" s="1137">
        <f t="shared" si="42"/>
        <v>-2.8294096201171445E-2</v>
      </c>
      <c r="P493" s="1138"/>
    </row>
    <row r="494" spans="1:16" x14ac:dyDescent="0.2">
      <c r="A494" s="717">
        <v>43947</v>
      </c>
      <c r="B494" s="533">
        <v>0.90124199999999999</v>
      </c>
      <c r="F494" s="1137">
        <f t="shared" si="41"/>
        <v>-1.2778043259188116E-2</v>
      </c>
      <c r="G494" s="1138"/>
      <c r="H494" s="520">
        <v>8602.61</v>
      </c>
      <c r="I494" s="512">
        <v>43451</v>
      </c>
      <c r="J494" s="254">
        <f t="shared" si="38"/>
        <v>-1.2746623699745663E-2</v>
      </c>
      <c r="L494" s="251">
        <f t="shared" si="39"/>
        <v>43451</v>
      </c>
      <c r="M494" s="513">
        <v>120.3</v>
      </c>
      <c r="N494" s="254">
        <f t="shared" si="40"/>
        <v>-5.4245283018867996E-2</v>
      </c>
      <c r="O494" s="1137">
        <f t="shared" si="42"/>
        <v>-5.4276702578310451E-2</v>
      </c>
      <c r="P494" s="1138"/>
    </row>
    <row r="495" spans="1:16" x14ac:dyDescent="0.2">
      <c r="A495" s="717">
        <v>43954</v>
      </c>
      <c r="B495" s="533">
        <v>0.86698900000000001</v>
      </c>
      <c r="F495" s="1137">
        <f t="shared" si="41"/>
        <v>-1.1491820934418402E-2</v>
      </c>
      <c r="G495" s="1138"/>
      <c r="H495" s="520">
        <v>8713.68</v>
      </c>
      <c r="I495" s="512">
        <v>43448</v>
      </c>
      <c r="J495" s="254">
        <f t="shared" si="38"/>
        <v>-1.1460401374975948E-2</v>
      </c>
      <c r="L495" s="251">
        <f t="shared" si="39"/>
        <v>43448</v>
      </c>
      <c r="M495" s="513">
        <v>127.2</v>
      </c>
      <c r="N495" s="254">
        <f t="shared" si="40"/>
        <v>-8.5736554949338295E-3</v>
      </c>
      <c r="O495" s="1137">
        <f t="shared" si="42"/>
        <v>-8.6050750543762832E-3</v>
      </c>
      <c r="P495" s="1138"/>
    </row>
    <row r="496" spans="1:16" x14ac:dyDescent="0.2">
      <c r="A496" s="717">
        <v>43961</v>
      </c>
      <c r="B496" s="533">
        <v>0.85141500000000003</v>
      </c>
      <c r="F496" s="1137">
        <f t="shared" si="41"/>
        <v>-5.2722802161975632E-3</v>
      </c>
      <c r="G496" s="1138"/>
      <c r="H496" s="520">
        <v>8814.7000000000007</v>
      </c>
      <c r="I496" s="512">
        <v>43447</v>
      </c>
      <c r="J496" s="254">
        <f t="shared" si="38"/>
        <v>-5.2408606567551086E-3</v>
      </c>
      <c r="L496" s="251">
        <f t="shared" si="39"/>
        <v>43447</v>
      </c>
      <c r="M496" s="513">
        <v>128.30000000000001</v>
      </c>
      <c r="N496" s="254">
        <f t="shared" si="40"/>
        <v>-2.3328149300154699E-3</v>
      </c>
      <c r="O496" s="1137">
        <f t="shared" si="42"/>
        <v>-2.3642344894579245E-3</v>
      </c>
      <c r="P496" s="1138"/>
    </row>
    <row r="497" spans="1:16" x14ac:dyDescent="0.2">
      <c r="A497" s="717">
        <v>43968</v>
      </c>
      <c r="B497" s="533">
        <v>0.841943</v>
      </c>
      <c r="F497" s="1137">
        <f t="shared" si="41"/>
        <v>1.6728036463910148E-2</v>
      </c>
      <c r="G497" s="1138"/>
      <c r="H497" s="520">
        <v>8861.14</v>
      </c>
      <c r="I497" s="512">
        <v>43446</v>
      </c>
      <c r="J497" s="254">
        <f t="shared" si="38"/>
        <v>1.6759456023352604E-2</v>
      </c>
      <c r="L497" s="251">
        <f t="shared" si="39"/>
        <v>43446</v>
      </c>
      <c r="M497" s="513">
        <v>128.6</v>
      </c>
      <c r="N497" s="254">
        <f t="shared" si="40"/>
        <v>5.4963084495488035E-2</v>
      </c>
      <c r="O497" s="1137">
        <f t="shared" si="42"/>
        <v>5.4931664936045579E-2</v>
      </c>
      <c r="P497" s="1138"/>
    </row>
    <row r="498" spans="1:16" x14ac:dyDescent="0.2">
      <c r="A498" s="717">
        <v>43975</v>
      </c>
      <c r="B498" s="533">
        <v>0.83935000000000004</v>
      </c>
      <c r="F498" s="1137">
        <f t="shared" si="41"/>
        <v>1.9154595676166911E-2</v>
      </c>
      <c r="G498" s="1138"/>
      <c r="H498" s="520">
        <v>8715.08</v>
      </c>
      <c r="I498" s="512">
        <v>43445</v>
      </c>
      <c r="J498" s="254">
        <f t="shared" si="38"/>
        <v>1.9186015235609366E-2</v>
      </c>
      <c r="L498" s="251">
        <f t="shared" si="39"/>
        <v>43445</v>
      </c>
      <c r="M498" s="513">
        <v>121.9</v>
      </c>
      <c r="N498" s="254">
        <f t="shared" si="40"/>
        <v>4.8151332760103305E-2</v>
      </c>
      <c r="O498" s="1137">
        <f t="shared" si="42"/>
        <v>4.8119913200660849E-2</v>
      </c>
      <c r="P498" s="1138"/>
    </row>
    <row r="499" spans="1:16" x14ac:dyDescent="0.2">
      <c r="A499" s="717">
        <v>43982</v>
      </c>
      <c r="B499" s="533">
        <v>0.87222500000000003</v>
      </c>
      <c r="F499" s="1137">
        <f t="shared" si="41"/>
        <v>-2.1769132391911847E-2</v>
      </c>
      <c r="G499" s="1138"/>
      <c r="H499" s="520">
        <v>8551.02</v>
      </c>
      <c r="I499" s="512">
        <v>43444</v>
      </c>
      <c r="J499" s="254">
        <f t="shared" si="38"/>
        <v>-2.1737712832469391E-2</v>
      </c>
      <c r="L499" s="251">
        <f t="shared" si="39"/>
        <v>43444</v>
      </c>
      <c r="M499" s="513">
        <v>116.3</v>
      </c>
      <c r="N499" s="254">
        <f t="shared" si="40"/>
        <v>-1.4406779661017E-2</v>
      </c>
      <c r="O499" s="1137">
        <f t="shared" si="42"/>
        <v>-1.4438199220459453E-2</v>
      </c>
      <c r="P499" s="1138"/>
    </row>
    <row r="500" spans="1:16" x14ac:dyDescent="0.2">
      <c r="A500" s="717">
        <v>43989</v>
      </c>
      <c r="B500" s="533">
        <v>0.971109</v>
      </c>
      <c r="F500" s="1137">
        <f t="shared" si="41"/>
        <v>9.3218967685610599E-3</v>
      </c>
      <c r="G500" s="1138"/>
      <c r="H500" s="520">
        <v>8741.0300000000007</v>
      </c>
      <c r="I500" s="512">
        <v>43441</v>
      </c>
      <c r="J500" s="254">
        <f t="shared" si="38"/>
        <v>9.3533163280035136E-3</v>
      </c>
      <c r="L500" s="251">
        <f t="shared" si="39"/>
        <v>43441</v>
      </c>
      <c r="M500" s="513">
        <v>118</v>
      </c>
      <c r="N500" s="254">
        <f t="shared" si="40"/>
        <v>-1.1725293132328396E-2</v>
      </c>
      <c r="O500" s="1137">
        <f t="shared" si="42"/>
        <v>-1.175671269177085E-2</v>
      </c>
      <c r="P500" s="1138"/>
    </row>
    <row r="501" spans="1:16" x14ac:dyDescent="0.2">
      <c r="A501" s="717">
        <v>43996</v>
      </c>
      <c r="B501" s="533">
        <v>0.92968600000000001</v>
      </c>
      <c r="F501" s="1137">
        <f t="shared" si="41"/>
        <v>-3.1343640195776221E-2</v>
      </c>
      <c r="G501" s="1138"/>
      <c r="H501" s="520">
        <v>8660.0300000000007</v>
      </c>
      <c r="I501" s="512">
        <v>43440</v>
      </c>
      <c r="J501" s="254">
        <f t="shared" si="38"/>
        <v>-3.1312220636333765E-2</v>
      </c>
      <c r="L501" s="251">
        <f t="shared" si="39"/>
        <v>43440</v>
      </c>
      <c r="M501" s="513">
        <v>119.4</v>
      </c>
      <c r="N501" s="254">
        <f t="shared" si="40"/>
        <v>-3.4761519805982188E-2</v>
      </c>
      <c r="O501" s="1137">
        <f t="shared" si="42"/>
        <v>-3.4792939365424644E-2</v>
      </c>
      <c r="P501" s="1138"/>
    </row>
    <row r="502" spans="1:16" x14ac:dyDescent="0.2">
      <c r="A502" s="717">
        <v>44003</v>
      </c>
      <c r="B502" s="533">
        <v>0.90166500000000005</v>
      </c>
      <c r="F502" s="1137">
        <f t="shared" si="41"/>
        <v>-1.599619666456091E-2</v>
      </c>
      <c r="G502" s="1138"/>
      <c r="H502" s="520">
        <v>8939.9599999999991</v>
      </c>
      <c r="I502" s="512">
        <v>43439</v>
      </c>
      <c r="J502" s="254">
        <f t="shared" si="38"/>
        <v>-1.5964777105118455E-2</v>
      </c>
      <c r="L502" s="251">
        <f t="shared" si="39"/>
        <v>43439</v>
      </c>
      <c r="M502" s="513">
        <v>123.7</v>
      </c>
      <c r="N502" s="254">
        <f t="shared" si="40"/>
        <v>-3.4348165495706406E-2</v>
      </c>
      <c r="O502" s="1137">
        <f t="shared" si="42"/>
        <v>-3.4379585055148862E-2</v>
      </c>
      <c r="P502" s="1138"/>
    </row>
    <row r="503" spans="1:16" x14ac:dyDescent="0.2">
      <c r="A503" s="717">
        <v>44010</v>
      </c>
      <c r="B503" s="533">
        <v>0.88281699999999996</v>
      </c>
      <c r="F503" s="1137">
        <f t="shared" si="41"/>
        <v>-2.3989436300025221E-3</v>
      </c>
      <c r="G503" s="1138"/>
      <c r="H503" s="520">
        <v>9085</v>
      </c>
      <c r="I503" s="512">
        <v>43438</v>
      </c>
      <c r="J503" s="254">
        <f t="shared" si="38"/>
        <v>-2.3675240705600675E-3</v>
      </c>
      <c r="L503" s="251">
        <f t="shared" si="39"/>
        <v>43438</v>
      </c>
      <c r="M503" s="513">
        <v>128.1</v>
      </c>
      <c r="N503" s="254">
        <f t="shared" si="40"/>
        <v>-3.3207547169811336E-2</v>
      </c>
      <c r="O503" s="1137">
        <f t="shared" si="42"/>
        <v>-3.3238966729253791E-2</v>
      </c>
      <c r="P503" s="1138"/>
    </row>
    <row r="504" spans="1:16" x14ac:dyDescent="0.2">
      <c r="A504" s="717">
        <v>44017</v>
      </c>
      <c r="B504" s="533">
        <v>0.869313</v>
      </c>
      <c r="F504" s="1137">
        <f t="shared" si="41"/>
        <v>7.5810861941955779E-3</v>
      </c>
      <c r="G504" s="1138"/>
      <c r="H504" s="520">
        <v>9106.56</v>
      </c>
      <c r="I504" s="512">
        <v>43437</v>
      </c>
      <c r="J504" s="254">
        <f t="shared" si="38"/>
        <v>7.6125057536380325E-3</v>
      </c>
      <c r="L504" s="251">
        <f t="shared" si="39"/>
        <v>43437</v>
      </c>
      <c r="M504" s="513">
        <v>132.5</v>
      </c>
      <c r="N504" s="254">
        <f t="shared" si="40"/>
        <v>7.1139854486661269E-2</v>
      </c>
      <c r="O504" s="1137">
        <f t="shared" si="42"/>
        <v>7.1108434927218814E-2</v>
      </c>
      <c r="P504" s="1138"/>
    </row>
    <row r="505" spans="1:16" x14ac:dyDescent="0.2">
      <c r="A505" s="717">
        <v>44024</v>
      </c>
      <c r="B505" s="533">
        <v>0.85018700000000003</v>
      </c>
      <c r="F505" s="1137">
        <f t="shared" si="41"/>
        <v>2.4276541118315046E-3</v>
      </c>
      <c r="G505" s="1138"/>
      <c r="H505" s="520">
        <v>9037.76</v>
      </c>
      <c r="I505" s="512">
        <v>43434</v>
      </c>
      <c r="J505" s="254">
        <f t="shared" si="38"/>
        <v>2.4590736712739591E-3</v>
      </c>
      <c r="L505" s="251">
        <f t="shared" si="39"/>
        <v>43434</v>
      </c>
      <c r="M505" s="513">
        <v>123.7</v>
      </c>
      <c r="N505" s="254">
        <f t="shared" si="40"/>
        <v>-2.1360759493670889E-2</v>
      </c>
      <c r="O505" s="1137">
        <f t="shared" si="42"/>
        <v>-2.1392179053113344E-2</v>
      </c>
      <c r="P505" s="1138"/>
    </row>
    <row r="506" spans="1:16" x14ac:dyDescent="0.2">
      <c r="A506" s="717">
        <v>44031</v>
      </c>
      <c r="B506" s="533">
        <v>0.83974000000000004</v>
      </c>
      <c r="F506" s="1137">
        <f t="shared" si="41"/>
        <v>1.3573494894078624E-2</v>
      </c>
      <c r="G506" s="1138"/>
      <c r="H506" s="520">
        <v>9015.59</v>
      </c>
      <c r="I506" s="512">
        <v>43433</v>
      </c>
      <c r="J506" s="254">
        <f t="shared" si="38"/>
        <v>1.3604914453521078E-2</v>
      </c>
      <c r="L506" s="251">
        <f t="shared" si="39"/>
        <v>43433</v>
      </c>
      <c r="M506" s="513">
        <v>126.4</v>
      </c>
      <c r="N506" s="254">
        <f t="shared" si="40"/>
        <v>2.4311183144246407E-2</v>
      </c>
      <c r="O506" s="1137">
        <f t="shared" si="42"/>
        <v>2.4279763584803951E-2</v>
      </c>
      <c r="P506" s="1138"/>
    </row>
    <row r="507" spans="1:16" x14ac:dyDescent="0.2">
      <c r="A507" s="717">
        <v>44038</v>
      </c>
      <c r="B507" s="533">
        <v>0.82103599999999999</v>
      </c>
      <c r="F507" s="1137">
        <f t="shared" si="41"/>
        <v>-4.168990093419829E-4</v>
      </c>
      <c r="G507" s="1138"/>
      <c r="H507" s="520">
        <v>8894.58</v>
      </c>
      <c r="I507" s="512">
        <v>43432</v>
      </c>
      <c r="J507" s="254">
        <f t="shared" si="38"/>
        <v>-3.8547944989952843E-4</v>
      </c>
      <c r="L507" s="251">
        <f t="shared" si="39"/>
        <v>43432</v>
      </c>
      <c r="M507" s="513">
        <v>123.4</v>
      </c>
      <c r="N507" s="254">
        <f t="shared" si="40"/>
        <v>4.0683482506103097E-3</v>
      </c>
      <c r="O507" s="1137">
        <f t="shared" si="42"/>
        <v>4.0369286911678551E-3</v>
      </c>
      <c r="P507" s="1138"/>
    </row>
    <row r="508" spans="1:16" x14ac:dyDescent="0.2">
      <c r="A508" s="717">
        <v>44045</v>
      </c>
      <c r="B508" s="533">
        <v>0.79531499999999999</v>
      </c>
      <c r="F508" s="1137">
        <f t="shared" si="41"/>
        <v>-3.7665688142601147E-3</v>
      </c>
      <c r="G508" s="1138"/>
      <c r="H508" s="520">
        <v>8898.01</v>
      </c>
      <c r="I508" s="512">
        <v>43431</v>
      </c>
      <c r="J508" s="254">
        <f t="shared" si="38"/>
        <v>-3.7351492548176601E-3</v>
      </c>
      <c r="L508" s="251">
        <f t="shared" si="39"/>
        <v>43431</v>
      </c>
      <c r="M508" s="513">
        <v>122.9</v>
      </c>
      <c r="N508" s="254">
        <f t="shared" si="40"/>
        <v>-1.8370607028753927E-2</v>
      </c>
      <c r="O508" s="1137">
        <f t="shared" si="42"/>
        <v>-1.8402026588196382E-2</v>
      </c>
      <c r="P508" s="1138"/>
    </row>
    <row r="509" spans="1:16" x14ac:dyDescent="0.2">
      <c r="A509" s="717">
        <v>44052</v>
      </c>
      <c r="B509" s="533">
        <v>0.79352199999999995</v>
      </c>
      <c r="F509" s="1137">
        <f t="shared" si="41"/>
        <v>9.6306837878712016E-3</v>
      </c>
      <c r="G509" s="1138"/>
      <c r="H509" s="520">
        <v>8931.3700000000008</v>
      </c>
      <c r="I509" s="512">
        <v>43430</v>
      </c>
      <c r="J509" s="254">
        <f t="shared" si="38"/>
        <v>9.6621033473136553E-3</v>
      </c>
      <c r="L509" s="251">
        <f t="shared" si="39"/>
        <v>43430</v>
      </c>
      <c r="M509" s="513">
        <v>125.2</v>
      </c>
      <c r="N509" s="254">
        <f t="shared" si="40"/>
        <v>2.2875816993463971E-2</v>
      </c>
      <c r="O509" s="1137">
        <f t="shared" si="42"/>
        <v>2.2844397434021516E-2</v>
      </c>
      <c r="P509" s="1138"/>
    </row>
    <row r="510" spans="1:16" x14ac:dyDescent="0.2">
      <c r="A510" s="717">
        <v>44059</v>
      </c>
      <c r="B510" s="533">
        <v>0.87322</v>
      </c>
      <c r="F510" s="1137">
        <f t="shared" si="41"/>
        <v>7.3262693450350672E-3</v>
      </c>
      <c r="G510" s="1138"/>
      <c r="H510" s="520">
        <v>8845.9</v>
      </c>
      <c r="I510" s="512">
        <v>43427</v>
      </c>
      <c r="J510" s="254">
        <f t="shared" si="38"/>
        <v>7.3576889044775218E-3</v>
      </c>
      <c r="L510" s="251">
        <f t="shared" si="39"/>
        <v>43427</v>
      </c>
      <c r="M510" s="513">
        <v>122.4</v>
      </c>
      <c r="N510" s="254">
        <f t="shared" si="40"/>
        <v>8.2372322899506578E-3</v>
      </c>
      <c r="O510" s="1137">
        <f t="shared" si="42"/>
        <v>8.2058127305082041E-3</v>
      </c>
      <c r="P510" s="1138"/>
    </row>
    <row r="511" spans="1:16" x14ac:dyDescent="0.2">
      <c r="A511" s="717">
        <v>44066</v>
      </c>
      <c r="B511" s="533">
        <v>0.87410200000000005</v>
      </c>
      <c r="F511" s="1137">
        <f t="shared" si="41"/>
        <v>-6.8391033408907028E-3</v>
      </c>
      <c r="G511" s="1138"/>
      <c r="H511" s="520">
        <v>8781.2900000000009</v>
      </c>
      <c r="I511" s="512">
        <v>43426</v>
      </c>
      <c r="J511" s="254">
        <f t="shared" si="38"/>
        <v>-6.8076837814482483E-3</v>
      </c>
      <c r="L511" s="251">
        <f t="shared" si="39"/>
        <v>43426</v>
      </c>
      <c r="M511" s="513">
        <v>121.4</v>
      </c>
      <c r="N511" s="254">
        <f t="shared" si="40"/>
        <v>5.7995028997515075E-3</v>
      </c>
      <c r="O511" s="1137">
        <f t="shared" si="42"/>
        <v>5.7680833403090529E-3</v>
      </c>
      <c r="P511" s="1138"/>
    </row>
    <row r="512" spans="1:16" x14ac:dyDescent="0.2">
      <c r="A512" s="717">
        <v>44073</v>
      </c>
      <c r="B512" s="533">
        <v>0.93391900000000005</v>
      </c>
      <c r="F512" s="1137">
        <f t="shared" si="41"/>
        <v>8.1823224654277871E-3</v>
      </c>
      <c r="G512" s="1138"/>
      <c r="H512" s="520">
        <v>8841.48</v>
      </c>
      <c r="I512" s="512">
        <v>43425</v>
      </c>
      <c r="J512" s="254">
        <f t="shared" si="38"/>
        <v>8.2137420248702409E-3</v>
      </c>
      <c r="L512" s="251">
        <f t="shared" si="39"/>
        <v>43425</v>
      </c>
      <c r="M512" s="513">
        <v>120.7</v>
      </c>
      <c r="N512" s="254">
        <f t="shared" si="40"/>
        <v>1.1735121542330251E-2</v>
      </c>
      <c r="O512" s="1137">
        <f t="shared" si="42"/>
        <v>1.1703701982887798E-2</v>
      </c>
      <c r="P512" s="1138"/>
    </row>
    <row r="513" spans="1:16" x14ac:dyDescent="0.2">
      <c r="A513" s="717">
        <v>44080</v>
      </c>
      <c r="B513" s="533">
        <v>0.88089300000000004</v>
      </c>
      <c r="F513" s="1137">
        <f t="shared" si="41"/>
        <v>-4.9289470796663312E-3</v>
      </c>
      <c r="G513" s="1138"/>
      <c r="H513" s="520">
        <v>8769.4500000000007</v>
      </c>
      <c r="I513" s="512">
        <v>43424</v>
      </c>
      <c r="J513" s="254">
        <f t="shared" si="38"/>
        <v>-4.8975275202238766E-3</v>
      </c>
      <c r="L513" s="251">
        <f t="shared" si="39"/>
        <v>43424</v>
      </c>
      <c r="M513" s="513">
        <v>119.3</v>
      </c>
      <c r="N513" s="254">
        <f t="shared" si="40"/>
        <v>-3.4008097165991957E-2</v>
      </c>
      <c r="O513" s="1137">
        <f t="shared" si="42"/>
        <v>-3.4039516725434413E-2</v>
      </c>
      <c r="P513" s="1138"/>
    </row>
    <row r="514" spans="1:16" x14ac:dyDescent="0.2">
      <c r="A514" s="717">
        <v>44087</v>
      </c>
      <c r="B514" s="533">
        <v>0.88930699999999996</v>
      </c>
      <c r="F514" s="1137">
        <f t="shared" si="41"/>
        <v>-1.0672022474549943E-2</v>
      </c>
      <c r="G514" s="1138"/>
      <c r="H514" s="520">
        <v>8812.61</v>
      </c>
      <c r="I514" s="512">
        <v>43423</v>
      </c>
      <c r="J514" s="254">
        <f t="shared" si="38"/>
        <v>-1.0640602915107489E-2</v>
      </c>
      <c r="L514" s="251">
        <f t="shared" si="39"/>
        <v>43423</v>
      </c>
      <c r="M514" s="513">
        <v>123.5</v>
      </c>
      <c r="N514" s="254">
        <f t="shared" si="40"/>
        <v>-4.189294026377044E-2</v>
      </c>
      <c r="O514" s="1137">
        <f t="shared" si="42"/>
        <v>-4.1924359823212895E-2</v>
      </c>
      <c r="P514" s="1138"/>
    </row>
    <row r="515" spans="1:16" x14ac:dyDescent="0.2">
      <c r="A515" s="717">
        <v>44094</v>
      </c>
      <c r="B515" s="533">
        <v>0.87941899999999995</v>
      </c>
      <c r="F515" s="1137">
        <f t="shared" si="41"/>
        <v>4.1805165895895816E-3</v>
      </c>
      <c r="G515" s="1138"/>
      <c r="H515" s="520">
        <v>8907.39</v>
      </c>
      <c r="I515" s="512">
        <v>43420</v>
      </c>
      <c r="J515" s="254">
        <f t="shared" si="38"/>
        <v>4.2119361490320362E-3</v>
      </c>
      <c r="L515" s="251">
        <f t="shared" si="39"/>
        <v>43420</v>
      </c>
      <c r="M515" s="513">
        <v>128.9</v>
      </c>
      <c r="N515" s="254">
        <f t="shared" si="40"/>
        <v>4.6765393608729777E-3</v>
      </c>
      <c r="O515" s="1137">
        <f t="shared" si="42"/>
        <v>4.6451198014305231E-3</v>
      </c>
      <c r="P515" s="1138"/>
    </row>
    <row r="516" spans="1:16" x14ac:dyDescent="0.2">
      <c r="A516" s="717">
        <v>44101</v>
      </c>
      <c r="B516" s="533">
        <v>0.85477999999999998</v>
      </c>
      <c r="F516" s="1137">
        <f t="shared" si="41"/>
        <v>-6.8804432068806784E-3</v>
      </c>
      <c r="G516" s="1138"/>
      <c r="H516" s="520">
        <v>8870.0300000000007</v>
      </c>
      <c r="I516" s="512">
        <v>43419</v>
      </c>
      <c r="J516" s="254">
        <f t="shared" si="38"/>
        <v>-6.8490236474382238E-3</v>
      </c>
      <c r="L516" s="251">
        <f t="shared" si="39"/>
        <v>43419</v>
      </c>
      <c r="M516" s="513">
        <v>128.30000000000001</v>
      </c>
      <c r="N516" s="254">
        <f t="shared" si="40"/>
        <v>-1.1556240369799742E-2</v>
      </c>
      <c r="O516" s="1137">
        <f t="shared" si="42"/>
        <v>-1.1587659929242195E-2</v>
      </c>
      <c r="P516" s="1138"/>
    </row>
    <row r="517" spans="1:16" x14ac:dyDescent="0.2">
      <c r="A517" s="717">
        <v>44108</v>
      </c>
      <c r="B517" s="533">
        <v>0.853715</v>
      </c>
      <c r="F517" s="1137">
        <f t="shared" si="41"/>
        <v>-9.3742906149550231E-3</v>
      </c>
      <c r="G517" s="1138"/>
      <c r="H517" s="520">
        <v>8931.2000000000007</v>
      </c>
      <c r="I517" s="512">
        <v>43418</v>
      </c>
      <c r="J517" s="254">
        <f t="shared" si="38"/>
        <v>-9.3428710555125694E-3</v>
      </c>
      <c r="L517" s="251">
        <f t="shared" si="39"/>
        <v>43418</v>
      </c>
      <c r="M517" s="513">
        <v>129.80000000000001</v>
      </c>
      <c r="N517" s="254">
        <f t="shared" si="40"/>
        <v>-3.8372985418265726E-3</v>
      </c>
      <c r="O517" s="1137">
        <f t="shared" si="42"/>
        <v>-3.8687181012690272E-3</v>
      </c>
      <c r="P517" s="1138"/>
    </row>
    <row r="518" spans="1:16" x14ac:dyDescent="0.2">
      <c r="A518" s="717">
        <v>44115</v>
      </c>
      <c r="B518" s="533">
        <v>0.88920600000000005</v>
      </c>
      <c r="F518" s="1137">
        <f t="shared" si="41"/>
        <v>3.4614372256378126E-3</v>
      </c>
      <c r="G518" s="1138"/>
      <c r="H518" s="520">
        <v>9015.43</v>
      </c>
      <c r="I518" s="512">
        <v>43417</v>
      </c>
      <c r="J518" s="254">
        <f t="shared" si="38"/>
        <v>3.4928567850802672E-3</v>
      </c>
      <c r="L518" s="251">
        <f t="shared" si="39"/>
        <v>43417</v>
      </c>
      <c r="M518" s="513">
        <v>130.30000000000001</v>
      </c>
      <c r="N518" s="254">
        <f t="shared" si="40"/>
        <v>-5.3435114503815884E-3</v>
      </c>
      <c r="O518" s="1137">
        <f t="shared" si="42"/>
        <v>-5.3749310098240429E-3</v>
      </c>
      <c r="P518" s="1138"/>
    </row>
    <row r="519" spans="1:16" x14ac:dyDescent="0.2">
      <c r="A519" s="717">
        <v>44122</v>
      </c>
      <c r="B519" s="533">
        <v>0.84934699999999996</v>
      </c>
      <c r="F519" s="1137">
        <f t="shared" si="41"/>
        <v>-9.947630989204299E-3</v>
      </c>
      <c r="G519" s="1138"/>
      <c r="H519" s="520">
        <v>8984.0499999999993</v>
      </c>
      <c r="I519" s="512">
        <v>43416</v>
      </c>
      <c r="J519" s="254">
        <f t="shared" si="38"/>
        <v>-9.9162114297618453E-3</v>
      </c>
      <c r="L519" s="251">
        <f t="shared" si="39"/>
        <v>43416</v>
      </c>
      <c r="M519" s="513">
        <v>131</v>
      </c>
      <c r="N519" s="254">
        <f t="shared" si="40"/>
        <v>-3.9589442815249343E-2</v>
      </c>
      <c r="O519" s="1137">
        <f t="shared" si="42"/>
        <v>-3.9620862374691798E-2</v>
      </c>
      <c r="P519" s="1138"/>
    </row>
    <row r="520" spans="1:16" x14ac:dyDescent="0.2">
      <c r="A520" s="717">
        <v>44129</v>
      </c>
      <c r="B520" s="533">
        <v>0.87690800000000002</v>
      </c>
      <c r="F520" s="1137">
        <f t="shared" si="41"/>
        <v>-2.3261121893777678E-3</v>
      </c>
      <c r="G520" s="1138"/>
      <c r="H520" s="520">
        <v>9074.0300000000007</v>
      </c>
      <c r="I520" s="512">
        <v>43413</v>
      </c>
      <c r="J520" s="254">
        <f t="shared" si="38"/>
        <v>-2.2946926299353132E-3</v>
      </c>
      <c r="L520" s="251">
        <f t="shared" si="39"/>
        <v>43413</v>
      </c>
      <c r="M520" s="513">
        <v>136.4</v>
      </c>
      <c r="N520" s="254">
        <f t="shared" si="40"/>
        <v>-2.1520803443328518E-2</v>
      </c>
      <c r="O520" s="1137">
        <f t="shared" si="42"/>
        <v>-2.1552223002770973E-2</v>
      </c>
      <c r="P520" s="1138"/>
    </row>
    <row r="521" spans="1:16" x14ac:dyDescent="0.2">
      <c r="A521" s="717">
        <v>44136</v>
      </c>
      <c r="B521" s="533">
        <v>0.86283699999999997</v>
      </c>
      <c r="F521" s="1137">
        <f t="shared" si="41"/>
        <v>4.8710557652069256E-3</v>
      </c>
      <c r="G521" s="1138"/>
      <c r="H521" s="520">
        <v>9094.9</v>
      </c>
      <c r="I521" s="512">
        <v>43412</v>
      </c>
      <c r="J521" s="254">
        <f t="shared" si="38"/>
        <v>4.9024753246493802E-3</v>
      </c>
      <c r="L521" s="251">
        <f t="shared" si="39"/>
        <v>43412</v>
      </c>
      <c r="M521" s="513">
        <v>139.4</v>
      </c>
      <c r="N521" s="254">
        <f t="shared" si="40"/>
        <v>-1.4326647564468775E-3</v>
      </c>
      <c r="O521" s="1137">
        <f t="shared" si="42"/>
        <v>-1.4640843158893321E-3</v>
      </c>
      <c r="P521" s="1138"/>
    </row>
    <row r="522" spans="1:16" x14ac:dyDescent="0.2">
      <c r="F522" s="1137">
        <f t="shared" si="41"/>
        <v>6.4698643496019096E-3</v>
      </c>
      <c r="G522" s="1138"/>
      <c r="H522" s="520">
        <v>9050.5300000000007</v>
      </c>
      <c r="I522" s="512">
        <v>43411</v>
      </c>
      <c r="J522" s="254">
        <f t="shared" si="38"/>
        <v>6.5012839090443642E-3</v>
      </c>
      <c r="L522" s="251">
        <f t="shared" si="39"/>
        <v>43411</v>
      </c>
      <c r="M522" s="513">
        <v>139.6</v>
      </c>
      <c r="N522" s="254">
        <f t="shared" si="40"/>
        <v>1.3062409288824295E-2</v>
      </c>
      <c r="O522" s="1137">
        <f t="shared" si="42"/>
        <v>1.3030989729381841E-2</v>
      </c>
      <c r="P522" s="1138"/>
    </row>
    <row r="523" spans="1:16" x14ac:dyDescent="0.2">
      <c r="F523" s="1137">
        <f t="shared" si="41"/>
        <v>-1.8641168324865917E-3</v>
      </c>
      <c r="G523" s="1138"/>
      <c r="H523" s="520">
        <v>8992.07</v>
      </c>
      <c r="I523" s="512">
        <v>43410</v>
      </c>
      <c r="J523" s="254">
        <f t="shared" si="38"/>
        <v>-1.8326972730441371E-3</v>
      </c>
      <c r="L523" s="251">
        <f t="shared" si="39"/>
        <v>43410</v>
      </c>
      <c r="M523" s="513">
        <v>137.80000000000001</v>
      </c>
      <c r="N523" s="254">
        <f t="shared" si="40"/>
        <v>-7.9193664506839179E-3</v>
      </c>
      <c r="O523" s="1137">
        <f t="shared" si="42"/>
        <v>-7.9507860101263716E-3</v>
      </c>
      <c r="P523" s="1138"/>
    </row>
    <row r="524" spans="1:16" x14ac:dyDescent="0.2">
      <c r="F524" s="1137">
        <f t="shared" si="41"/>
        <v>1.7790182595806706E-3</v>
      </c>
      <c r="G524" s="1138"/>
      <c r="H524" s="520">
        <v>9008.58</v>
      </c>
      <c r="I524" s="512">
        <v>43409</v>
      </c>
      <c r="J524" s="254">
        <f t="shared" si="38"/>
        <v>1.8104378190231252E-3</v>
      </c>
      <c r="L524" s="251">
        <f t="shared" si="39"/>
        <v>43409</v>
      </c>
      <c r="M524" s="513">
        <v>138.9</v>
      </c>
      <c r="N524" s="254">
        <f t="shared" si="40"/>
        <v>-1.2793176972281328E-2</v>
      </c>
      <c r="O524" s="1137">
        <f t="shared" si="42"/>
        <v>-1.2824596531723782E-2</v>
      </c>
      <c r="P524" s="1138"/>
    </row>
    <row r="525" spans="1:16" x14ac:dyDescent="0.2">
      <c r="F525" s="1137">
        <f t="shared" si="41"/>
        <v>-2.7983385203231145E-3</v>
      </c>
      <c r="G525" s="1138"/>
      <c r="H525" s="520">
        <v>8992.2999999999993</v>
      </c>
      <c r="I525" s="512">
        <v>43406</v>
      </c>
      <c r="J525" s="254">
        <f t="shared" si="38"/>
        <v>-2.7669189608806599E-3</v>
      </c>
      <c r="L525" s="251">
        <f t="shared" si="39"/>
        <v>43406</v>
      </c>
      <c r="M525" s="513">
        <v>140.69999999999999</v>
      </c>
      <c r="N525" s="254">
        <f t="shared" si="40"/>
        <v>1.0775862068965525E-2</v>
      </c>
      <c r="O525" s="1137">
        <f t="shared" si="42"/>
        <v>1.0744442509523071E-2</v>
      </c>
      <c r="P525" s="1138"/>
    </row>
    <row r="526" spans="1:16" x14ac:dyDescent="0.2">
      <c r="F526" s="1137">
        <f t="shared" si="41"/>
        <v>-5.7563513531337554E-4</v>
      </c>
      <c r="G526" s="1138"/>
      <c r="H526" s="520">
        <v>9017.25</v>
      </c>
      <c r="I526" s="512">
        <v>43405</v>
      </c>
      <c r="J526" s="254">
        <f t="shared" si="38"/>
        <v>-5.4421557587092106E-4</v>
      </c>
      <c r="L526" s="251">
        <f t="shared" si="39"/>
        <v>43405</v>
      </c>
      <c r="M526" s="513">
        <v>139.19999999999999</v>
      </c>
      <c r="N526" s="254">
        <f t="shared" si="40"/>
        <v>5.0541516245485862E-3</v>
      </c>
      <c r="O526" s="1137">
        <f t="shared" si="42"/>
        <v>5.0227320651061317E-3</v>
      </c>
      <c r="P526" s="1138"/>
    </row>
    <row r="527" spans="1:16" x14ac:dyDescent="0.2">
      <c r="F527" s="1137">
        <f t="shared" si="41"/>
        <v>1.8928902454317956E-2</v>
      </c>
      <c r="G527" s="1138"/>
      <c r="H527" s="520">
        <v>9022.16</v>
      </c>
      <c r="I527" s="512">
        <v>43404</v>
      </c>
      <c r="J527" s="254">
        <f t="shared" si="38"/>
        <v>1.8960322013760411E-2</v>
      </c>
      <c r="L527" s="251">
        <f t="shared" si="39"/>
        <v>43404</v>
      </c>
      <c r="M527" s="513">
        <v>138.5</v>
      </c>
      <c r="N527" s="254">
        <f t="shared" si="40"/>
        <v>4.8448145344436089E-2</v>
      </c>
      <c r="O527" s="1137">
        <f t="shared" si="42"/>
        <v>4.8416725784993633E-2</v>
      </c>
      <c r="P527" s="1138"/>
    </row>
    <row r="528" spans="1:16" x14ac:dyDescent="0.2">
      <c r="F528" s="1137">
        <f t="shared" si="41"/>
        <v>1.077498528460326E-2</v>
      </c>
      <c r="G528" s="1138"/>
      <c r="H528" s="520">
        <v>8854.2800000000007</v>
      </c>
      <c r="I528" s="512">
        <v>43403</v>
      </c>
      <c r="J528" s="254">
        <f t="shared" si="38"/>
        <v>1.0806404844045714E-2</v>
      </c>
      <c r="L528" s="251">
        <f t="shared" si="39"/>
        <v>43403</v>
      </c>
      <c r="M528" s="513">
        <v>132.1</v>
      </c>
      <c r="N528" s="254">
        <f t="shared" si="40"/>
        <v>2.0865533230293609E-2</v>
      </c>
      <c r="O528" s="1137">
        <f t="shared" si="42"/>
        <v>2.0834113670851154E-2</v>
      </c>
      <c r="P528" s="1138"/>
    </row>
    <row r="529" spans="6:16" x14ac:dyDescent="0.2">
      <c r="F529" s="1137">
        <f t="shared" si="41"/>
        <v>1.0795047702668552E-2</v>
      </c>
      <c r="G529" s="1138"/>
      <c r="H529" s="520">
        <v>8759.6200000000008</v>
      </c>
      <c r="I529" s="512">
        <v>43402</v>
      </c>
      <c r="J529" s="254">
        <f t="shared" si="38"/>
        <v>1.0826467262111006E-2</v>
      </c>
      <c r="L529" s="251">
        <f t="shared" si="39"/>
        <v>43402</v>
      </c>
      <c r="M529" s="513">
        <v>129.4</v>
      </c>
      <c r="N529" s="254">
        <f t="shared" si="40"/>
        <v>1.1727912431587217E-2</v>
      </c>
      <c r="O529" s="1137">
        <f t="shared" si="42"/>
        <v>1.1696492872144764E-2</v>
      </c>
      <c r="P529" s="1138"/>
    </row>
    <row r="530" spans="6:16" x14ac:dyDescent="0.2">
      <c r="F530" s="1137">
        <f t="shared" si="41"/>
        <v>-4.6946557994498725E-3</v>
      </c>
      <c r="G530" s="1138"/>
      <c r="H530" s="520">
        <v>8665.7999999999993</v>
      </c>
      <c r="I530" s="512">
        <v>43399</v>
      </c>
      <c r="J530" s="254">
        <f t="shared" si="38"/>
        <v>-4.6632362400074179E-3</v>
      </c>
      <c r="L530" s="251">
        <f t="shared" si="39"/>
        <v>43399</v>
      </c>
      <c r="M530" s="513">
        <v>127.9</v>
      </c>
      <c r="N530" s="254">
        <f t="shared" si="40"/>
        <v>-1.3878180416345254E-2</v>
      </c>
      <c r="O530" s="1137">
        <f t="shared" si="42"/>
        <v>-1.3909599975787708E-2</v>
      </c>
      <c r="P530" s="1138"/>
    </row>
    <row r="531" spans="6:16" x14ac:dyDescent="0.2">
      <c r="F531" s="1137">
        <f t="shared" si="41"/>
        <v>-2.1186188726496765E-3</v>
      </c>
      <c r="G531" s="1138"/>
      <c r="H531" s="520">
        <v>8706.4</v>
      </c>
      <c r="I531" s="512">
        <v>43398</v>
      </c>
      <c r="J531" s="254">
        <f t="shared" si="38"/>
        <v>-2.087199313207222E-3</v>
      </c>
      <c r="L531" s="251">
        <f t="shared" si="39"/>
        <v>43398</v>
      </c>
      <c r="M531" s="513">
        <v>129.69999999999999</v>
      </c>
      <c r="N531" s="254">
        <f t="shared" si="40"/>
        <v>-1.5186028853454769E-2</v>
      </c>
      <c r="O531" s="1137">
        <f t="shared" si="42"/>
        <v>-1.5217448412897223E-2</v>
      </c>
      <c r="P531" s="1138"/>
    </row>
    <row r="532" spans="6:16" x14ac:dyDescent="0.2">
      <c r="F532" s="1137">
        <f t="shared" si="41"/>
        <v>-4.8836235253833368E-3</v>
      </c>
      <c r="G532" s="1138"/>
      <c r="H532" s="520">
        <v>8724.61</v>
      </c>
      <c r="I532" s="512">
        <v>43397</v>
      </c>
      <c r="J532" s="254">
        <f t="shared" si="38"/>
        <v>-4.8522039659408822E-3</v>
      </c>
      <c r="L532" s="251">
        <f t="shared" si="39"/>
        <v>43397</v>
      </c>
      <c r="M532" s="513">
        <v>131.69999999999999</v>
      </c>
      <c r="N532" s="254">
        <f t="shared" si="40"/>
        <v>-3.0280090840273388E-3</v>
      </c>
      <c r="O532" s="1137">
        <f t="shared" si="42"/>
        <v>-3.0594286434697934E-3</v>
      </c>
      <c r="P532" s="1138"/>
    </row>
    <row r="533" spans="6:16" x14ac:dyDescent="0.2">
      <c r="F533" s="1137">
        <f t="shared" si="41"/>
        <v>-1.1131677185582207E-2</v>
      </c>
      <c r="G533" s="1138"/>
      <c r="H533" s="520">
        <v>8767.15</v>
      </c>
      <c r="I533" s="512">
        <v>43396</v>
      </c>
      <c r="J533" s="254">
        <f t="shared" si="38"/>
        <v>-1.1100257626139753E-2</v>
      </c>
      <c r="L533" s="251">
        <f t="shared" si="39"/>
        <v>43396</v>
      </c>
      <c r="M533" s="513">
        <v>132.1</v>
      </c>
      <c r="N533" s="254">
        <f t="shared" si="40"/>
        <v>-5.3724928366762126E-2</v>
      </c>
      <c r="O533" s="1137">
        <f t="shared" si="42"/>
        <v>-5.3756347926204581E-2</v>
      </c>
      <c r="P533" s="1138"/>
    </row>
    <row r="534" spans="6:16" x14ac:dyDescent="0.2">
      <c r="F534" s="1137">
        <f t="shared" si="41"/>
        <v>-7.6743553763929009E-4</v>
      </c>
      <c r="G534" s="1138"/>
      <c r="H534" s="520">
        <v>8865.56</v>
      </c>
      <c r="I534" s="512">
        <v>43395</v>
      </c>
      <c r="J534" s="254">
        <f t="shared" si="38"/>
        <v>-7.3601597819683562E-4</v>
      </c>
      <c r="L534" s="251">
        <f t="shared" si="39"/>
        <v>43395</v>
      </c>
      <c r="M534" s="513">
        <v>139.6</v>
      </c>
      <c r="N534" s="254">
        <f t="shared" si="40"/>
        <v>8.6705202312138407E-3</v>
      </c>
      <c r="O534" s="1137">
        <f t="shared" si="42"/>
        <v>8.639100671771387E-3</v>
      </c>
      <c r="P534" s="1138"/>
    </row>
    <row r="535" spans="6:16" x14ac:dyDescent="0.2">
      <c r="F535" s="1137">
        <f t="shared" si="41"/>
        <v>1.055157338522879E-2</v>
      </c>
      <c r="G535" s="1138"/>
      <c r="H535" s="520">
        <v>8872.09</v>
      </c>
      <c r="I535" s="512">
        <v>43392</v>
      </c>
      <c r="J535" s="254">
        <f t="shared" si="38"/>
        <v>1.0582992944671243E-2</v>
      </c>
      <c r="L535" s="251">
        <f t="shared" si="39"/>
        <v>43392</v>
      </c>
      <c r="M535" s="513">
        <v>138.4</v>
      </c>
      <c r="N535" s="254">
        <f t="shared" si="40"/>
        <v>-7.1736011477762096E-3</v>
      </c>
      <c r="O535" s="1137">
        <f t="shared" si="42"/>
        <v>-7.2050207072186642E-3</v>
      </c>
      <c r="P535" s="1138"/>
    </row>
    <row r="536" spans="6:16" x14ac:dyDescent="0.2">
      <c r="F536" s="1137">
        <f t="shared" si="41"/>
        <v>3.2633057944004432E-3</v>
      </c>
      <c r="G536" s="1138"/>
      <c r="H536" s="520">
        <v>8779.18</v>
      </c>
      <c r="I536" s="512">
        <v>43391</v>
      </c>
      <c r="J536" s="254">
        <f t="shared" si="38"/>
        <v>3.2947253538428978E-3</v>
      </c>
      <c r="L536" s="251">
        <f t="shared" si="39"/>
        <v>43391</v>
      </c>
      <c r="M536" s="513">
        <v>139.4</v>
      </c>
      <c r="N536" s="254">
        <f t="shared" si="40"/>
        <v>5.6060606060606144E-2</v>
      </c>
      <c r="O536" s="1137">
        <f t="shared" si="42"/>
        <v>5.6029186501163689E-2</v>
      </c>
      <c r="P536" s="1138"/>
    </row>
    <row r="537" spans="6:16" x14ac:dyDescent="0.2">
      <c r="F537" s="1137">
        <f t="shared" si="41"/>
        <v>-5.1047739881669293E-3</v>
      </c>
      <c r="G537" s="1138"/>
      <c r="H537" s="520">
        <v>8750.35</v>
      </c>
      <c r="I537" s="512">
        <v>43390</v>
      </c>
      <c r="J537" s="254">
        <f t="shared" si="38"/>
        <v>-5.0733544287244747E-3</v>
      </c>
      <c r="L537" s="251">
        <f t="shared" si="39"/>
        <v>43390</v>
      </c>
      <c r="M537" s="513">
        <v>132</v>
      </c>
      <c r="N537" s="254">
        <f t="shared" si="40"/>
        <v>-1.8587360594795488E-2</v>
      </c>
      <c r="O537" s="1137">
        <f t="shared" si="42"/>
        <v>-1.8618780154237943E-2</v>
      </c>
      <c r="P537" s="1138"/>
    </row>
    <row r="538" spans="6:16" x14ac:dyDescent="0.2">
      <c r="F538" s="1137">
        <f t="shared" si="41"/>
        <v>1.6356813178655519E-2</v>
      </c>
      <c r="G538" s="1138"/>
      <c r="H538" s="520">
        <v>8794.9699999999993</v>
      </c>
      <c r="I538" s="512">
        <v>43389</v>
      </c>
      <c r="J538" s="254">
        <f t="shared" si="38"/>
        <v>1.6388232738097974E-2</v>
      </c>
      <c r="L538" s="251">
        <f t="shared" si="39"/>
        <v>43389</v>
      </c>
      <c r="M538" s="513">
        <v>134.5</v>
      </c>
      <c r="N538" s="254">
        <f t="shared" si="40"/>
        <v>5.2425665101721419E-2</v>
      </c>
      <c r="O538" s="1137">
        <f t="shared" si="42"/>
        <v>5.2394245542278964E-2</v>
      </c>
      <c r="P538" s="1138"/>
    </row>
    <row r="539" spans="6:16" x14ac:dyDescent="0.2">
      <c r="F539" s="1137">
        <f t="shared" si="41"/>
        <v>-8.6510122237175204E-4</v>
      </c>
      <c r="G539" s="1138"/>
      <c r="H539" s="520">
        <v>8653.16</v>
      </c>
      <c r="I539" s="512">
        <v>43388</v>
      </c>
      <c r="J539" s="254">
        <f t="shared" si="38"/>
        <v>-8.3368166292929757E-4</v>
      </c>
      <c r="L539" s="251">
        <f t="shared" si="39"/>
        <v>43388</v>
      </c>
      <c r="M539" s="513">
        <v>127.8</v>
      </c>
      <c r="N539" s="254">
        <f t="shared" si="40"/>
        <v>-2.0689655172413834E-2</v>
      </c>
      <c r="O539" s="1137">
        <f t="shared" si="42"/>
        <v>-2.072107473185629E-2</v>
      </c>
      <c r="P539" s="1138"/>
    </row>
    <row r="540" spans="6:16" x14ac:dyDescent="0.2">
      <c r="F540" s="1137">
        <f t="shared" si="41"/>
        <v>2.421356684626467E-3</v>
      </c>
      <c r="G540" s="1138"/>
      <c r="H540" s="520">
        <v>8660.3799999999992</v>
      </c>
      <c r="I540" s="512">
        <v>43385</v>
      </c>
      <c r="J540" s="254">
        <f t="shared" si="38"/>
        <v>2.4527762440689216E-3</v>
      </c>
      <c r="L540" s="251">
        <f t="shared" si="39"/>
        <v>43385</v>
      </c>
      <c r="M540" s="513">
        <v>130.5</v>
      </c>
      <c r="N540" s="254">
        <f t="shared" si="40"/>
        <v>8.5007727975270342E-3</v>
      </c>
      <c r="O540" s="1137">
        <f t="shared" si="42"/>
        <v>8.4693532380845805E-3</v>
      </c>
      <c r="P540" s="1138"/>
    </row>
    <row r="541" spans="6:16" x14ac:dyDescent="0.2">
      <c r="F541" s="1137">
        <f t="shared" si="41"/>
        <v>-2.8558735794452825E-2</v>
      </c>
      <c r="G541" s="1138"/>
      <c r="H541" s="520">
        <v>8639.19</v>
      </c>
      <c r="I541" s="512">
        <v>43384</v>
      </c>
      <c r="J541" s="254">
        <f t="shared" ref="J541:J604" si="43">H541/H542-1</f>
        <v>-2.8527316235010369E-2</v>
      </c>
      <c r="L541" s="251">
        <f t="shared" ref="L541:L604" si="44">I541</f>
        <v>43384</v>
      </c>
      <c r="M541" s="513">
        <v>129.4</v>
      </c>
      <c r="N541" s="254">
        <f t="shared" ref="N541:N604" si="45">M541/M542-1</f>
        <v>-1.5969581749049389E-2</v>
      </c>
      <c r="O541" s="1137">
        <f t="shared" si="42"/>
        <v>-1.6001001308491844E-2</v>
      </c>
      <c r="P541" s="1138"/>
    </row>
    <row r="542" spans="6:16" x14ac:dyDescent="0.2">
      <c r="F542" s="1137">
        <f t="shared" ref="F542:F605" si="46">J542-$I$19</f>
        <v>-7.9775514119076307E-3</v>
      </c>
      <c r="G542" s="1138"/>
      <c r="H542" s="520">
        <v>8892.8799999999992</v>
      </c>
      <c r="I542" s="512">
        <v>43383</v>
      </c>
      <c r="J542" s="254">
        <f t="shared" si="43"/>
        <v>-7.9461318524651769E-3</v>
      </c>
      <c r="L542" s="251">
        <f t="shared" si="44"/>
        <v>43383</v>
      </c>
      <c r="M542" s="513">
        <v>131.5</v>
      </c>
      <c r="N542" s="254">
        <f t="shared" si="45"/>
        <v>-6.1384725196288348E-2</v>
      </c>
      <c r="O542" s="1137">
        <f t="shared" ref="O542:O605" si="47">N542-$I$19</f>
        <v>-6.1416144755730803E-2</v>
      </c>
      <c r="P542" s="1138"/>
    </row>
    <row r="543" spans="6:16" x14ac:dyDescent="0.2">
      <c r="F543" s="1137">
        <f t="shared" si="46"/>
        <v>-3.4766227388112895E-5</v>
      </c>
      <c r="G543" s="1138"/>
      <c r="H543" s="520">
        <v>8964.11</v>
      </c>
      <c r="I543" s="512">
        <v>43382</v>
      </c>
      <c r="J543" s="254">
        <f t="shared" si="43"/>
        <v>-3.3466679456584103E-6</v>
      </c>
      <c r="L543" s="251">
        <f t="shared" si="44"/>
        <v>43382</v>
      </c>
      <c r="M543" s="513">
        <v>140.1</v>
      </c>
      <c r="N543" s="254">
        <f t="shared" si="45"/>
        <v>-1.1291460832745237E-2</v>
      </c>
      <c r="O543" s="1137">
        <f t="shared" si="47"/>
        <v>-1.1322880392187691E-2</v>
      </c>
      <c r="P543" s="1138"/>
    </row>
    <row r="544" spans="6:16" x14ac:dyDescent="0.2">
      <c r="F544" s="1137">
        <f t="shared" si="46"/>
        <v>-8.6511176819983725E-3</v>
      </c>
      <c r="G544" s="1138"/>
      <c r="H544" s="520">
        <v>8964.14</v>
      </c>
      <c r="I544" s="512">
        <v>43381</v>
      </c>
      <c r="J544" s="254">
        <f t="shared" si="43"/>
        <v>-8.6196981225559188E-3</v>
      </c>
      <c r="L544" s="251">
        <f t="shared" si="44"/>
        <v>43381</v>
      </c>
      <c r="M544" s="513">
        <v>141.69999999999999</v>
      </c>
      <c r="N544" s="254">
        <f t="shared" si="45"/>
        <v>-3.6709721278042173E-2</v>
      </c>
      <c r="O544" s="1137">
        <f t="shared" si="47"/>
        <v>-3.6741140837484629E-2</v>
      </c>
      <c r="P544" s="1138"/>
    </row>
    <row r="545" spans="6:16" x14ac:dyDescent="0.2">
      <c r="F545" s="1137">
        <f t="shared" si="46"/>
        <v>-6.125388025573982E-3</v>
      </c>
      <c r="G545" s="1138"/>
      <c r="H545" s="520">
        <v>9042.08</v>
      </c>
      <c r="I545" s="512">
        <v>43378</v>
      </c>
      <c r="J545" s="254">
        <f t="shared" si="43"/>
        <v>-6.0939684661315274E-3</v>
      </c>
      <c r="L545" s="251">
        <f t="shared" si="44"/>
        <v>43378</v>
      </c>
      <c r="M545" s="513">
        <v>147.1</v>
      </c>
      <c r="N545" s="254">
        <f t="shared" si="45"/>
        <v>-4.0443574690150141E-2</v>
      </c>
      <c r="O545" s="1137">
        <f t="shared" si="47"/>
        <v>-4.0474994249592597E-2</v>
      </c>
      <c r="P545" s="1138"/>
    </row>
    <row r="546" spans="6:16" x14ac:dyDescent="0.2">
      <c r="F546" s="1137">
        <f t="shared" si="46"/>
        <v>-8.4988006875036781E-3</v>
      </c>
      <c r="G546" s="1138"/>
      <c r="H546" s="520">
        <v>9097.52</v>
      </c>
      <c r="I546" s="512">
        <v>43377</v>
      </c>
      <c r="J546" s="254">
        <f t="shared" si="43"/>
        <v>-8.4673811280612243E-3</v>
      </c>
      <c r="L546" s="251">
        <f t="shared" si="44"/>
        <v>43377</v>
      </c>
      <c r="M546" s="513">
        <v>153.30000000000001</v>
      </c>
      <c r="N546" s="254">
        <f t="shared" si="45"/>
        <v>-3.4634760705289702E-2</v>
      </c>
      <c r="O546" s="1137">
        <f t="shared" si="47"/>
        <v>-3.4666180264732158E-2</v>
      </c>
      <c r="P546" s="1138"/>
    </row>
    <row r="547" spans="6:16" x14ac:dyDescent="0.2">
      <c r="F547" s="1137">
        <f t="shared" si="46"/>
        <v>9.6402988349797037E-3</v>
      </c>
      <c r="G547" s="1138"/>
      <c r="H547" s="520">
        <v>9175.2099999999991</v>
      </c>
      <c r="I547" s="512">
        <v>43376</v>
      </c>
      <c r="J547" s="254">
        <f t="shared" si="43"/>
        <v>9.6717183944221574E-3</v>
      </c>
      <c r="L547" s="251">
        <f t="shared" si="44"/>
        <v>43376</v>
      </c>
      <c r="M547" s="513">
        <v>158.80000000000001</v>
      </c>
      <c r="N547" s="254">
        <f t="shared" si="45"/>
        <v>-1.1207970112079635E-2</v>
      </c>
      <c r="O547" s="1137">
        <f t="shared" si="47"/>
        <v>-1.1239389671522089E-2</v>
      </c>
      <c r="P547" s="1138"/>
    </row>
    <row r="548" spans="6:16" x14ac:dyDescent="0.2">
      <c r="F548" s="1137">
        <f t="shared" si="46"/>
        <v>-4.3844142291330898E-3</v>
      </c>
      <c r="G548" s="1138"/>
      <c r="H548" s="520">
        <v>9087.32</v>
      </c>
      <c r="I548" s="512">
        <v>43375</v>
      </c>
      <c r="J548" s="254">
        <f t="shared" si="43"/>
        <v>-4.3529946696906352E-3</v>
      </c>
      <c r="L548" s="251">
        <f t="shared" si="44"/>
        <v>43375</v>
      </c>
      <c r="M548" s="513">
        <v>160.6</v>
      </c>
      <c r="N548" s="254">
        <f t="shared" si="45"/>
        <v>-1.4723926380368124E-2</v>
      </c>
      <c r="O548" s="1137">
        <f t="shared" si="47"/>
        <v>-1.4755345939810578E-2</v>
      </c>
      <c r="P548" s="1138"/>
    </row>
    <row r="549" spans="6:16" x14ac:dyDescent="0.2">
      <c r="F549" s="1137">
        <f t="shared" si="46"/>
        <v>4.2665605219615746E-3</v>
      </c>
      <c r="G549" s="1138"/>
      <c r="H549" s="520">
        <v>9127.0499999999993</v>
      </c>
      <c r="I549" s="512">
        <v>43374</v>
      </c>
      <c r="J549" s="254">
        <f t="shared" si="43"/>
        <v>4.2979800814040292E-3</v>
      </c>
      <c r="L549" s="251">
        <f t="shared" si="44"/>
        <v>43374</v>
      </c>
      <c r="M549" s="513">
        <v>163</v>
      </c>
      <c r="N549" s="254">
        <f t="shared" si="45"/>
        <v>2.3869346733668362E-2</v>
      </c>
      <c r="O549" s="1137">
        <f t="shared" si="47"/>
        <v>2.3837927174225906E-2</v>
      </c>
      <c r="P549" s="1138"/>
    </row>
    <row r="550" spans="6:16" x14ac:dyDescent="0.2">
      <c r="F550" s="1137">
        <f t="shared" si="46"/>
        <v>-2.6904861754811068E-3</v>
      </c>
      <c r="G550" s="1138"/>
      <c r="H550" s="520">
        <v>9087.99</v>
      </c>
      <c r="I550" s="512">
        <v>43371</v>
      </c>
      <c r="J550" s="254">
        <f t="shared" si="43"/>
        <v>-2.6590666160386522E-3</v>
      </c>
      <c r="L550" s="251">
        <f t="shared" si="44"/>
        <v>43371</v>
      </c>
      <c r="M550" s="513">
        <v>159.19999999999999</v>
      </c>
      <c r="N550" s="254">
        <f t="shared" si="45"/>
        <v>-4.2693926638605051E-2</v>
      </c>
      <c r="O550" s="1137">
        <f t="shared" si="47"/>
        <v>-4.2725346198047506E-2</v>
      </c>
      <c r="P550" s="1138"/>
    </row>
    <row r="551" spans="6:16" x14ac:dyDescent="0.2">
      <c r="F551" s="1137">
        <f t="shared" si="46"/>
        <v>3.5015656147949362E-3</v>
      </c>
      <c r="G551" s="1138"/>
      <c r="H551" s="520">
        <v>9112.2199999999993</v>
      </c>
      <c r="I551" s="512">
        <v>43370</v>
      </c>
      <c r="J551" s="254">
        <f t="shared" si="43"/>
        <v>3.5329851742373908E-3</v>
      </c>
      <c r="L551" s="251">
        <f t="shared" si="44"/>
        <v>43370</v>
      </c>
      <c r="M551" s="513">
        <v>166.3</v>
      </c>
      <c r="N551" s="254">
        <f t="shared" si="45"/>
        <v>1.8072289156627619E-3</v>
      </c>
      <c r="O551" s="1137">
        <f t="shared" si="47"/>
        <v>1.7758093562203073E-3</v>
      </c>
      <c r="P551" s="1138"/>
    </row>
    <row r="552" spans="6:16" x14ac:dyDescent="0.2">
      <c r="F552" s="1137">
        <f t="shared" si="46"/>
        <v>6.4563359520459366E-3</v>
      </c>
      <c r="G552" s="1138"/>
      <c r="H552" s="520">
        <v>9080.14</v>
      </c>
      <c r="I552" s="512">
        <v>43369</v>
      </c>
      <c r="J552" s="254">
        <f t="shared" si="43"/>
        <v>6.4877555114883911E-3</v>
      </c>
      <c r="L552" s="251">
        <f t="shared" si="44"/>
        <v>43369</v>
      </c>
      <c r="M552" s="513">
        <v>166</v>
      </c>
      <c r="N552" s="254">
        <f t="shared" si="45"/>
        <v>2.977667493796532E-2</v>
      </c>
      <c r="O552" s="1137">
        <f t="shared" si="47"/>
        <v>2.9745255378522864E-2</v>
      </c>
      <c r="P552" s="1138"/>
    </row>
    <row r="553" spans="6:16" x14ac:dyDescent="0.2">
      <c r="F553" s="1137">
        <f t="shared" si="46"/>
        <v>8.3956032501912459E-3</v>
      </c>
      <c r="G553" s="1138"/>
      <c r="H553" s="520">
        <v>9021.61</v>
      </c>
      <c r="I553" s="512">
        <v>43368</v>
      </c>
      <c r="J553" s="254">
        <f t="shared" si="43"/>
        <v>8.4270228096336997E-3</v>
      </c>
      <c r="L553" s="251">
        <f t="shared" si="44"/>
        <v>43368</v>
      </c>
      <c r="M553" s="513">
        <v>161.19999999999999</v>
      </c>
      <c r="N553" s="254">
        <f t="shared" si="45"/>
        <v>9.3926111458986217E-3</v>
      </c>
      <c r="O553" s="1137">
        <f t="shared" si="47"/>
        <v>9.361191586456168E-3</v>
      </c>
      <c r="P553" s="1138"/>
    </row>
    <row r="554" spans="6:16" x14ac:dyDescent="0.2">
      <c r="F554" s="1137">
        <f t="shared" si="46"/>
        <v>-5.4964471625009023E-3</v>
      </c>
      <c r="G554" s="1138"/>
      <c r="H554" s="520">
        <v>8946.2199999999993</v>
      </c>
      <c r="I554" s="512">
        <v>43367</v>
      </c>
      <c r="J554" s="254">
        <f t="shared" si="43"/>
        <v>-5.4650276030584477E-3</v>
      </c>
      <c r="L554" s="251">
        <f t="shared" si="44"/>
        <v>43367</v>
      </c>
      <c r="M554" s="513">
        <v>159.69999999999999</v>
      </c>
      <c r="N554" s="254">
        <f t="shared" si="45"/>
        <v>-1.8750000000000711E-3</v>
      </c>
      <c r="O554" s="1137">
        <f t="shared" si="47"/>
        <v>-1.9064195594425256E-3</v>
      </c>
      <c r="P554" s="1138"/>
    </row>
    <row r="555" spans="6:16" x14ac:dyDescent="0.2">
      <c r="F555" s="1137">
        <f t="shared" si="46"/>
        <v>-6.3469859766233829E-4</v>
      </c>
      <c r="G555" s="1138"/>
      <c r="H555" s="520">
        <v>8995.3799999999992</v>
      </c>
      <c r="I555" s="512">
        <v>43364</v>
      </c>
      <c r="J555" s="254">
        <f t="shared" si="43"/>
        <v>-6.0327903821988382E-4</v>
      </c>
      <c r="L555" s="251">
        <f t="shared" si="44"/>
        <v>43364</v>
      </c>
      <c r="M555" s="513">
        <v>160</v>
      </c>
      <c r="N555" s="254">
        <f t="shared" si="45"/>
        <v>3.1347962382444194E-3</v>
      </c>
      <c r="O555" s="1137">
        <f t="shared" si="47"/>
        <v>3.1033766788019649E-3</v>
      </c>
      <c r="P555" s="1138"/>
    </row>
    <row r="556" spans="6:16" x14ac:dyDescent="0.2">
      <c r="F556" s="1137">
        <f t="shared" si="46"/>
        <v>6.7874867980465972E-3</v>
      </c>
      <c r="G556" s="1138"/>
      <c r="H556" s="520">
        <v>9000.81</v>
      </c>
      <c r="I556" s="512">
        <v>43363</v>
      </c>
      <c r="J556" s="254">
        <f t="shared" si="43"/>
        <v>6.8189063574890518E-3</v>
      </c>
      <c r="L556" s="251">
        <f t="shared" si="44"/>
        <v>43363</v>
      </c>
      <c r="M556" s="513">
        <v>159.5</v>
      </c>
      <c r="N556" s="254">
        <f t="shared" si="45"/>
        <v>3.7759597230961894E-3</v>
      </c>
      <c r="O556" s="1137">
        <f t="shared" si="47"/>
        <v>3.7445401636537349E-3</v>
      </c>
      <c r="P556" s="1138"/>
    </row>
    <row r="557" spans="6:16" x14ac:dyDescent="0.2">
      <c r="F557" s="1137">
        <f t="shared" si="46"/>
        <v>2.658166538156607E-3</v>
      </c>
      <c r="G557" s="1138"/>
      <c r="H557" s="520">
        <v>8939.85</v>
      </c>
      <c r="I557" s="512">
        <v>43362</v>
      </c>
      <c r="J557" s="254">
        <f t="shared" si="43"/>
        <v>2.6895860975990615E-3</v>
      </c>
      <c r="L557" s="251">
        <f t="shared" si="44"/>
        <v>43362</v>
      </c>
      <c r="M557" s="513">
        <v>158.9</v>
      </c>
      <c r="N557" s="254">
        <f t="shared" si="45"/>
        <v>6.3331222292590805E-3</v>
      </c>
      <c r="O557" s="1137">
        <f t="shared" si="47"/>
        <v>6.3017026698166259E-3</v>
      </c>
      <c r="P557" s="1138"/>
    </row>
    <row r="558" spans="6:16" x14ac:dyDescent="0.2">
      <c r="F558" s="1137">
        <f t="shared" si="46"/>
        <v>-2.363373936388565E-3</v>
      </c>
      <c r="G558" s="1138"/>
      <c r="H558" s="520">
        <v>8915.8700000000008</v>
      </c>
      <c r="I558" s="512">
        <v>43361</v>
      </c>
      <c r="J558" s="254">
        <f t="shared" si="43"/>
        <v>-2.3319543769461104E-3</v>
      </c>
      <c r="L558" s="251">
        <f t="shared" si="44"/>
        <v>43361</v>
      </c>
      <c r="M558" s="513">
        <v>157.9</v>
      </c>
      <c r="N558" s="254">
        <f t="shared" si="45"/>
        <v>1.2179487179487136E-2</v>
      </c>
      <c r="O558" s="1137">
        <f t="shared" si="47"/>
        <v>1.2148067620044683E-2</v>
      </c>
      <c r="P558" s="1138"/>
    </row>
    <row r="559" spans="6:16" x14ac:dyDescent="0.2">
      <c r="F559" s="1137">
        <f t="shared" si="46"/>
        <v>-3.7426793141805267E-3</v>
      </c>
      <c r="G559" s="1138"/>
      <c r="H559" s="520">
        <v>8936.7099999999991</v>
      </c>
      <c r="I559" s="512">
        <v>43360</v>
      </c>
      <c r="J559" s="254">
        <f t="shared" si="43"/>
        <v>-3.7112597547380721E-3</v>
      </c>
      <c r="L559" s="251">
        <f t="shared" si="44"/>
        <v>43360</v>
      </c>
      <c r="M559" s="513">
        <v>156</v>
      </c>
      <c r="N559" s="254">
        <f t="shared" si="45"/>
        <v>-3.703703703703709E-2</v>
      </c>
      <c r="O559" s="1137">
        <f t="shared" si="47"/>
        <v>-3.7068456596479546E-2</v>
      </c>
      <c r="P559" s="1138"/>
    </row>
    <row r="560" spans="6:16" x14ac:dyDescent="0.2">
      <c r="F560" s="1137">
        <f t="shared" si="46"/>
        <v>1.0757134125846815E-3</v>
      </c>
      <c r="G560" s="1138"/>
      <c r="H560" s="520">
        <v>8970</v>
      </c>
      <c r="I560" s="512">
        <v>43357</v>
      </c>
      <c r="J560" s="254">
        <f t="shared" si="43"/>
        <v>1.1071329720271361E-3</v>
      </c>
      <c r="L560" s="251">
        <f t="shared" si="44"/>
        <v>43357</v>
      </c>
      <c r="M560" s="513">
        <v>162</v>
      </c>
      <c r="N560" s="254">
        <f t="shared" si="45"/>
        <v>3.1190324633991073E-2</v>
      </c>
      <c r="O560" s="1137">
        <f t="shared" si="47"/>
        <v>3.1158905074548618E-2</v>
      </c>
      <c r="P560" s="1138"/>
    </row>
    <row r="561" spans="6:16" x14ac:dyDescent="0.2">
      <c r="F561" s="1137">
        <f t="shared" si="46"/>
        <v>-3.6999835621372582E-5</v>
      </c>
      <c r="G561" s="1138"/>
      <c r="H561" s="520">
        <v>8960.08</v>
      </c>
      <c r="I561" s="512">
        <v>43356</v>
      </c>
      <c r="J561" s="254">
        <f t="shared" si="43"/>
        <v>-5.5802761789180977E-6</v>
      </c>
      <c r="L561" s="251">
        <f t="shared" si="44"/>
        <v>43356</v>
      </c>
      <c r="M561" s="513">
        <v>157.1</v>
      </c>
      <c r="N561" s="254">
        <f t="shared" si="45"/>
        <v>-4.4359949302915647E-3</v>
      </c>
      <c r="O561" s="1137">
        <f t="shared" si="47"/>
        <v>-4.4674144897340192E-3</v>
      </c>
      <c r="P561" s="1138"/>
    </row>
    <row r="562" spans="6:16" x14ac:dyDescent="0.2">
      <c r="F562" s="1137">
        <f t="shared" si="46"/>
        <v>5.0375994132032123E-3</v>
      </c>
      <c r="G562" s="1138"/>
      <c r="H562" s="520">
        <v>8960.1299999999992</v>
      </c>
      <c r="I562" s="512">
        <v>43355</v>
      </c>
      <c r="J562" s="254">
        <f t="shared" si="43"/>
        <v>5.0690189726456669E-3</v>
      </c>
      <c r="L562" s="251">
        <f t="shared" si="44"/>
        <v>43355</v>
      </c>
      <c r="M562" s="513">
        <v>157.80000000000001</v>
      </c>
      <c r="N562" s="254">
        <f t="shared" si="45"/>
        <v>2.6007802340702213E-2</v>
      </c>
      <c r="O562" s="1137">
        <f t="shared" si="47"/>
        <v>2.5976382781259758E-2</v>
      </c>
      <c r="P562" s="1138"/>
    </row>
    <row r="563" spans="6:16" x14ac:dyDescent="0.2">
      <c r="F563" s="1137">
        <f t="shared" si="46"/>
        <v>-1.7446993817092213E-3</v>
      </c>
      <c r="G563" s="1138"/>
      <c r="H563" s="520">
        <v>8914.94</v>
      </c>
      <c r="I563" s="512">
        <v>43354</v>
      </c>
      <c r="J563" s="254">
        <f t="shared" si="43"/>
        <v>-1.7132798222667667E-3</v>
      </c>
      <c r="L563" s="251">
        <f t="shared" si="44"/>
        <v>43354</v>
      </c>
      <c r="M563" s="513">
        <v>153.80000000000001</v>
      </c>
      <c r="N563" s="254">
        <f t="shared" si="45"/>
        <v>6.5061808718303027E-4</v>
      </c>
      <c r="O563" s="1137">
        <f t="shared" si="47"/>
        <v>6.191985277405758E-4</v>
      </c>
      <c r="P563" s="1138"/>
    </row>
    <row r="564" spans="6:16" x14ac:dyDescent="0.2">
      <c r="F564" s="1137">
        <f t="shared" si="46"/>
        <v>9.8214489449636889E-3</v>
      </c>
      <c r="G564" s="1138"/>
      <c r="H564" s="520">
        <v>8930.24</v>
      </c>
      <c r="I564" s="512">
        <v>43353</v>
      </c>
      <c r="J564" s="254">
        <f t="shared" si="43"/>
        <v>9.8528685044061426E-3</v>
      </c>
      <c r="L564" s="251">
        <f t="shared" si="44"/>
        <v>43353</v>
      </c>
      <c r="M564" s="513">
        <v>153.69999999999999</v>
      </c>
      <c r="N564" s="254">
        <f t="shared" si="45"/>
        <v>6.5487884741322056E-3</v>
      </c>
      <c r="O564" s="1137">
        <f t="shared" si="47"/>
        <v>6.517368914689751E-3</v>
      </c>
      <c r="P564" s="1138"/>
    </row>
    <row r="565" spans="6:16" x14ac:dyDescent="0.2">
      <c r="F565" s="1137">
        <f t="shared" si="46"/>
        <v>2.7342879355229536E-3</v>
      </c>
      <c r="G565" s="1138"/>
      <c r="H565" s="520">
        <v>8843.11</v>
      </c>
      <c r="I565" s="512">
        <v>43350</v>
      </c>
      <c r="J565" s="254">
        <f t="shared" si="43"/>
        <v>2.7657074949654081E-3</v>
      </c>
      <c r="L565" s="251">
        <f t="shared" si="44"/>
        <v>43350</v>
      </c>
      <c r="M565" s="513">
        <v>152.69999999999999</v>
      </c>
      <c r="N565" s="254">
        <f t="shared" si="45"/>
        <v>2.2088353413654449E-2</v>
      </c>
      <c r="O565" s="1137">
        <f t="shared" si="47"/>
        <v>2.2056933854211994E-2</v>
      </c>
      <c r="P565" s="1138"/>
    </row>
    <row r="566" spans="6:16" x14ac:dyDescent="0.2">
      <c r="F566" s="1137">
        <f t="shared" si="46"/>
        <v>-5.6849082829087258E-3</v>
      </c>
      <c r="G566" s="1138"/>
      <c r="H566" s="520">
        <v>8818.7199999999993</v>
      </c>
      <c r="I566" s="512">
        <v>43349</v>
      </c>
      <c r="J566" s="254">
        <f t="shared" si="43"/>
        <v>-5.6534887234662712E-3</v>
      </c>
      <c r="L566" s="251">
        <f t="shared" si="44"/>
        <v>43349</v>
      </c>
      <c r="M566" s="513">
        <v>149.4</v>
      </c>
      <c r="N566" s="254">
        <f t="shared" si="45"/>
        <v>-1.9685039370078705E-2</v>
      </c>
      <c r="O566" s="1137">
        <f t="shared" si="47"/>
        <v>-1.9716458929521161E-2</v>
      </c>
      <c r="P566" s="1138"/>
    </row>
    <row r="567" spans="6:16" x14ac:dyDescent="0.2">
      <c r="F567" s="1137">
        <f t="shared" si="46"/>
        <v>-9.3065558714389551E-3</v>
      </c>
      <c r="G567" s="1138"/>
      <c r="H567" s="520">
        <v>8868.86</v>
      </c>
      <c r="I567" s="512">
        <v>43348</v>
      </c>
      <c r="J567" s="254">
        <f t="shared" si="43"/>
        <v>-9.2751363119965013E-3</v>
      </c>
      <c r="L567" s="251">
        <f t="shared" si="44"/>
        <v>43348</v>
      </c>
      <c r="M567" s="513">
        <v>152.4</v>
      </c>
      <c r="N567" s="254">
        <f t="shared" si="45"/>
        <v>-0.11292200232828875</v>
      </c>
      <c r="O567" s="1137">
        <f t="shared" si="47"/>
        <v>-0.11295342188773121</v>
      </c>
      <c r="P567" s="1138"/>
    </row>
    <row r="568" spans="6:16" x14ac:dyDescent="0.2">
      <c r="F568" s="1137">
        <f t="shared" si="46"/>
        <v>-5.7603218604442138E-3</v>
      </c>
      <c r="G568" s="1138"/>
      <c r="H568" s="520">
        <v>8951.89</v>
      </c>
      <c r="I568" s="512">
        <v>43347</v>
      </c>
      <c r="J568" s="254">
        <f t="shared" si="43"/>
        <v>-5.7289023010017592E-3</v>
      </c>
      <c r="L568" s="251">
        <f t="shared" si="44"/>
        <v>43347</v>
      </c>
      <c r="M568" s="513">
        <v>171.8</v>
      </c>
      <c r="N568" s="254">
        <f t="shared" si="45"/>
        <v>-2.1640091116173044E-2</v>
      </c>
      <c r="O568" s="1137">
        <f t="shared" si="47"/>
        <v>-2.1671510675615499E-2</v>
      </c>
      <c r="P568" s="1138"/>
    </row>
    <row r="569" spans="6:16" x14ac:dyDescent="0.2">
      <c r="F569" s="1137">
        <f t="shared" si="46"/>
        <v>3.3017057553712129E-3</v>
      </c>
      <c r="G569" s="1138"/>
      <c r="H569" s="520">
        <v>9003.4699999999993</v>
      </c>
      <c r="I569" s="512">
        <v>43346</v>
      </c>
      <c r="J569" s="254">
        <f t="shared" si="43"/>
        <v>3.3331253148136675E-3</v>
      </c>
      <c r="L569" s="251">
        <f t="shared" si="44"/>
        <v>43346</v>
      </c>
      <c r="M569" s="513">
        <v>175.6</v>
      </c>
      <c r="N569" s="254">
        <f t="shared" si="45"/>
        <v>3.4285714285713365E-3</v>
      </c>
      <c r="O569" s="1137">
        <f t="shared" si="47"/>
        <v>3.3971518691288819E-3</v>
      </c>
      <c r="P569" s="1138"/>
    </row>
    <row r="570" spans="6:16" x14ac:dyDescent="0.2">
      <c r="F570" s="1137">
        <f t="shared" si="46"/>
        <v>-7.6071268650785137E-3</v>
      </c>
      <c r="G570" s="1138"/>
      <c r="H570" s="520">
        <v>8973.56</v>
      </c>
      <c r="I570" s="512">
        <v>43343</v>
      </c>
      <c r="J570" s="254">
        <f t="shared" si="43"/>
        <v>-7.5757073056360591E-3</v>
      </c>
      <c r="L570" s="251">
        <f t="shared" si="44"/>
        <v>43343</v>
      </c>
      <c r="M570" s="513">
        <v>175</v>
      </c>
      <c r="N570" s="254">
        <f t="shared" si="45"/>
        <v>-7.9365079365080193E-3</v>
      </c>
      <c r="O570" s="1137">
        <f t="shared" si="47"/>
        <v>-7.967927495950473E-3</v>
      </c>
      <c r="P570" s="1138"/>
    </row>
    <row r="571" spans="6:16" x14ac:dyDescent="0.2">
      <c r="F571" s="1137">
        <f t="shared" si="46"/>
        <v>-4.6307960345896423E-3</v>
      </c>
      <c r="G571" s="1138"/>
      <c r="H571" s="520">
        <v>9042.06</v>
      </c>
      <c r="I571" s="512">
        <v>43342</v>
      </c>
      <c r="J571" s="254">
        <f t="shared" si="43"/>
        <v>-4.5993764751471877E-3</v>
      </c>
      <c r="L571" s="251">
        <f t="shared" si="44"/>
        <v>43342</v>
      </c>
      <c r="M571" s="513">
        <v>176.4</v>
      </c>
      <c r="N571" s="254">
        <f t="shared" si="45"/>
        <v>5.7012542759407037E-3</v>
      </c>
      <c r="O571" s="1137">
        <f t="shared" si="47"/>
        <v>5.6698347164982491E-3</v>
      </c>
      <c r="P571" s="1138"/>
    </row>
    <row r="572" spans="6:16" x14ac:dyDescent="0.2">
      <c r="F572" s="1137">
        <f t="shared" si="46"/>
        <v>-7.7653374855031913E-5</v>
      </c>
      <c r="G572" s="1138"/>
      <c r="H572" s="520">
        <v>9083.84</v>
      </c>
      <c r="I572" s="512">
        <v>43341</v>
      </c>
      <c r="J572" s="254">
        <f t="shared" si="43"/>
        <v>-4.6233815412577428E-5</v>
      </c>
      <c r="L572" s="251">
        <f t="shared" si="44"/>
        <v>43341</v>
      </c>
      <c r="M572" s="513">
        <v>175.4</v>
      </c>
      <c r="N572" s="254">
        <f t="shared" si="45"/>
        <v>-7.9185520361991779E-3</v>
      </c>
      <c r="O572" s="1137">
        <f t="shared" si="47"/>
        <v>-7.9499715956416316E-3</v>
      </c>
      <c r="P572" s="1138"/>
    </row>
    <row r="573" spans="6:16" x14ac:dyDescent="0.2">
      <c r="F573" s="1137">
        <f t="shared" si="46"/>
        <v>-1.6184594662424353E-3</v>
      </c>
      <c r="G573" s="1138"/>
      <c r="H573" s="520">
        <v>9084.26</v>
      </c>
      <c r="I573" s="512">
        <v>43340</v>
      </c>
      <c r="J573" s="254">
        <f t="shared" si="43"/>
        <v>-1.5870399067999807E-3</v>
      </c>
      <c r="L573" s="251">
        <f t="shared" si="44"/>
        <v>43340</v>
      </c>
      <c r="M573" s="513">
        <v>176.8</v>
      </c>
      <c r="N573" s="254">
        <f t="shared" si="45"/>
        <v>-2.0498614958448735E-2</v>
      </c>
      <c r="O573" s="1137">
        <f t="shared" si="47"/>
        <v>-2.0530034517891191E-2</v>
      </c>
      <c r="P573" s="1138"/>
    </row>
    <row r="574" spans="6:16" x14ac:dyDescent="0.2">
      <c r="F574" s="1137">
        <f t="shared" si="46"/>
        <v>5.0277327563900834E-3</v>
      </c>
      <c r="G574" s="1138"/>
      <c r="H574" s="520">
        <v>9098.7000000000007</v>
      </c>
      <c r="I574" s="512">
        <v>43339</v>
      </c>
      <c r="J574" s="254">
        <f t="shared" si="43"/>
        <v>5.059152315832538E-3</v>
      </c>
      <c r="L574" s="251">
        <f t="shared" si="44"/>
        <v>43339</v>
      </c>
      <c r="M574" s="513">
        <v>180.5</v>
      </c>
      <c r="N574" s="254">
        <f t="shared" si="45"/>
        <v>1.7474633596392231E-2</v>
      </c>
      <c r="O574" s="1137">
        <f t="shared" si="47"/>
        <v>1.7443214036949775E-2</v>
      </c>
      <c r="P574" s="1138"/>
    </row>
    <row r="575" spans="6:16" x14ac:dyDescent="0.2">
      <c r="F575" s="1137">
        <f t="shared" si="46"/>
        <v>3.199725278266323E-4</v>
      </c>
      <c r="G575" s="1138"/>
      <c r="H575" s="520">
        <v>9052.9</v>
      </c>
      <c r="I575" s="512">
        <v>43336</v>
      </c>
      <c r="J575" s="254">
        <f t="shared" si="43"/>
        <v>3.5139208726908677E-4</v>
      </c>
      <c r="L575" s="251">
        <f t="shared" si="44"/>
        <v>43336</v>
      </c>
      <c r="M575" s="513">
        <v>177.4</v>
      </c>
      <c r="N575" s="254">
        <f t="shared" si="45"/>
        <v>3.9615166949633629E-3</v>
      </c>
      <c r="O575" s="1137">
        <f t="shared" si="47"/>
        <v>3.9300971355209083E-3</v>
      </c>
      <c r="P575" s="1138"/>
    </row>
    <row r="576" spans="6:16" x14ac:dyDescent="0.2">
      <c r="F576" s="1137">
        <f t="shared" si="46"/>
        <v>1.3656965388149464E-4</v>
      </c>
      <c r="G576" s="1138"/>
      <c r="H576" s="520">
        <v>9049.7199999999993</v>
      </c>
      <c r="I576" s="512">
        <v>43335</v>
      </c>
      <c r="J576" s="254">
        <f t="shared" si="43"/>
        <v>1.6798921332394912E-4</v>
      </c>
      <c r="L576" s="251">
        <f t="shared" si="44"/>
        <v>43335</v>
      </c>
      <c r="M576" s="513">
        <v>176.7</v>
      </c>
      <c r="N576" s="254">
        <f t="shared" si="45"/>
        <v>2.5536854323853664E-2</v>
      </c>
      <c r="O576" s="1137">
        <f t="shared" si="47"/>
        <v>2.5505434764411208E-2</v>
      </c>
      <c r="P576" s="1138"/>
    </row>
    <row r="577" spans="6:16" x14ac:dyDescent="0.2">
      <c r="F577" s="1137">
        <f t="shared" si="46"/>
        <v>-3.8473982269546089E-3</v>
      </c>
      <c r="G577" s="1138"/>
      <c r="H577" s="520">
        <v>9048.2000000000007</v>
      </c>
      <c r="I577" s="512">
        <v>43334</v>
      </c>
      <c r="J577" s="254">
        <f t="shared" si="43"/>
        <v>-3.8159786675121543E-3</v>
      </c>
      <c r="L577" s="251">
        <f t="shared" si="44"/>
        <v>43334</v>
      </c>
      <c r="M577" s="513">
        <v>172.3</v>
      </c>
      <c r="N577" s="254">
        <f t="shared" si="45"/>
        <v>4.6647230320699951E-3</v>
      </c>
      <c r="O577" s="1137">
        <f t="shared" si="47"/>
        <v>4.6333034726275405E-3</v>
      </c>
      <c r="P577" s="1138"/>
    </row>
    <row r="578" spans="6:16" x14ac:dyDescent="0.2">
      <c r="F578" s="1137">
        <f t="shared" si="46"/>
        <v>2.5437692196663289E-3</v>
      </c>
      <c r="G578" s="1138"/>
      <c r="H578" s="520">
        <v>9082.86</v>
      </c>
      <c r="I578" s="512">
        <v>43333</v>
      </c>
      <c r="J578" s="254">
        <f t="shared" si="43"/>
        <v>2.5751887791087835E-3</v>
      </c>
      <c r="L578" s="251">
        <f t="shared" si="44"/>
        <v>43333</v>
      </c>
      <c r="M578" s="513">
        <v>171.5</v>
      </c>
      <c r="N578" s="254">
        <f t="shared" si="45"/>
        <v>5.2754982415006424E-3</v>
      </c>
      <c r="O578" s="1137">
        <f t="shared" si="47"/>
        <v>5.2440786820581878E-3</v>
      </c>
      <c r="P578" s="1138"/>
    </row>
    <row r="579" spans="6:16" x14ac:dyDescent="0.2">
      <c r="F579" s="1137">
        <f t="shared" si="46"/>
        <v>6.1458967398097678E-3</v>
      </c>
      <c r="G579" s="1138"/>
      <c r="H579" s="520">
        <v>9059.5300000000007</v>
      </c>
      <c r="I579" s="512">
        <v>43332</v>
      </c>
      <c r="J579" s="254">
        <f t="shared" si="43"/>
        <v>6.1773162992522224E-3</v>
      </c>
      <c r="L579" s="251">
        <f t="shared" si="44"/>
        <v>43332</v>
      </c>
      <c r="M579" s="513">
        <v>170.6</v>
      </c>
      <c r="N579" s="254">
        <f t="shared" si="45"/>
        <v>2.4624624624624669E-2</v>
      </c>
      <c r="O579" s="1137">
        <f t="shared" si="47"/>
        <v>2.4593205065182214E-2</v>
      </c>
      <c r="P579" s="1138"/>
    </row>
    <row r="580" spans="6:16" x14ac:dyDescent="0.2">
      <c r="F580" s="1137">
        <f t="shared" si="46"/>
        <v>6.5653249952375801E-4</v>
      </c>
      <c r="G580" s="1138"/>
      <c r="H580" s="520">
        <v>9003.91</v>
      </c>
      <c r="I580" s="512">
        <v>43329</v>
      </c>
      <c r="J580" s="254">
        <f t="shared" si="43"/>
        <v>6.8795205896621248E-4</v>
      </c>
      <c r="L580" s="251">
        <f t="shared" si="44"/>
        <v>43329</v>
      </c>
      <c r="M580" s="513">
        <v>166.5</v>
      </c>
      <c r="N580" s="254">
        <f t="shared" si="45"/>
        <v>-2.3966446974236222E-3</v>
      </c>
      <c r="O580" s="1137">
        <f t="shared" si="47"/>
        <v>-2.4280642568660768E-3</v>
      </c>
      <c r="P580" s="1138"/>
    </row>
    <row r="581" spans="6:16" x14ac:dyDescent="0.2">
      <c r="F581" s="1137">
        <f t="shared" si="46"/>
        <v>7.9775607155447448E-3</v>
      </c>
      <c r="G581" s="1138"/>
      <c r="H581" s="520">
        <v>8997.7199999999993</v>
      </c>
      <c r="I581" s="512">
        <v>43328</v>
      </c>
      <c r="J581" s="254">
        <f t="shared" si="43"/>
        <v>8.0089802749871986E-3</v>
      </c>
      <c r="L581" s="251">
        <f t="shared" si="44"/>
        <v>43328</v>
      </c>
      <c r="M581" s="513">
        <v>166.9</v>
      </c>
      <c r="N581" s="254">
        <f t="shared" si="45"/>
        <v>1.8925518925518858E-2</v>
      </c>
      <c r="O581" s="1137">
        <f t="shared" si="47"/>
        <v>1.8894099366076403E-2</v>
      </c>
      <c r="P581" s="1138"/>
    </row>
    <row r="582" spans="6:16" x14ac:dyDescent="0.2">
      <c r="F582" s="1137">
        <f t="shared" si="46"/>
        <v>-9.3497580184539863E-3</v>
      </c>
      <c r="G582" s="1138"/>
      <c r="H582" s="520">
        <v>8926.23</v>
      </c>
      <c r="I582" s="512">
        <v>43327</v>
      </c>
      <c r="J582" s="254">
        <f t="shared" si="43"/>
        <v>-9.3183384590115326E-3</v>
      </c>
      <c r="L582" s="251">
        <f t="shared" si="44"/>
        <v>43327</v>
      </c>
      <c r="M582" s="513">
        <v>163.80000000000001</v>
      </c>
      <c r="N582" s="254">
        <f t="shared" si="45"/>
        <v>-1.3847080072245554E-2</v>
      </c>
      <c r="O582" s="1137">
        <f t="shared" si="47"/>
        <v>-1.3878499631688008E-2</v>
      </c>
      <c r="P582" s="1138"/>
    </row>
    <row r="583" spans="6:16" x14ac:dyDescent="0.2">
      <c r="F583" s="1137">
        <f t="shared" si="46"/>
        <v>5.060387292414463E-4</v>
      </c>
      <c r="G583" s="1138"/>
      <c r="H583" s="520">
        <v>9010.19</v>
      </c>
      <c r="I583" s="512">
        <v>43326</v>
      </c>
      <c r="J583" s="254">
        <f t="shared" si="43"/>
        <v>5.3745828868390078E-4</v>
      </c>
      <c r="L583" s="251">
        <f t="shared" si="44"/>
        <v>43326</v>
      </c>
      <c r="M583" s="513">
        <v>166.1</v>
      </c>
      <c r="N583" s="254">
        <f t="shared" si="45"/>
        <v>-5.9844404548174968E-3</v>
      </c>
      <c r="O583" s="1137">
        <f t="shared" si="47"/>
        <v>-6.0158600142599513E-3</v>
      </c>
      <c r="P583" s="1138"/>
    </row>
    <row r="584" spans="6:16" x14ac:dyDescent="0.2">
      <c r="F584" s="1137">
        <f t="shared" si="46"/>
        <v>-2.9080722783664656E-3</v>
      </c>
      <c r="G584" s="1138"/>
      <c r="H584" s="520">
        <v>9005.35</v>
      </c>
      <c r="I584" s="512">
        <v>43325</v>
      </c>
      <c r="J584" s="254">
        <f t="shared" si="43"/>
        <v>-2.876652718924011E-3</v>
      </c>
      <c r="L584" s="251">
        <f t="shared" si="44"/>
        <v>43325</v>
      </c>
      <c r="M584" s="513">
        <v>167.1</v>
      </c>
      <c r="N584" s="254">
        <f t="shared" si="45"/>
        <v>-5.9488399762046562E-3</v>
      </c>
      <c r="O584" s="1137">
        <f t="shared" si="47"/>
        <v>-5.9802595356471108E-3</v>
      </c>
      <c r="P584" s="1138"/>
    </row>
    <row r="585" spans="6:16" x14ac:dyDescent="0.2">
      <c r="F585" s="1137">
        <f t="shared" si="46"/>
        <v>-1.2534590455428303E-2</v>
      </c>
      <c r="G585" s="1138"/>
      <c r="H585" s="520">
        <v>9031.33</v>
      </c>
      <c r="I585" s="512">
        <v>43322</v>
      </c>
      <c r="J585" s="254">
        <f t="shared" si="43"/>
        <v>-1.2503170895985849E-2</v>
      </c>
      <c r="L585" s="251">
        <f t="shared" si="44"/>
        <v>43322</v>
      </c>
      <c r="M585" s="513">
        <v>168.1</v>
      </c>
      <c r="N585" s="254">
        <f t="shared" si="45"/>
        <v>-1.4076246334310927E-2</v>
      </c>
      <c r="O585" s="1137">
        <f t="shared" si="47"/>
        <v>-1.410766589375338E-2</v>
      </c>
      <c r="P585" s="1138"/>
    </row>
    <row r="586" spans="6:16" x14ac:dyDescent="0.2">
      <c r="F586" s="1137">
        <f t="shared" si="46"/>
        <v>-3.3519842842997657E-3</v>
      </c>
      <c r="G586" s="1138"/>
      <c r="H586" s="520">
        <v>9145.68</v>
      </c>
      <c r="I586" s="512">
        <v>43321</v>
      </c>
      <c r="J586" s="254">
        <f t="shared" si="43"/>
        <v>-3.3205647248573111E-3</v>
      </c>
      <c r="L586" s="251">
        <f t="shared" si="44"/>
        <v>43321</v>
      </c>
      <c r="M586" s="513">
        <v>170.5</v>
      </c>
      <c r="N586" s="254">
        <f t="shared" si="45"/>
        <v>3.8367844092570103E-2</v>
      </c>
      <c r="O586" s="1137">
        <f t="shared" si="47"/>
        <v>3.8336424533127647E-2</v>
      </c>
      <c r="P586" s="1138"/>
    </row>
    <row r="587" spans="6:16" x14ac:dyDescent="0.2">
      <c r="F587" s="1137">
        <f t="shared" si="46"/>
        <v>-2.7560582486596949E-3</v>
      </c>
      <c r="G587" s="1138"/>
      <c r="H587" s="520">
        <v>9176.15</v>
      </c>
      <c r="I587" s="512">
        <v>43320</v>
      </c>
      <c r="J587" s="254">
        <f t="shared" si="43"/>
        <v>-2.7246386892172403E-3</v>
      </c>
      <c r="L587" s="251">
        <f t="shared" si="44"/>
        <v>43320</v>
      </c>
      <c r="M587" s="513">
        <v>164.2</v>
      </c>
      <c r="N587" s="254">
        <f t="shared" si="45"/>
        <v>3.0543677458765295E-3</v>
      </c>
      <c r="O587" s="1137">
        <f t="shared" si="47"/>
        <v>3.0229481864340749E-3</v>
      </c>
      <c r="P587" s="1138"/>
    </row>
    <row r="588" spans="6:16" x14ac:dyDescent="0.2">
      <c r="F588" s="1137">
        <f t="shared" si="46"/>
        <v>5.6367364645852494E-3</v>
      </c>
      <c r="G588" s="1138"/>
      <c r="H588" s="520">
        <v>9201.2199999999993</v>
      </c>
      <c r="I588" s="512">
        <v>43319</v>
      </c>
      <c r="J588" s="254">
        <f t="shared" si="43"/>
        <v>5.668156024027704E-3</v>
      </c>
      <c r="L588" s="251">
        <f t="shared" si="44"/>
        <v>43319</v>
      </c>
      <c r="M588" s="513">
        <v>163.69999999999999</v>
      </c>
      <c r="N588" s="254">
        <f t="shared" si="45"/>
        <v>1.8359853121174829E-3</v>
      </c>
      <c r="O588" s="1137">
        <f t="shared" si="47"/>
        <v>1.8045657526750284E-3</v>
      </c>
      <c r="P588" s="1138"/>
    </row>
    <row r="589" spans="6:16" x14ac:dyDescent="0.2">
      <c r="F589" s="1137">
        <f t="shared" si="46"/>
        <v>-9.7485699119607874E-4</v>
      </c>
      <c r="G589" s="1138"/>
      <c r="H589" s="520">
        <v>9149.36</v>
      </c>
      <c r="I589" s="512">
        <v>43318</v>
      </c>
      <c r="J589" s="254">
        <f t="shared" si="43"/>
        <v>-9.4343743175362427E-4</v>
      </c>
      <c r="L589" s="251">
        <f t="shared" si="44"/>
        <v>43318</v>
      </c>
      <c r="M589" s="513">
        <v>163.4</v>
      </c>
      <c r="N589" s="254">
        <f t="shared" si="45"/>
        <v>5.5384615384614921E-3</v>
      </c>
      <c r="O589" s="1137">
        <f t="shared" si="47"/>
        <v>5.5070419790190376E-3</v>
      </c>
      <c r="P589" s="1138"/>
    </row>
    <row r="590" spans="6:16" x14ac:dyDescent="0.2">
      <c r="F590" s="1137">
        <f t="shared" si="46"/>
        <v>2.3399264318398158E-4</v>
      </c>
      <c r="G590" s="1138"/>
      <c r="H590" s="520">
        <v>9158</v>
      </c>
      <c r="I590" s="512">
        <v>43315</v>
      </c>
      <c r="J590" s="254">
        <f t="shared" si="43"/>
        <v>2.6541220262643606E-4</v>
      </c>
      <c r="L590" s="251">
        <f t="shared" si="44"/>
        <v>43315</v>
      </c>
      <c r="M590" s="513">
        <v>162.5</v>
      </c>
      <c r="N590" s="254">
        <f t="shared" si="45"/>
        <v>1.3092269326683281E-2</v>
      </c>
      <c r="O590" s="1137">
        <f t="shared" si="47"/>
        <v>1.3060849767240828E-2</v>
      </c>
      <c r="P590" s="1138"/>
    </row>
    <row r="591" spans="6:16" x14ac:dyDescent="0.2">
      <c r="F591" s="1137">
        <f t="shared" si="46"/>
        <v>-2.076255531115608E-3</v>
      </c>
      <c r="G591" s="1138"/>
      <c r="H591" s="520">
        <v>9155.57</v>
      </c>
      <c r="I591" s="512">
        <v>43314</v>
      </c>
      <c r="J591" s="254">
        <f t="shared" si="43"/>
        <v>-2.0448359716731535E-3</v>
      </c>
      <c r="L591" s="251">
        <f t="shared" si="44"/>
        <v>43314</v>
      </c>
      <c r="M591" s="513">
        <v>160.4</v>
      </c>
      <c r="N591" s="254">
        <f t="shared" si="45"/>
        <v>5.642633228840177E-3</v>
      </c>
      <c r="O591" s="1137">
        <f t="shared" si="47"/>
        <v>5.6112136693977225E-3</v>
      </c>
      <c r="P591" s="1138"/>
    </row>
    <row r="592" spans="6:16" x14ac:dyDescent="0.2">
      <c r="F592" s="1137">
        <f t="shared" si="46"/>
        <v>1.1635543475658353E-3</v>
      </c>
      <c r="G592" s="1138"/>
      <c r="H592" s="520">
        <v>9174.33</v>
      </c>
      <c r="I592" s="512">
        <v>43312</v>
      </c>
      <c r="J592" s="254">
        <f t="shared" si="43"/>
        <v>1.1949739070082899E-3</v>
      </c>
      <c r="L592" s="251">
        <f t="shared" si="44"/>
        <v>43312</v>
      </c>
      <c r="M592" s="513">
        <v>159.5</v>
      </c>
      <c r="N592" s="254">
        <f t="shared" si="45"/>
        <v>-3.1250000000000444E-3</v>
      </c>
      <c r="O592" s="1137">
        <f t="shared" si="47"/>
        <v>-3.156419559442499E-3</v>
      </c>
      <c r="P592" s="1138"/>
    </row>
    <row r="593" spans="6:16" x14ac:dyDescent="0.2">
      <c r="F593" s="1137">
        <f t="shared" si="46"/>
        <v>-1.1019293052238329E-3</v>
      </c>
      <c r="G593" s="1138"/>
      <c r="H593" s="520">
        <v>9163.3799999999992</v>
      </c>
      <c r="I593" s="512">
        <v>43311</v>
      </c>
      <c r="J593" s="254">
        <f t="shared" si="43"/>
        <v>-1.0705097457813784E-3</v>
      </c>
      <c r="L593" s="251">
        <f t="shared" si="44"/>
        <v>43311</v>
      </c>
      <c r="M593" s="513">
        <v>160</v>
      </c>
      <c r="N593" s="254">
        <f t="shared" si="45"/>
        <v>-1.8404907975460127E-2</v>
      </c>
      <c r="O593" s="1137">
        <f t="shared" si="47"/>
        <v>-1.8436327534902583E-2</v>
      </c>
      <c r="P593" s="1138"/>
    </row>
    <row r="594" spans="6:16" x14ac:dyDescent="0.2">
      <c r="F594" s="1137">
        <f t="shared" si="46"/>
        <v>3.659166437338616E-3</v>
      </c>
      <c r="G594" s="1138"/>
      <c r="H594" s="520">
        <v>9173.2000000000007</v>
      </c>
      <c r="I594" s="512">
        <v>43308</v>
      </c>
      <c r="J594" s="254">
        <f t="shared" si="43"/>
        <v>3.6905859967810706E-3</v>
      </c>
      <c r="L594" s="251">
        <f t="shared" si="44"/>
        <v>43308</v>
      </c>
      <c r="M594" s="513">
        <v>163</v>
      </c>
      <c r="N594" s="254">
        <f t="shared" si="45"/>
        <v>2.4600246002459691E-3</v>
      </c>
      <c r="O594" s="1137">
        <f t="shared" si="47"/>
        <v>2.4286050408035146E-3</v>
      </c>
      <c r="P594" s="1138"/>
    </row>
    <row r="595" spans="6:16" x14ac:dyDescent="0.2">
      <c r="F595" s="1137">
        <f t="shared" si="46"/>
        <v>1.3274255059658917E-2</v>
      </c>
      <c r="G595" s="1138"/>
      <c r="H595" s="520">
        <v>9139.4699999999993</v>
      </c>
      <c r="I595" s="512">
        <v>43307</v>
      </c>
      <c r="J595" s="254">
        <f t="shared" si="43"/>
        <v>1.3305674619101371E-2</v>
      </c>
      <c r="L595" s="251">
        <f t="shared" si="44"/>
        <v>43307</v>
      </c>
      <c r="M595" s="513">
        <v>162.6</v>
      </c>
      <c r="N595" s="254">
        <f t="shared" si="45"/>
        <v>2.2641509433962259E-2</v>
      </c>
      <c r="O595" s="1137">
        <f t="shared" si="47"/>
        <v>2.2610089874519804E-2</v>
      </c>
      <c r="P595" s="1138"/>
    </row>
    <row r="596" spans="6:16" x14ac:dyDescent="0.2">
      <c r="F596" s="1137">
        <f t="shared" si="46"/>
        <v>1.5098470774647802E-3</v>
      </c>
      <c r="G596" s="1138"/>
      <c r="H596" s="520">
        <v>9019.4599999999991</v>
      </c>
      <c r="I596" s="512">
        <v>43306</v>
      </c>
      <c r="J596" s="254">
        <f t="shared" si="43"/>
        <v>1.5412666369072348E-3</v>
      </c>
      <c r="L596" s="251">
        <f t="shared" si="44"/>
        <v>43306</v>
      </c>
      <c r="M596" s="513">
        <v>159</v>
      </c>
      <c r="N596" s="254">
        <f t="shared" si="45"/>
        <v>6.3291139240506666E-3</v>
      </c>
      <c r="O596" s="1137">
        <f t="shared" si="47"/>
        <v>6.2976943646082121E-3</v>
      </c>
      <c r="P596" s="1138"/>
    </row>
    <row r="597" spans="6:16" x14ac:dyDescent="0.2">
      <c r="F597" s="1137">
        <f t="shared" si="46"/>
        <v>5.0791912919278684E-3</v>
      </c>
      <c r="G597" s="1138"/>
      <c r="H597" s="520">
        <v>9005.58</v>
      </c>
      <c r="I597" s="512">
        <v>43305</v>
      </c>
      <c r="J597" s="254">
        <f t="shared" si="43"/>
        <v>5.110610851370323E-3</v>
      </c>
      <c r="L597" s="251">
        <f t="shared" si="44"/>
        <v>43305</v>
      </c>
      <c r="M597" s="513">
        <v>158</v>
      </c>
      <c r="N597" s="254">
        <f t="shared" si="45"/>
        <v>2.3979261179520428E-2</v>
      </c>
      <c r="O597" s="1137">
        <f t="shared" si="47"/>
        <v>2.3947841620077973E-2</v>
      </c>
      <c r="P597" s="1138"/>
    </row>
    <row r="598" spans="6:16" x14ac:dyDescent="0.2">
      <c r="F598" s="1137">
        <f t="shared" si="46"/>
        <v>-3.5403514872752026E-3</v>
      </c>
      <c r="G598" s="1138"/>
      <c r="H598" s="520">
        <v>8959.7900000000009</v>
      </c>
      <c r="I598" s="512">
        <v>43304</v>
      </c>
      <c r="J598" s="254">
        <f t="shared" si="43"/>
        <v>-3.508931927832748E-3</v>
      </c>
      <c r="L598" s="251">
        <f t="shared" si="44"/>
        <v>43304</v>
      </c>
      <c r="M598" s="513">
        <v>154.30000000000001</v>
      </c>
      <c r="N598" s="254">
        <f t="shared" si="45"/>
        <v>1.180327868852471E-2</v>
      </c>
      <c r="O598" s="1137">
        <f t="shared" si="47"/>
        <v>1.1771859129082256E-2</v>
      </c>
      <c r="P598" s="1138"/>
    </row>
    <row r="599" spans="6:16" x14ac:dyDescent="0.2">
      <c r="F599" s="1137">
        <f t="shared" si="46"/>
        <v>6.3901377101702331E-3</v>
      </c>
      <c r="G599" s="1138"/>
      <c r="H599" s="520">
        <v>8991.34</v>
      </c>
      <c r="I599" s="512">
        <v>43301</v>
      </c>
      <c r="J599" s="254">
        <f t="shared" si="43"/>
        <v>6.4215572696126877E-3</v>
      </c>
      <c r="L599" s="251">
        <f t="shared" si="44"/>
        <v>43301</v>
      </c>
      <c r="M599" s="513">
        <v>152.5</v>
      </c>
      <c r="N599" s="254">
        <f t="shared" si="45"/>
        <v>1.3962765957446832E-2</v>
      </c>
      <c r="O599" s="1137">
        <f t="shared" si="47"/>
        <v>1.3931346398004378E-2</v>
      </c>
      <c r="P599" s="1138"/>
    </row>
    <row r="600" spans="6:16" x14ac:dyDescent="0.2">
      <c r="F600" s="1137">
        <f t="shared" si="46"/>
        <v>-4.9572301475535221E-4</v>
      </c>
      <c r="G600" s="1138"/>
      <c r="H600" s="520">
        <v>8933.9699999999993</v>
      </c>
      <c r="I600" s="512">
        <v>43300</v>
      </c>
      <c r="J600" s="254">
        <f t="shared" si="43"/>
        <v>-4.6430345531289774E-4</v>
      </c>
      <c r="L600" s="251">
        <f t="shared" si="44"/>
        <v>43300</v>
      </c>
      <c r="M600" s="513">
        <v>150.4</v>
      </c>
      <c r="N600" s="254">
        <f t="shared" si="45"/>
        <v>-4.8101265822784733E-2</v>
      </c>
      <c r="O600" s="1137">
        <f t="shared" si="47"/>
        <v>-4.8132685382227189E-2</v>
      </c>
      <c r="P600" s="1138"/>
    </row>
    <row r="601" spans="6:16" x14ac:dyDescent="0.2">
      <c r="F601" s="1137">
        <f t="shared" si="46"/>
        <v>1.2824585254335346E-2</v>
      </c>
      <c r="G601" s="1138"/>
      <c r="H601" s="520">
        <v>8938.1200000000008</v>
      </c>
      <c r="I601" s="512">
        <v>43299</v>
      </c>
      <c r="J601" s="254">
        <f t="shared" si="43"/>
        <v>1.2856004813777799E-2</v>
      </c>
      <c r="L601" s="251">
        <f t="shared" si="44"/>
        <v>43299</v>
      </c>
      <c r="M601" s="513">
        <v>158</v>
      </c>
      <c r="N601" s="254">
        <f t="shared" si="45"/>
        <v>-3.154574132492094E-3</v>
      </c>
      <c r="O601" s="1137">
        <f t="shared" si="47"/>
        <v>-3.1859936919345485E-3</v>
      </c>
      <c r="P601" s="1138"/>
    </row>
    <row r="602" spans="6:16" x14ac:dyDescent="0.2">
      <c r="F602" s="1137">
        <f t="shared" si="46"/>
        <v>-2.6636647323409609E-3</v>
      </c>
      <c r="G602" s="1138"/>
      <c r="H602" s="520">
        <v>8824.67</v>
      </c>
      <c r="I602" s="512">
        <v>43298</v>
      </c>
      <c r="J602" s="254">
        <f t="shared" si="43"/>
        <v>-2.6322451728985063E-3</v>
      </c>
      <c r="L602" s="251">
        <f t="shared" si="44"/>
        <v>43298</v>
      </c>
      <c r="M602" s="513">
        <v>158.5</v>
      </c>
      <c r="N602" s="254">
        <f t="shared" si="45"/>
        <v>1.8963337547408532E-3</v>
      </c>
      <c r="O602" s="1137">
        <f t="shared" si="47"/>
        <v>1.8649141952983986E-3</v>
      </c>
      <c r="P602" s="1138"/>
    </row>
    <row r="603" spans="6:16" x14ac:dyDescent="0.2">
      <c r="F603" s="1137">
        <f t="shared" si="46"/>
        <v>-1.508671126694657E-3</v>
      </c>
      <c r="G603" s="1138"/>
      <c r="H603" s="520">
        <v>8847.9599999999991</v>
      </c>
      <c r="I603" s="512">
        <v>43297</v>
      </c>
      <c r="J603" s="254">
        <f t="shared" si="43"/>
        <v>-1.4772515672522024E-3</v>
      </c>
      <c r="L603" s="251">
        <f t="shared" si="44"/>
        <v>43297</v>
      </c>
      <c r="M603" s="513">
        <v>158.19999999999999</v>
      </c>
      <c r="N603" s="254">
        <f t="shared" si="45"/>
        <v>3.8071065989846442E-3</v>
      </c>
      <c r="O603" s="1137">
        <f t="shared" si="47"/>
        <v>3.7756870395421896E-3</v>
      </c>
      <c r="P603" s="1138"/>
    </row>
    <row r="604" spans="6:16" x14ac:dyDescent="0.2">
      <c r="F604" s="1137">
        <f t="shared" si="46"/>
        <v>4.8289883020346683E-3</v>
      </c>
      <c r="G604" s="1138"/>
      <c r="H604" s="520">
        <v>8861.0499999999993</v>
      </c>
      <c r="I604" s="512">
        <v>43294</v>
      </c>
      <c r="J604" s="254">
        <f t="shared" si="43"/>
        <v>4.8604078614771229E-3</v>
      </c>
      <c r="L604" s="251">
        <f t="shared" si="44"/>
        <v>43294</v>
      </c>
      <c r="M604" s="513">
        <v>157.6</v>
      </c>
      <c r="N604" s="254">
        <f t="shared" si="45"/>
        <v>1.4810045074050038E-2</v>
      </c>
      <c r="O604" s="1137">
        <f t="shared" si="47"/>
        <v>1.4778625514607584E-2</v>
      </c>
      <c r="P604" s="1138"/>
    </row>
    <row r="605" spans="6:16" x14ac:dyDescent="0.2">
      <c r="F605" s="1137">
        <f t="shared" si="46"/>
        <v>1.554627138128835E-2</v>
      </c>
      <c r="G605" s="1138"/>
      <c r="H605" s="520">
        <v>8818.19</v>
      </c>
      <c r="I605" s="512">
        <v>43293</v>
      </c>
      <c r="J605" s="254">
        <f t="shared" ref="J605:J668" si="48">H605/H606-1</f>
        <v>1.5577690940730804E-2</v>
      </c>
      <c r="L605" s="251">
        <f t="shared" ref="L605:L668" si="49">I605</f>
        <v>43293</v>
      </c>
      <c r="M605" s="513">
        <v>155.30000000000001</v>
      </c>
      <c r="N605" s="254">
        <f t="shared" ref="N605:N668" si="50">M605/M606-1</f>
        <v>1.1726384364820985E-2</v>
      </c>
      <c r="O605" s="1137">
        <f t="shared" si="47"/>
        <v>1.1694964805378532E-2</v>
      </c>
      <c r="P605" s="1138"/>
    </row>
    <row r="606" spans="6:16" x14ac:dyDescent="0.2">
      <c r="F606" s="1137">
        <f t="shared" ref="F606:F669" si="51">J606-$I$19</f>
        <v>-9.8365150616200169E-3</v>
      </c>
      <c r="G606" s="1138"/>
      <c r="H606" s="520">
        <v>8682.93</v>
      </c>
      <c r="I606" s="512">
        <v>43292</v>
      </c>
      <c r="J606" s="254">
        <f t="shared" si="48"/>
        <v>-9.8050955021775632E-3</v>
      </c>
      <c r="L606" s="251">
        <f t="shared" si="49"/>
        <v>43292</v>
      </c>
      <c r="M606" s="513">
        <v>153.5</v>
      </c>
      <c r="N606" s="254">
        <f t="shared" si="50"/>
        <v>-1.0315925209542165E-2</v>
      </c>
      <c r="O606" s="1137">
        <f t="shared" ref="O606:O669" si="52">N606-$I$19</f>
        <v>-1.0347344768984619E-2</v>
      </c>
      <c r="P606" s="1138"/>
    </row>
    <row r="607" spans="6:16" x14ac:dyDescent="0.2">
      <c r="F607" s="1137">
        <f t="shared" si="51"/>
        <v>9.9484552060387452E-4</v>
      </c>
      <c r="G607" s="1138"/>
      <c r="H607" s="520">
        <v>8768.91</v>
      </c>
      <c r="I607" s="512">
        <v>43291</v>
      </c>
      <c r="J607" s="254">
        <f t="shared" si="48"/>
        <v>1.0262650800463291E-3</v>
      </c>
      <c r="L607" s="251">
        <f t="shared" si="49"/>
        <v>43291</v>
      </c>
      <c r="M607" s="513">
        <v>155.1</v>
      </c>
      <c r="N607" s="254">
        <f t="shared" si="50"/>
        <v>-1.9305019305020377E-3</v>
      </c>
      <c r="O607" s="1137">
        <f t="shared" si="52"/>
        <v>-1.9619214899444922E-3</v>
      </c>
      <c r="P607" s="1138"/>
    </row>
    <row r="608" spans="6:16" x14ac:dyDescent="0.2">
      <c r="F608" s="1137">
        <f t="shared" si="51"/>
        <v>7.1546195188129805E-3</v>
      </c>
      <c r="G608" s="1138"/>
      <c r="H608" s="520">
        <v>8759.92</v>
      </c>
      <c r="I608" s="512">
        <v>43290</v>
      </c>
      <c r="J608" s="254">
        <f t="shared" si="48"/>
        <v>7.1860390782554351E-3</v>
      </c>
      <c r="L608" s="251">
        <f t="shared" si="49"/>
        <v>43290</v>
      </c>
      <c r="M608" s="513">
        <v>155.4</v>
      </c>
      <c r="N608" s="254">
        <f t="shared" si="50"/>
        <v>3.1872509960159334E-2</v>
      </c>
      <c r="O608" s="1137">
        <f t="shared" si="52"/>
        <v>3.1841090400716879E-2</v>
      </c>
      <c r="P608" s="1138"/>
    </row>
    <row r="609" spans="6:16" x14ac:dyDescent="0.2">
      <c r="F609" s="1137">
        <f t="shared" si="51"/>
        <v>2.6639795855924612E-3</v>
      </c>
      <c r="G609" s="1138"/>
      <c r="H609" s="520">
        <v>8697.42</v>
      </c>
      <c r="I609" s="512">
        <v>43287</v>
      </c>
      <c r="J609" s="254">
        <f t="shared" si="48"/>
        <v>2.6953991450349157E-3</v>
      </c>
      <c r="L609" s="251">
        <f t="shared" si="49"/>
        <v>43287</v>
      </c>
      <c r="M609" s="513">
        <v>150.6</v>
      </c>
      <c r="N609" s="254">
        <f t="shared" si="50"/>
        <v>6.6844919786095414E-3</v>
      </c>
      <c r="O609" s="1137">
        <f t="shared" si="52"/>
        <v>6.6530724191670868E-3</v>
      </c>
      <c r="P609" s="1138"/>
    </row>
    <row r="610" spans="6:16" x14ac:dyDescent="0.2">
      <c r="F610" s="1137">
        <f t="shared" si="51"/>
        <v>1.1817118084873216E-3</v>
      </c>
      <c r="G610" s="1138"/>
      <c r="H610" s="520">
        <v>8674.0400000000009</v>
      </c>
      <c r="I610" s="512">
        <v>43286</v>
      </c>
      <c r="J610" s="254">
        <f t="shared" si="48"/>
        <v>1.2131313679297762E-3</v>
      </c>
      <c r="L610" s="251">
        <f t="shared" si="49"/>
        <v>43286</v>
      </c>
      <c r="M610" s="513">
        <v>149.6</v>
      </c>
      <c r="N610" s="254">
        <f t="shared" si="50"/>
        <v>1.3550135501354976E-2</v>
      </c>
      <c r="O610" s="1137">
        <f t="shared" si="52"/>
        <v>1.3518715941912523E-2</v>
      </c>
      <c r="P610" s="1138"/>
    </row>
    <row r="611" spans="6:16" x14ac:dyDescent="0.2">
      <c r="F611" s="1137">
        <f t="shared" si="51"/>
        <v>4.3787646735693056E-3</v>
      </c>
      <c r="G611" s="1138"/>
      <c r="H611" s="520">
        <v>8663.5300000000007</v>
      </c>
      <c r="I611" s="512">
        <v>43285</v>
      </c>
      <c r="J611" s="254">
        <f t="shared" si="48"/>
        <v>4.4101842330117602E-3</v>
      </c>
      <c r="L611" s="251">
        <f t="shared" si="49"/>
        <v>43285</v>
      </c>
      <c r="M611" s="513">
        <v>147.6</v>
      </c>
      <c r="N611" s="254">
        <f t="shared" si="50"/>
        <v>-9.3959731543624692E-3</v>
      </c>
      <c r="O611" s="1137">
        <f t="shared" si="52"/>
        <v>-9.4273927138049229E-3</v>
      </c>
      <c r="P611" s="1138"/>
    </row>
    <row r="612" spans="6:16" x14ac:dyDescent="0.2">
      <c r="F612" s="1137">
        <f t="shared" si="51"/>
        <v>1.1211793772030592E-2</v>
      </c>
      <c r="G612" s="1138"/>
      <c r="H612" s="520">
        <v>8625.49</v>
      </c>
      <c r="I612" s="512">
        <v>43284</v>
      </c>
      <c r="J612" s="254">
        <f t="shared" si="48"/>
        <v>1.1243213331473045E-2</v>
      </c>
      <c r="L612" s="251">
        <f t="shared" si="49"/>
        <v>43284</v>
      </c>
      <c r="M612" s="513">
        <v>149</v>
      </c>
      <c r="N612" s="254">
        <f t="shared" si="50"/>
        <v>4.7201618341199403E-3</v>
      </c>
      <c r="O612" s="1137">
        <f t="shared" si="52"/>
        <v>4.6887422746774857E-3</v>
      </c>
      <c r="P612" s="1138"/>
    </row>
    <row r="613" spans="6:16" x14ac:dyDescent="0.2">
      <c r="F613" s="1137">
        <f t="shared" si="51"/>
        <v>-9.2900120117904005E-3</v>
      </c>
      <c r="G613" s="1138"/>
      <c r="H613" s="520">
        <v>8529.59</v>
      </c>
      <c r="I613" s="512">
        <v>43283</v>
      </c>
      <c r="J613" s="254">
        <f t="shared" si="48"/>
        <v>-9.2585924523479468E-3</v>
      </c>
      <c r="L613" s="251">
        <f t="shared" si="49"/>
        <v>43283</v>
      </c>
      <c r="M613" s="513">
        <v>148.30000000000001</v>
      </c>
      <c r="N613" s="254">
        <f t="shared" si="50"/>
        <v>-1.1333333333333306E-2</v>
      </c>
      <c r="O613" s="1137">
        <f t="shared" si="52"/>
        <v>-1.136475289277576E-2</v>
      </c>
      <c r="P613" s="1138"/>
    </row>
    <row r="614" spans="6:16" x14ac:dyDescent="0.2">
      <c r="F614" s="1137">
        <f t="shared" si="51"/>
        <v>1.7410681387056662E-2</v>
      </c>
      <c r="G614" s="1138"/>
      <c r="H614" s="520">
        <v>8609.2999999999993</v>
      </c>
      <c r="I614" s="512">
        <v>43280</v>
      </c>
      <c r="J614" s="254">
        <f t="shared" si="48"/>
        <v>1.7442100946499117E-2</v>
      </c>
      <c r="L614" s="251">
        <f t="shared" si="49"/>
        <v>43280</v>
      </c>
      <c r="M614" s="513">
        <v>150</v>
      </c>
      <c r="N614" s="254">
        <f t="shared" si="50"/>
        <v>2.5991792065663599E-2</v>
      </c>
      <c r="O614" s="1137">
        <f t="shared" si="52"/>
        <v>2.5960372506221144E-2</v>
      </c>
      <c r="P614" s="1138"/>
    </row>
    <row r="615" spans="6:16" x14ac:dyDescent="0.2">
      <c r="F615" s="1137">
        <f t="shared" si="51"/>
        <v>-5.0628734955940188E-3</v>
      </c>
      <c r="G615" s="1138"/>
      <c r="H615" s="520">
        <v>8461.7099999999991</v>
      </c>
      <c r="I615" s="512">
        <v>43279</v>
      </c>
      <c r="J615" s="254">
        <f t="shared" si="48"/>
        <v>-5.0314539361515642E-3</v>
      </c>
      <c r="L615" s="251">
        <f t="shared" si="49"/>
        <v>43279</v>
      </c>
      <c r="M615" s="513">
        <v>146.19999999999999</v>
      </c>
      <c r="N615" s="254">
        <f t="shared" si="50"/>
        <v>-2.5982678214523713E-2</v>
      </c>
      <c r="O615" s="1137">
        <f t="shared" si="52"/>
        <v>-2.6014097773966169E-2</v>
      </c>
      <c r="P615" s="1138"/>
    </row>
    <row r="616" spans="6:16" x14ac:dyDescent="0.2">
      <c r="F616" s="1137">
        <f t="shared" si="51"/>
        <v>3.0966840690162681E-3</v>
      </c>
      <c r="G616" s="1138"/>
      <c r="H616" s="520">
        <v>8504.5</v>
      </c>
      <c r="I616" s="512">
        <v>43278</v>
      </c>
      <c r="J616" s="254">
        <f t="shared" si="48"/>
        <v>3.1281036284587227E-3</v>
      </c>
      <c r="L616" s="251">
        <f t="shared" si="49"/>
        <v>43278</v>
      </c>
      <c r="M616" s="513">
        <v>150.1</v>
      </c>
      <c r="N616" s="254">
        <f t="shared" si="50"/>
        <v>1.1455525606469008E-2</v>
      </c>
      <c r="O616" s="1137">
        <f t="shared" si="52"/>
        <v>1.1424106047026554E-2</v>
      </c>
      <c r="P616" s="1138"/>
    </row>
    <row r="617" spans="6:16" x14ac:dyDescent="0.2">
      <c r="F617" s="1137">
        <f t="shared" si="51"/>
        <v>2.2419659880674328E-3</v>
      </c>
      <c r="G617" s="1138"/>
      <c r="H617" s="520">
        <v>8477.98</v>
      </c>
      <c r="I617" s="512">
        <v>43277</v>
      </c>
      <c r="J617" s="254">
        <f t="shared" si="48"/>
        <v>2.2733855475098874E-3</v>
      </c>
      <c r="L617" s="251">
        <f t="shared" si="49"/>
        <v>43277</v>
      </c>
      <c r="M617" s="513">
        <v>148.4</v>
      </c>
      <c r="N617" s="254">
        <f t="shared" si="50"/>
        <v>4.7393364928911552E-3</v>
      </c>
      <c r="O617" s="1137">
        <f t="shared" si="52"/>
        <v>4.7079169334487006E-3</v>
      </c>
      <c r="P617" s="1138"/>
    </row>
    <row r="618" spans="6:16" x14ac:dyDescent="0.2">
      <c r="F618" s="1137">
        <f t="shared" si="51"/>
        <v>-1.8346153049373412E-2</v>
      </c>
      <c r="G618" s="1138"/>
      <c r="H618" s="520">
        <v>8458.75</v>
      </c>
      <c r="I618" s="512">
        <v>43276</v>
      </c>
      <c r="J618" s="254">
        <f t="shared" si="48"/>
        <v>-1.8314733489930957E-2</v>
      </c>
      <c r="L618" s="251">
        <f t="shared" si="49"/>
        <v>43276</v>
      </c>
      <c r="M618" s="513">
        <v>147.69999999999999</v>
      </c>
      <c r="N618" s="254">
        <f t="shared" si="50"/>
        <v>-8.0591000671592639E-3</v>
      </c>
      <c r="O618" s="1137">
        <f t="shared" si="52"/>
        <v>-8.0905196266017176E-3</v>
      </c>
      <c r="P618" s="1138"/>
    </row>
    <row r="619" spans="6:16" x14ac:dyDescent="0.2">
      <c r="F619" s="1137">
        <f t="shared" si="51"/>
        <v>1.8482918029639264E-2</v>
      </c>
      <c r="G619" s="1138"/>
      <c r="H619" s="520">
        <v>8616.56</v>
      </c>
      <c r="I619" s="512">
        <v>43273</v>
      </c>
      <c r="J619" s="254">
        <f t="shared" si="48"/>
        <v>1.851433758908172E-2</v>
      </c>
      <c r="L619" s="251">
        <f t="shared" si="49"/>
        <v>43273</v>
      </c>
      <c r="M619" s="513">
        <v>148.9</v>
      </c>
      <c r="N619" s="254">
        <f t="shared" si="50"/>
        <v>2.0188425302827273E-3</v>
      </c>
      <c r="O619" s="1137">
        <f t="shared" si="52"/>
        <v>1.9874229708402727E-3</v>
      </c>
      <c r="P619" s="1138"/>
    </row>
    <row r="620" spans="6:16" x14ac:dyDescent="0.2">
      <c r="F620" s="1137">
        <f t="shared" si="51"/>
        <v>-1.1434269220149824E-2</v>
      </c>
      <c r="G620" s="1138"/>
      <c r="H620" s="520">
        <v>8459.93</v>
      </c>
      <c r="I620" s="512">
        <v>43272</v>
      </c>
      <c r="J620" s="254">
        <f t="shared" si="48"/>
        <v>-1.140284966070737E-2</v>
      </c>
      <c r="L620" s="251">
        <f t="shared" si="49"/>
        <v>43272</v>
      </c>
      <c r="M620" s="513">
        <v>148.6</v>
      </c>
      <c r="N620" s="254">
        <f t="shared" si="50"/>
        <v>7.4576271186439502E-3</v>
      </c>
      <c r="O620" s="1137">
        <f t="shared" si="52"/>
        <v>7.4262075592014956E-3</v>
      </c>
      <c r="P620" s="1138"/>
    </row>
    <row r="621" spans="6:16" x14ac:dyDescent="0.2">
      <c r="F621" s="1137">
        <f t="shared" si="51"/>
        <v>1.1087030332504315E-2</v>
      </c>
      <c r="G621" s="1138"/>
      <c r="H621" s="520">
        <v>8557.51</v>
      </c>
      <c r="I621" s="512">
        <v>43271</v>
      </c>
      <c r="J621" s="254">
        <f t="shared" si="48"/>
        <v>1.1118449891946769E-2</v>
      </c>
      <c r="L621" s="251">
        <f t="shared" si="49"/>
        <v>43271</v>
      </c>
      <c r="M621" s="513">
        <v>147.5</v>
      </c>
      <c r="N621" s="254">
        <f t="shared" si="50"/>
        <v>6.8259385665530026E-3</v>
      </c>
      <c r="O621" s="1137">
        <f t="shared" si="52"/>
        <v>6.794519007110548E-3</v>
      </c>
      <c r="P621" s="1138"/>
    </row>
    <row r="622" spans="6:16" x14ac:dyDescent="0.2">
      <c r="F622" s="1137">
        <f t="shared" si="51"/>
        <v>-6.6233015440965567E-3</v>
      </c>
      <c r="G622" s="1138"/>
      <c r="H622" s="520">
        <v>8463.41</v>
      </c>
      <c r="I622" s="512">
        <v>43270</v>
      </c>
      <c r="J622" s="254">
        <f t="shared" si="48"/>
        <v>-6.5918819846541021E-3</v>
      </c>
      <c r="L622" s="251">
        <f t="shared" si="49"/>
        <v>43270</v>
      </c>
      <c r="M622" s="513">
        <v>146.5</v>
      </c>
      <c r="N622" s="254">
        <f t="shared" si="50"/>
        <v>-2.1376085504341891E-2</v>
      </c>
      <c r="O622" s="1137">
        <f t="shared" si="52"/>
        <v>-2.1407505063784346E-2</v>
      </c>
      <c r="P622" s="1138"/>
    </row>
    <row r="623" spans="6:16" x14ac:dyDescent="0.2">
      <c r="F623" s="1137">
        <f t="shared" si="51"/>
        <v>-1.4266719122074152E-2</v>
      </c>
      <c r="G623" s="1138"/>
      <c r="H623" s="520">
        <v>8519.57</v>
      </c>
      <c r="I623" s="512">
        <v>43269</v>
      </c>
      <c r="J623" s="254">
        <f t="shared" si="48"/>
        <v>-1.4235299562631698E-2</v>
      </c>
      <c r="L623" s="251">
        <f t="shared" si="49"/>
        <v>43269</v>
      </c>
      <c r="M623" s="513">
        <v>149.69999999999999</v>
      </c>
      <c r="N623" s="254">
        <f t="shared" si="50"/>
        <v>-1.3833992094861802E-2</v>
      </c>
      <c r="O623" s="1137">
        <f t="shared" si="52"/>
        <v>-1.3865411654304256E-2</v>
      </c>
      <c r="P623" s="1138"/>
    </row>
    <row r="624" spans="6:16" x14ac:dyDescent="0.2">
      <c r="F624" s="1137">
        <f t="shared" si="51"/>
        <v>-5.580947049912229E-3</v>
      </c>
      <c r="G624" s="1138"/>
      <c r="H624" s="520">
        <v>8642.6</v>
      </c>
      <c r="I624" s="512">
        <v>43266</v>
      </c>
      <c r="J624" s="254">
        <f t="shared" si="48"/>
        <v>-5.5495274904697744E-3</v>
      </c>
      <c r="L624" s="251">
        <f t="shared" si="49"/>
        <v>43266</v>
      </c>
      <c r="M624" s="513">
        <v>151.80000000000001</v>
      </c>
      <c r="N624" s="254">
        <f t="shared" si="50"/>
        <v>-1.6202203499675938E-2</v>
      </c>
      <c r="O624" s="1137">
        <f t="shared" si="52"/>
        <v>-1.6233623059118393E-2</v>
      </c>
      <c r="P624" s="1138"/>
    </row>
    <row r="625" spans="6:16" x14ac:dyDescent="0.2">
      <c r="F625" s="1137">
        <f t="shared" si="51"/>
        <v>6.4795867280446765E-3</v>
      </c>
      <c r="G625" s="1138"/>
      <c r="H625" s="520">
        <v>8690.83</v>
      </c>
      <c r="I625" s="512">
        <v>43265</v>
      </c>
      <c r="J625" s="254">
        <f t="shared" si="48"/>
        <v>6.5110062874871311E-3</v>
      </c>
      <c r="L625" s="251">
        <f t="shared" si="49"/>
        <v>43265</v>
      </c>
      <c r="M625" s="513">
        <v>154.30000000000001</v>
      </c>
      <c r="N625" s="254">
        <f t="shared" si="50"/>
        <v>7.8380143696932247E-3</v>
      </c>
      <c r="O625" s="1137">
        <f t="shared" si="52"/>
        <v>7.8065948102507702E-3</v>
      </c>
      <c r="P625" s="1138"/>
    </row>
    <row r="626" spans="6:16" x14ac:dyDescent="0.2">
      <c r="F626" s="1137">
        <f t="shared" si="51"/>
        <v>-7.4778841417792632E-4</v>
      </c>
      <c r="G626" s="1138"/>
      <c r="H626" s="520">
        <v>8634.61</v>
      </c>
      <c r="I626" s="512">
        <v>43264</v>
      </c>
      <c r="J626" s="254">
        <f t="shared" si="48"/>
        <v>-7.1636885473547185E-4</v>
      </c>
      <c r="L626" s="251">
        <f t="shared" si="49"/>
        <v>43264</v>
      </c>
      <c r="M626" s="513">
        <v>153.1</v>
      </c>
      <c r="N626" s="254">
        <f t="shared" si="50"/>
        <v>2.7516778523489993E-2</v>
      </c>
      <c r="O626" s="1137">
        <f t="shared" si="52"/>
        <v>2.7485358964047538E-2</v>
      </c>
      <c r="P626" s="1138"/>
    </row>
    <row r="627" spans="6:16" x14ac:dyDescent="0.2">
      <c r="F627" s="1137">
        <f t="shared" si="51"/>
        <v>1.970078665184353E-3</v>
      </c>
      <c r="G627" s="1138"/>
      <c r="H627" s="520">
        <v>8640.7999999999993</v>
      </c>
      <c r="I627" s="512">
        <v>43263</v>
      </c>
      <c r="J627" s="254">
        <f t="shared" si="48"/>
        <v>2.0014982246268076E-3</v>
      </c>
      <c r="L627" s="251">
        <f t="shared" si="49"/>
        <v>43263</v>
      </c>
      <c r="M627" s="513">
        <v>149</v>
      </c>
      <c r="N627" s="254">
        <f t="shared" si="50"/>
        <v>1.7064846416382284E-2</v>
      </c>
      <c r="O627" s="1137">
        <f t="shared" si="52"/>
        <v>1.7033426856939829E-2</v>
      </c>
      <c r="P627" s="1138"/>
    </row>
    <row r="628" spans="6:16" x14ac:dyDescent="0.2">
      <c r="F628" s="1137">
        <f t="shared" si="51"/>
        <v>1.3065292634785579E-2</v>
      </c>
      <c r="G628" s="1138"/>
      <c r="H628" s="520">
        <v>8623.5400000000009</v>
      </c>
      <c r="I628" s="512">
        <v>43262</v>
      </c>
      <c r="J628" s="254">
        <f t="shared" si="48"/>
        <v>1.3096712194228033E-2</v>
      </c>
      <c r="L628" s="251">
        <f t="shared" si="49"/>
        <v>43262</v>
      </c>
      <c r="M628" s="513">
        <v>146.5</v>
      </c>
      <c r="N628" s="254">
        <f t="shared" si="50"/>
        <v>3.424657534246478E-3</v>
      </c>
      <c r="O628" s="1137">
        <f t="shared" si="52"/>
        <v>3.3932379748040234E-3</v>
      </c>
      <c r="P628" s="1138"/>
    </row>
    <row r="629" spans="6:16" x14ac:dyDescent="0.2">
      <c r="F629" s="1137">
        <f t="shared" si="51"/>
        <v>-4.2743535594167844E-3</v>
      </c>
      <c r="G629" s="1138"/>
      <c r="H629" s="520">
        <v>8512.06</v>
      </c>
      <c r="I629" s="512">
        <v>43259</v>
      </c>
      <c r="J629" s="254">
        <f t="shared" si="48"/>
        <v>-4.2429339999743299E-3</v>
      </c>
      <c r="L629" s="251">
        <f t="shared" si="49"/>
        <v>43259</v>
      </c>
      <c r="M629" s="513">
        <v>146</v>
      </c>
      <c r="N629" s="254">
        <f t="shared" si="50"/>
        <v>0</v>
      </c>
      <c r="O629" s="1137">
        <f t="shared" si="52"/>
        <v>-3.1419559442454485E-5</v>
      </c>
      <c r="P629" s="1138"/>
    </row>
    <row r="630" spans="6:16" x14ac:dyDescent="0.2">
      <c r="F630" s="1137">
        <f t="shared" si="51"/>
        <v>3.5945275287159559E-4</v>
      </c>
      <c r="G630" s="1138"/>
      <c r="H630" s="520">
        <v>8548.33</v>
      </c>
      <c r="I630" s="512">
        <v>43258</v>
      </c>
      <c r="J630" s="254">
        <f t="shared" si="48"/>
        <v>3.9087231231405006E-4</v>
      </c>
      <c r="L630" s="251">
        <f t="shared" si="49"/>
        <v>43258</v>
      </c>
      <c r="M630" s="513">
        <v>146</v>
      </c>
      <c r="N630" s="254">
        <f t="shared" si="50"/>
        <v>-8.8255261371351645E-3</v>
      </c>
      <c r="O630" s="1137">
        <f t="shared" si="52"/>
        <v>-8.8569456965776183E-3</v>
      </c>
      <c r="P630" s="1138"/>
    </row>
    <row r="631" spans="6:16" x14ac:dyDescent="0.2">
      <c r="F631" s="1137">
        <f t="shared" si="51"/>
        <v>7.5093666796095901E-4</v>
      </c>
      <c r="G631" s="1138"/>
      <c r="H631" s="520">
        <v>8544.99</v>
      </c>
      <c r="I631" s="512">
        <v>43257</v>
      </c>
      <c r="J631" s="254">
        <f t="shared" si="48"/>
        <v>7.8235622740341348E-4</v>
      </c>
      <c r="L631" s="251">
        <f t="shared" si="49"/>
        <v>43257</v>
      </c>
      <c r="M631" s="513">
        <v>147.30000000000001</v>
      </c>
      <c r="N631" s="254">
        <f t="shared" si="50"/>
        <v>5.4607508532424909E-3</v>
      </c>
      <c r="O631" s="1137">
        <f t="shared" si="52"/>
        <v>5.4293312938000363E-3</v>
      </c>
      <c r="P631" s="1138"/>
    </row>
    <row r="632" spans="6:16" x14ac:dyDescent="0.2">
      <c r="F632" s="1137">
        <f t="shared" si="51"/>
        <v>-1.1162450943137099E-2</v>
      </c>
      <c r="G632" s="1138"/>
      <c r="H632" s="520">
        <v>8538.31</v>
      </c>
      <c r="I632" s="512">
        <v>43256</v>
      </c>
      <c r="J632" s="254">
        <f t="shared" si="48"/>
        <v>-1.1131031383694645E-2</v>
      </c>
      <c r="L632" s="251">
        <f t="shared" si="49"/>
        <v>43256</v>
      </c>
      <c r="M632" s="513">
        <v>146.5</v>
      </c>
      <c r="N632" s="254">
        <f t="shared" si="50"/>
        <v>4.8010973936898349E-3</v>
      </c>
      <c r="O632" s="1137">
        <f t="shared" si="52"/>
        <v>4.7696778342473803E-3</v>
      </c>
      <c r="P632" s="1138"/>
    </row>
    <row r="633" spans="6:16" x14ac:dyDescent="0.2">
      <c r="F633" s="1137">
        <f t="shared" si="51"/>
        <v>1.8111198961960487E-3</v>
      </c>
      <c r="G633" s="1138"/>
      <c r="H633" s="520">
        <v>8634.42</v>
      </c>
      <c r="I633" s="512">
        <v>43255</v>
      </c>
      <c r="J633" s="254">
        <f t="shared" si="48"/>
        <v>1.8425394556385033E-3</v>
      </c>
      <c r="L633" s="251">
        <f t="shared" si="49"/>
        <v>43255</v>
      </c>
      <c r="M633" s="513">
        <v>145.80000000000001</v>
      </c>
      <c r="N633" s="254">
        <f t="shared" si="50"/>
        <v>6.8634179821569496E-4</v>
      </c>
      <c r="O633" s="1137">
        <f t="shared" si="52"/>
        <v>6.5492223877324049E-4</v>
      </c>
      <c r="P633" s="1138"/>
    </row>
    <row r="634" spans="6:16" x14ac:dyDescent="0.2">
      <c r="F634" s="1137">
        <f t="shared" si="51"/>
        <v>1.9075941841535562E-2</v>
      </c>
      <c r="G634" s="1138"/>
      <c r="H634" s="520">
        <v>8618.5400000000009</v>
      </c>
      <c r="I634" s="512">
        <v>43252</v>
      </c>
      <c r="J634" s="254">
        <f t="shared" si="48"/>
        <v>1.9107361400978018E-2</v>
      </c>
      <c r="L634" s="251">
        <f t="shared" si="49"/>
        <v>43252</v>
      </c>
      <c r="M634" s="513">
        <v>145.69999999999999</v>
      </c>
      <c r="N634" s="254">
        <f t="shared" si="50"/>
        <v>-2.05479452054802E-3</v>
      </c>
      <c r="O634" s="1137">
        <f t="shared" si="52"/>
        <v>-2.0862140799904746E-3</v>
      </c>
      <c r="P634" s="1138"/>
    </row>
    <row r="635" spans="6:16" x14ac:dyDescent="0.2">
      <c r="F635" s="1137">
        <f t="shared" si="51"/>
        <v>-1.4221248297663176E-2</v>
      </c>
      <c r="G635" s="1138"/>
      <c r="H635" s="520">
        <v>8456.9500000000007</v>
      </c>
      <c r="I635" s="512">
        <v>43251</v>
      </c>
      <c r="J635" s="254">
        <f t="shared" si="48"/>
        <v>-1.4189828738220722E-2</v>
      </c>
      <c r="L635" s="251">
        <f t="shared" si="49"/>
        <v>43251</v>
      </c>
      <c r="M635" s="513">
        <v>146</v>
      </c>
      <c r="N635" s="254">
        <f t="shared" si="50"/>
        <v>1.1781011781011763E-2</v>
      </c>
      <c r="O635" s="1137">
        <f t="shared" si="52"/>
        <v>1.1749592221569309E-2</v>
      </c>
      <c r="P635" s="1138"/>
    </row>
    <row r="636" spans="6:16" x14ac:dyDescent="0.2">
      <c r="F636" s="1137">
        <f t="shared" si="51"/>
        <v>-6.8067634208790881E-3</v>
      </c>
      <c r="G636" s="1138"/>
      <c r="H636" s="520">
        <v>8578.68</v>
      </c>
      <c r="I636" s="512">
        <v>43250</v>
      </c>
      <c r="J636" s="254">
        <f t="shared" si="48"/>
        <v>-6.7753438614366335E-3</v>
      </c>
      <c r="L636" s="251">
        <f t="shared" si="49"/>
        <v>43250</v>
      </c>
      <c r="M636" s="513">
        <v>144.30000000000001</v>
      </c>
      <c r="N636" s="254">
        <f t="shared" si="50"/>
        <v>-1.0966415352981485E-2</v>
      </c>
      <c r="O636" s="1137">
        <f t="shared" si="52"/>
        <v>-1.0997834912423938E-2</v>
      </c>
      <c r="P636" s="1138"/>
    </row>
    <row r="637" spans="6:16" x14ac:dyDescent="0.2">
      <c r="F637" s="1137">
        <f t="shared" si="51"/>
        <v>-1.5785597407871929E-2</v>
      </c>
      <c r="G637" s="1138"/>
      <c r="H637" s="520">
        <v>8637.2000000000007</v>
      </c>
      <c r="I637" s="512">
        <v>43249</v>
      </c>
      <c r="J637" s="254">
        <f t="shared" si="48"/>
        <v>-1.5754177848429474E-2</v>
      </c>
      <c r="L637" s="251">
        <f t="shared" si="49"/>
        <v>43249</v>
      </c>
      <c r="M637" s="513">
        <v>145.9</v>
      </c>
      <c r="N637" s="254">
        <f t="shared" si="50"/>
        <v>-3.4414295168762377E-2</v>
      </c>
      <c r="O637" s="1137">
        <f t="shared" si="52"/>
        <v>-3.4445714728204832E-2</v>
      </c>
      <c r="P637" s="1138"/>
    </row>
    <row r="638" spans="6:16" x14ac:dyDescent="0.2">
      <c r="F638" s="1137">
        <f t="shared" si="51"/>
        <v>1.8374981807769012E-3</v>
      </c>
      <c r="G638" s="1138"/>
      <c r="H638" s="520">
        <v>8775.4500000000007</v>
      </c>
      <c r="I638" s="512">
        <v>43248</v>
      </c>
      <c r="J638" s="254">
        <f t="shared" si="48"/>
        <v>1.8689177402193557E-3</v>
      </c>
      <c r="L638" s="251">
        <f t="shared" si="49"/>
        <v>43248</v>
      </c>
      <c r="M638" s="513">
        <v>151.1</v>
      </c>
      <c r="N638" s="254">
        <f t="shared" si="50"/>
        <v>2.3712737127371319E-2</v>
      </c>
      <c r="O638" s="1137">
        <f t="shared" si="52"/>
        <v>2.3681317567928864E-2</v>
      </c>
      <c r="P638" s="1138"/>
    </row>
    <row r="639" spans="6:16" x14ac:dyDescent="0.2">
      <c r="F639" s="1137">
        <f t="shared" si="51"/>
        <v>-1.3836121408534038E-3</v>
      </c>
      <c r="G639" s="1138"/>
      <c r="H639" s="520">
        <v>8759.08</v>
      </c>
      <c r="I639" s="512">
        <v>43245</v>
      </c>
      <c r="J639" s="254">
        <f t="shared" si="48"/>
        <v>-1.3521925814109492E-3</v>
      </c>
      <c r="L639" s="251">
        <f t="shared" si="49"/>
        <v>43245</v>
      </c>
      <c r="M639" s="513">
        <v>147.6</v>
      </c>
      <c r="N639" s="254">
        <f t="shared" si="50"/>
        <v>1.1651816312542751E-2</v>
      </c>
      <c r="O639" s="1137">
        <f t="shared" si="52"/>
        <v>1.1620396753100297E-2</v>
      </c>
      <c r="P639" s="1138"/>
    </row>
    <row r="640" spans="6:16" x14ac:dyDescent="0.2">
      <c r="F640" s="1137">
        <f t="shared" si="51"/>
        <v>-2.76026137075673E-3</v>
      </c>
      <c r="G640" s="1138"/>
      <c r="H640" s="520">
        <v>8770.94</v>
      </c>
      <c r="I640" s="512">
        <v>43244</v>
      </c>
      <c r="J640" s="254">
        <f t="shared" si="48"/>
        <v>-2.7288418113142754E-3</v>
      </c>
      <c r="L640" s="251">
        <f t="shared" si="49"/>
        <v>43244</v>
      </c>
      <c r="M640" s="513">
        <v>145.9</v>
      </c>
      <c r="N640" s="254">
        <f t="shared" si="50"/>
        <v>2.7491408934707806E-3</v>
      </c>
      <c r="O640" s="1137">
        <f t="shared" si="52"/>
        <v>2.717721334028326E-3</v>
      </c>
      <c r="P640" s="1138"/>
    </row>
    <row r="641" spans="6:16" x14ac:dyDescent="0.2">
      <c r="F641" s="1137">
        <f t="shared" si="51"/>
        <v>-1.5824715717596957E-2</v>
      </c>
      <c r="G641" s="1138"/>
      <c r="H641" s="520">
        <v>8794.94</v>
      </c>
      <c r="I641" s="512">
        <v>43243</v>
      </c>
      <c r="J641" s="254">
        <f t="shared" si="48"/>
        <v>-1.5793296158154502E-2</v>
      </c>
      <c r="L641" s="251">
        <f t="shared" si="49"/>
        <v>43243</v>
      </c>
      <c r="M641" s="513">
        <v>145.5</v>
      </c>
      <c r="N641" s="254">
        <f t="shared" si="50"/>
        <v>1.1821974965229298E-2</v>
      </c>
      <c r="O641" s="1137">
        <f t="shared" si="52"/>
        <v>1.1790555405786845E-2</v>
      </c>
      <c r="P641" s="1138"/>
    </row>
    <row r="642" spans="6:16" x14ac:dyDescent="0.2">
      <c r="F642" s="1137">
        <f t="shared" si="51"/>
        <v>-5.2244574825148396E-4</v>
      </c>
      <c r="G642" s="1138"/>
      <c r="H642" s="520">
        <v>8936.07</v>
      </c>
      <c r="I642" s="512">
        <v>43242</v>
      </c>
      <c r="J642" s="254">
        <f t="shared" si="48"/>
        <v>-4.9102618880902948E-4</v>
      </c>
      <c r="L642" s="251">
        <f t="shared" si="49"/>
        <v>43242</v>
      </c>
      <c r="M642" s="513">
        <v>143.80000000000001</v>
      </c>
      <c r="N642" s="254">
        <f t="shared" si="50"/>
        <v>-7.5914423740510717E-3</v>
      </c>
      <c r="O642" s="1137">
        <f t="shared" si="52"/>
        <v>-7.6228619334935263E-3</v>
      </c>
      <c r="P642" s="1138"/>
    </row>
    <row r="643" spans="6:16" x14ac:dyDescent="0.2">
      <c r="F643" s="1137">
        <f t="shared" si="51"/>
        <v>-5.3572142287526122E-3</v>
      </c>
      <c r="G643" s="1138"/>
      <c r="H643" s="520">
        <v>8940.4599999999991</v>
      </c>
      <c r="I643" s="512">
        <v>43238</v>
      </c>
      <c r="J643" s="254">
        <f t="shared" si="48"/>
        <v>-5.3257946693101577E-3</v>
      </c>
      <c r="L643" s="251">
        <f t="shared" si="49"/>
        <v>43238</v>
      </c>
      <c r="M643" s="513">
        <v>144.9</v>
      </c>
      <c r="N643" s="254">
        <f t="shared" si="50"/>
        <v>-2.0661157024792765E-3</v>
      </c>
      <c r="O643" s="1137">
        <f t="shared" si="52"/>
        <v>-2.097535261921731E-3</v>
      </c>
      <c r="P643" s="1138"/>
    </row>
    <row r="644" spans="6:16" x14ac:dyDescent="0.2">
      <c r="F644" s="1137">
        <f t="shared" si="51"/>
        <v>1.5788092379118305E-3</v>
      </c>
      <c r="G644" s="1138"/>
      <c r="H644" s="520">
        <v>8988.33</v>
      </c>
      <c r="I644" s="512">
        <v>43237</v>
      </c>
      <c r="J644" s="254">
        <f t="shared" si="48"/>
        <v>1.610228797354285E-3</v>
      </c>
      <c r="L644" s="251">
        <f t="shared" si="49"/>
        <v>43237</v>
      </c>
      <c r="M644" s="513">
        <v>145.19999999999999</v>
      </c>
      <c r="N644" s="254">
        <f t="shared" si="50"/>
        <v>1.7519271198318087E-2</v>
      </c>
      <c r="O644" s="1137">
        <f t="shared" si="52"/>
        <v>1.7487851638875632E-2</v>
      </c>
      <c r="P644" s="1138"/>
    </row>
    <row r="645" spans="6:16" x14ac:dyDescent="0.2">
      <c r="F645" s="1137">
        <f t="shared" si="51"/>
        <v>-2.2928719143993489E-3</v>
      </c>
      <c r="G645" s="1138"/>
      <c r="H645" s="520">
        <v>8973.8799999999992</v>
      </c>
      <c r="I645" s="512">
        <v>43236</v>
      </c>
      <c r="J645" s="254">
        <f t="shared" si="48"/>
        <v>-2.2614523549568943E-3</v>
      </c>
      <c r="L645" s="251">
        <f t="shared" si="49"/>
        <v>43236</v>
      </c>
      <c r="M645" s="513">
        <v>142.69999999999999</v>
      </c>
      <c r="N645" s="254">
        <f t="shared" si="50"/>
        <v>7.0126227208966441E-4</v>
      </c>
      <c r="O645" s="1137">
        <f t="shared" si="52"/>
        <v>6.6984271264720994E-4</v>
      </c>
      <c r="P645" s="1138"/>
    </row>
    <row r="646" spans="6:16" x14ac:dyDescent="0.2">
      <c r="F646" s="1137">
        <f t="shared" si="51"/>
        <v>-7.7245739014590489E-4</v>
      </c>
      <c r="G646" s="1138"/>
      <c r="H646" s="520">
        <v>8994.2199999999993</v>
      </c>
      <c r="I646" s="512">
        <v>43235</v>
      </c>
      <c r="J646" s="254">
        <f t="shared" si="48"/>
        <v>-7.4103783070345042E-4</v>
      </c>
      <c r="L646" s="251">
        <f t="shared" si="49"/>
        <v>43235</v>
      </c>
      <c r="M646" s="513">
        <v>142.6</v>
      </c>
      <c r="N646" s="254">
        <f t="shared" si="50"/>
        <v>5.6296296296296289E-2</v>
      </c>
      <c r="O646" s="1137">
        <f t="shared" si="52"/>
        <v>5.6264876736853833E-2</v>
      </c>
      <c r="P646" s="1138"/>
    </row>
    <row r="647" spans="6:16" x14ac:dyDescent="0.2">
      <c r="F647" s="1137">
        <f t="shared" si="51"/>
        <v>7.891721783772214E-4</v>
      </c>
      <c r="G647" s="1138"/>
      <c r="H647" s="520">
        <v>9000.89</v>
      </c>
      <c r="I647" s="512">
        <v>43234</v>
      </c>
      <c r="J647" s="254">
        <f t="shared" si="48"/>
        <v>8.2059173781967587E-4</v>
      </c>
      <c r="L647" s="251">
        <f t="shared" si="49"/>
        <v>43234</v>
      </c>
      <c r="M647" s="513">
        <v>135</v>
      </c>
      <c r="N647" s="254">
        <f t="shared" si="50"/>
        <v>-3.6900369003689537E-3</v>
      </c>
      <c r="O647" s="1137">
        <f t="shared" si="52"/>
        <v>-3.7214564598114083E-3</v>
      </c>
      <c r="P647" s="1138"/>
    </row>
    <row r="648" spans="6:16" x14ac:dyDescent="0.2">
      <c r="F648" s="1137">
        <f t="shared" si="51"/>
        <v>1.0159864133316302E-3</v>
      </c>
      <c r="G648" s="1138"/>
      <c r="H648" s="520">
        <v>8993.51</v>
      </c>
      <c r="I648" s="512">
        <v>43231</v>
      </c>
      <c r="J648" s="254">
        <f t="shared" si="48"/>
        <v>1.0474059727740848E-3</v>
      </c>
      <c r="L648" s="251">
        <f t="shared" si="49"/>
        <v>43231</v>
      </c>
      <c r="M648" s="513">
        <v>135.5</v>
      </c>
      <c r="N648" s="254">
        <f t="shared" si="50"/>
        <v>2.9607698001481442E-3</v>
      </c>
      <c r="O648" s="1137">
        <f t="shared" si="52"/>
        <v>2.9293502407056896E-3</v>
      </c>
      <c r="P648" s="1138"/>
    </row>
    <row r="649" spans="6:16" x14ac:dyDescent="0.2">
      <c r="F649" s="1137">
        <f t="shared" si="51"/>
        <v>4.3509659339672916E-3</v>
      </c>
      <c r="G649" s="1138"/>
      <c r="H649" s="520">
        <v>8984.1</v>
      </c>
      <c r="I649" s="512">
        <v>43229</v>
      </c>
      <c r="J649" s="254">
        <f t="shared" si="48"/>
        <v>4.3823854934097461E-3</v>
      </c>
      <c r="L649" s="251">
        <f t="shared" si="49"/>
        <v>43229</v>
      </c>
      <c r="M649" s="513">
        <v>135.1</v>
      </c>
      <c r="N649" s="254">
        <f t="shared" si="50"/>
        <v>1.2743628185907019E-2</v>
      </c>
      <c r="O649" s="1137">
        <f t="shared" si="52"/>
        <v>1.2712208626464565E-2</v>
      </c>
      <c r="P649" s="1138"/>
    </row>
    <row r="650" spans="6:16" x14ac:dyDescent="0.2">
      <c r="F650" s="1137">
        <f t="shared" si="51"/>
        <v>-3.7903365458490787E-3</v>
      </c>
      <c r="G650" s="1138"/>
      <c r="H650" s="520">
        <v>8944.9</v>
      </c>
      <c r="I650" s="512">
        <v>43228</v>
      </c>
      <c r="J650" s="254">
        <f t="shared" si="48"/>
        <v>-3.7589169864066241E-3</v>
      </c>
      <c r="L650" s="251">
        <f t="shared" si="49"/>
        <v>43228</v>
      </c>
      <c r="M650" s="513">
        <v>133.4</v>
      </c>
      <c r="N650" s="254">
        <f t="shared" si="50"/>
        <v>1.7543859649122862E-2</v>
      </c>
      <c r="O650" s="1137">
        <f t="shared" si="52"/>
        <v>1.7512440089680406E-2</v>
      </c>
      <c r="P650" s="1138"/>
    </row>
    <row r="651" spans="6:16" x14ac:dyDescent="0.2">
      <c r="F651" s="1137">
        <f t="shared" si="51"/>
        <v>8.371705837156589E-3</v>
      </c>
      <c r="G651" s="1138"/>
      <c r="H651" s="520">
        <v>8978.65</v>
      </c>
      <c r="I651" s="512">
        <v>43227</v>
      </c>
      <c r="J651" s="254">
        <f t="shared" si="48"/>
        <v>8.4031253965990427E-3</v>
      </c>
      <c r="L651" s="251">
        <f t="shared" si="49"/>
        <v>43227</v>
      </c>
      <c r="M651" s="513">
        <v>131.1</v>
      </c>
      <c r="N651" s="254">
        <f t="shared" si="50"/>
        <v>1.0794140323824308E-2</v>
      </c>
      <c r="O651" s="1137">
        <f t="shared" si="52"/>
        <v>1.0762720764381855E-2</v>
      </c>
      <c r="P651" s="1138"/>
    </row>
    <row r="652" spans="6:16" x14ac:dyDescent="0.2">
      <c r="F652" s="1137">
        <f t="shared" si="51"/>
        <v>6.9283159841779388E-3</v>
      </c>
      <c r="G652" s="1138"/>
      <c r="H652" s="520">
        <v>8903.83</v>
      </c>
      <c r="I652" s="512">
        <v>43224</v>
      </c>
      <c r="J652" s="254">
        <f t="shared" si="48"/>
        <v>6.9597355436203934E-3</v>
      </c>
      <c r="L652" s="251">
        <f t="shared" si="49"/>
        <v>43224</v>
      </c>
      <c r="M652" s="513">
        <v>129.69999999999999</v>
      </c>
      <c r="N652" s="254">
        <f t="shared" si="50"/>
        <v>1.805337519623218E-2</v>
      </c>
      <c r="O652" s="1137">
        <f t="shared" si="52"/>
        <v>1.8021955636789724E-2</v>
      </c>
      <c r="P652" s="1138"/>
    </row>
    <row r="653" spans="6:16" x14ac:dyDescent="0.2">
      <c r="F653" s="1137">
        <f t="shared" si="51"/>
        <v>-6.1002483283210526E-3</v>
      </c>
      <c r="G653" s="1138"/>
      <c r="H653" s="520">
        <v>8842.2900000000009</v>
      </c>
      <c r="I653" s="512">
        <v>43223</v>
      </c>
      <c r="J653" s="254">
        <f t="shared" si="48"/>
        <v>-6.068828768878598E-3</v>
      </c>
      <c r="L653" s="251">
        <f t="shared" si="49"/>
        <v>43223</v>
      </c>
      <c r="M653" s="513">
        <v>127.4</v>
      </c>
      <c r="N653" s="254">
        <f t="shared" si="50"/>
        <v>1.6759776536312998E-2</v>
      </c>
      <c r="O653" s="1137">
        <f t="shared" si="52"/>
        <v>1.6728356976870543E-2</v>
      </c>
      <c r="P653" s="1138"/>
    </row>
    <row r="654" spans="6:16" x14ac:dyDescent="0.2">
      <c r="F654" s="1137">
        <f t="shared" si="51"/>
        <v>1.0961639233725987E-3</v>
      </c>
      <c r="G654" s="1138"/>
      <c r="H654" s="520">
        <v>8896.2800000000007</v>
      </c>
      <c r="I654" s="512">
        <v>43222</v>
      </c>
      <c r="J654" s="254">
        <f t="shared" si="48"/>
        <v>1.1275834828150533E-3</v>
      </c>
      <c r="L654" s="251">
        <f t="shared" si="49"/>
        <v>43222</v>
      </c>
      <c r="M654" s="513">
        <v>125.3</v>
      </c>
      <c r="N654" s="254">
        <f t="shared" si="50"/>
        <v>0</v>
      </c>
      <c r="O654" s="1137">
        <f t="shared" si="52"/>
        <v>-3.1419559442454485E-5</v>
      </c>
      <c r="P654" s="1138"/>
    </row>
    <row r="655" spans="6:16" x14ac:dyDescent="0.2">
      <c r="F655" s="1137">
        <f t="shared" si="51"/>
        <v>4.8583126813530201E-3</v>
      </c>
      <c r="G655" s="1138"/>
      <c r="H655" s="520">
        <v>8886.26</v>
      </c>
      <c r="I655" s="512">
        <v>43220</v>
      </c>
      <c r="J655" s="254">
        <f t="shared" si="48"/>
        <v>4.8897322407954746E-3</v>
      </c>
      <c r="L655" s="251">
        <f t="shared" si="49"/>
        <v>43220</v>
      </c>
      <c r="M655" s="513">
        <v>125.3</v>
      </c>
      <c r="N655" s="254">
        <f t="shared" si="50"/>
        <v>-2.3885350318471055E-3</v>
      </c>
      <c r="O655" s="1137">
        <f t="shared" si="52"/>
        <v>-2.4199545912895601E-3</v>
      </c>
      <c r="P655" s="1138"/>
    </row>
    <row r="656" spans="6:16" x14ac:dyDescent="0.2">
      <c r="F656" s="1137">
        <f t="shared" si="51"/>
        <v>8.7293503810843929E-4</v>
      </c>
      <c r="G656" s="1138"/>
      <c r="H656" s="520">
        <v>8843.02</v>
      </c>
      <c r="I656" s="512">
        <v>43217</v>
      </c>
      <c r="J656" s="254">
        <f t="shared" si="48"/>
        <v>9.0435459755089376E-4</v>
      </c>
      <c r="L656" s="251">
        <f t="shared" si="49"/>
        <v>43217</v>
      </c>
      <c r="M656" s="513">
        <v>125.6</v>
      </c>
      <c r="N656" s="254">
        <f t="shared" si="50"/>
        <v>8.0256821829856051E-3</v>
      </c>
      <c r="O656" s="1137">
        <f t="shared" si="52"/>
        <v>7.9942626235431514E-3</v>
      </c>
      <c r="P656" s="1138"/>
    </row>
    <row r="657" spans="6:16" x14ac:dyDescent="0.2">
      <c r="F657" s="1137">
        <f t="shared" si="51"/>
        <v>1.0730556241842675E-2</v>
      </c>
      <c r="G657" s="1138"/>
      <c r="H657" s="520">
        <v>8835.0300000000007</v>
      </c>
      <c r="I657" s="512">
        <v>43216</v>
      </c>
      <c r="J657" s="254">
        <f t="shared" si="48"/>
        <v>1.0761975801285129E-2</v>
      </c>
      <c r="L657" s="251">
        <f t="shared" si="49"/>
        <v>43216</v>
      </c>
      <c r="M657" s="513">
        <v>124.6</v>
      </c>
      <c r="N657" s="254">
        <f t="shared" si="50"/>
        <v>1.0543390105433925E-2</v>
      </c>
      <c r="O657" s="1137">
        <f t="shared" si="52"/>
        <v>1.0511970545991471E-2</v>
      </c>
      <c r="P657" s="1138"/>
    </row>
    <row r="658" spans="6:16" x14ac:dyDescent="0.2">
      <c r="F658" s="1137">
        <f t="shared" si="51"/>
        <v>-6.3916073981267604E-3</v>
      </c>
      <c r="G658" s="1138"/>
      <c r="H658" s="520">
        <v>8740.9599999999991</v>
      </c>
      <c r="I658" s="512">
        <v>43215</v>
      </c>
      <c r="J658" s="254">
        <f t="shared" si="48"/>
        <v>-6.3601878386843058E-3</v>
      </c>
      <c r="L658" s="251">
        <f t="shared" si="49"/>
        <v>43215</v>
      </c>
      <c r="M658" s="513">
        <v>123.3</v>
      </c>
      <c r="N658" s="254">
        <f t="shared" si="50"/>
        <v>-1.5961691939345601E-2</v>
      </c>
      <c r="O658" s="1137">
        <f t="shared" si="52"/>
        <v>-1.5993111498788057E-2</v>
      </c>
      <c r="P658" s="1138"/>
    </row>
    <row r="659" spans="6:16" x14ac:dyDescent="0.2">
      <c r="F659" s="1137">
        <f t="shared" si="51"/>
        <v>-1.1351334658969278E-3</v>
      </c>
      <c r="G659" s="1138"/>
      <c r="H659" s="520">
        <v>8796.91</v>
      </c>
      <c r="I659" s="512">
        <v>43214</v>
      </c>
      <c r="J659" s="254">
        <f t="shared" si="48"/>
        <v>-1.1037139064544732E-3</v>
      </c>
      <c r="L659" s="251">
        <f t="shared" si="49"/>
        <v>43214</v>
      </c>
      <c r="M659" s="513">
        <v>125.3</v>
      </c>
      <c r="N659" s="254">
        <f t="shared" si="50"/>
        <v>-1.5936254980080111E-3</v>
      </c>
      <c r="O659" s="1137">
        <f t="shared" si="52"/>
        <v>-1.6250450574504657E-3</v>
      </c>
      <c r="P659" s="1138"/>
    </row>
    <row r="660" spans="6:16" x14ac:dyDescent="0.2">
      <c r="F660" s="1137">
        <f t="shared" si="51"/>
        <v>-1.6425636318455241E-4</v>
      </c>
      <c r="G660" s="1138"/>
      <c r="H660" s="520">
        <v>8806.6299999999992</v>
      </c>
      <c r="I660" s="512">
        <v>43213</v>
      </c>
      <c r="J660" s="254">
        <f t="shared" si="48"/>
        <v>-1.3283680374209794E-4</v>
      </c>
      <c r="L660" s="251">
        <f t="shared" si="49"/>
        <v>43213</v>
      </c>
      <c r="M660" s="513">
        <v>125.5</v>
      </c>
      <c r="N660" s="254">
        <f t="shared" si="50"/>
        <v>5.4621848739495826E-2</v>
      </c>
      <c r="O660" s="1137">
        <f t="shared" si="52"/>
        <v>5.4590429180053371E-2</v>
      </c>
      <c r="P660" s="1138"/>
    </row>
    <row r="661" spans="6:16" x14ac:dyDescent="0.2">
      <c r="F661" s="1137">
        <f t="shared" si="51"/>
        <v>-2.9046769820242754E-3</v>
      </c>
      <c r="G661" s="1138"/>
      <c r="H661" s="520">
        <v>8807.7999999999993</v>
      </c>
      <c r="I661" s="512">
        <v>43210</v>
      </c>
      <c r="J661" s="254">
        <f t="shared" si="48"/>
        <v>-2.8732574225818208E-3</v>
      </c>
      <c r="L661" s="251">
        <f t="shared" si="49"/>
        <v>43210</v>
      </c>
      <c r="M661" s="513">
        <v>119</v>
      </c>
      <c r="N661" s="254">
        <f t="shared" si="50"/>
        <v>8.41042893187538E-4</v>
      </c>
      <c r="O661" s="1137">
        <f t="shared" si="52"/>
        <v>8.0962333374508353E-4</v>
      </c>
      <c r="P661" s="1138"/>
    </row>
    <row r="662" spans="6:16" x14ac:dyDescent="0.2">
      <c r="F662" s="1137">
        <f t="shared" si="51"/>
        <v>1.1577446946194155E-4</v>
      </c>
      <c r="G662" s="1138"/>
      <c r="H662" s="520">
        <v>8833.18</v>
      </c>
      <c r="I662" s="512">
        <v>43209</v>
      </c>
      <c r="J662" s="254">
        <f t="shared" si="48"/>
        <v>1.4719402890439603E-4</v>
      </c>
      <c r="L662" s="251">
        <f t="shared" si="49"/>
        <v>43209</v>
      </c>
      <c r="M662" s="513">
        <v>118.9</v>
      </c>
      <c r="N662" s="254">
        <f t="shared" si="50"/>
        <v>5.9221658206429773E-3</v>
      </c>
      <c r="O662" s="1137">
        <f t="shared" si="52"/>
        <v>5.8907462612005227E-3</v>
      </c>
      <c r="P662" s="1138"/>
    </row>
    <row r="663" spans="6:16" x14ac:dyDescent="0.2">
      <c r="F663" s="1137">
        <f t="shared" si="51"/>
        <v>1.3109779807045233E-3</v>
      </c>
      <c r="G663" s="1138"/>
      <c r="H663" s="520">
        <v>8831.8799999999992</v>
      </c>
      <c r="I663" s="512">
        <v>43208</v>
      </c>
      <c r="J663" s="254">
        <f t="shared" si="48"/>
        <v>1.3423975401469779E-3</v>
      </c>
      <c r="L663" s="251">
        <f t="shared" si="49"/>
        <v>43208</v>
      </c>
      <c r="M663" s="513">
        <v>118.2</v>
      </c>
      <c r="N663" s="254">
        <f t="shared" si="50"/>
        <v>1.5463917525773141E-2</v>
      </c>
      <c r="O663" s="1137">
        <f t="shared" si="52"/>
        <v>1.5432497966330687E-2</v>
      </c>
      <c r="P663" s="1138"/>
    </row>
    <row r="664" spans="6:16" x14ac:dyDescent="0.2">
      <c r="F664" s="1137">
        <f t="shared" si="51"/>
        <v>1.0683021673852671E-2</v>
      </c>
      <c r="G664" s="1138"/>
      <c r="H664" s="520">
        <v>8820.0400000000009</v>
      </c>
      <c r="I664" s="512">
        <v>43207</v>
      </c>
      <c r="J664" s="254">
        <f t="shared" si="48"/>
        <v>1.0714441233295124E-2</v>
      </c>
      <c r="L664" s="251">
        <f t="shared" si="49"/>
        <v>43207</v>
      </c>
      <c r="M664" s="513">
        <v>116.4</v>
      </c>
      <c r="N664" s="254">
        <f t="shared" si="50"/>
        <v>2.2847100175747093E-2</v>
      </c>
      <c r="O664" s="1137">
        <f t="shared" si="52"/>
        <v>2.2815680616304637E-2</v>
      </c>
      <c r="P664" s="1138"/>
    </row>
    <row r="665" spans="6:16" x14ac:dyDescent="0.2">
      <c r="F665" s="1137">
        <f t="shared" si="51"/>
        <v>-5.6865060037569045E-3</v>
      </c>
      <c r="G665" s="1138"/>
      <c r="H665" s="520">
        <v>8726.5400000000009</v>
      </c>
      <c r="I665" s="512">
        <v>43206</v>
      </c>
      <c r="J665" s="254">
        <f t="shared" si="48"/>
        <v>-5.65508644431445E-3</v>
      </c>
      <c r="L665" s="251">
        <f t="shared" si="49"/>
        <v>43206</v>
      </c>
      <c r="M665" s="513">
        <v>113.8</v>
      </c>
      <c r="N665" s="254">
        <f t="shared" si="50"/>
        <v>8.7950747581344579E-4</v>
      </c>
      <c r="O665" s="1137">
        <f t="shared" si="52"/>
        <v>8.4808791637099132E-4</v>
      </c>
      <c r="P665" s="1138"/>
    </row>
    <row r="666" spans="6:16" x14ac:dyDescent="0.2">
      <c r="F666" s="1137">
        <f t="shared" si="51"/>
        <v>1.2926859613111949E-4</v>
      </c>
      <c r="G666" s="1138"/>
      <c r="H666" s="520">
        <v>8776.17</v>
      </c>
      <c r="I666" s="512">
        <v>43203</v>
      </c>
      <c r="J666" s="254">
        <f t="shared" si="48"/>
        <v>1.6068815557357397E-4</v>
      </c>
      <c r="L666" s="251">
        <f t="shared" si="49"/>
        <v>43203</v>
      </c>
      <c r="M666" s="513">
        <v>113.7</v>
      </c>
      <c r="N666" s="254">
        <f t="shared" si="50"/>
        <v>-5.249343832020914E-3</v>
      </c>
      <c r="O666" s="1137">
        <f t="shared" si="52"/>
        <v>-5.2807633914633686E-3</v>
      </c>
      <c r="P666" s="1138"/>
    </row>
    <row r="667" spans="6:16" x14ac:dyDescent="0.2">
      <c r="F667" s="1137">
        <f t="shared" si="51"/>
        <v>7.5841809384653161E-3</v>
      </c>
      <c r="G667" s="1138"/>
      <c r="H667" s="520">
        <v>8774.76</v>
      </c>
      <c r="I667" s="512">
        <v>43202</v>
      </c>
      <c r="J667" s="254">
        <f t="shared" si="48"/>
        <v>7.6156004979077707E-3</v>
      </c>
      <c r="L667" s="251">
        <f t="shared" si="49"/>
        <v>43202</v>
      </c>
      <c r="M667" s="513">
        <v>114.3</v>
      </c>
      <c r="N667" s="254">
        <f t="shared" si="50"/>
        <v>2.5112107623318281E-2</v>
      </c>
      <c r="O667" s="1137">
        <f t="shared" si="52"/>
        <v>2.5080688063875825E-2</v>
      </c>
      <c r="P667" s="1138"/>
    </row>
    <row r="668" spans="6:16" x14ac:dyDescent="0.2">
      <c r="F668" s="1137">
        <f t="shared" si="51"/>
        <v>-5.4142786993955213E-3</v>
      </c>
      <c r="G668" s="1138"/>
      <c r="H668" s="520">
        <v>8708.44</v>
      </c>
      <c r="I668" s="512">
        <v>43201</v>
      </c>
      <c r="J668" s="254">
        <f t="shared" si="48"/>
        <v>-5.3828591399530668E-3</v>
      </c>
      <c r="L668" s="251">
        <f t="shared" si="49"/>
        <v>43201</v>
      </c>
      <c r="M668" s="513">
        <v>111.5</v>
      </c>
      <c r="N668" s="254">
        <f t="shared" si="50"/>
        <v>3.6003600360037247E-3</v>
      </c>
      <c r="O668" s="1137">
        <f t="shared" si="52"/>
        <v>3.5689404765612701E-3</v>
      </c>
      <c r="P668" s="1138"/>
    </row>
    <row r="669" spans="6:16" x14ac:dyDescent="0.2">
      <c r="F669" s="1137">
        <f t="shared" si="51"/>
        <v>7.8527026081904473E-3</v>
      </c>
      <c r="G669" s="1138"/>
      <c r="H669" s="520">
        <v>8755.57</v>
      </c>
      <c r="I669" s="512">
        <v>43200</v>
      </c>
      <c r="J669" s="254">
        <f t="shared" ref="J669:J732" si="53">H669/H670-1</f>
        <v>7.884122167632901E-3</v>
      </c>
      <c r="L669" s="251">
        <f t="shared" ref="L669:L732" si="54">I669</f>
        <v>43200</v>
      </c>
      <c r="M669" s="513">
        <v>111.1</v>
      </c>
      <c r="N669" s="254">
        <f t="shared" ref="N669:N732" si="55">M669/M670-1</f>
        <v>2.6802218114602594E-2</v>
      </c>
      <c r="O669" s="1137">
        <f t="shared" si="52"/>
        <v>2.6770798555160139E-2</v>
      </c>
      <c r="P669" s="1138"/>
    </row>
    <row r="670" spans="6:16" x14ac:dyDescent="0.2">
      <c r="F670" s="1137">
        <f t="shared" ref="F670:F733" si="56">J670-$I$19</f>
        <v>1.8184162157354892E-3</v>
      </c>
      <c r="G670" s="1138"/>
      <c r="H670" s="520">
        <v>8687.08</v>
      </c>
      <c r="I670" s="512">
        <v>43199</v>
      </c>
      <c r="J670" s="254">
        <f t="shared" si="53"/>
        <v>1.8498357751779437E-3</v>
      </c>
      <c r="L670" s="251">
        <f t="shared" si="54"/>
        <v>43199</v>
      </c>
      <c r="M670" s="513">
        <v>108.2</v>
      </c>
      <c r="N670" s="254">
        <f t="shared" si="55"/>
        <v>7.4487895716945918E-3</v>
      </c>
      <c r="O670" s="1137">
        <f t="shared" ref="O670:O733" si="57">N670-$I$19</f>
        <v>7.4173700122521372E-3</v>
      </c>
      <c r="P670" s="1138"/>
    </row>
    <row r="671" spans="6:16" x14ac:dyDescent="0.2">
      <c r="F671" s="1137">
        <f t="shared" si="56"/>
        <v>-8.2166276211174515E-3</v>
      </c>
      <c r="G671" s="1138"/>
      <c r="H671" s="520">
        <v>8671.0400000000009</v>
      </c>
      <c r="I671" s="512">
        <v>43196</v>
      </c>
      <c r="J671" s="254">
        <f t="shared" si="53"/>
        <v>-8.1852080616749978E-3</v>
      </c>
      <c r="L671" s="251">
        <f t="shared" si="54"/>
        <v>43196</v>
      </c>
      <c r="M671" s="513">
        <v>107.4</v>
      </c>
      <c r="N671" s="254">
        <f t="shared" si="55"/>
        <v>-9.3023255813950989E-4</v>
      </c>
      <c r="O671" s="1137">
        <f t="shared" si="57"/>
        <v>-9.6165211758196436E-4</v>
      </c>
      <c r="P671" s="1138"/>
    </row>
    <row r="672" spans="6:16" x14ac:dyDescent="0.2">
      <c r="F672" s="1137">
        <f t="shared" si="56"/>
        <v>2.2053785772992954E-2</v>
      </c>
      <c r="G672" s="1138"/>
      <c r="H672" s="520">
        <v>8742.6</v>
      </c>
      <c r="I672" s="512">
        <v>43195</v>
      </c>
      <c r="J672" s="254">
        <f t="shared" si="53"/>
        <v>2.2085205332435409E-2</v>
      </c>
      <c r="L672" s="251">
        <f t="shared" si="54"/>
        <v>43195</v>
      </c>
      <c r="M672" s="513">
        <v>107.5</v>
      </c>
      <c r="N672" s="254">
        <f t="shared" si="55"/>
        <v>1.4150943396226356E-2</v>
      </c>
      <c r="O672" s="1137">
        <f t="shared" si="57"/>
        <v>1.4119523836783903E-2</v>
      </c>
      <c r="P672" s="1138"/>
    </row>
    <row r="673" spans="6:16" x14ac:dyDescent="0.2">
      <c r="F673" s="1137">
        <f t="shared" si="56"/>
        <v>-8.9806289725647259E-3</v>
      </c>
      <c r="G673" s="1138"/>
      <c r="H673" s="520">
        <v>8553.69</v>
      </c>
      <c r="I673" s="512">
        <v>43194</v>
      </c>
      <c r="J673" s="254">
        <f t="shared" si="53"/>
        <v>-8.9492094131222721E-3</v>
      </c>
      <c r="L673" s="251">
        <f t="shared" si="54"/>
        <v>43194</v>
      </c>
      <c r="M673" s="513">
        <v>106</v>
      </c>
      <c r="N673" s="254">
        <f t="shared" si="55"/>
        <v>-3.6363636363636376E-2</v>
      </c>
      <c r="O673" s="1137">
        <f t="shared" si="57"/>
        <v>-3.6395055923078831E-2</v>
      </c>
      <c r="P673" s="1138"/>
    </row>
    <row r="674" spans="6:16" x14ac:dyDescent="0.2">
      <c r="F674" s="1137">
        <f t="shared" si="56"/>
        <v>-1.2620411399020743E-2</v>
      </c>
      <c r="G674" s="1138"/>
      <c r="H674" s="520">
        <v>8630.93</v>
      </c>
      <c r="I674" s="512">
        <v>43193</v>
      </c>
      <c r="J674" s="254">
        <f t="shared" si="53"/>
        <v>-1.258899183957829E-2</v>
      </c>
      <c r="L674" s="251">
        <f t="shared" si="54"/>
        <v>43193</v>
      </c>
      <c r="M674" s="513">
        <v>110</v>
      </c>
      <c r="N674" s="254">
        <f t="shared" si="55"/>
        <v>-3.8461538461538547E-2</v>
      </c>
      <c r="O674" s="1137">
        <f t="shared" si="57"/>
        <v>-3.8492958020981002E-2</v>
      </c>
      <c r="P674" s="1138"/>
    </row>
    <row r="675" spans="6:16" x14ac:dyDescent="0.2">
      <c r="F675" s="1137">
        <f t="shared" si="56"/>
        <v>-1.7616379666823131E-3</v>
      </c>
      <c r="G675" s="1138"/>
      <c r="H675" s="520">
        <v>8740.9699999999993</v>
      </c>
      <c r="I675" s="512">
        <v>43188</v>
      </c>
      <c r="J675" s="254">
        <f t="shared" si="53"/>
        <v>-1.7302184072398585E-3</v>
      </c>
      <c r="L675" s="251">
        <f t="shared" si="54"/>
        <v>43188</v>
      </c>
      <c r="M675" s="513">
        <v>114.4</v>
      </c>
      <c r="N675" s="254">
        <f t="shared" si="55"/>
        <v>3.5087719298245723E-3</v>
      </c>
      <c r="O675" s="1137">
        <f t="shared" si="57"/>
        <v>3.4773523703821177E-3</v>
      </c>
      <c r="P675" s="1138"/>
    </row>
    <row r="676" spans="6:16" x14ac:dyDescent="0.2">
      <c r="F676" s="1137">
        <f t="shared" si="56"/>
        <v>1.3593757266875355E-2</v>
      </c>
      <c r="G676" s="1138"/>
      <c r="H676" s="520">
        <v>8756.1200000000008</v>
      </c>
      <c r="I676" s="512">
        <v>43187</v>
      </c>
      <c r="J676" s="254">
        <f t="shared" si="53"/>
        <v>1.3625176826317809E-2</v>
      </c>
      <c r="L676" s="251">
        <f t="shared" si="54"/>
        <v>43187</v>
      </c>
      <c r="M676" s="513">
        <v>114</v>
      </c>
      <c r="N676" s="254">
        <f t="shared" si="55"/>
        <v>0</v>
      </c>
      <c r="O676" s="1137">
        <f t="shared" si="57"/>
        <v>-3.1419559442454485E-5</v>
      </c>
      <c r="P676" s="1138"/>
    </row>
    <row r="677" spans="6:16" x14ac:dyDescent="0.2">
      <c r="F677" s="1137">
        <f t="shared" si="56"/>
        <v>1.5143759568310782E-2</v>
      </c>
      <c r="G677" s="1138"/>
      <c r="H677" s="520">
        <v>8638.42</v>
      </c>
      <c r="I677" s="512">
        <v>43186</v>
      </c>
      <c r="J677" s="254">
        <f t="shared" si="53"/>
        <v>1.5175179127753236E-2</v>
      </c>
      <c r="L677" s="251">
        <f t="shared" si="54"/>
        <v>43186</v>
      </c>
      <c r="M677" s="513">
        <v>114</v>
      </c>
      <c r="N677" s="254">
        <f t="shared" si="55"/>
        <v>3.2608695652173836E-2</v>
      </c>
      <c r="O677" s="1137">
        <f t="shared" si="57"/>
        <v>3.257727609273138E-2</v>
      </c>
      <c r="P677" s="1138"/>
    </row>
    <row r="678" spans="6:16" x14ac:dyDescent="0.2">
      <c r="F678" s="1137">
        <f t="shared" si="56"/>
        <v>-7.008831370278564E-3</v>
      </c>
      <c r="G678" s="1138"/>
      <c r="H678" s="520">
        <v>8509.2900000000009</v>
      </c>
      <c r="I678" s="512">
        <v>43185</v>
      </c>
      <c r="J678" s="254">
        <f t="shared" si="53"/>
        <v>-6.9774118108361094E-3</v>
      </c>
      <c r="L678" s="251">
        <f t="shared" si="54"/>
        <v>43185</v>
      </c>
      <c r="M678" s="513">
        <v>110.4</v>
      </c>
      <c r="N678" s="254">
        <f t="shared" si="55"/>
        <v>-1.075268817204289E-2</v>
      </c>
      <c r="O678" s="1137">
        <f t="shared" si="57"/>
        <v>-1.0784107731485344E-2</v>
      </c>
      <c r="P678" s="1138"/>
    </row>
    <row r="679" spans="6:16" x14ac:dyDescent="0.2">
      <c r="F679" s="1137">
        <f t="shared" si="56"/>
        <v>-7.9951884052344279E-3</v>
      </c>
      <c r="G679" s="1138"/>
      <c r="H679" s="520">
        <v>8569.08</v>
      </c>
      <c r="I679" s="512">
        <v>43182</v>
      </c>
      <c r="J679" s="254">
        <f t="shared" si="53"/>
        <v>-7.9637688457919742E-3</v>
      </c>
      <c r="L679" s="251">
        <f t="shared" si="54"/>
        <v>43182</v>
      </c>
      <c r="M679" s="513">
        <v>111.6</v>
      </c>
      <c r="N679" s="254">
        <f t="shared" si="55"/>
        <v>2.6954177897573484E-3</v>
      </c>
      <c r="O679" s="1137">
        <f t="shared" si="57"/>
        <v>2.6639982303148938E-3</v>
      </c>
      <c r="P679" s="1138"/>
    </row>
    <row r="680" spans="6:16" x14ac:dyDescent="0.2">
      <c r="F680" s="1137">
        <f t="shared" si="56"/>
        <v>-1.6633762535637017E-2</v>
      </c>
      <c r="G680" s="1138"/>
      <c r="H680" s="520">
        <v>8637.8700000000008</v>
      </c>
      <c r="I680" s="512">
        <v>43181</v>
      </c>
      <c r="J680" s="254">
        <f t="shared" si="53"/>
        <v>-1.6602342976194562E-2</v>
      </c>
      <c r="L680" s="251">
        <f t="shared" si="54"/>
        <v>43181</v>
      </c>
      <c r="M680" s="513">
        <v>111.3</v>
      </c>
      <c r="N680" s="254">
        <f t="shared" si="55"/>
        <v>-3.2173913043478275E-2</v>
      </c>
      <c r="O680" s="1137">
        <f t="shared" si="57"/>
        <v>-3.220533260292073E-2</v>
      </c>
      <c r="P680" s="1138"/>
    </row>
    <row r="681" spans="6:16" x14ac:dyDescent="0.2">
      <c r="F681" s="1137">
        <f t="shared" si="56"/>
        <v>-7.2189312155540994E-3</v>
      </c>
      <c r="G681" s="1138"/>
      <c r="H681" s="520">
        <v>8783.7000000000007</v>
      </c>
      <c r="I681" s="512">
        <v>43180</v>
      </c>
      <c r="J681" s="254">
        <f t="shared" si="53"/>
        <v>-7.1875116561116448E-3</v>
      </c>
      <c r="L681" s="251">
        <f t="shared" si="54"/>
        <v>43180</v>
      </c>
      <c r="M681" s="513">
        <v>115</v>
      </c>
      <c r="N681" s="254">
        <f t="shared" si="55"/>
        <v>-6.9084628670120773E-3</v>
      </c>
      <c r="O681" s="1137">
        <f t="shared" si="57"/>
        <v>-6.9398824264545319E-3</v>
      </c>
      <c r="P681" s="1138"/>
    </row>
    <row r="682" spans="6:16" x14ac:dyDescent="0.2">
      <c r="F682" s="1137">
        <f t="shared" si="56"/>
        <v>4.0496896488157611E-3</v>
      </c>
      <c r="G682" s="1138"/>
      <c r="H682" s="520">
        <v>8847.2900000000009</v>
      </c>
      <c r="I682" s="512">
        <v>43179</v>
      </c>
      <c r="J682" s="254">
        <f t="shared" si="53"/>
        <v>4.0811092082582157E-3</v>
      </c>
      <c r="L682" s="251">
        <f t="shared" si="54"/>
        <v>43179</v>
      </c>
      <c r="M682" s="513">
        <v>115.8</v>
      </c>
      <c r="N682" s="254">
        <f t="shared" si="55"/>
        <v>2.026431718061672E-2</v>
      </c>
      <c r="O682" s="1137">
        <f t="shared" si="57"/>
        <v>2.0232897621174264E-2</v>
      </c>
      <c r="P682" s="1138"/>
    </row>
    <row r="683" spans="6:16" x14ac:dyDescent="0.2">
      <c r="F683" s="1137">
        <f t="shared" si="56"/>
        <v>-8.0471538153358679E-3</v>
      </c>
      <c r="G683" s="1138"/>
      <c r="H683" s="520">
        <v>8811.33</v>
      </c>
      <c r="I683" s="512">
        <v>43178</v>
      </c>
      <c r="J683" s="254">
        <f t="shared" si="53"/>
        <v>-8.0157342558934142E-3</v>
      </c>
      <c r="L683" s="251">
        <f t="shared" si="54"/>
        <v>43178</v>
      </c>
      <c r="M683" s="513">
        <v>113.5</v>
      </c>
      <c r="N683" s="254">
        <f t="shared" si="55"/>
        <v>-2.155172413793105E-2</v>
      </c>
      <c r="O683" s="1137">
        <f t="shared" si="57"/>
        <v>-2.1583143697373505E-2</v>
      </c>
      <c r="P683" s="1138"/>
    </row>
    <row r="684" spans="6:16" x14ac:dyDescent="0.2">
      <c r="F684" s="1137">
        <f t="shared" si="56"/>
        <v>3.6840114068322036E-4</v>
      </c>
      <c r="G684" s="1138"/>
      <c r="H684" s="520">
        <v>8882.5300000000007</v>
      </c>
      <c r="I684" s="512">
        <v>43175</v>
      </c>
      <c r="J684" s="254">
        <f t="shared" si="53"/>
        <v>3.9982070012567483E-4</v>
      </c>
      <c r="L684" s="251">
        <f t="shared" si="54"/>
        <v>43175</v>
      </c>
      <c r="M684" s="513">
        <v>116</v>
      </c>
      <c r="N684" s="254">
        <f t="shared" si="55"/>
        <v>-1.1082693947144007E-2</v>
      </c>
      <c r="O684" s="1137">
        <f t="shared" si="57"/>
        <v>-1.111411350658646E-2</v>
      </c>
      <c r="P684" s="1138"/>
    </row>
    <row r="685" spans="6:16" x14ac:dyDescent="0.2">
      <c r="F685" s="1137">
        <f t="shared" si="56"/>
        <v>1.0565994904745005E-3</v>
      </c>
      <c r="G685" s="1138"/>
      <c r="H685" s="520">
        <v>8878.98</v>
      </c>
      <c r="I685" s="512">
        <v>43174</v>
      </c>
      <c r="J685" s="254">
        <f t="shared" si="53"/>
        <v>1.0880190499169551E-3</v>
      </c>
      <c r="L685" s="251">
        <f t="shared" si="54"/>
        <v>43174</v>
      </c>
      <c r="M685" s="513">
        <v>117.3</v>
      </c>
      <c r="N685" s="254">
        <f t="shared" si="55"/>
        <v>-8.5178875638847185E-4</v>
      </c>
      <c r="O685" s="1137">
        <f t="shared" si="57"/>
        <v>-8.8320831583092632E-4</v>
      </c>
      <c r="P685" s="1138"/>
    </row>
    <row r="686" spans="6:16" x14ac:dyDescent="0.2">
      <c r="F686" s="1137">
        <f t="shared" si="56"/>
        <v>-1.3364645322605914E-3</v>
      </c>
      <c r="G686" s="1138"/>
      <c r="H686" s="520">
        <v>8869.33</v>
      </c>
      <c r="I686" s="512">
        <v>43173</v>
      </c>
      <c r="J686" s="254">
        <f t="shared" si="53"/>
        <v>-1.3050449728181368E-3</v>
      </c>
      <c r="L686" s="251">
        <f t="shared" si="54"/>
        <v>43173</v>
      </c>
      <c r="M686" s="513">
        <v>117.4</v>
      </c>
      <c r="N686" s="254">
        <f t="shared" si="55"/>
        <v>7.7253218884121289E-3</v>
      </c>
      <c r="O686" s="1137">
        <f t="shared" si="57"/>
        <v>7.6939023289696743E-3</v>
      </c>
      <c r="P686" s="1138"/>
    </row>
    <row r="687" spans="6:16" x14ac:dyDescent="0.2">
      <c r="F687" s="1137">
        <f t="shared" si="56"/>
        <v>-1.0043971478236142E-2</v>
      </c>
      <c r="G687" s="1138"/>
      <c r="H687" s="520">
        <v>8880.92</v>
      </c>
      <c r="I687" s="512">
        <v>43172</v>
      </c>
      <c r="J687" s="254">
        <f t="shared" si="53"/>
        <v>-1.0012551918793688E-2</v>
      </c>
      <c r="L687" s="251">
        <f t="shared" si="54"/>
        <v>43172</v>
      </c>
      <c r="M687" s="513">
        <v>116.5</v>
      </c>
      <c r="N687" s="254">
        <f t="shared" si="55"/>
        <v>0</v>
      </c>
      <c r="O687" s="1137">
        <f t="shared" si="57"/>
        <v>-3.1419559442454485E-5</v>
      </c>
      <c r="P687" s="1138"/>
    </row>
    <row r="688" spans="6:16" x14ac:dyDescent="0.2">
      <c r="F688" s="1137">
        <f t="shared" si="56"/>
        <v>4.3226616219475692E-3</v>
      </c>
      <c r="G688" s="1138"/>
      <c r="H688" s="520">
        <v>8970.74</v>
      </c>
      <c r="I688" s="512">
        <v>43171</v>
      </c>
      <c r="J688" s="254">
        <f t="shared" si="53"/>
        <v>4.3540811813900238E-3</v>
      </c>
      <c r="L688" s="251">
        <f t="shared" si="54"/>
        <v>43171</v>
      </c>
      <c r="M688" s="513">
        <v>116.5</v>
      </c>
      <c r="N688" s="254">
        <f t="shared" si="55"/>
        <v>6.044905008635526E-3</v>
      </c>
      <c r="O688" s="1137">
        <f t="shared" si="57"/>
        <v>6.0134854491930715E-3</v>
      </c>
      <c r="P688" s="1138"/>
    </row>
    <row r="689" spans="6:16" x14ac:dyDescent="0.2">
      <c r="F689" s="1137">
        <f t="shared" si="56"/>
        <v>3.9510812667326737E-3</v>
      </c>
      <c r="G689" s="1138"/>
      <c r="H689" s="520">
        <v>8931.85</v>
      </c>
      <c r="I689" s="512">
        <v>43168</v>
      </c>
      <c r="J689" s="254">
        <f t="shared" si="53"/>
        <v>3.9825008261751282E-3</v>
      </c>
      <c r="L689" s="251">
        <f t="shared" si="54"/>
        <v>43168</v>
      </c>
      <c r="M689" s="513">
        <v>115.8</v>
      </c>
      <c r="N689" s="254">
        <f t="shared" si="55"/>
        <v>2.026431718061672E-2</v>
      </c>
      <c r="O689" s="1137">
        <f t="shared" si="57"/>
        <v>2.0232897621174264E-2</v>
      </c>
      <c r="P689" s="1138"/>
    </row>
    <row r="690" spans="6:16" x14ac:dyDescent="0.2">
      <c r="F690" s="1137">
        <f t="shared" si="56"/>
        <v>1.2670006989020615E-2</v>
      </c>
      <c r="G690" s="1138"/>
      <c r="H690" s="520">
        <v>8896.42</v>
      </c>
      <c r="I690" s="512">
        <v>43167</v>
      </c>
      <c r="J690" s="254">
        <f t="shared" si="53"/>
        <v>1.2701426548463068E-2</v>
      </c>
      <c r="L690" s="251">
        <f t="shared" si="54"/>
        <v>43167</v>
      </c>
      <c r="M690" s="513">
        <v>113.5</v>
      </c>
      <c r="N690" s="254">
        <f t="shared" si="55"/>
        <v>2.1602160216021682E-2</v>
      </c>
      <c r="O690" s="1137">
        <f t="shared" si="57"/>
        <v>2.1570740656579226E-2</v>
      </c>
      <c r="P690" s="1138"/>
    </row>
    <row r="691" spans="6:16" x14ac:dyDescent="0.2">
      <c r="F691" s="1137">
        <f t="shared" si="56"/>
        <v>2.1315121713136468E-3</v>
      </c>
      <c r="G691" s="1138"/>
      <c r="H691" s="520">
        <v>8784.84</v>
      </c>
      <c r="I691" s="512">
        <v>43166</v>
      </c>
      <c r="J691" s="254">
        <f t="shared" si="53"/>
        <v>2.1629317307561013E-3</v>
      </c>
      <c r="L691" s="251">
        <f t="shared" si="54"/>
        <v>43166</v>
      </c>
      <c r="M691" s="513">
        <v>111.1</v>
      </c>
      <c r="N691" s="254">
        <f t="shared" si="55"/>
        <v>-6.2611806797853164E-3</v>
      </c>
      <c r="O691" s="1137">
        <f t="shared" si="57"/>
        <v>-6.292600239227771E-3</v>
      </c>
      <c r="P691" s="1138"/>
    </row>
    <row r="692" spans="6:16" x14ac:dyDescent="0.2">
      <c r="F692" s="1137">
        <f t="shared" si="56"/>
        <v>-4.8563703449443904E-3</v>
      </c>
      <c r="G692" s="1138"/>
      <c r="H692" s="520">
        <v>8765.8799999999992</v>
      </c>
      <c r="I692" s="512">
        <v>43165</v>
      </c>
      <c r="J692" s="254">
        <f t="shared" si="53"/>
        <v>-4.8249507855019358E-3</v>
      </c>
      <c r="L692" s="251">
        <f t="shared" si="54"/>
        <v>43165</v>
      </c>
      <c r="M692" s="513">
        <v>111.8</v>
      </c>
      <c r="N692" s="254">
        <f t="shared" si="55"/>
        <v>-5.3380782918149849E-3</v>
      </c>
      <c r="O692" s="1137">
        <f t="shared" si="57"/>
        <v>-5.3694978512574395E-3</v>
      </c>
      <c r="P692" s="1138"/>
    </row>
    <row r="693" spans="6:16" x14ac:dyDescent="0.2">
      <c r="F693" s="1137">
        <f t="shared" si="56"/>
        <v>2.0814589774729789E-2</v>
      </c>
      <c r="G693" s="1138"/>
      <c r="H693" s="520">
        <v>8808.3799999999992</v>
      </c>
      <c r="I693" s="512">
        <v>43164</v>
      </c>
      <c r="J693" s="254">
        <f t="shared" si="53"/>
        <v>2.0846009334172244E-2</v>
      </c>
      <c r="L693" s="251">
        <f t="shared" si="54"/>
        <v>43164</v>
      </c>
      <c r="M693" s="513">
        <v>112.4</v>
      </c>
      <c r="N693" s="254">
        <f t="shared" si="55"/>
        <v>3.4038638454461756E-2</v>
      </c>
      <c r="O693" s="1137">
        <f t="shared" si="57"/>
        <v>3.4007218895019301E-2</v>
      </c>
      <c r="P693" s="1138"/>
    </row>
    <row r="694" spans="6:16" x14ac:dyDescent="0.2">
      <c r="F694" s="1137">
        <f t="shared" si="56"/>
        <v>-1.8669149047931197E-2</v>
      </c>
      <c r="G694" s="1138"/>
      <c r="H694" s="520">
        <v>8628.51</v>
      </c>
      <c r="I694" s="512">
        <v>43161</v>
      </c>
      <c r="J694" s="254">
        <f t="shared" si="53"/>
        <v>-1.8637729488488741E-2</v>
      </c>
      <c r="L694" s="251">
        <f t="shared" si="54"/>
        <v>43161</v>
      </c>
      <c r="M694" s="513">
        <v>108.7</v>
      </c>
      <c r="N694" s="254">
        <f t="shared" si="55"/>
        <v>-2.7522935779816793E-3</v>
      </c>
      <c r="O694" s="1137">
        <f t="shared" si="57"/>
        <v>-2.7837131374241339E-3</v>
      </c>
      <c r="P694" s="1138"/>
    </row>
    <row r="695" spans="6:16" x14ac:dyDescent="0.2">
      <c r="F695" s="1137">
        <f t="shared" si="56"/>
        <v>-1.2831232727081794E-2</v>
      </c>
      <c r="G695" s="1138"/>
      <c r="H695" s="520">
        <v>8792.3799999999992</v>
      </c>
      <c r="I695" s="512">
        <v>43160</v>
      </c>
      <c r="J695" s="254">
        <f t="shared" si="53"/>
        <v>-1.279981316763934E-2</v>
      </c>
      <c r="L695" s="251">
        <f t="shared" si="54"/>
        <v>43160</v>
      </c>
      <c r="M695" s="513">
        <v>109</v>
      </c>
      <c r="N695" s="254">
        <f t="shared" si="55"/>
        <v>-1.7132551848512256E-2</v>
      </c>
      <c r="O695" s="1137">
        <f t="shared" si="57"/>
        <v>-1.7163971407954712E-2</v>
      </c>
      <c r="P695" s="1138"/>
    </row>
    <row r="696" spans="6:16" x14ac:dyDescent="0.2">
      <c r="F696" s="1137">
        <f t="shared" si="56"/>
        <v>-9.6104919440466573E-3</v>
      </c>
      <c r="G696" s="1138"/>
      <c r="H696" s="520">
        <v>8906.3799999999992</v>
      </c>
      <c r="I696" s="512">
        <v>43159</v>
      </c>
      <c r="J696" s="254">
        <f t="shared" si="53"/>
        <v>-9.5790723846042036E-3</v>
      </c>
      <c r="L696" s="251">
        <f t="shared" si="54"/>
        <v>43159</v>
      </c>
      <c r="M696" s="513">
        <v>110.9</v>
      </c>
      <c r="N696" s="254">
        <f t="shared" si="55"/>
        <v>-2.2045855379188684E-2</v>
      </c>
      <c r="O696" s="1137">
        <f t="shared" si="57"/>
        <v>-2.2077274938631139E-2</v>
      </c>
      <c r="P696" s="1138"/>
    </row>
    <row r="697" spans="6:16" x14ac:dyDescent="0.2">
      <c r="F697" s="1137">
        <f t="shared" si="56"/>
        <v>-3.7528455114860656E-3</v>
      </c>
      <c r="G697" s="1138"/>
      <c r="H697" s="520">
        <v>8992.52</v>
      </c>
      <c r="I697" s="512">
        <v>43158</v>
      </c>
      <c r="J697" s="254">
        <f t="shared" si="53"/>
        <v>-3.721425952043611E-3</v>
      </c>
      <c r="L697" s="251">
        <f t="shared" si="54"/>
        <v>43158</v>
      </c>
      <c r="M697" s="513">
        <v>113.4</v>
      </c>
      <c r="N697" s="254">
        <f t="shared" si="55"/>
        <v>-2.6385224274405594E-3</v>
      </c>
      <c r="O697" s="1137">
        <f t="shared" si="57"/>
        <v>-2.669941986883014E-3</v>
      </c>
      <c r="P697" s="1138"/>
    </row>
    <row r="698" spans="6:16" x14ac:dyDescent="0.2">
      <c r="F698" s="1137">
        <f t="shared" si="56"/>
        <v>8.6764867322210604E-3</v>
      </c>
      <c r="G698" s="1138"/>
      <c r="H698" s="520">
        <v>9026.11</v>
      </c>
      <c r="I698" s="512">
        <v>43157</v>
      </c>
      <c r="J698" s="254">
        <f t="shared" si="53"/>
        <v>8.7079062916635142E-3</v>
      </c>
      <c r="L698" s="251">
        <f t="shared" si="54"/>
        <v>43157</v>
      </c>
      <c r="M698" s="513">
        <v>113.7</v>
      </c>
      <c r="N698" s="254">
        <f t="shared" si="55"/>
        <v>6.0634328358208922E-2</v>
      </c>
      <c r="O698" s="1137">
        <f t="shared" si="57"/>
        <v>6.0602908798766467E-2</v>
      </c>
      <c r="P698" s="1138"/>
    </row>
    <row r="699" spans="6:16" x14ac:dyDescent="0.2">
      <c r="F699" s="1137">
        <f t="shared" si="56"/>
        <v>-2.1769618162539714E-3</v>
      </c>
      <c r="G699" s="1138"/>
      <c r="H699" s="520">
        <v>8948.19</v>
      </c>
      <c r="I699" s="512">
        <v>43154</v>
      </c>
      <c r="J699" s="254">
        <f t="shared" si="53"/>
        <v>-2.1455422568115168E-3</v>
      </c>
      <c r="L699" s="251">
        <f t="shared" si="54"/>
        <v>43154</v>
      </c>
      <c r="M699" s="513">
        <v>107.2</v>
      </c>
      <c r="N699" s="254">
        <f t="shared" si="55"/>
        <v>-1.741521539871671E-2</v>
      </c>
      <c r="O699" s="1137">
        <f t="shared" si="57"/>
        <v>-1.7446634958159166E-2</v>
      </c>
      <c r="P699" s="1138"/>
    </row>
    <row r="700" spans="6:16" x14ac:dyDescent="0.2">
      <c r="F700" s="1137">
        <f t="shared" si="56"/>
        <v>-2.4299092674073116E-3</v>
      </c>
      <c r="G700" s="1138"/>
      <c r="H700" s="520">
        <v>8967.43</v>
      </c>
      <c r="I700" s="512">
        <v>43153</v>
      </c>
      <c r="J700" s="254">
        <f t="shared" si="53"/>
        <v>-2.3984897079648571E-3</v>
      </c>
      <c r="L700" s="251">
        <f t="shared" si="54"/>
        <v>43153</v>
      </c>
      <c r="M700" s="513">
        <v>109.1</v>
      </c>
      <c r="N700" s="254">
        <f t="shared" si="55"/>
        <v>-4.29824561403509E-2</v>
      </c>
      <c r="O700" s="1137">
        <f t="shared" si="57"/>
        <v>-4.3013875699793355E-2</v>
      </c>
      <c r="P700" s="1138"/>
    </row>
    <row r="701" spans="6:16" x14ac:dyDescent="0.2">
      <c r="F701" s="1137">
        <f t="shared" si="56"/>
        <v>8.1477462653541208E-4</v>
      </c>
      <c r="G701" s="1138"/>
      <c r="H701" s="520">
        <v>8988.99</v>
      </c>
      <c r="I701" s="512">
        <v>43152</v>
      </c>
      <c r="J701" s="254">
        <f t="shared" si="53"/>
        <v>8.4619418597786655E-4</v>
      </c>
      <c r="L701" s="251">
        <f t="shared" si="54"/>
        <v>43152</v>
      </c>
      <c r="M701" s="513">
        <v>114</v>
      </c>
      <c r="N701" s="254">
        <f t="shared" si="55"/>
        <v>-1.2131715771230511E-2</v>
      </c>
      <c r="O701" s="1137">
        <f t="shared" si="57"/>
        <v>-1.2163135330672965E-2</v>
      </c>
      <c r="P701" s="1138"/>
    </row>
    <row r="702" spans="6:16" x14ac:dyDescent="0.2">
      <c r="F702" s="1137">
        <f t="shared" si="56"/>
        <v>8.1336784071405922E-3</v>
      </c>
      <c r="G702" s="1138"/>
      <c r="H702" s="520">
        <v>8981.39</v>
      </c>
      <c r="I702" s="512">
        <v>43151</v>
      </c>
      <c r="J702" s="254">
        <f t="shared" si="53"/>
        <v>8.1650979665830459E-3</v>
      </c>
      <c r="L702" s="251">
        <f t="shared" si="54"/>
        <v>43151</v>
      </c>
      <c r="M702" s="513">
        <v>115.4</v>
      </c>
      <c r="N702" s="254">
        <f t="shared" si="55"/>
        <v>-5.9494702526487364E-2</v>
      </c>
      <c r="O702" s="1137">
        <f t="shared" si="57"/>
        <v>-5.952612208592982E-2</v>
      </c>
      <c r="P702" s="1138"/>
    </row>
    <row r="703" spans="6:16" x14ac:dyDescent="0.2">
      <c r="F703" s="1137">
        <f t="shared" si="56"/>
        <v>-8.7186825430449044E-3</v>
      </c>
      <c r="G703" s="1138"/>
      <c r="H703" s="520">
        <v>8908.65</v>
      </c>
      <c r="I703" s="512">
        <v>43150</v>
      </c>
      <c r="J703" s="254">
        <f t="shared" si="53"/>
        <v>-8.6872629836024506E-3</v>
      </c>
      <c r="L703" s="251">
        <f t="shared" si="54"/>
        <v>43150</v>
      </c>
      <c r="M703" s="513">
        <v>122.7</v>
      </c>
      <c r="N703" s="254">
        <f t="shared" si="55"/>
        <v>-1.4457831325301207E-2</v>
      </c>
      <c r="O703" s="1137">
        <f t="shared" si="57"/>
        <v>-1.4489250884743661E-2</v>
      </c>
      <c r="P703" s="1138"/>
    </row>
    <row r="704" spans="6:16" x14ac:dyDescent="0.2">
      <c r="F704" s="1137">
        <f t="shared" si="56"/>
        <v>7.6969439382812014E-3</v>
      </c>
      <c r="G704" s="1138"/>
      <c r="H704" s="520">
        <v>8986.7199999999993</v>
      </c>
      <c r="I704" s="512">
        <v>43147</v>
      </c>
      <c r="J704" s="254">
        <f t="shared" si="53"/>
        <v>7.7283634977236559E-3</v>
      </c>
      <c r="L704" s="251">
        <f t="shared" si="54"/>
        <v>43147</v>
      </c>
      <c r="M704" s="513">
        <v>124.5</v>
      </c>
      <c r="N704" s="254">
        <f t="shared" si="55"/>
        <v>1.6326530612244872E-2</v>
      </c>
      <c r="O704" s="1137">
        <f t="shared" si="57"/>
        <v>1.6295111052802416E-2</v>
      </c>
      <c r="P704" s="1138"/>
    </row>
    <row r="705" spans="6:16" x14ac:dyDescent="0.2">
      <c r="F705" s="1137">
        <f t="shared" si="56"/>
        <v>2.069916530723818E-3</v>
      </c>
      <c r="G705" s="1138"/>
      <c r="H705" s="520">
        <v>8917.7999999999993</v>
      </c>
      <c r="I705" s="512">
        <v>43146</v>
      </c>
      <c r="J705" s="254">
        <f t="shared" si="53"/>
        <v>2.1013360901662725E-3</v>
      </c>
      <c r="L705" s="251">
        <f t="shared" si="54"/>
        <v>43146</v>
      </c>
      <c r="M705" s="513">
        <v>122.5</v>
      </c>
      <c r="N705" s="254">
        <f t="shared" si="55"/>
        <v>3.8135593220338881E-2</v>
      </c>
      <c r="O705" s="1137">
        <f t="shared" si="57"/>
        <v>3.8104173660896426E-2</v>
      </c>
      <c r="P705" s="1138"/>
    </row>
    <row r="706" spans="6:16" x14ac:dyDescent="0.2">
      <c r="F706" s="1137">
        <f t="shared" si="56"/>
        <v>1.6701817498176744E-2</v>
      </c>
      <c r="G706" s="1138"/>
      <c r="H706" s="520">
        <v>8899.1</v>
      </c>
      <c r="I706" s="512">
        <v>43145</v>
      </c>
      <c r="J706" s="254">
        <f t="shared" si="53"/>
        <v>1.6733237057619199E-2</v>
      </c>
      <c r="L706" s="251">
        <f t="shared" si="54"/>
        <v>43145</v>
      </c>
      <c r="M706" s="513">
        <v>118</v>
      </c>
      <c r="N706" s="254">
        <f t="shared" si="55"/>
        <v>3.4013605442178019E-3</v>
      </c>
      <c r="O706" s="1137">
        <f t="shared" si="57"/>
        <v>3.3699409847753473E-3</v>
      </c>
      <c r="P706" s="1138"/>
    </row>
    <row r="707" spans="6:16" x14ac:dyDescent="0.2">
      <c r="F707" s="1137">
        <f t="shared" si="56"/>
        <v>-7.9138250419877165E-3</v>
      </c>
      <c r="G707" s="1138"/>
      <c r="H707" s="520">
        <v>8752.64</v>
      </c>
      <c r="I707" s="512">
        <v>43144</v>
      </c>
      <c r="J707" s="254">
        <f t="shared" si="53"/>
        <v>-7.8824054825452627E-3</v>
      </c>
      <c r="L707" s="251">
        <f t="shared" si="54"/>
        <v>43144</v>
      </c>
      <c r="M707" s="513">
        <v>117.6</v>
      </c>
      <c r="N707" s="254">
        <f t="shared" si="55"/>
        <v>-1.7543859649122862E-2</v>
      </c>
      <c r="O707" s="1137">
        <f t="shared" si="57"/>
        <v>-1.7575279208565317E-2</v>
      </c>
      <c r="P707" s="1138"/>
    </row>
    <row r="708" spans="6:16" x14ac:dyDescent="0.2">
      <c r="F708" s="1137">
        <f t="shared" si="56"/>
        <v>1.6114629737954592E-2</v>
      </c>
      <c r="G708" s="1138"/>
      <c r="H708" s="520">
        <v>8822.18</v>
      </c>
      <c r="I708" s="512">
        <v>43143</v>
      </c>
      <c r="J708" s="254">
        <f t="shared" si="53"/>
        <v>1.6146049297397047E-2</v>
      </c>
      <c r="L708" s="251">
        <f t="shared" si="54"/>
        <v>43143</v>
      </c>
      <c r="M708" s="513">
        <v>119.7</v>
      </c>
      <c r="N708" s="254">
        <f t="shared" si="55"/>
        <v>4.1946308724831738E-3</v>
      </c>
      <c r="O708" s="1137">
        <f t="shared" si="57"/>
        <v>4.1632113130407192E-3</v>
      </c>
      <c r="P708" s="1138"/>
    </row>
    <row r="709" spans="6:16" x14ac:dyDescent="0.2">
      <c r="F709" s="1137">
        <f t="shared" si="56"/>
        <v>-9.2872659427471315E-3</v>
      </c>
      <c r="G709" s="1138"/>
      <c r="H709" s="520">
        <v>8682</v>
      </c>
      <c r="I709" s="512">
        <v>43140</v>
      </c>
      <c r="J709" s="254">
        <f t="shared" si="53"/>
        <v>-9.2558463833046778E-3</v>
      </c>
      <c r="L709" s="251">
        <f t="shared" si="54"/>
        <v>43140</v>
      </c>
      <c r="M709" s="513">
        <v>119.2</v>
      </c>
      <c r="N709" s="254">
        <f t="shared" si="55"/>
        <v>-1.5689512799339278E-2</v>
      </c>
      <c r="O709" s="1137">
        <f t="shared" si="57"/>
        <v>-1.5720932358781733E-2</v>
      </c>
      <c r="P709" s="1138"/>
    </row>
    <row r="710" spans="6:16" x14ac:dyDescent="0.2">
      <c r="F710" s="1137">
        <f t="shared" si="56"/>
        <v>-2.3641421108187163E-2</v>
      </c>
      <c r="G710" s="1138"/>
      <c r="H710" s="520">
        <v>8763.11</v>
      </c>
      <c r="I710" s="512">
        <v>43139</v>
      </c>
      <c r="J710" s="254">
        <f t="shared" si="53"/>
        <v>-2.3610001548744708E-2</v>
      </c>
      <c r="L710" s="251">
        <f t="shared" si="54"/>
        <v>43139</v>
      </c>
      <c r="M710" s="513">
        <v>121.1</v>
      </c>
      <c r="N710" s="254">
        <f t="shared" si="55"/>
        <v>-3.6595067621320698E-2</v>
      </c>
      <c r="O710" s="1137">
        <f t="shared" si="57"/>
        <v>-3.6626487180763154E-2</v>
      </c>
      <c r="P710" s="1138"/>
    </row>
    <row r="711" spans="6:16" x14ac:dyDescent="0.2">
      <c r="F711" s="1137">
        <f t="shared" si="56"/>
        <v>1.5619201542755161E-2</v>
      </c>
      <c r="G711" s="1138"/>
      <c r="H711" s="520">
        <v>8975.01</v>
      </c>
      <c r="I711" s="512">
        <v>43138</v>
      </c>
      <c r="J711" s="254">
        <f t="shared" si="53"/>
        <v>1.5650621102197615E-2</v>
      </c>
      <c r="L711" s="251">
        <f t="shared" si="54"/>
        <v>43138</v>
      </c>
      <c r="M711" s="513">
        <v>125.7</v>
      </c>
      <c r="N711" s="254">
        <f t="shared" si="55"/>
        <v>8.82825040128421E-3</v>
      </c>
      <c r="O711" s="1137">
        <f t="shared" si="57"/>
        <v>8.7968308418417563E-3</v>
      </c>
      <c r="P711" s="1138"/>
    </row>
    <row r="712" spans="6:16" x14ac:dyDescent="0.2">
      <c r="F712" s="1137">
        <f t="shared" si="56"/>
        <v>-2.9006001967449221E-2</v>
      </c>
      <c r="G712" s="1138"/>
      <c r="H712" s="520">
        <v>8836.7099999999991</v>
      </c>
      <c r="I712" s="512">
        <v>43137</v>
      </c>
      <c r="J712" s="254">
        <f t="shared" si="53"/>
        <v>-2.8974582408006766E-2</v>
      </c>
      <c r="L712" s="251">
        <f t="shared" si="54"/>
        <v>43137</v>
      </c>
      <c r="M712" s="513">
        <v>124.6</v>
      </c>
      <c r="N712" s="254">
        <f t="shared" si="55"/>
        <v>-3.0350194552529186E-2</v>
      </c>
      <c r="O712" s="1137">
        <f t="shared" si="57"/>
        <v>-3.0381614111971642E-2</v>
      </c>
      <c r="P712" s="1138"/>
    </row>
    <row r="713" spans="6:16" x14ac:dyDescent="0.2">
      <c r="F713" s="1137">
        <f t="shared" si="56"/>
        <v>-1.3078165518801406E-2</v>
      </c>
      <c r="G713" s="1138"/>
      <c r="H713" s="520">
        <v>9100.39</v>
      </c>
      <c r="I713" s="512">
        <v>43136</v>
      </c>
      <c r="J713" s="254">
        <f t="shared" si="53"/>
        <v>-1.3046745959358952E-2</v>
      </c>
      <c r="L713" s="251">
        <f t="shared" si="54"/>
        <v>43136</v>
      </c>
      <c r="M713" s="513">
        <v>128.5</v>
      </c>
      <c r="N713" s="254">
        <f t="shared" si="55"/>
        <v>-3.8759689922480689E-3</v>
      </c>
      <c r="O713" s="1137">
        <f t="shared" si="57"/>
        <v>-3.9073885516905235E-3</v>
      </c>
      <c r="P713" s="1138"/>
    </row>
    <row r="714" spans="6:16" x14ac:dyDescent="0.2">
      <c r="F714" s="1137">
        <f t="shared" si="56"/>
        <v>-7.5904126408595082E-3</v>
      </c>
      <c r="G714" s="1138"/>
      <c r="H714" s="520">
        <v>9220.69</v>
      </c>
      <c r="I714" s="512">
        <v>43133</v>
      </c>
      <c r="J714" s="254">
        <f t="shared" si="53"/>
        <v>-7.5589930814170536E-3</v>
      </c>
      <c r="L714" s="251">
        <f t="shared" si="54"/>
        <v>43133</v>
      </c>
      <c r="M714" s="513">
        <v>129</v>
      </c>
      <c r="N714" s="254">
        <f t="shared" si="55"/>
        <v>-2.346707040121121E-2</v>
      </c>
      <c r="O714" s="1137">
        <f t="shared" si="57"/>
        <v>-2.3498489960653665E-2</v>
      </c>
      <c r="P714" s="1138"/>
    </row>
    <row r="715" spans="6:16" x14ac:dyDescent="0.2">
      <c r="F715" s="1137">
        <f t="shared" si="56"/>
        <v>-4.7960788134647067E-3</v>
      </c>
      <c r="G715" s="1138"/>
      <c r="H715" s="520">
        <v>9290.92</v>
      </c>
      <c r="I715" s="512">
        <v>43132</v>
      </c>
      <c r="J715" s="254">
        <f t="shared" si="53"/>
        <v>-4.7646592540222521E-3</v>
      </c>
      <c r="L715" s="251">
        <f t="shared" si="54"/>
        <v>43132</v>
      </c>
      <c r="M715" s="513">
        <v>132.1</v>
      </c>
      <c r="N715" s="254">
        <f t="shared" si="55"/>
        <v>2.7216174183514852E-2</v>
      </c>
      <c r="O715" s="1137">
        <f t="shared" si="57"/>
        <v>2.7184754624072396E-2</v>
      </c>
      <c r="P715" s="1138"/>
    </row>
    <row r="716" spans="6:16" x14ac:dyDescent="0.2">
      <c r="F716" s="1137">
        <f t="shared" si="56"/>
        <v>-1.0413744377587504E-2</v>
      </c>
      <c r="G716" s="1138"/>
      <c r="H716" s="520">
        <v>9335.4</v>
      </c>
      <c r="I716" s="512">
        <v>43131</v>
      </c>
      <c r="J716" s="254">
        <f t="shared" si="53"/>
        <v>-1.038232481814505E-2</v>
      </c>
      <c r="L716" s="251">
        <f t="shared" si="54"/>
        <v>43131</v>
      </c>
      <c r="M716" s="513">
        <v>128.6</v>
      </c>
      <c r="N716" s="254">
        <f t="shared" si="55"/>
        <v>1.579778830963674E-2</v>
      </c>
      <c r="O716" s="1137">
        <f t="shared" si="57"/>
        <v>1.5766368750194285E-2</v>
      </c>
      <c r="P716" s="1138"/>
    </row>
    <row r="717" spans="6:16" x14ac:dyDescent="0.2">
      <c r="F717" s="1137">
        <f t="shared" si="56"/>
        <v>-2.5617480791949995E-3</v>
      </c>
      <c r="G717" s="1138"/>
      <c r="H717" s="520">
        <v>9433.34</v>
      </c>
      <c r="I717" s="512">
        <v>43130</v>
      </c>
      <c r="J717" s="254">
        <f t="shared" si="53"/>
        <v>-2.5303285197525449E-3</v>
      </c>
      <c r="L717" s="251">
        <f t="shared" si="54"/>
        <v>43130</v>
      </c>
      <c r="M717" s="513">
        <v>126.6</v>
      </c>
      <c r="N717" s="254">
        <f t="shared" si="55"/>
        <v>-2.390131071703927E-2</v>
      </c>
      <c r="O717" s="1137">
        <f t="shared" si="57"/>
        <v>-2.3932730276481726E-2</v>
      </c>
      <c r="P717" s="1138"/>
    </row>
    <row r="718" spans="6:16" x14ac:dyDescent="0.2">
      <c r="F718" s="1137">
        <f t="shared" si="56"/>
        <v>-6.1571756894021465E-3</v>
      </c>
      <c r="G718" s="1138"/>
      <c r="H718" s="520">
        <v>9457.27</v>
      </c>
      <c r="I718" s="512">
        <v>43129</v>
      </c>
      <c r="J718" s="254">
        <f t="shared" si="53"/>
        <v>-6.1257561299596919E-3</v>
      </c>
      <c r="L718" s="251">
        <f t="shared" si="54"/>
        <v>43129</v>
      </c>
      <c r="M718" s="513">
        <v>129.69999999999999</v>
      </c>
      <c r="N718" s="254">
        <f t="shared" si="55"/>
        <v>6.9875776397514411E-3</v>
      </c>
      <c r="O718" s="1137">
        <f t="shared" si="57"/>
        <v>6.9561580803089865E-3</v>
      </c>
      <c r="P718" s="1138"/>
    </row>
    <row r="719" spans="6:16" x14ac:dyDescent="0.2">
      <c r="F719" s="1137">
        <f t="shared" si="56"/>
        <v>3.4063256171692072E-3</v>
      </c>
      <c r="G719" s="1138"/>
      <c r="H719" s="520">
        <v>9515.56</v>
      </c>
      <c r="I719" s="512">
        <v>43126</v>
      </c>
      <c r="J719" s="254">
        <f t="shared" si="53"/>
        <v>3.4377451766116618E-3</v>
      </c>
      <c r="L719" s="251">
        <f t="shared" si="54"/>
        <v>43126</v>
      </c>
      <c r="M719" s="513">
        <v>128.80000000000001</v>
      </c>
      <c r="N719" s="254">
        <f t="shared" si="55"/>
        <v>-1.2269938650306678E-2</v>
      </c>
      <c r="O719" s="1137">
        <f t="shared" si="57"/>
        <v>-1.2301358209749131E-2</v>
      </c>
      <c r="P719" s="1138"/>
    </row>
    <row r="720" spans="6:16" x14ac:dyDescent="0.2">
      <c r="F720" s="1137">
        <f t="shared" si="56"/>
        <v>-6.7985864930182735E-3</v>
      </c>
      <c r="G720" s="1138"/>
      <c r="H720" s="520">
        <v>9482.9599999999991</v>
      </c>
      <c r="I720" s="512">
        <v>43125</v>
      </c>
      <c r="J720" s="254">
        <f t="shared" si="53"/>
        <v>-6.7671669335758189E-3</v>
      </c>
      <c r="L720" s="251">
        <f t="shared" si="54"/>
        <v>43125</v>
      </c>
      <c r="M720" s="513">
        <v>130.4</v>
      </c>
      <c r="N720" s="254">
        <f t="shared" si="55"/>
        <v>6.8852459016393475E-2</v>
      </c>
      <c r="O720" s="1137">
        <f t="shared" si="57"/>
        <v>6.8821039456951019E-2</v>
      </c>
      <c r="P720" s="1138"/>
    </row>
    <row r="721" spans="6:16" x14ac:dyDescent="0.2">
      <c r="F721" s="1137">
        <f t="shared" si="56"/>
        <v>-4.5124538930522886E-4</v>
      </c>
      <c r="G721" s="1138"/>
      <c r="H721" s="520">
        <v>9547.57</v>
      </c>
      <c r="I721" s="512">
        <v>43124</v>
      </c>
      <c r="J721" s="254">
        <f t="shared" si="53"/>
        <v>-4.1982582986277439E-4</v>
      </c>
      <c r="L721" s="251">
        <f t="shared" si="54"/>
        <v>43124</v>
      </c>
      <c r="M721" s="513">
        <v>122</v>
      </c>
      <c r="N721" s="254">
        <f t="shared" si="55"/>
        <v>-1.8503620273531807E-2</v>
      </c>
      <c r="O721" s="1137">
        <f t="shared" si="57"/>
        <v>-1.8535039832974262E-2</v>
      </c>
      <c r="P721" s="1138"/>
    </row>
    <row r="722" spans="6:16" x14ac:dyDescent="0.2">
      <c r="F722" s="1137">
        <f t="shared" si="56"/>
        <v>2.3245142981080527E-3</v>
      </c>
      <c r="G722" s="1138"/>
      <c r="H722" s="520">
        <v>9551.58</v>
      </c>
      <c r="I722" s="512">
        <v>43123</v>
      </c>
      <c r="J722" s="254">
        <f t="shared" si="53"/>
        <v>2.3559338575505073E-3</v>
      </c>
      <c r="L722" s="251">
        <f t="shared" si="54"/>
        <v>43123</v>
      </c>
      <c r="M722" s="513">
        <v>124.3</v>
      </c>
      <c r="N722" s="254">
        <f t="shared" si="55"/>
        <v>0</v>
      </c>
      <c r="O722" s="1137">
        <f t="shared" si="57"/>
        <v>-3.1419559442454485E-5</v>
      </c>
      <c r="P722" s="1138"/>
    </row>
    <row r="723" spans="6:16" x14ac:dyDescent="0.2">
      <c r="F723" s="1137">
        <f t="shared" si="56"/>
        <v>2.0043815167138527E-3</v>
      </c>
      <c r="G723" s="1138"/>
      <c r="H723" s="520">
        <v>9529.1299999999992</v>
      </c>
      <c r="I723" s="512">
        <v>43122</v>
      </c>
      <c r="J723" s="254">
        <f t="shared" si="53"/>
        <v>2.0358010761563072E-3</v>
      </c>
      <c r="L723" s="251">
        <f t="shared" si="54"/>
        <v>43122</v>
      </c>
      <c r="M723" s="513">
        <v>124.3</v>
      </c>
      <c r="N723" s="254">
        <f t="shared" si="55"/>
        <v>-2.1259842519685046E-2</v>
      </c>
      <c r="O723" s="1137">
        <f t="shared" si="57"/>
        <v>-2.1291262079127501E-2</v>
      </c>
      <c r="P723" s="1138"/>
    </row>
    <row r="724" spans="6:16" x14ac:dyDescent="0.2">
      <c r="F724" s="1137">
        <f t="shared" si="56"/>
        <v>6.0432602820785367E-3</v>
      </c>
      <c r="G724" s="1138"/>
      <c r="H724" s="520">
        <v>9509.77</v>
      </c>
      <c r="I724" s="512">
        <v>43119</v>
      </c>
      <c r="J724" s="254">
        <f t="shared" si="53"/>
        <v>6.0746798415209913E-3</v>
      </c>
      <c r="L724" s="251">
        <f t="shared" si="54"/>
        <v>43119</v>
      </c>
      <c r="M724" s="513">
        <v>127</v>
      </c>
      <c r="N724" s="254">
        <f t="shared" si="55"/>
        <v>3.1681559707554818E-2</v>
      </c>
      <c r="O724" s="1137">
        <f t="shared" si="57"/>
        <v>3.1650140148112363E-2</v>
      </c>
      <c r="P724" s="1138"/>
    </row>
    <row r="725" spans="6:16" x14ac:dyDescent="0.2">
      <c r="F725" s="1137">
        <f t="shared" si="56"/>
        <v>1.2757824456401537E-3</v>
      </c>
      <c r="G725" s="1138"/>
      <c r="H725" s="520">
        <v>9452.35</v>
      </c>
      <c r="I725" s="512">
        <v>43118</v>
      </c>
      <c r="J725" s="254">
        <f t="shared" si="53"/>
        <v>1.3072020050826083E-3</v>
      </c>
      <c r="L725" s="251">
        <f t="shared" si="54"/>
        <v>43118</v>
      </c>
      <c r="M725" s="513">
        <v>123.1</v>
      </c>
      <c r="N725" s="254">
        <f t="shared" si="55"/>
        <v>-2.9179810725552091E-2</v>
      </c>
      <c r="O725" s="1137">
        <f t="shared" si="57"/>
        <v>-2.9211230284994547E-2</v>
      </c>
      <c r="P725" s="1138"/>
    </row>
    <row r="726" spans="6:16" x14ac:dyDescent="0.2">
      <c r="F726" s="1137">
        <f t="shared" si="56"/>
        <v>-2.5715582949731716E-3</v>
      </c>
      <c r="G726" s="1138"/>
      <c r="H726" s="520">
        <v>9440.01</v>
      </c>
      <c r="I726" s="512">
        <v>43117</v>
      </c>
      <c r="J726" s="254">
        <f t="shared" si="53"/>
        <v>-2.540138735530717E-3</v>
      </c>
      <c r="L726" s="251">
        <f t="shared" si="54"/>
        <v>43117</v>
      </c>
      <c r="M726" s="513">
        <v>126.8</v>
      </c>
      <c r="N726" s="254">
        <f t="shared" si="55"/>
        <v>-1.5748031496063408E-3</v>
      </c>
      <c r="O726" s="1137">
        <f t="shared" si="57"/>
        <v>-1.6062227090487954E-3</v>
      </c>
      <c r="P726" s="1138"/>
    </row>
    <row r="727" spans="6:16" x14ac:dyDescent="0.2">
      <c r="F727" s="1137">
        <f t="shared" si="56"/>
        <v>-7.7097093863114771E-3</v>
      </c>
      <c r="G727" s="1138"/>
      <c r="H727" s="520">
        <v>9464.0499999999993</v>
      </c>
      <c r="I727" s="512">
        <v>43116</v>
      </c>
      <c r="J727" s="254">
        <f t="shared" si="53"/>
        <v>-7.6782898268690225E-3</v>
      </c>
      <c r="L727" s="251">
        <f t="shared" si="54"/>
        <v>43116</v>
      </c>
      <c r="M727" s="513">
        <v>127</v>
      </c>
      <c r="N727" s="254">
        <f t="shared" si="55"/>
        <v>-5.4815974941269108E-3</v>
      </c>
      <c r="O727" s="1137">
        <f t="shared" si="57"/>
        <v>-5.5130170535693654E-3</v>
      </c>
      <c r="P727" s="1138"/>
    </row>
    <row r="728" spans="6:16" x14ac:dyDescent="0.2">
      <c r="F728" s="1137">
        <f t="shared" si="56"/>
        <v>-1.0087298297897637E-3</v>
      </c>
      <c r="G728" s="1138"/>
      <c r="H728" s="520">
        <v>9537.2800000000007</v>
      </c>
      <c r="I728" s="512">
        <v>43115</v>
      </c>
      <c r="J728" s="254">
        <f t="shared" si="53"/>
        <v>-9.7731027034730911E-4</v>
      </c>
      <c r="L728" s="251">
        <f t="shared" si="54"/>
        <v>43115</v>
      </c>
      <c r="M728" s="513">
        <v>127.7</v>
      </c>
      <c r="N728" s="254">
        <f t="shared" si="55"/>
        <v>1.5686274509805198E-3</v>
      </c>
      <c r="O728" s="1137">
        <f t="shared" si="57"/>
        <v>1.5372078915380652E-3</v>
      </c>
      <c r="P728" s="1138"/>
    </row>
    <row r="729" spans="6:16" x14ac:dyDescent="0.2">
      <c r="F729" s="1137">
        <f t="shared" si="56"/>
        <v>4.4678097002785614E-3</v>
      </c>
      <c r="G729" s="1138"/>
      <c r="H729" s="520">
        <v>9546.61</v>
      </c>
      <c r="I729" s="512">
        <v>43112</v>
      </c>
      <c r="J729" s="254">
        <f t="shared" si="53"/>
        <v>4.4992292597210159E-3</v>
      </c>
      <c r="L729" s="251">
        <f t="shared" si="54"/>
        <v>43112</v>
      </c>
      <c r="M729" s="513">
        <v>127.5</v>
      </c>
      <c r="N729" s="254">
        <f t="shared" si="55"/>
        <v>-3.90625E-3</v>
      </c>
      <c r="O729" s="1137">
        <f t="shared" si="57"/>
        <v>-3.9376695594424546E-3</v>
      </c>
      <c r="P729" s="1138"/>
    </row>
    <row r="730" spans="6:16" x14ac:dyDescent="0.2">
      <c r="F730" s="1137">
        <f t="shared" si="56"/>
        <v>-2.2477018325437878E-3</v>
      </c>
      <c r="G730" s="1138"/>
      <c r="H730" s="520">
        <v>9503.85</v>
      </c>
      <c r="I730" s="512">
        <v>43111</v>
      </c>
      <c r="J730" s="254">
        <f t="shared" si="53"/>
        <v>-2.2162822731013332E-3</v>
      </c>
      <c r="L730" s="251">
        <f t="shared" si="54"/>
        <v>43111</v>
      </c>
      <c r="M730" s="513">
        <v>128</v>
      </c>
      <c r="N730" s="254">
        <f t="shared" si="55"/>
        <v>1.1058451816745807E-2</v>
      </c>
      <c r="O730" s="1137">
        <f t="shared" si="57"/>
        <v>1.1027032257303353E-2</v>
      </c>
      <c r="P730" s="1138"/>
    </row>
    <row r="731" spans="6:16" x14ac:dyDescent="0.2">
      <c r="F731" s="1137">
        <f t="shared" si="56"/>
        <v>-9.0465585424017014E-3</v>
      </c>
      <c r="G731" s="1138"/>
      <c r="H731" s="520">
        <v>9524.9599999999991</v>
      </c>
      <c r="I731" s="512">
        <v>43110</v>
      </c>
      <c r="J731" s="254">
        <f t="shared" si="53"/>
        <v>-9.0151389829592476E-3</v>
      </c>
      <c r="L731" s="251">
        <f t="shared" si="54"/>
        <v>43110</v>
      </c>
      <c r="M731" s="513">
        <v>126.6</v>
      </c>
      <c r="N731" s="254">
        <f t="shared" si="55"/>
        <v>-9.3896713615023719E-3</v>
      </c>
      <c r="O731" s="1137">
        <f t="shared" si="57"/>
        <v>-9.4210909209448256E-3</v>
      </c>
      <c r="P731" s="1138"/>
    </row>
    <row r="732" spans="6:16" x14ac:dyDescent="0.2">
      <c r="F732" s="1137">
        <f t="shared" si="56"/>
        <v>7.2921999519041806E-3</v>
      </c>
      <c r="G732" s="1138"/>
      <c r="H732" s="520">
        <v>9611.61</v>
      </c>
      <c r="I732" s="512">
        <v>43109</v>
      </c>
      <c r="J732" s="254">
        <f t="shared" si="53"/>
        <v>7.3236195113466351E-3</v>
      </c>
      <c r="L732" s="251">
        <f t="shared" si="54"/>
        <v>43109</v>
      </c>
      <c r="M732" s="513">
        <v>127.8</v>
      </c>
      <c r="N732" s="254">
        <f t="shared" si="55"/>
        <v>-9.302325581395321E-3</v>
      </c>
      <c r="O732" s="1137">
        <f t="shared" si="57"/>
        <v>-9.3337451408377747E-3</v>
      </c>
      <c r="P732" s="1138"/>
    </row>
    <row r="733" spans="6:16" x14ac:dyDescent="0.2">
      <c r="F733" s="1137">
        <f t="shared" si="56"/>
        <v>-1.6271119225111227E-3</v>
      </c>
      <c r="G733" s="1138"/>
      <c r="H733" s="520">
        <v>9541.73</v>
      </c>
      <c r="I733" s="512">
        <v>43108</v>
      </c>
      <c r="J733" s="254">
        <f t="shared" ref="J733:J796" si="58">H733/H734-1</f>
        <v>-1.5956923630686681E-3</v>
      </c>
      <c r="L733" s="251">
        <f t="shared" ref="L733:L796" si="59">I733</f>
        <v>43108</v>
      </c>
      <c r="M733" s="513">
        <v>129</v>
      </c>
      <c r="N733" s="254">
        <f t="shared" ref="N733:N796" si="60">M733/M734-1</f>
        <v>1.1764705882352899E-2</v>
      </c>
      <c r="O733" s="1137">
        <f t="shared" si="57"/>
        <v>1.1733286322910446E-2</v>
      </c>
      <c r="P733" s="1138"/>
    </row>
    <row r="734" spans="6:16" x14ac:dyDescent="0.2">
      <c r="F734" s="1137">
        <f t="shared" ref="F734:F797" si="61">J734-$I$19</f>
        <v>4.9847330830287842E-3</v>
      </c>
      <c r="G734" s="1138"/>
      <c r="H734" s="520">
        <v>9556.98</v>
      </c>
      <c r="I734" s="512">
        <v>43105</v>
      </c>
      <c r="J734" s="254">
        <f t="shared" si="58"/>
        <v>5.0161526424712388E-3</v>
      </c>
      <c r="L734" s="251">
        <f t="shared" si="59"/>
        <v>43105</v>
      </c>
      <c r="M734" s="513">
        <v>127.5</v>
      </c>
      <c r="N734" s="254">
        <f t="shared" si="60"/>
        <v>4.7281323877068626E-3</v>
      </c>
      <c r="O734" s="1137">
        <f t="shared" ref="O734:O797" si="62">N734-$I$19</f>
        <v>4.696712828264408E-3</v>
      </c>
      <c r="P734" s="1138"/>
    </row>
    <row r="735" spans="6:16" x14ac:dyDescent="0.2">
      <c r="F735" s="1137">
        <f t="shared" si="61"/>
        <v>3.1714769730739204E-3</v>
      </c>
      <c r="G735" s="1138"/>
      <c r="H735" s="520">
        <v>9509.2800000000007</v>
      </c>
      <c r="I735" s="512">
        <v>43104</v>
      </c>
      <c r="J735" s="254">
        <f t="shared" si="58"/>
        <v>3.202896532516375E-3</v>
      </c>
      <c r="L735" s="251">
        <f t="shared" si="59"/>
        <v>43104</v>
      </c>
      <c r="M735" s="513">
        <v>126.9</v>
      </c>
      <c r="N735" s="254">
        <f t="shared" si="60"/>
        <v>7.1428571428571175E-3</v>
      </c>
      <c r="O735" s="1137">
        <f t="shared" si="62"/>
        <v>7.1114375834146629E-3</v>
      </c>
      <c r="P735" s="1138"/>
    </row>
    <row r="736" spans="6:16" x14ac:dyDescent="0.2">
      <c r="F736" s="1137">
        <f t="shared" si="61"/>
        <v>1.0313000049867864E-2</v>
      </c>
      <c r="G736" s="1138"/>
      <c r="H736" s="520">
        <v>9478.92</v>
      </c>
      <c r="I736" s="512">
        <v>43103</v>
      </c>
      <c r="J736" s="254">
        <f t="shared" si="58"/>
        <v>1.0344419609310318E-2</v>
      </c>
      <c r="L736" s="251">
        <f t="shared" si="59"/>
        <v>43103</v>
      </c>
      <c r="M736" s="513">
        <v>126</v>
      </c>
      <c r="N736" s="254">
        <f t="shared" si="60"/>
        <v>8.0000000000000071E-3</v>
      </c>
      <c r="O736" s="1137">
        <f t="shared" si="62"/>
        <v>7.9685804405575534E-3</v>
      </c>
      <c r="P736" s="1138"/>
    </row>
    <row r="737" spans="6:16" x14ac:dyDescent="0.2">
      <c r="F737" s="1137">
        <f t="shared" si="61"/>
        <v>-2.5755944302667108E-3</v>
      </c>
      <c r="G737" s="1138"/>
      <c r="H737" s="520">
        <v>9381.8700000000008</v>
      </c>
      <c r="I737" s="512">
        <v>43098</v>
      </c>
      <c r="J737" s="254">
        <f t="shared" si="58"/>
        <v>-2.5441748708242562E-3</v>
      </c>
      <c r="L737" s="251">
        <f t="shared" si="59"/>
        <v>43098</v>
      </c>
      <c r="M737" s="513">
        <v>125</v>
      </c>
      <c r="N737" s="254">
        <f t="shared" si="60"/>
        <v>-4.7770700636942109E-3</v>
      </c>
      <c r="O737" s="1137">
        <f t="shared" si="62"/>
        <v>-4.8084896231366655E-3</v>
      </c>
      <c r="P737" s="1138"/>
    </row>
    <row r="738" spans="6:16" x14ac:dyDescent="0.2">
      <c r="F738" s="1137">
        <f t="shared" si="61"/>
        <v>-2.6442350802454015E-3</v>
      </c>
      <c r="G738" s="1138"/>
      <c r="H738" s="520">
        <v>9405.7999999999993</v>
      </c>
      <c r="I738" s="512">
        <v>43097</v>
      </c>
      <c r="J738" s="254">
        <f t="shared" si="58"/>
        <v>-2.6128155208029469E-3</v>
      </c>
      <c r="L738" s="251">
        <f t="shared" si="59"/>
        <v>43097</v>
      </c>
      <c r="M738" s="513">
        <v>125.6</v>
      </c>
      <c r="N738" s="254">
        <f t="shared" si="60"/>
        <v>-1.1801730920535047E-2</v>
      </c>
      <c r="O738" s="1137">
        <f t="shared" si="62"/>
        <v>-1.1833150479977501E-2</v>
      </c>
      <c r="P738" s="1138"/>
    </row>
    <row r="739" spans="6:16" x14ac:dyDescent="0.2">
      <c r="F739" s="1137">
        <f t="shared" si="61"/>
        <v>3.7952916297760578E-3</v>
      </c>
      <c r="G739" s="1138"/>
      <c r="H739" s="520">
        <v>9430.44</v>
      </c>
      <c r="I739" s="512">
        <v>43096</v>
      </c>
      <c r="J739" s="254">
        <f t="shared" si="58"/>
        <v>3.8267111892185124E-3</v>
      </c>
      <c r="L739" s="251">
        <f t="shared" si="59"/>
        <v>43096</v>
      </c>
      <c r="M739" s="513">
        <v>127.1</v>
      </c>
      <c r="N739" s="254">
        <f t="shared" si="60"/>
        <v>2.3659305993690705E-3</v>
      </c>
      <c r="O739" s="1137">
        <f t="shared" si="62"/>
        <v>2.3345110399266159E-3</v>
      </c>
      <c r="P739" s="1138"/>
    </row>
    <row r="740" spans="6:16" x14ac:dyDescent="0.2">
      <c r="F740" s="1137">
        <f t="shared" si="61"/>
        <v>-3.2336536960222836E-3</v>
      </c>
      <c r="G740" s="1138"/>
      <c r="H740" s="520">
        <v>9394.49</v>
      </c>
      <c r="I740" s="512">
        <v>43091</v>
      </c>
      <c r="J740" s="254">
        <f t="shared" si="58"/>
        <v>-3.202234136579829E-3</v>
      </c>
      <c r="L740" s="251">
        <f t="shared" si="59"/>
        <v>43091</v>
      </c>
      <c r="M740" s="513">
        <v>126.8</v>
      </c>
      <c r="N740" s="254">
        <f t="shared" si="60"/>
        <v>-1.5748031496063408E-3</v>
      </c>
      <c r="O740" s="1137">
        <f t="shared" si="62"/>
        <v>-1.6062227090487954E-3</v>
      </c>
      <c r="P740" s="1138"/>
    </row>
    <row r="741" spans="6:16" x14ac:dyDescent="0.2">
      <c r="F741" s="1137">
        <f t="shared" si="61"/>
        <v>1.1760529407956759E-2</v>
      </c>
      <c r="G741" s="1138"/>
      <c r="H741" s="520">
        <v>9424.67</v>
      </c>
      <c r="I741" s="512">
        <v>43090</v>
      </c>
      <c r="J741" s="254">
        <f t="shared" si="58"/>
        <v>1.1791948967399213E-2</v>
      </c>
      <c r="L741" s="251">
        <f t="shared" si="59"/>
        <v>43090</v>
      </c>
      <c r="M741" s="513">
        <v>127</v>
      </c>
      <c r="N741" s="254">
        <f t="shared" si="60"/>
        <v>7.9365079365079083E-3</v>
      </c>
      <c r="O741" s="1137">
        <f t="shared" si="62"/>
        <v>7.9050883770654546E-3</v>
      </c>
      <c r="P741" s="1138"/>
    </row>
    <row r="742" spans="6:16" x14ac:dyDescent="0.2">
      <c r="F742" s="1137">
        <f t="shared" si="61"/>
        <v>-9.0045522935029831E-3</v>
      </c>
      <c r="G742" s="1138"/>
      <c r="H742" s="520">
        <v>9314.83</v>
      </c>
      <c r="I742" s="512">
        <v>43089</v>
      </c>
      <c r="J742" s="254">
        <f t="shared" si="58"/>
        <v>-8.9731327340605294E-3</v>
      </c>
      <c r="L742" s="251">
        <f t="shared" si="59"/>
        <v>43089</v>
      </c>
      <c r="M742" s="513">
        <v>126</v>
      </c>
      <c r="N742" s="254">
        <f t="shared" si="60"/>
        <v>-3.1645569620253333E-3</v>
      </c>
      <c r="O742" s="1137">
        <f t="shared" si="62"/>
        <v>-3.1959765214677879E-3</v>
      </c>
      <c r="P742" s="1138"/>
    </row>
    <row r="743" spans="6:16" x14ac:dyDescent="0.2">
      <c r="F743" s="1137">
        <f t="shared" si="61"/>
        <v>-5.654377732674006E-3</v>
      </c>
      <c r="G743" s="1138"/>
      <c r="H743" s="520">
        <v>9399.17</v>
      </c>
      <c r="I743" s="512">
        <v>43088</v>
      </c>
      <c r="J743" s="254">
        <f t="shared" si="58"/>
        <v>-5.6229581732315514E-3</v>
      </c>
      <c r="L743" s="251">
        <f t="shared" si="59"/>
        <v>43088</v>
      </c>
      <c r="M743" s="513">
        <v>126.4</v>
      </c>
      <c r="N743" s="254">
        <f t="shared" si="60"/>
        <v>-4.7244094488188004E-3</v>
      </c>
      <c r="O743" s="1137">
        <f t="shared" si="62"/>
        <v>-4.755829008261255E-3</v>
      </c>
      <c r="P743" s="1138"/>
    </row>
    <row r="744" spans="6:16" x14ac:dyDescent="0.2">
      <c r="F744" s="1137">
        <f t="shared" si="61"/>
        <v>6.1007548238009726E-3</v>
      </c>
      <c r="G744" s="1138"/>
      <c r="H744" s="520">
        <v>9452.32</v>
      </c>
      <c r="I744" s="512">
        <v>43087</v>
      </c>
      <c r="J744" s="254">
        <f t="shared" si="58"/>
        <v>6.1321743832434272E-3</v>
      </c>
      <c r="L744" s="251">
        <f t="shared" si="59"/>
        <v>43087</v>
      </c>
      <c r="M744" s="513">
        <v>127</v>
      </c>
      <c r="N744" s="254">
        <f t="shared" si="60"/>
        <v>-3.9215686274509665E-3</v>
      </c>
      <c r="O744" s="1137">
        <f t="shared" si="62"/>
        <v>-3.952988186893421E-3</v>
      </c>
      <c r="P744" s="1138"/>
    </row>
    <row r="745" spans="6:16" x14ac:dyDescent="0.2">
      <c r="F745" s="1137">
        <f t="shared" si="61"/>
        <v>1.2144479757433971E-3</v>
      </c>
      <c r="G745" s="1138"/>
      <c r="H745" s="520">
        <v>9394.7099999999991</v>
      </c>
      <c r="I745" s="512">
        <v>43084</v>
      </c>
      <c r="J745" s="254">
        <f t="shared" si="58"/>
        <v>1.2458675351858517E-3</v>
      </c>
      <c r="L745" s="251">
        <f t="shared" si="59"/>
        <v>43084</v>
      </c>
      <c r="M745" s="513">
        <v>127.5</v>
      </c>
      <c r="N745" s="254">
        <f t="shared" si="60"/>
        <v>-2.5229357798165264E-2</v>
      </c>
      <c r="O745" s="1137">
        <f t="shared" si="62"/>
        <v>-2.5260777357607719E-2</v>
      </c>
      <c r="P745" s="1138"/>
    </row>
    <row r="746" spans="6:16" x14ac:dyDescent="0.2">
      <c r="F746" s="1137">
        <f t="shared" si="61"/>
        <v>-1.2587268812405536E-3</v>
      </c>
      <c r="G746" s="1138"/>
      <c r="H746" s="520">
        <v>9383.02</v>
      </c>
      <c r="I746" s="512">
        <v>43083</v>
      </c>
      <c r="J746" s="254">
        <f t="shared" si="58"/>
        <v>-1.227307321798099E-3</v>
      </c>
      <c r="L746" s="251">
        <f t="shared" si="59"/>
        <v>43083</v>
      </c>
      <c r="M746" s="513">
        <v>130.80000000000001</v>
      </c>
      <c r="N746" s="254">
        <f t="shared" si="60"/>
        <v>5.3804765564950952E-3</v>
      </c>
      <c r="O746" s="1137">
        <f t="shared" si="62"/>
        <v>5.3490569970526406E-3</v>
      </c>
      <c r="P746" s="1138"/>
    </row>
    <row r="747" spans="6:16" x14ac:dyDescent="0.2">
      <c r="F747" s="1137">
        <f t="shared" si="61"/>
        <v>3.5086454521315461E-3</v>
      </c>
      <c r="G747" s="1138"/>
      <c r="H747" s="520">
        <v>9394.5499999999993</v>
      </c>
      <c r="I747" s="512">
        <v>43082</v>
      </c>
      <c r="J747" s="254">
        <f t="shared" si="58"/>
        <v>3.5400650115740007E-3</v>
      </c>
      <c r="L747" s="251">
        <f t="shared" si="59"/>
        <v>43082</v>
      </c>
      <c r="M747" s="513">
        <v>130.1</v>
      </c>
      <c r="N747" s="254">
        <f t="shared" si="60"/>
        <v>1.9592476489028288E-2</v>
      </c>
      <c r="O747" s="1137">
        <f t="shared" si="62"/>
        <v>1.9561056929585832E-2</v>
      </c>
      <c r="P747" s="1138"/>
    </row>
    <row r="748" spans="6:16" x14ac:dyDescent="0.2">
      <c r="F748" s="1137">
        <f t="shared" si="61"/>
        <v>4.9767610055961456E-3</v>
      </c>
      <c r="G748" s="1138"/>
      <c r="H748" s="520">
        <v>9361.41</v>
      </c>
      <c r="I748" s="512">
        <v>43081</v>
      </c>
      <c r="J748" s="254">
        <f t="shared" si="58"/>
        <v>5.0081805650386002E-3</v>
      </c>
      <c r="L748" s="251">
        <f t="shared" si="59"/>
        <v>43081</v>
      </c>
      <c r="M748" s="513">
        <v>127.6</v>
      </c>
      <c r="N748" s="254">
        <f t="shared" si="60"/>
        <v>4.7244094488188004E-3</v>
      </c>
      <c r="O748" s="1137">
        <f t="shared" si="62"/>
        <v>4.6929898893763458E-3</v>
      </c>
      <c r="P748" s="1138"/>
    </row>
    <row r="749" spans="6:16" x14ac:dyDescent="0.2">
      <c r="F749" s="1137">
        <f t="shared" si="61"/>
        <v>-5.0356511762576675E-4</v>
      </c>
      <c r="G749" s="1138"/>
      <c r="H749" s="520">
        <v>9314.76</v>
      </c>
      <c r="I749" s="512">
        <v>43080</v>
      </c>
      <c r="J749" s="254">
        <f t="shared" si="58"/>
        <v>-4.7214555818331227E-4</v>
      </c>
      <c r="L749" s="251">
        <f t="shared" si="59"/>
        <v>43080</v>
      </c>
      <c r="M749" s="513">
        <v>127</v>
      </c>
      <c r="N749" s="254">
        <f t="shared" si="60"/>
        <v>-3.2749428789032864E-2</v>
      </c>
      <c r="O749" s="1137">
        <f t="shared" si="62"/>
        <v>-3.2780848348475319E-2</v>
      </c>
      <c r="P749" s="1138"/>
    </row>
    <row r="750" spans="6:16" x14ac:dyDescent="0.2">
      <c r="F750" s="1137">
        <f t="shared" si="61"/>
        <v>5.2098978568543989E-3</v>
      </c>
      <c r="G750" s="1138"/>
      <c r="H750" s="520">
        <v>9319.16</v>
      </c>
      <c r="I750" s="512">
        <v>43077</v>
      </c>
      <c r="J750" s="254">
        <f t="shared" si="58"/>
        <v>5.2413174162968534E-3</v>
      </c>
      <c r="L750" s="251">
        <f t="shared" si="59"/>
        <v>43077</v>
      </c>
      <c r="M750" s="513">
        <v>131.30000000000001</v>
      </c>
      <c r="N750" s="254">
        <f t="shared" si="60"/>
        <v>1.6253869969040435E-2</v>
      </c>
      <c r="O750" s="1137">
        <f t="shared" si="62"/>
        <v>1.622245040959798E-2</v>
      </c>
      <c r="P750" s="1138"/>
    </row>
    <row r="751" spans="6:16" x14ac:dyDescent="0.2">
      <c r="F751" s="1137">
        <f t="shared" si="61"/>
        <v>-4.2655809280367904E-3</v>
      </c>
      <c r="G751" s="1138"/>
      <c r="H751" s="520">
        <v>9270.57</v>
      </c>
      <c r="I751" s="512">
        <v>43076</v>
      </c>
      <c r="J751" s="254">
        <f t="shared" si="58"/>
        <v>-4.2341613685943358E-3</v>
      </c>
      <c r="L751" s="251">
        <f t="shared" si="59"/>
        <v>43076</v>
      </c>
      <c r="M751" s="513">
        <v>129.19999999999999</v>
      </c>
      <c r="N751" s="254">
        <f t="shared" si="60"/>
        <v>1.0164190774042181E-2</v>
      </c>
      <c r="O751" s="1137">
        <f t="shared" si="62"/>
        <v>1.0132771214599727E-2</v>
      </c>
      <c r="P751" s="1138"/>
    </row>
    <row r="752" spans="6:16" x14ac:dyDescent="0.2">
      <c r="F752" s="1137">
        <f t="shared" si="61"/>
        <v>2.2368742788078802E-3</v>
      </c>
      <c r="G752" s="1138"/>
      <c r="H752" s="520">
        <v>9309.99</v>
      </c>
      <c r="I752" s="512">
        <v>43075</v>
      </c>
      <c r="J752" s="254">
        <f t="shared" si="58"/>
        <v>2.2682938382503348E-3</v>
      </c>
      <c r="L752" s="251">
        <f t="shared" si="59"/>
        <v>43075</v>
      </c>
      <c r="M752" s="513">
        <v>127.9</v>
      </c>
      <c r="N752" s="254">
        <f t="shared" si="60"/>
        <v>-1.4637904468412954E-2</v>
      </c>
      <c r="O752" s="1137">
        <f t="shared" si="62"/>
        <v>-1.4669324027855408E-2</v>
      </c>
      <c r="P752" s="1138"/>
    </row>
    <row r="753" spans="6:16" x14ac:dyDescent="0.2">
      <c r="F753" s="1137">
        <f t="shared" si="61"/>
        <v>-4.2882075336679168E-3</v>
      </c>
      <c r="G753" s="1138"/>
      <c r="H753" s="520">
        <v>9288.92</v>
      </c>
      <c r="I753" s="512">
        <v>43074</v>
      </c>
      <c r="J753" s="254">
        <f t="shared" si="58"/>
        <v>-4.2567879742254622E-3</v>
      </c>
      <c r="L753" s="251">
        <f t="shared" si="59"/>
        <v>43074</v>
      </c>
      <c r="M753" s="513">
        <v>129.80000000000001</v>
      </c>
      <c r="N753" s="254">
        <f t="shared" si="60"/>
        <v>-1.5174506828528056E-2</v>
      </c>
      <c r="O753" s="1137">
        <f t="shared" si="62"/>
        <v>-1.520592638797051E-2</v>
      </c>
      <c r="P753" s="1138"/>
    </row>
    <row r="754" spans="6:16" x14ac:dyDescent="0.2">
      <c r="F754" s="1137">
        <f t="shared" si="61"/>
        <v>5.799591109538719E-3</v>
      </c>
      <c r="G754" s="1138"/>
      <c r="H754" s="520">
        <v>9328.6299999999992</v>
      </c>
      <c r="I754" s="512">
        <v>43073</v>
      </c>
      <c r="J754" s="254">
        <f t="shared" si="58"/>
        <v>5.8310106689811736E-3</v>
      </c>
      <c r="L754" s="251">
        <f t="shared" si="59"/>
        <v>43073</v>
      </c>
      <c r="M754" s="513">
        <v>131.80000000000001</v>
      </c>
      <c r="N754" s="254">
        <f t="shared" si="60"/>
        <v>5.271565495207664E-2</v>
      </c>
      <c r="O754" s="1137">
        <f t="shared" si="62"/>
        <v>5.2684235392634185E-2</v>
      </c>
      <c r="P754" s="1138"/>
    </row>
    <row r="755" spans="6:16" x14ac:dyDescent="0.2">
      <c r="F755" s="1137">
        <f t="shared" si="61"/>
        <v>-4.7766810048908556E-3</v>
      </c>
      <c r="G755" s="1138"/>
      <c r="H755" s="520">
        <v>9274.5499999999993</v>
      </c>
      <c r="I755" s="512">
        <v>43070</v>
      </c>
      <c r="J755" s="254">
        <f t="shared" si="58"/>
        <v>-4.745261445448401E-3</v>
      </c>
      <c r="L755" s="251">
        <f t="shared" si="59"/>
        <v>43070</v>
      </c>
      <c r="M755" s="513">
        <v>125.2</v>
      </c>
      <c r="N755" s="254">
        <f t="shared" si="60"/>
        <v>3.13014827018121E-2</v>
      </c>
      <c r="O755" s="1137">
        <f t="shared" si="62"/>
        <v>3.1270063142369645E-2</v>
      </c>
      <c r="P755" s="1138"/>
    </row>
    <row r="756" spans="6:16" x14ac:dyDescent="0.2">
      <c r="F756" s="1137">
        <f t="shared" si="61"/>
        <v>1.5108581967208804E-3</v>
      </c>
      <c r="G756" s="1138"/>
      <c r="H756" s="520">
        <v>9318.77</v>
      </c>
      <c r="I756" s="512">
        <v>43069</v>
      </c>
      <c r="J756" s="254">
        <f t="shared" si="58"/>
        <v>1.542277756163335E-3</v>
      </c>
      <c r="L756" s="251">
        <f t="shared" si="59"/>
        <v>43069</v>
      </c>
      <c r="M756" s="513">
        <v>121.4</v>
      </c>
      <c r="N756" s="254">
        <f t="shared" si="60"/>
        <v>-1.6447368421051989E-3</v>
      </c>
      <c r="O756" s="1137">
        <f t="shared" si="62"/>
        <v>-1.6761564015476535E-3</v>
      </c>
      <c r="P756" s="1138"/>
    </row>
    <row r="757" spans="6:16" x14ac:dyDescent="0.2">
      <c r="F757" s="1137">
        <f t="shared" si="61"/>
        <v>-1.7502225344093033E-3</v>
      </c>
      <c r="G757" s="1138"/>
      <c r="H757" s="520">
        <v>9304.42</v>
      </c>
      <c r="I757" s="512">
        <v>43068</v>
      </c>
      <c r="J757" s="254">
        <f t="shared" si="58"/>
        <v>-1.7188029749668488E-3</v>
      </c>
      <c r="L757" s="251">
        <f t="shared" si="59"/>
        <v>43068</v>
      </c>
      <c r="M757" s="513">
        <v>121.6</v>
      </c>
      <c r="N757" s="254">
        <f t="shared" si="60"/>
        <v>-3.5685963521015052E-2</v>
      </c>
      <c r="O757" s="1137">
        <f t="shared" si="62"/>
        <v>-3.5717383080457507E-2</v>
      </c>
      <c r="P757" s="1138"/>
    </row>
    <row r="758" spans="6:16" x14ac:dyDescent="0.2">
      <c r="F758" s="1137">
        <f t="shared" si="61"/>
        <v>6.0186279882105823E-3</v>
      </c>
      <c r="G758" s="1138"/>
      <c r="H758" s="520">
        <v>9320.44</v>
      </c>
      <c r="I758" s="512">
        <v>43067</v>
      </c>
      <c r="J758" s="254">
        <f t="shared" si="58"/>
        <v>6.0500475476530369E-3</v>
      </c>
      <c r="L758" s="251">
        <f t="shared" si="59"/>
        <v>43067</v>
      </c>
      <c r="M758" s="513">
        <v>126.1</v>
      </c>
      <c r="N758" s="254">
        <f t="shared" si="60"/>
        <v>-7.9239302694145142E-4</v>
      </c>
      <c r="O758" s="1137">
        <f t="shared" si="62"/>
        <v>-8.2381258638390589E-4</v>
      </c>
      <c r="P758" s="1138"/>
    </row>
    <row r="759" spans="6:16" x14ac:dyDescent="0.2">
      <c r="F759" s="1137">
        <f t="shared" si="61"/>
        <v>-6.5950723002849284E-3</v>
      </c>
      <c r="G759" s="1138"/>
      <c r="H759" s="520">
        <v>9264.39</v>
      </c>
      <c r="I759" s="512">
        <v>43066</v>
      </c>
      <c r="J759" s="254">
        <f t="shared" si="58"/>
        <v>-6.5636527408424739E-3</v>
      </c>
      <c r="L759" s="251">
        <f t="shared" si="59"/>
        <v>43066</v>
      </c>
      <c r="M759" s="513">
        <v>126.2</v>
      </c>
      <c r="N759" s="254">
        <f t="shared" si="60"/>
        <v>-7.9176563737126671E-4</v>
      </c>
      <c r="O759" s="1137">
        <f t="shared" si="62"/>
        <v>-8.2318519681372118E-4</v>
      </c>
      <c r="P759" s="1138"/>
    </row>
    <row r="760" spans="6:16" x14ac:dyDescent="0.2">
      <c r="F760" s="1137">
        <f t="shared" si="61"/>
        <v>1.0463471019285945E-3</v>
      </c>
      <c r="G760" s="1138"/>
      <c r="H760" s="520">
        <v>9325.6</v>
      </c>
      <c r="I760" s="512">
        <v>43063</v>
      </c>
      <c r="J760" s="254">
        <f t="shared" si="58"/>
        <v>1.077766661371049E-3</v>
      </c>
      <c r="L760" s="251">
        <f t="shared" si="59"/>
        <v>43063</v>
      </c>
      <c r="M760" s="513">
        <v>126.3</v>
      </c>
      <c r="N760" s="254">
        <f t="shared" si="60"/>
        <v>-4.7281323877069736E-3</v>
      </c>
      <c r="O760" s="1137">
        <f t="shared" si="62"/>
        <v>-4.7595519471494282E-3</v>
      </c>
      <c r="P760" s="1138"/>
    </row>
    <row r="761" spans="6:16" x14ac:dyDescent="0.2">
      <c r="F761" s="1137">
        <f t="shared" si="61"/>
        <v>2.5213579313451842E-3</v>
      </c>
      <c r="G761" s="1138"/>
      <c r="H761" s="520">
        <v>9315.56</v>
      </c>
      <c r="I761" s="512">
        <v>43062</v>
      </c>
      <c r="J761" s="254">
        <f t="shared" si="58"/>
        <v>2.5527774907876388E-3</v>
      </c>
      <c r="L761" s="251">
        <f t="shared" si="59"/>
        <v>43062</v>
      </c>
      <c r="M761" s="513">
        <v>126.9</v>
      </c>
      <c r="N761" s="254">
        <f t="shared" si="60"/>
        <v>3.4229828850855792E-2</v>
      </c>
      <c r="O761" s="1137">
        <f t="shared" si="62"/>
        <v>3.4198409291413337E-2</v>
      </c>
      <c r="P761" s="1138"/>
    </row>
    <row r="762" spans="6:16" x14ac:dyDescent="0.2">
      <c r="F762" s="1137">
        <f t="shared" si="61"/>
        <v>-3.5372262864303136E-3</v>
      </c>
      <c r="G762" s="1138"/>
      <c r="H762" s="520">
        <v>9291.84</v>
      </c>
      <c r="I762" s="512">
        <v>43061</v>
      </c>
      <c r="J762" s="254">
        <f t="shared" si="58"/>
        <v>-3.505806726987859E-3</v>
      </c>
      <c r="L762" s="251">
        <f t="shared" si="59"/>
        <v>43061</v>
      </c>
      <c r="M762" s="513">
        <v>122.7</v>
      </c>
      <c r="N762" s="254">
        <f t="shared" si="60"/>
        <v>-2.1531100478468956E-2</v>
      </c>
      <c r="O762" s="1137">
        <f t="shared" si="62"/>
        <v>-2.1562520037911412E-2</v>
      </c>
      <c r="P762" s="1138"/>
    </row>
    <row r="763" spans="6:16" x14ac:dyDescent="0.2">
      <c r="F763" s="1137">
        <f t="shared" si="61"/>
        <v>2.6482627068031431E-3</v>
      </c>
      <c r="G763" s="1138"/>
      <c r="H763" s="520">
        <v>9324.5300000000007</v>
      </c>
      <c r="I763" s="512">
        <v>43060</v>
      </c>
      <c r="J763" s="254">
        <f t="shared" si="58"/>
        <v>2.6796822662455977E-3</v>
      </c>
      <c r="L763" s="251">
        <f t="shared" si="59"/>
        <v>43060</v>
      </c>
      <c r="M763" s="513">
        <v>125.4</v>
      </c>
      <c r="N763" s="254">
        <f t="shared" si="60"/>
        <v>1.4563106796116498E-2</v>
      </c>
      <c r="O763" s="1137">
        <f t="shared" si="62"/>
        <v>1.4531687236674045E-2</v>
      </c>
      <c r="P763" s="1138"/>
    </row>
    <row r="764" spans="6:16" x14ac:dyDescent="0.2">
      <c r="F764" s="1137">
        <f t="shared" si="61"/>
        <v>1.2599778847284209E-2</v>
      </c>
      <c r="G764" s="1138"/>
      <c r="H764" s="520">
        <v>9299.61</v>
      </c>
      <c r="I764" s="512">
        <v>43059</v>
      </c>
      <c r="J764" s="254">
        <f t="shared" si="58"/>
        <v>1.2631198406726662E-2</v>
      </c>
      <c r="L764" s="251">
        <f t="shared" si="59"/>
        <v>43059</v>
      </c>
      <c r="M764" s="513">
        <v>123.6</v>
      </c>
      <c r="N764" s="254">
        <f t="shared" si="60"/>
        <v>1.6447368421052655E-2</v>
      </c>
      <c r="O764" s="1137">
        <f t="shared" si="62"/>
        <v>1.64159488616102E-2</v>
      </c>
      <c r="P764" s="1138"/>
    </row>
    <row r="765" spans="6:16" x14ac:dyDescent="0.2">
      <c r="F765" s="1137">
        <f t="shared" si="61"/>
        <v>3.9907433343284318E-3</v>
      </c>
      <c r="G765" s="1138"/>
      <c r="H765" s="520">
        <v>9183.61</v>
      </c>
      <c r="I765" s="512">
        <v>43056</v>
      </c>
      <c r="J765" s="254">
        <f t="shared" si="58"/>
        <v>4.0221628937708864E-3</v>
      </c>
      <c r="L765" s="251">
        <f t="shared" si="59"/>
        <v>43056</v>
      </c>
      <c r="M765" s="513">
        <v>121.6</v>
      </c>
      <c r="N765" s="254">
        <f t="shared" si="60"/>
        <v>-1.6420361247947435E-3</v>
      </c>
      <c r="O765" s="1137">
        <f t="shared" si="62"/>
        <v>-1.6734556842371981E-3</v>
      </c>
      <c r="P765" s="1138"/>
    </row>
    <row r="766" spans="6:16" x14ac:dyDescent="0.2">
      <c r="F766" s="1137">
        <f t="shared" si="61"/>
        <v>6.2692223865285649E-3</v>
      </c>
      <c r="G766" s="1138"/>
      <c r="H766" s="520">
        <v>9146.82</v>
      </c>
      <c r="I766" s="512">
        <v>43055</v>
      </c>
      <c r="J766" s="254">
        <f t="shared" si="58"/>
        <v>6.3006419459710195E-3</v>
      </c>
      <c r="L766" s="251">
        <f t="shared" si="59"/>
        <v>43055</v>
      </c>
      <c r="M766" s="513">
        <v>121.8</v>
      </c>
      <c r="N766" s="254">
        <f t="shared" si="60"/>
        <v>2.267002518891692E-2</v>
      </c>
      <c r="O766" s="1137">
        <f t="shared" si="62"/>
        <v>2.2638605629474465E-2</v>
      </c>
      <c r="P766" s="1138"/>
    </row>
    <row r="767" spans="6:16" x14ac:dyDescent="0.2">
      <c r="F767" s="1137">
        <f t="shared" si="61"/>
        <v>-4.5142068827814094E-3</v>
      </c>
      <c r="G767" s="1138"/>
      <c r="H767" s="520">
        <v>9089.5499999999993</v>
      </c>
      <c r="I767" s="512">
        <v>43054</v>
      </c>
      <c r="J767" s="254">
        <f t="shared" si="58"/>
        <v>-4.4827873233389548E-3</v>
      </c>
      <c r="L767" s="251">
        <f t="shared" si="59"/>
        <v>43054</v>
      </c>
      <c r="M767" s="513">
        <v>119.1</v>
      </c>
      <c r="N767" s="254">
        <f t="shared" si="60"/>
        <v>8.4674005080440651E-3</v>
      </c>
      <c r="O767" s="1137">
        <f t="shared" si="62"/>
        <v>8.4359809486016114E-3</v>
      </c>
      <c r="P767" s="1138"/>
    </row>
    <row r="768" spans="6:16" x14ac:dyDescent="0.2">
      <c r="F768" s="1137">
        <f t="shared" si="61"/>
        <v>-3.5522004612251043E-3</v>
      </c>
      <c r="G768" s="1138"/>
      <c r="H768" s="520">
        <v>9130.48</v>
      </c>
      <c r="I768" s="512">
        <v>43053</v>
      </c>
      <c r="J768" s="254">
        <f t="shared" si="58"/>
        <v>-3.5207809017826497E-3</v>
      </c>
      <c r="L768" s="251">
        <f t="shared" si="59"/>
        <v>43053</v>
      </c>
      <c r="M768" s="513">
        <v>118.1</v>
      </c>
      <c r="N768" s="254">
        <f t="shared" si="60"/>
        <v>-2.5337837837838828E-3</v>
      </c>
      <c r="O768" s="1137">
        <f t="shared" si="62"/>
        <v>-2.5652033432263374E-3</v>
      </c>
      <c r="P768" s="1138"/>
    </row>
    <row r="769" spans="6:16" x14ac:dyDescent="0.2">
      <c r="F769" s="1137">
        <f t="shared" si="61"/>
        <v>3.0974943198853336E-3</v>
      </c>
      <c r="G769" s="1138"/>
      <c r="H769" s="520">
        <v>9162.74</v>
      </c>
      <c r="I769" s="512">
        <v>43052</v>
      </c>
      <c r="J769" s="254">
        <f t="shared" si="58"/>
        <v>3.1289138793277882E-3</v>
      </c>
      <c r="L769" s="251">
        <f t="shared" si="59"/>
        <v>43052</v>
      </c>
      <c r="M769" s="513">
        <v>118.4</v>
      </c>
      <c r="N769" s="254">
        <f t="shared" si="60"/>
        <v>-1.2510425354462007E-2</v>
      </c>
      <c r="O769" s="1137">
        <f t="shared" si="62"/>
        <v>-1.2541844913904461E-2</v>
      </c>
      <c r="P769" s="1138"/>
    </row>
    <row r="770" spans="6:16" x14ac:dyDescent="0.2">
      <c r="F770" s="1137">
        <f t="shared" si="61"/>
        <v>-4.7885405315251503E-3</v>
      </c>
      <c r="G770" s="1138"/>
      <c r="H770" s="520">
        <v>9134.16</v>
      </c>
      <c r="I770" s="512">
        <v>43049</v>
      </c>
      <c r="J770" s="254">
        <f t="shared" si="58"/>
        <v>-4.7571209720826957E-3</v>
      </c>
      <c r="L770" s="251">
        <f t="shared" si="59"/>
        <v>43049</v>
      </c>
      <c r="M770" s="513">
        <v>119.9</v>
      </c>
      <c r="N770" s="254">
        <f t="shared" si="60"/>
        <v>-5.8043117744609463E-3</v>
      </c>
      <c r="O770" s="1137">
        <f t="shared" si="62"/>
        <v>-5.8357313339034008E-3</v>
      </c>
      <c r="P770" s="1138"/>
    </row>
    <row r="771" spans="6:16" x14ac:dyDescent="0.2">
      <c r="F771" s="1137">
        <f t="shared" si="61"/>
        <v>-9.5297591577299511E-3</v>
      </c>
      <c r="G771" s="1138"/>
      <c r="H771" s="520">
        <v>9177.82</v>
      </c>
      <c r="I771" s="512">
        <v>43048</v>
      </c>
      <c r="J771" s="254">
        <f t="shared" si="58"/>
        <v>-9.4983395982874974E-3</v>
      </c>
      <c r="L771" s="251">
        <f t="shared" si="59"/>
        <v>43048</v>
      </c>
      <c r="M771" s="513">
        <v>120.6</v>
      </c>
      <c r="N771" s="254">
        <f t="shared" si="60"/>
        <v>-6.5897858319605707E-3</v>
      </c>
      <c r="O771" s="1137">
        <f t="shared" si="62"/>
        <v>-6.6212053914030252E-3</v>
      </c>
      <c r="P771" s="1138"/>
    </row>
    <row r="772" spans="6:16" x14ac:dyDescent="0.2">
      <c r="F772" s="1137">
        <f t="shared" si="61"/>
        <v>4.9218567394504068E-3</v>
      </c>
      <c r="G772" s="1138"/>
      <c r="H772" s="520">
        <v>9265.83</v>
      </c>
      <c r="I772" s="512">
        <v>43047</v>
      </c>
      <c r="J772" s="254">
        <f t="shared" si="58"/>
        <v>4.9532762988928614E-3</v>
      </c>
      <c r="L772" s="251">
        <f t="shared" si="59"/>
        <v>43047</v>
      </c>
      <c r="M772" s="513">
        <v>121.4</v>
      </c>
      <c r="N772" s="254">
        <f t="shared" si="60"/>
        <v>4.9668874172186239E-3</v>
      </c>
      <c r="O772" s="1137">
        <f t="shared" si="62"/>
        <v>4.9354678577761693E-3</v>
      </c>
      <c r="P772" s="1138"/>
    </row>
    <row r="773" spans="6:16" x14ac:dyDescent="0.2">
      <c r="F773" s="1137">
        <f t="shared" si="61"/>
        <v>-7.4188267323973952E-3</v>
      </c>
      <c r="G773" s="1138"/>
      <c r="H773" s="520">
        <v>9220.16</v>
      </c>
      <c r="I773" s="512">
        <v>43046</v>
      </c>
      <c r="J773" s="254">
        <f t="shared" si="58"/>
        <v>-7.3874071729549406E-3</v>
      </c>
      <c r="L773" s="251">
        <f t="shared" si="59"/>
        <v>43046</v>
      </c>
      <c r="M773" s="513">
        <v>120.8</v>
      </c>
      <c r="N773" s="254">
        <f t="shared" si="60"/>
        <v>-7.395234182415833E-3</v>
      </c>
      <c r="O773" s="1137">
        <f t="shared" si="62"/>
        <v>-7.4266537418582875E-3</v>
      </c>
      <c r="P773" s="1138"/>
    </row>
    <row r="774" spans="6:16" x14ac:dyDescent="0.2">
      <c r="F774" s="1137">
        <f t="shared" si="61"/>
        <v>-3.6003770312430924E-3</v>
      </c>
      <c r="G774" s="1138"/>
      <c r="H774" s="520">
        <v>9288.7800000000007</v>
      </c>
      <c r="I774" s="512">
        <v>43045</v>
      </c>
      <c r="J774" s="254">
        <f t="shared" si="58"/>
        <v>-3.5689574718006378E-3</v>
      </c>
      <c r="L774" s="251">
        <f t="shared" si="59"/>
        <v>43045</v>
      </c>
      <c r="M774" s="513">
        <v>121.7</v>
      </c>
      <c r="N774" s="254">
        <f t="shared" si="60"/>
        <v>2.8740490278951869E-2</v>
      </c>
      <c r="O774" s="1137">
        <f t="shared" si="62"/>
        <v>2.8709070719509414E-2</v>
      </c>
      <c r="P774" s="1138"/>
    </row>
    <row r="775" spans="6:16" x14ac:dyDescent="0.2">
      <c r="F775" s="1137">
        <f t="shared" si="61"/>
        <v>4.5377182851959611E-3</v>
      </c>
      <c r="G775" s="1138"/>
      <c r="H775" s="520">
        <v>9322.0499999999993</v>
      </c>
      <c r="I775" s="512">
        <v>43042</v>
      </c>
      <c r="J775" s="254">
        <f t="shared" si="58"/>
        <v>4.5691378446384157E-3</v>
      </c>
      <c r="L775" s="251">
        <f t="shared" si="59"/>
        <v>43042</v>
      </c>
      <c r="M775" s="513">
        <v>118.3</v>
      </c>
      <c r="N775" s="254">
        <f t="shared" si="60"/>
        <v>1.8072289156626509E-2</v>
      </c>
      <c r="O775" s="1137">
        <f t="shared" si="62"/>
        <v>1.8040869597184053E-2</v>
      </c>
      <c r="P775" s="1138"/>
    </row>
    <row r="776" spans="6:16" x14ac:dyDescent="0.2">
      <c r="F776" s="1137">
        <f t="shared" si="61"/>
        <v>1.2450402768513094E-3</v>
      </c>
      <c r="G776" s="1138"/>
      <c r="H776" s="520">
        <v>9279.65</v>
      </c>
      <c r="I776" s="512">
        <v>43041</v>
      </c>
      <c r="J776" s="254">
        <f t="shared" si="58"/>
        <v>1.276459836293764E-3</v>
      </c>
      <c r="L776" s="251">
        <f t="shared" si="59"/>
        <v>43041</v>
      </c>
      <c r="M776" s="513">
        <v>116.2</v>
      </c>
      <c r="N776" s="254">
        <f t="shared" si="60"/>
        <v>-2.1885521885521841E-2</v>
      </c>
      <c r="O776" s="1137">
        <f t="shared" si="62"/>
        <v>-2.1916941444964297E-2</v>
      </c>
      <c r="P776" s="1138"/>
    </row>
    <row r="777" spans="6:16" x14ac:dyDescent="0.2">
      <c r="F777" s="1137">
        <f t="shared" si="61"/>
        <v>2.7428176876138225E-3</v>
      </c>
      <c r="G777" s="1138"/>
      <c r="H777" s="520">
        <v>9267.82</v>
      </c>
      <c r="I777" s="512">
        <v>43040</v>
      </c>
      <c r="J777" s="254">
        <f t="shared" si="58"/>
        <v>2.7742372470562771E-3</v>
      </c>
      <c r="L777" s="251">
        <f t="shared" si="59"/>
        <v>43040</v>
      </c>
      <c r="M777" s="513">
        <v>118.8</v>
      </c>
      <c r="N777" s="254">
        <f t="shared" si="60"/>
        <v>3.125E-2</v>
      </c>
      <c r="O777" s="1137">
        <f t="shared" si="62"/>
        <v>3.1218580440557545E-2</v>
      </c>
      <c r="P777" s="1138"/>
    </row>
    <row r="778" spans="6:16" x14ac:dyDescent="0.2">
      <c r="F778" s="1137">
        <f t="shared" si="61"/>
        <v>7.2357593408900059E-3</v>
      </c>
      <c r="G778" s="1138"/>
      <c r="H778" s="520">
        <v>9242.18</v>
      </c>
      <c r="I778" s="512">
        <v>43039</v>
      </c>
      <c r="J778" s="254">
        <f t="shared" si="58"/>
        <v>7.2671789003324605E-3</v>
      </c>
      <c r="L778" s="251">
        <f t="shared" si="59"/>
        <v>43039</v>
      </c>
      <c r="M778" s="513">
        <v>115.2</v>
      </c>
      <c r="N778" s="254">
        <f t="shared" si="60"/>
        <v>9.6406660823840085E-3</v>
      </c>
      <c r="O778" s="1137">
        <f t="shared" si="62"/>
        <v>9.6092465229415547E-3</v>
      </c>
      <c r="P778" s="1138"/>
    </row>
    <row r="779" spans="6:16" x14ac:dyDescent="0.2">
      <c r="F779" s="1137">
        <f t="shared" si="61"/>
        <v>-8.9384336233937114E-4</v>
      </c>
      <c r="G779" s="1138"/>
      <c r="H779" s="520">
        <v>9175.5</v>
      </c>
      <c r="I779" s="512">
        <v>43038</v>
      </c>
      <c r="J779" s="254">
        <f t="shared" si="58"/>
        <v>-8.6242380289691667E-4</v>
      </c>
      <c r="L779" s="251">
        <f t="shared" si="59"/>
        <v>43038</v>
      </c>
      <c r="M779" s="513">
        <v>114.1</v>
      </c>
      <c r="N779" s="254">
        <f t="shared" si="60"/>
        <v>0</v>
      </c>
      <c r="O779" s="1137">
        <f t="shared" si="62"/>
        <v>-3.1419559442454485E-5</v>
      </c>
      <c r="P779" s="1138"/>
    </row>
    <row r="780" spans="6:16" x14ac:dyDescent="0.2">
      <c r="F780" s="1137">
        <f t="shared" si="61"/>
        <v>-1.8422733781048714E-3</v>
      </c>
      <c r="G780" s="1138"/>
      <c r="H780" s="520">
        <v>9183.42</v>
      </c>
      <c r="I780" s="512">
        <v>43035</v>
      </c>
      <c r="J780" s="254">
        <f t="shared" si="58"/>
        <v>-1.8108538186624168E-3</v>
      </c>
      <c r="L780" s="251">
        <f t="shared" si="59"/>
        <v>43035</v>
      </c>
      <c r="M780" s="513">
        <v>114.1</v>
      </c>
      <c r="N780" s="254">
        <f t="shared" si="60"/>
        <v>3.5180299032540052E-3</v>
      </c>
      <c r="O780" s="1137">
        <f t="shared" si="62"/>
        <v>3.4866103438115506E-3</v>
      </c>
      <c r="P780" s="1138"/>
    </row>
    <row r="781" spans="6:16" x14ac:dyDescent="0.2">
      <c r="F781" s="1137">
        <f t="shared" si="61"/>
        <v>1.2742632514304257E-2</v>
      </c>
      <c r="G781" s="1138"/>
      <c r="H781" s="520">
        <v>9200.08</v>
      </c>
      <c r="I781" s="512">
        <v>43034</v>
      </c>
      <c r="J781" s="254">
        <f t="shared" si="58"/>
        <v>1.2774052073746711E-2</v>
      </c>
      <c r="L781" s="251">
        <f t="shared" si="59"/>
        <v>43034</v>
      </c>
      <c r="M781" s="513">
        <v>113.7</v>
      </c>
      <c r="N781" s="254">
        <f t="shared" si="60"/>
        <v>1.6085790884718509E-2</v>
      </c>
      <c r="O781" s="1137">
        <f t="shared" si="62"/>
        <v>1.6054371325276054E-2</v>
      </c>
      <c r="P781" s="1138"/>
    </row>
    <row r="782" spans="6:16" x14ac:dyDescent="0.2">
      <c r="F782" s="1137">
        <f t="shared" si="61"/>
        <v>-1.2081656431427041E-2</v>
      </c>
      <c r="G782" s="1138"/>
      <c r="H782" s="520">
        <v>9084.0400000000009</v>
      </c>
      <c r="I782" s="512">
        <v>43033</v>
      </c>
      <c r="J782" s="254">
        <f t="shared" si="58"/>
        <v>-1.2050236871984588E-2</v>
      </c>
      <c r="L782" s="251">
        <f t="shared" si="59"/>
        <v>43033</v>
      </c>
      <c r="M782" s="513">
        <v>111.9</v>
      </c>
      <c r="N782" s="254">
        <f t="shared" si="60"/>
        <v>2.0054694621695512E-2</v>
      </c>
      <c r="O782" s="1137">
        <f t="shared" si="62"/>
        <v>2.0023275062253057E-2</v>
      </c>
      <c r="P782" s="1138"/>
    </row>
    <row r="783" spans="6:16" x14ac:dyDescent="0.2">
      <c r="F783" s="1137">
        <f t="shared" si="61"/>
        <v>-5.8323665248389131E-3</v>
      </c>
      <c r="G783" s="1138"/>
      <c r="H783" s="520">
        <v>9194.84</v>
      </c>
      <c r="I783" s="512">
        <v>43032</v>
      </c>
      <c r="J783" s="254">
        <f t="shared" si="58"/>
        <v>-5.8009469653964585E-3</v>
      </c>
      <c r="L783" s="251">
        <f t="shared" si="59"/>
        <v>43032</v>
      </c>
      <c r="M783" s="513">
        <v>109.7</v>
      </c>
      <c r="N783" s="254">
        <f t="shared" si="60"/>
        <v>-1.5260323159784539E-2</v>
      </c>
      <c r="O783" s="1137">
        <f t="shared" si="62"/>
        <v>-1.5291742719226993E-2</v>
      </c>
      <c r="P783" s="1138"/>
    </row>
    <row r="784" spans="6:16" x14ac:dyDescent="0.2">
      <c r="F784" s="1137">
        <f t="shared" si="61"/>
        <v>1.1983996592976479E-3</v>
      </c>
      <c r="G784" s="1138"/>
      <c r="H784" s="520">
        <v>9248.49</v>
      </c>
      <c r="I784" s="512">
        <v>43031</v>
      </c>
      <c r="J784" s="254">
        <f t="shared" si="58"/>
        <v>1.2298192187401025E-3</v>
      </c>
      <c r="L784" s="251">
        <f t="shared" si="59"/>
        <v>43031</v>
      </c>
      <c r="M784" s="513">
        <v>111.4</v>
      </c>
      <c r="N784" s="254">
        <f t="shared" si="60"/>
        <v>2.3897058823529438E-2</v>
      </c>
      <c r="O784" s="1137">
        <f t="shared" si="62"/>
        <v>2.3865639264086982E-2</v>
      </c>
      <c r="P784" s="1138"/>
    </row>
    <row r="785" spans="6:16" x14ac:dyDescent="0.2">
      <c r="F785" s="1137">
        <f t="shared" si="61"/>
        <v>3.5954726577687543E-4</v>
      </c>
      <c r="G785" s="1138"/>
      <c r="H785" s="520">
        <v>9237.1299999999992</v>
      </c>
      <c r="I785" s="512">
        <v>43028</v>
      </c>
      <c r="J785" s="254">
        <f t="shared" si="58"/>
        <v>3.9096682521932991E-4</v>
      </c>
      <c r="L785" s="251">
        <f t="shared" si="59"/>
        <v>43028</v>
      </c>
      <c r="M785" s="513">
        <v>108.8</v>
      </c>
      <c r="N785" s="254">
        <f t="shared" si="60"/>
        <v>1.8726591760299671E-2</v>
      </c>
      <c r="O785" s="1137">
        <f t="shared" si="62"/>
        <v>1.8695172200857216E-2</v>
      </c>
      <c r="P785" s="1138"/>
    </row>
    <row r="786" spans="6:16" x14ac:dyDescent="0.2">
      <c r="F786" s="1137">
        <f t="shared" si="61"/>
        <v>-8.204694272346642E-3</v>
      </c>
      <c r="G786" s="1138"/>
      <c r="H786" s="520">
        <v>9233.52</v>
      </c>
      <c r="I786" s="512">
        <v>43027</v>
      </c>
      <c r="J786" s="254">
        <f t="shared" si="58"/>
        <v>-8.1732747129041883E-3</v>
      </c>
      <c r="L786" s="251">
        <f t="shared" si="59"/>
        <v>43027</v>
      </c>
      <c r="M786" s="513">
        <v>106.8</v>
      </c>
      <c r="N786" s="254">
        <f t="shared" si="60"/>
        <v>1.5209125475285079E-2</v>
      </c>
      <c r="O786" s="1137">
        <f t="shared" si="62"/>
        <v>1.5177705915842625E-2</v>
      </c>
      <c r="P786" s="1138"/>
    </row>
    <row r="787" spans="6:16" x14ac:dyDescent="0.2">
      <c r="F787" s="1137">
        <f t="shared" si="61"/>
        <v>4.2566710913333897E-3</v>
      </c>
      <c r="G787" s="1138"/>
      <c r="H787" s="520">
        <v>9309.61</v>
      </c>
      <c r="I787" s="512">
        <v>43026</v>
      </c>
      <c r="J787" s="254">
        <f t="shared" si="58"/>
        <v>4.2880906507758443E-3</v>
      </c>
      <c r="L787" s="251">
        <f t="shared" si="59"/>
        <v>43026</v>
      </c>
      <c r="M787" s="513">
        <v>105.2</v>
      </c>
      <c r="N787" s="254">
        <f t="shared" si="60"/>
        <v>1.2512030798845108E-2</v>
      </c>
      <c r="O787" s="1137">
        <f t="shared" si="62"/>
        <v>1.2480611239402655E-2</v>
      </c>
      <c r="P787" s="1138"/>
    </row>
    <row r="788" spans="6:16" x14ac:dyDescent="0.2">
      <c r="F788" s="1137">
        <f t="shared" si="61"/>
        <v>-5.414151495440185E-4</v>
      </c>
      <c r="G788" s="1138"/>
      <c r="H788" s="520">
        <v>9269.86</v>
      </c>
      <c r="I788" s="512">
        <v>43025</v>
      </c>
      <c r="J788" s="254">
        <f t="shared" si="58"/>
        <v>-5.0999559010156403E-4</v>
      </c>
      <c r="L788" s="251">
        <f t="shared" si="59"/>
        <v>43025</v>
      </c>
      <c r="M788" s="513">
        <v>103.9</v>
      </c>
      <c r="N788" s="254">
        <f t="shared" si="60"/>
        <v>-4.7892720306513814E-3</v>
      </c>
      <c r="O788" s="1137">
        <f t="shared" si="62"/>
        <v>-4.820691590093836E-3</v>
      </c>
      <c r="P788" s="1138"/>
    </row>
    <row r="789" spans="6:16" x14ac:dyDescent="0.2">
      <c r="F789" s="1137">
        <f t="shared" si="61"/>
        <v>-4.0156587254799722E-3</v>
      </c>
      <c r="G789" s="1138"/>
      <c r="H789" s="520">
        <v>9274.59</v>
      </c>
      <c r="I789" s="512">
        <v>43024</v>
      </c>
      <c r="J789" s="254">
        <f t="shared" si="58"/>
        <v>-3.9842391660375176E-3</v>
      </c>
      <c r="L789" s="251">
        <f t="shared" si="59"/>
        <v>43024</v>
      </c>
      <c r="M789" s="513">
        <v>104.4</v>
      </c>
      <c r="N789" s="254">
        <f t="shared" si="60"/>
        <v>-5.7142857142856718E-3</v>
      </c>
      <c r="O789" s="1137">
        <f t="shared" si="62"/>
        <v>-5.7457052737281264E-3</v>
      </c>
      <c r="P789" s="1138"/>
    </row>
    <row r="790" spans="6:16" x14ac:dyDescent="0.2">
      <c r="F790" s="1137">
        <f t="shared" si="61"/>
        <v>1.5120326537711596E-3</v>
      </c>
      <c r="G790" s="1138"/>
      <c r="H790" s="520">
        <v>9311.69</v>
      </c>
      <c r="I790" s="512">
        <v>43021</v>
      </c>
      <c r="J790" s="254">
        <f t="shared" si="58"/>
        <v>1.5434522132136141E-3</v>
      </c>
      <c r="L790" s="251">
        <f t="shared" si="59"/>
        <v>43021</v>
      </c>
      <c r="M790" s="513">
        <v>105</v>
      </c>
      <c r="N790" s="254">
        <f t="shared" si="60"/>
        <v>2.3391812865497075E-2</v>
      </c>
      <c r="O790" s="1137">
        <f t="shared" si="62"/>
        <v>2.3360393306054619E-2</v>
      </c>
      <c r="P790" s="1138"/>
    </row>
    <row r="791" spans="6:16" x14ac:dyDescent="0.2">
      <c r="F791" s="1137">
        <f t="shared" si="61"/>
        <v>3.4223123057670205E-3</v>
      </c>
      <c r="G791" s="1138"/>
      <c r="H791" s="520">
        <v>9297.34</v>
      </c>
      <c r="I791" s="512">
        <v>43020</v>
      </c>
      <c r="J791" s="254">
        <f t="shared" si="58"/>
        <v>3.4537318652094751E-3</v>
      </c>
      <c r="L791" s="251">
        <f t="shared" si="59"/>
        <v>43020</v>
      </c>
      <c r="M791" s="513">
        <v>102.6</v>
      </c>
      <c r="N791" s="254">
        <f t="shared" si="60"/>
        <v>1.1834319526627057E-2</v>
      </c>
      <c r="O791" s="1137">
        <f t="shared" si="62"/>
        <v>1.1802899967184604E-2</v>
      </c>
      <c r="P791" s="1138"/>
    </row>
    <row r="792" spans="6:16" x14ac:dyDescent="0.2">
      <c r="F792" s="1137">
        <f t="shared" si="61"/>
        <v>-2.288908478725167E-4</v>
      </c>
      <c r="G792" s="1138"/>
      <c r="H792" s="520">
        <v>9265.34</v>
      </c>
      <c r="I792" s="512">
        <v>43019</v>
      </c>
      <c r="J792" s="254">
        <f t="shared" si="58"/>
        <v>-1.9747128843006223E-4</v>
      </c>
      <c r="L792" s="251">
        <f t="shared" si="59"/>
        <v>43019</v>
      </c>
      <c r="M792" s="513">
        <v>101.4</v>
      </c>
      <c r="N792" s="254">
        <f t="shared" si="60"/>
        <v>-6.8560235063661601E-3</v>
      </c>
      <c r="O792" s="1137">
        <f t="shared" si="62"/>
        <v>-6.8874430658086147E-3</v>
      </c>
      <c r="P792" s="1138"/>
    </row>
    <row r="793" spans="6:16" x14ac:dyDescent="0.2">
      <c r="F793" s="1137">
        <f t="shared" si="61"/>
        <v>8.1421306664104895E-4</v>
      </c>
      <c r="G793" s="1138"/>
      <c r="H793" s="520">
        <v>9267.17</v>
      </c>
      <c r="I793" s="512">
        <v>43018</v>
      </c>
      <c r="J793" s="254">
        <f t="shared" si="58"/>
        <v>8.4563262608350342E-4</v>
      </c>
      <c r="L793" s="251">
        <f t="shared" si="59"/>
        <v>43018</v>
      </c>
      <c r="M793" s="513">
        <v>102.1</v>
      </c>
      <c r="N793" s="254">
        <f t="shared" si="60"/>
        <v>-6.809338521400754E-3</v>
      </c>
      <c r="O793" s="1137">
        <f t="shared" si="62"/>
        <v>-6.8407580808432086E-3</v>
      </c>
      <c r="P793" s="1138"/>
    </row>
    <row r="794" spans="6:16" x14ac:dyDescent="0.2">
      <c r="F794" s="1137">
        <f t="shared" si="61"/>
        <v>7.4894213063499235E-4</v>
      </c>
      <c r="G794" s="1138"/>
      <c r="H794" s="520">
        <v>9259.34</v>
      </c>
      <c r="I794" s="512">
        <v>43017</v>
      </c>
      <c r="J794" s="254">
        <f t="shared" si="58"/>
        <v>7.8036169007744682E-4</v>
      </c>
      <c r="L794" s="251">
        <f t="shared" si="59"/>
        <v>43017</v>
      </c>
      <c r="M794" s="513">
        <v>102.8</v>
      </c>
      <c r="N794" s="254">
        <f t="shared" si="60"/>
        <v>3.9433771486349745E-2</v>
      </c>
      <c r="O794" s="1137">
        <f t="shared" si="62"/>
        <v>3.9402351926907289E-2</v>
      </c>
      <c r="P794" s="1138"/>
    </row>
    <row r="795" spans="6:16" x14ac:dyDescent="0.2">
      <c r="F795" s="1137">
        <f t="shared" si="61"/>
        <v>-1.1693216307695894E-3</v>
      </c>
      <c r="G795" s="1138"/>
      <c r="H795" s="520">
        <v>9252.1200000000008</v>
      </c>
      <c r="I795" s="512">
        <v>43014</v>
      </c>
      <c r="J795" s="254">
        <f t="shared" si="58"/>
        <v>-1.1379020713271348E-3</v>
      </c>
      <c r="L795" s="251">
        <f t="shared" si="59"/>
        <v>43014</v>
      </c>
      <c r="M795" s="513">
        <v>98.9</v>
      </c>
      <c r="N795" s="254">
        <f t="shared" si="60"/>
        <v>-1.0999999999999899E-2</v>
      </c>
      <c r="O795" s="1137">
        <f t="shared" si="62"/>
        <v>-1.1031419559442352E-2</v>
      </c>
      <c r="P795" s="1138"/>
    </row>
    <row r="796" spans="6:16" x14ac:dyDescent="0.2">
      <c r="F796" s="1137">
        <f t="shared" si="61"/>
        <v>-2.3267738098330789E-3</v>
      </c>
      <c r="G796" s="1138"/>
      <c r="H796" s="520">
        <v>9262.66</v>
      </c>
      <c r="I796" s="512">
        <v>43013</v>
      </c>
      <c r="J796" s="254">
        <f t="shared" si="58"/>
        <v>-2.2953542503906244E-3</v>
      </c>
      <c r="L796" s="251">
        <f t="shared" si="59"/>
        <v>43013</v>
      </c>
      <c r="M796" s="513">
        <v>100</v>
      </c>
      <c r="N796" s="254">
        <f t="shared" si="60"/>
        <v>3.5122930255895302E-3</v>
      </c>
      <c r="O796" s="1137">
        <f t="shared" si="62"/>
        <v>3.4808734661470756E-3</v>
      </c>
      <c r="P796" s="1138"/>
    </row>
    <row r="797" spans="6:16" x14ac:dyDescent="0.2">
      <c r="F797" s="1137">
        <f t="shared" si="61"/>
        <v>-6.645061233752784E-6</v>
      </c>
      <c r="G797" s="1138"/>
      <c r="H797" s="520">
        <v>9283.9699999999993</v>
      </c>
      <c r="I797" s="512">
        <v>43012</v>
      </c>
      <c r="J797" s="254">
        <f t="shared" ref="J797:J860" si="63">H797/H798-1</f>
        <v>2.4774498208701701E-5</v>
      </c>
      <c r="L797" s="251">
        <f t="shared" ref="L797:L860" si="64">I797</f>
        <v>43012</v>
      </c>
      <c r="M797" s="513">
        <v>99.65</v>
      </c>
      <c r="N797" s="254">
        <f t="shared" ref="N797:N860" si="65">M797/M798-1</f>
        <v>-1.3366336633663267E-2</v>
      </c>
      <c r="O797" s="1137">
        <f t="shared" si="62"/>
        <v>-1.3397756193105721E-2</v>
      </c>
      <c r="P797" s="1138"/>
    </row>
    <row r="798" spans="6:16" x14ac:dyDescent="0.2">
      <c r="F798" s="1137">
        <f t="shared" ref="F798:F861" si="66">J798-$I$19</f>
        <v>4.4686156055353124E-3</v>
      </c>
      <c r="G798" s="1138"/>
      <c r="H798" s="520">
        <v>9283.74</v>
      </c>
      <c r="I798" s="512">
        <v>43011</v>
      </c>
      <c r="J798" s="254">
        <f t="shared" si="63"/>
        <v>4.500035164977767E-3</v>
      </c>
      <c r="L798" s="251">
        <f t="shared" si="64"/>
        <v>43011</v>
      </c>
      <c r="M798" s="513">
        <v>101</v>
      </c>
      <c r="N798" s="254">
        <f t="shared" si="65"/>
        <v>1.5585721468074354E-2</v>
      </c>
      <c r="O798" s="1137">
        <f t="shared" ref="O798:O861" si="67">N798-$I$19</f>
        <v>1.55543019086319E-2</v>
      </c>
      <c r="P798" s="1138"/>
    </row>
    <row r="799" spans="6:16" x14ac:dyDescent="0.2">
      <c r="F799" s="1137">
        <f t="shared" si="66"/>
        <v>9.2167780848825976E-3</v>
      </c>
      <c r="G799" s="1138"/>
      <c r="H799" s="520">
        <v>9242.15</v>
      </c>
      <c r="I799" s="512">
        <v>43010</v>
      </c>
      <c r="J799" s="254">
        <f t="shared" si="63"/>
        <v>9.2481976443250513E-3</v>
      </c>
      <c r="L799" s="251">
        <f t="shared" si="64"/>
        <v>43010</v>
      </c>
      <c r="M799" s="513">
        <v>99.45</v>
      </c>
      <c r="N799" s="254">
        <f t="shared" si="65"/>
        <v>6.5789473684210176E-3</v>
      </c>
      <c r="O799" s="1137">
        <f t="shared" si="67"/>
        <v>6.547527808978563E-3</v>
      </c>
      <c r="P799" s="1138"/>
    </row>
    <row r="800" spans="6:16" x14ac:dyDescent="0.2">
      <c r="F800" s="1137">
        <f t="shared" si="66"/>
        <v>4.9399593452299087E-3</v>
      </c>
      <c r="G800" s="1138"/>
      <c r="H800" s="520">
        <v>9157.4599999999991</v>
      </c>
      <c r="I800" s="512">
        <v>43007</v>
      </c>
      <c r="J800" s="254">
        <f t="shared" si="63"/>
        <v>4.9713789046723633E-3</v>
      </c>
      <c r="L800" s="251">
        <f t="shared" si="64"/>
        <v>43007</v>
      </c>
      <c r="M800" s="513">
        <v>98.8</v>
      </c>
      <c r="N800" s="254">
        <f t="shared" si="65"/>
        <v>-1.0111223458039165E-3</v>
      </c>
      <c r="O800" s="1137">
        <f t="shared" si="67"/>
        <v>-1.042541905246371E-3</v>
      </c>
      <c r="P800" s="1138"/>
    </row>
    <row r="801" spans="6:16" x14ac:dyDescent="0.2">
      <c r="F801" s="1137">
        <f t="shared" si="66"/>
        <v>1.4611210348040729E-3</v>
      </c>
      <c r="G801" s="1138"/>
      <c r="H801" s="520">
        <v>9112.16</v>
      </c>
      <c r="I801" s="512">
        <v>43006</v>
      </c>
      <c r="J801" s="254">
        <f t="shared" si="63"/>
        <v>1.4925405942465275E-3</v>
      </c>
      <c r="L801" s="251">
        <f t="shared" si="64"/>
        <v>43006</v>
      </c>
      <c r="M801" s="513">
        <v>98.9</v>
      </c>
      <c r="N801" s="254">
        <f t="shared" si="65"/>
        <v>1.7489711934156382E-2</v>
      </c>
      <c r="O801" s="1137">
        <f t="shared" si="67"/>
        <v>1.7458292374713927E-2</v>
      </c>
      <c r="P801" s="1138"/>
    </row>
    <row r="802" spans="6:16" x14ac:dyDescent="0.2">
      <c r="F802" s="1137">
        <f t="shared" si="66"/>
        <v>-1.6849831700704162E-3</v>
      </c>
      <c r="G802" s="1138"/>
      <c r="H802" s="520">
        <v>9098.58</v>
      </c>
      <c r="I802" s="512">
        <v>43005</v>
      </c>
      <c r="J802" s="254">
        <f t="shared" si="63"/>
        <v>-1.6535636106279616E-3</v>
      </c>
      <c r="L802" s="251">
        <f t="shared" si="64"/>
        <v>43005</v>
      </c>
      <c r="M802" s="513">
        <v>97.2</v>
      </c>
      <c r="N802" s="254">
        <f t="shared" si="65"/>
        <v>-2.5654181631605821E-3</v>
      </c>
      <c r="O802" s="1137">
        <f t="shared" si="67"/>
        <v>-2.5968377226030367E-3</v>
      </c>
      <c r="P802" s="1138"/>
    </row>
    <row r="803" spans="6:16" x14ac:dyDescent="0.2">
      <c r="F803" s="1137">
        <f t="shared" si="66"/>
        <v>-2.9656231616641956E-3</v>
      </c>
      <c r="G803" s="1138"/>
      <c r="H803" s="520">
        <v>9113.65</v>
      </c>
      <c r="I803" s="512">
        <v>43004</v>
      </c>
      <c r="J803" s="254">
        <f t="shared" si="63"/>
        <v>-2.934203602221741E-3</v>
      </c>
      <c r="L803" s="251">
        <f t="shared" si="64"/>
        <v>43004</v>
      </c>
      <c r="M803" s="513">
        <v>97.45</v>
      </c>
      <c r="N803" s="254">
        <f t="shared" si="65"/>
        <v>-1.1161846778285023E-2</v>
      </c>
      <c r="O803" s="1137">
        <f t="shared" si="67"/>
        <v>-1.1193266337727477E-2</v>
      </c>
      <c r="P803" s="1138"/>
    </row>
    <row r="804" spans="6:16" x14ac:dyDescent="0.2">
      <c r="F804" s="1137">
        <f t="shared" si="66"/>
        <v>3.7901219287124574E-4</v>
      </c>
      <c r="G804" s="1138"/>
      <c r="H804" s="520">
        <v>9140.4699999999993</v>
      </c>
      <c r="I804" s="512">
        <v>43003</v>
      </c>
      <c r="J804" s="254">
        <f t="shared" si="63"/>
        <v>4.1043175231370022E-4</v>
      </c>
      <c r="L804" s="251">
        <f t="shared" si="64"/>
        <v>43003</v>
      </c>
      <c r="M804" s="513">
        <v>98.55</v>
      </c>
      <c r="N804" s="254">
        <f t="shared" si="65"/>
        <v>-5.0479555779908702E-3</v>
      </c>
      <c r="O804" s="1137">
        <f t="shared" si="67"/>
        <v>-5.0793751374333248E-3</v>
      </c>
      <c r="P804" s="1138"/>
    </row>
    <row r="805" spans="6:16" x14ac:dyDescent="0.2">
      <c r="F805" s="1137">
        <f t="shared" si="66"/>
        <v>2.5213234971595375E-4</v>
      </c>
      <c r="G805" s="1138"/>
      <c r="H805" s="520">
        <v>9136.7199999999993</v>
      </c>
      <c r="I805" s="512">
        <v>43000</v>
      </c>
      <c r="J805" s="254">
        <f t="shared" si="63"/>
        <v>2.8355190915840822E-4</v>
      </c>
      <c r="L805" s="251">
        <f t="shared" si="64"/>
        <v>43000</v>
      </c>
      <c r="M805" s="513">
        <v>99.05</v>
      </c>
      <c r="N805" s="254">
        <f t="shared" si="65"/>
        <v>7.6297049847406928E-3</v>
      </c>
      <c r="O805" s="1137">
        <f t="shared" si="67"/>
        <v>7.5982854252982382E-3</v>
      </c>
      <c r="P805" s="1138"/>
    </row>
    <row r="806" spans="6:16" x14ac:dyDescent="0.2">
      <c r="F806" s="1137">
        <f t="shared" si="66"/>
        <v>4.1991741859192669E-3</v>
      </c>
      <c r="G806" s="1138"/>
      <c r="H806" s="520">
        <v>9134.1299999999992</v>
      </c>
      <c r="I806" s="512">
        <v>42999</v>
      </c>
      <c r="J806" s="254">
        <f t="shared" si="63"/>
        <v>4.2305937453617215E-3</v>
      </c>
      <c r="L806" s="251">
        <f t="shared" si="64"/>
        <v>42999</v>
      </c>
      <c r="M806" s="513">
        <v>98.3</v>
      </c>
      <c r="N806" s="254">
        <f t="shared" si="65"/>
        <v>-1.0162601626017009E-3</v>
      </c>
      <c r="O806" s="1137">
        <f t="shared" si="67"/>
        <v>-1.0476797220441555E-3</v>
      </c>
      <c r="P806" s="1138"/>
    </row>
    <row r="807" spans="6:16" x14ac:dyDescent="0.2">
      <c r="F807" s="1137">
        <f t="shared" si="66"/>
        <v>2.3801254366735789E-4</v>
      </c>
      <c r="G807" s="1138"/>
      <c r="H807" s="520">
        <v>9095.65</v>
      </c>
      <c r="I807" s="512">
        <v>42998</v>
      </c>
      <c r="J807" s="254">
        <f t="shared" si="63"/>
        <v>2.6943210310981236E-4</v>
      </c>
      <c r="L807" s="251">
        <f t="shared" si="64"/>
        <v>42998</v>
      </c>
      <c r="M807" s="513">
        <v>98.4</v>
      </c>
      <c r="N807" s="254">
        <f t="shared" si="65"/>
        <v>-3.5443037974682845E-3</v>
      </c>
      <c r="O807" s="1137">
        <f t="shared" si="67"/>
        <v>-3.5757233569107391E-3</v>
      </c>
      <c r="P807" s="1138"/>
    </row>
    <row r="808" spans="6:16" x14ac:dyDescent="0.2">
      <c r="F808" s="1137">
        <f t="shared" si="66"/>
        <v>4.9519416065910296E-3</v>
      </c>
      <c r="G808" s="1138"/>
      <c r="H808" s="520">
        <v>9093.2000000000007</v>
      </c>
      <c r="I808" s="512">
        <v>42997</v>
      </c>
      <c r="J808" s="254">
        <f t="shared" si="63"/>
        <v>4.9833611660334842E-3</v>
      </c>
      <c r="L808" s="251">
        <f t="shared" si="64"/>
        <v>42997</v>
      </c>
      <c r="M808" s="513">
        <v>98.75</v>
      </c>
      <c r="N808" s="254">
        <f t="shared" si="65"/>
        <v>1.5212981744423537E-3</v>
      </c>
      <c r="O808" s="1137">
        <f t="shared" si="67"/>
        <v>1.4898786149998991E-3</v>
      </c>
      <c r="P808" s="1138"/>
    </row>
    <row r="809" spans="6:16" x14ac:dyDescent="0.2">
      <c r="F809" s="1137">
        <f t="shared" si="66"/>
        <v>2.1905442090348207E-3</v>
      </c>
      <c r="G809" s="1138"/>
      <c r="H809" s="520">
        <v>9048.11</v>
      </c>
      <c r="I809" s="512">
        <v>42996</v>
      </c>
      <c r="J809" s="254">
        <f t="shared" si="63"/>
        <v>2.2219637684772753E-3</v>
      </c>
      <c r="L809" s="251">
        <f t="shared" si="64"/>
        <v>42996</v>
      </c>
      <c r="M809" s="513">
        <v>98.6</v>
      </c>
      <c r="N809" s="254">
        <f t="shared" si="65"/>
        <v>2.0325203252031798E-3</v>
      </c>
      <c r="O809" s="1137">
        <f t="shared" si="67"/>
        <v>2.0011007657607252E-3</v>
      </c>
      <c r="P809" s="1138"/>
    </row>
    <row r="810" spans="6:16" x14ac:dyDescent="0.2">
      <c r="F810" s="1137">
        <f t="shared" si="66"/>
        <v>-4.8134660504588886E-3</v>
      </c>
      <c r="G810" s="1138"/>
      <c r="H810" s="520">
        <v>9028.0499999999993</v>
      </c>
      <c r="I810" s="512">
        <v>42993</v>
      </c>
      <c r="J810" s="254">
        <f t="shared" si="63"/>
        <v>-4.782046491016434E-3</v>
      </c>
      <c r="L810" s="251">
        <f t="shared" si="64"/>
        <v>42993</v>
      </c>
      <c r="M810" s="513">
        <v>98.4</v>
      </c>
      <c r="N810" s="254">
        <f t="shared" si="65"/>
        <v>0</v>
      </c>
      <c r="O810" s="1137">
        <f t="shared" si="67"/>
        <v>-3.1419559442454485E-5</v>
      </c>
      <c r="P810" s="1138"/>
    </row>
    <row r="811" spans="6:16" x14ac:dyDescent="0.2">
      <c r="F811" s="1137">
        <f t="shared" si="66"/>
        <v>1.9125091425544341E-3</v>
      </c>
      <c r="G811" s="1138"/>
      <c r="H811" s="520">
        <v>9071.43</v>
      </c>
      <c r="I811" s="512">
        <v>42992</v>
      </c>
      <c r="J811" s="254">
        <f t="shared" si="63"/>
        <v>1.9439287019968887E-3</v>
      </c>
      <c r="L811" s="251">
        <f t="shared" si="64"/>
        <v>42992</v>
      </c>
      <c r="M811" s="513">
        <v>98.4</v>
      </c>
      <c r="N811" s="254">
        <f t="shared" si="65"/>
        <v>6.6496163682865372E-3</v>
      </c>
      <c r="O811" s="1137">
        <f t="shared" si="67"/>
        <v>6.6181968088440827E-3</v>
      </c>
      <c r="P811" s="1138"/>
    </row>
    <row r="812" spans="6:16" x14ac:dyDescent="0.2">
      <c r="F812" s="1137">
        <f t="shared" si="66"/>
        <v>-8.2244176098773917E-6</v>
      </c>
      <c r="G812" s="1138"/>
      <c r="H812" s="520">
        <v>9053.83</v>
      </c>
      <c r="I812" s="512">
        <v>42991</v>
      </c>
      <c r="J812" s="254">
        <f t="shared" si="63"/>
        <v>2.3195141832577093E-5</v>
      </c>
      <c r="L812" s="251">
        <f t="shared" si="64"/>
        <v>42991</v>
      </c>
      <c r="M812" s="513">
        <v>97.75</v>
      </c>
      <c r="N812" s="254">
        <f t="shared" si="65"/>
        <v>-1.3622603430877844E-2</v>
      </c>
      <c r="O812" s="1137">
        <f t="shared" si="67"/>
        <v>-1.3654022990320298E-2</v>
      </c>
      <c r="P812" s="1138"/>
    </row>
    <row r="813" spans="6:16" x14ac:dyDescent="0.2">
      <c r="F813" s="1137">
        <f t="shared" si="66"/>
        <v>7.9164953792755944E-3</v>
      </c>
      <c r="G813" s="1138"/>
      <c r="H813" s="520">
        <v>9053.6200000000008</v>
      </c>
      <c r="I813" s="512">
        <v>42990</v>
      </c>
      <c r="J813" s="254">
        <f t="shared" si="63"/>
        <v>7.9479149387180481E-3</v>
      </c>
      <c r="L813" s="251">
        <f t="shared" si="64"/>
        <v>42990</v>
      </c>
      <c r="M813" s="513">
        <v>99.1</v>
      </c>
      <c r="N813" s="254">
        <f t="shared" si="65"/>
        <v>3.5443037974682845E-3</v>
      </c>
      <c r="O813" s="1137">
        <f t="shared" si="67"/>
        <v>3.5128842380258299E-3</v>
      </c>
      <c r="P813" s="1138"/>
    </row>
    <row r="814" spans="6:16" x14ac:dyDescent="0.2">
      <c r="F814" s="1137">
        <f t="shared" si="66"/>
        <v>7.8433118435456573E-3</v>
      </c>
      <c r="G814" s="1138"/>
      <c r="H814" s="520">
        <v>8982.23</v>
      </c>
      <c r="I814" s="512">
        <v>42989</v>
      </c>
      <c r="J814" s="254">
        <f t="shared" si="63"/>
        <v>7.874731402988111E-3</v>
      </c>
      <c r="L814" s="251">
        <f t="shared" si="64"/>
        <v>42989</v>
      </c>
      <c r="M814" s="513">
        <v>98.75</v>
      </c>
      <c r="N814" s="254">
        <f t="shared" si="65"/>
        <v>1.1782786885246033E-2</v>
      </c>
      <c r="O814" s="1137">
        <f t="shared" si="67"/>
        <v>1.1751367325803579E-2</v>
      </c>
      <c r="P814" s="1138"/>
    </row>
    <row r="815" spans="6:16" x14ac:dyDescent="0.2">
      <c r="F815" s="1137">
        <f t="shared" si="66"/>
        <v>5.7374556418406206E-4</v>
      </c>
      <c r="G815" s="1138"/>
      <c r="H815" s="520">
        <v>8912.0499999999993</v>
      </c>
      <c r="I815" s="512">
        <v>42986</v>
      </c>
      <c r="J815" s="254">
        <f t="shared" si="63"/>
        <v>6.0516512362651653E-4</v>
      </c>
      <c r="L815" s="251">
        <f t="shared" si="64"/>
        <v>42986</v>
      </c>
      <c r="M815" s="513">
        <v>97.6</v>
      </c>
      <c r="N815" s="254">
        <f t="shared" si="65"/>
        <v>1.0256410256410664E-3</v>
      </c>
      <c r="O815" s="1137">
        <f t="shared" si="67"/>
        <v>9.9422146619861183E-4</v>
      </c>
      <c r="P815" s="1138"/>
    </row>
    <row r="816" spans="6:16" x14ac:dyDescent="0.2">
      <c r="F816" s="1137">
        <f t="shared" si="66"/>
        <v>5.2950841704646071E-3</v>
      </c>
      <c r="G816" s="1138"/>
      <c r="H816" s="520">
        <v>8906.66</v>
      </c>
      <c r="I816" s="512">
        <v>42985</v>
      </c>
      <c r="J816" s="254">
        <f t="shared" si="63"/>
        <v>5.3265037299070617E-3</v>
      </c>
      <c r="L816" s="251">
        <f t="shared" si="64"/>
        <v>42985</v>
      </c>
      <c r="M816" s="513">
        <v>97.5</v>
      </c>
      <c r="N816" s="254">
        <f t="shared" si="65"/>
        <v>1.1935651271406389E-2</v>
      </c>
      <c r="O816" s="1137">
        <f t="shared" si="67"/>
        <v>1.1904231711963935E-2</v>
      </c>
      <c r="P816" s="1138"/>
    </row>
    <row r="817" spans="6:16" x14ac:dyDescent="0.2">
      <c r="F817" s="1137">
        <f t="shared" si="66"/>
        <v>-1.1690182678338176E-3</v>
      </c>
      <c r="G817" s="1138"/>
      <c r="H817" s="520">
        <v>8859.4699999999993</v>
      </c>
      <c r="I817" s="512">
        <v>42984</v>
      </c>
      <c r="J817" s="254">
        <f t="shared" si="63"/>
        <v>-1.137598708391363E-3</v>
      </c>
      <c r="L817" s="251">
        <f t="shared" si="64"/>
        <v>42984</v>
      </c>
      <c r="M817" s="513">
        <v>96.35</v>
      </c>
      <c r="N817" s="254">
        <f t="shared" si="65"/>
        <v>1.2079831932773066E-2</v>
      </c>
      <c r="O817" s="1137">
        <f t="shared" si="67"/>
        <v>1.2048412373330613E-2</v>
      </c>
      <c r="P817" s="1138"/>
    </row>
    <row r="818" spans="6:16" x14ac:dyDescent="0.2">
      <c r="F818" s="1137">
        <f t="shared" si="66"/>
        <v>5.4391159440121781E-4</v>
      </c>
      <c r="G818" s="1138"/>
      <c r="H818" s="520">
        <v>8869.56</v>
      </c>
      <c r="I818" s="512">
        <v>42983</v>
      </c>
      <c r="J818" s="254">
        <f t="shared" si="63"/>
        <v>5.7533115384367228E-4</v>
      </c>
      <c r="L818" s="251">
        <f t="shared" si="64"/>
        <v>42983</v>
      </c>
      <c r="M818" s="513">
        <v>95.2</v>
      </c>
      <c r="N818" s="254">
        <f t="shared" si="65"/>
        <v>1.1152416356877248E-2</v>
      </c>
      <c r="O818" s="1137">
        <f t="shared" si="67"/>
        <v>1.1120996797434795E-2</v>
      </c>
      <c r="P818" s="1138"/>
    </row>
    <row r="819" spans="6:16" x14ac:dyDescent="0.2">
      <c r="F819" s="1137">
        <f t="shared" si="66"/>
        <v>-8.660728342414865E-3</v>
      </c>
      <c r="G819" s="1138"/>
      <c r="H819" s="520">
        <v>8864.4599999999991</v>
      </c>
      <c r="I819" s="512">
        <v>42982</v>
      </c>
      <c r="J819" s="254">
        <f t="shared" si="63"/>
        <v>-8.6293087829724113E-3</v>
      </c>
      <c r="L819" s="251">
        <f t="shared" si="64"/>
        <v>42982</v>
      </c>
      <c r="M819" s="513">
        <v>94.15</v>
      </c>
      <c r="N819" s="254">
        <f t="shared" si="65"/>
        <v>-8.9473684210525928E-3</v>
      </c>
      <c r="O819" s="1137">
        <f t="shared" si="67"/>
        <v>-8.9787879804950465E-3</v>
      </c>
      <c r="P819" s="1138"/>
    </row>
    <row r="820" spans="6:16" x14ac:dyDescent="0.2">
      <c r="F820" s="1137">
        <f t="shared" si="66"/>
        <v>1.7802538015645056E-3</v>
      </c>
      <c r="G820" s="1138"/>
      <c r="H820" s="520">
        <v>8941.6200000000008</v>
      </c>
      <c r="I820" s="512">
        <v>42979</v>
      </c>
      <c r="J820" s="254">
        <f t="shared" si="63"/>
        <v>1.8116733610069602E-3</v>
      </c>
      <c r="L820" s="251">
        <f t="shared" si="64"/>
        <v>42979</v>
      </c>
      <c r="M820" s="513">
        <v>95</v>
      </c>
      <c r="N820" s="254">
        <f t="shared" si="65"/>
        <v>4.2283298097252064E-3</v>
      </c>
      <c r="O820" s="1137">
        <f t="shared" si="67"/>
        <v>4.1969102502827519E-3</v>
      </c>
      <c r="P820" s="1138"/>
    </row>
    <row r="821" spans="6:16" x14ac:dyDescent="0.2">
      <c r="F821" s="1137">
        <f t="shared" si="66"/>
        <v>8.3504379388121431E-3</v>
      </c>
      <c r="G821" s="1138"/>
      <c r="H821" s="520">
        <v>8925.4500000000007</v>
      </c>
      <c r="I821" s="512">
        <v>42978</v>
      </c>
      <c r="J821" s="254">
        <f t="shared" si="63"/>
        <v>8.3818574982545968E-3</v>
      </c>
      <c r="L821" s="251">
        <f t="shared" si="64"/>
        <v>42978</v>
      </c>
      <c r="M821" s="513">
        <v>94.6</v>
      </c>
      <c r="N821" s="254">
        <f t="shared" si="65"/>
        <v>1.6657710908113854E-2</v>
      </c>
      <c r="O821" s="1137">
        <f t="shared" si="67"/>
        <v>1.6626291348671399E-2</v>
      </c>
      <c r="P821" s="1138"/>
    </row>
    <row r="822" spans="6:16" x14ac:dyDescent="0.2">
      <c r="F822" s="1137">
        <f t="shared" si="66"/>
        <v>4.134424602589796E-3</v>
      </c>
      <c r="G822" s="1138"/>
      <c r="H822" s="520">
        <v>8851.26</v>
      </c>
      <c r="I822" s="512">
        <v>42977</v>
      </c>
      <c r="J822" s="254">
        <f t="shared" si="63"/>
        <v>4.1658441620322506E-3</v>
      </c>
      <c r="L822" s="251">
        <f t="shared" si="64"/>
        <v>42977</v>
      </c>
      <c r="M822" s="513">
        <v>93.05</v>
      </c>
      <c r="N822" s="254">
        <f t="shared" si="65"/>
        <v>2.2527472527472447E-2</v>
      </c>
      <c r="O822" s="1137">
        <f t="shared" si="67"/>
        <v>2.2496052968029992E-2</v>
      </c>
      <c r="P822" s="1138"/>
    </row>
    <row r="823" spans="6:16" x14ac:dyDescent="0.2">
      <c r="F823" s="1137">
        <f t="shared" si="66"/>
        <v>-5.6370954049472085E-3</v>
      </c>
      <c r="G823" s="1138"/>
      <c r="H823" s="520">
        <v>8814.5400000000009</v>
      </c>
      <c r="I823" s="512">
        <v>42976</v>
      </c>
      <c r="J823" s="254">
        <f t="shared" si="63"/>
        <v>-5.605675845504754E-3</v>
      </c>
      <c r="L823" s="251">
        <f t="shared" si="64"/>
        <v>42976</v>
      </c>
      <c r="M823" s="513">
        <v>91</v>
      </c>
      <c r="N823" s="254">
        <f t="shared" si="65"/>
        <v>-1.0331702011963095E-2</v>
      </c>
      <c r="O823" s="1137">
        <f t="shared" si="67"/>
        <v>-1.0363121571405549E-2</v>
      </c>
      <c r="P823" s="1138"/>
    </row>
    <row r="824" spans="6:16" x14ac:dyDescent="0.2">
      <c r="F824" s="1137">
        <f t="shared" si="66"/>
        <v>-4.7416320186562241E-3</v>
      </c>
      <c r="G824" s="1138"/>
      <c r="H824" s="520">
        <v>8864.23</v>
      </c>
      <c r="I824" s="512">
        <v>42975</v>
      </c>
      <c r="J824" s="254">
        <f t="shared" si="63"/>
        <v>-4.7102124592137695E-3</v>
      </c>
      <c r="L824" s="251">
        <f t="shared" si="64"/>
        <v>42975</v>
      </c>
      <c r="M824" s="513">
        <v>91.95</v>
      </c>
      <c r="N824" s="254">
        <f t="shared" si="65"/>
        <v>-1.341201716738194E-2</v>
      </c>
      <c r="O824" s="1137">
        <f t="shared" si="67"/>
        <v>-1.3443436726824394E-2</v>
      </c>
      <c r="P824" s="1138"/>
    </row>
    <row r="825" spans="6:16" x14ac:dyDescent="0.2">
      <c r="F825" s="1137">
        <f t="shared" si="66"/>
        <v>-4.1530605226944147E-3</v>
      </c>
      <c r="G825" s="1138"/>
      <c r="H825" s="520">
        <v>8906.18</v>
      </c>
      <c r="I825" s="512">
        <v>42972</v>
      </c>
      <c r="J825" s="254">
        <f t="shared" si="63"/>
        <v>-4.1216409632519602E-3</v>
      </c>
      <c r="L825" s="251">
        <f t="shared" si="64"/>
        <v>42972</v>
      </c>
      <c r="M825" s="513">
        <v>93.2</v>
      </c>
      <c r="N825" s="254">
        <f t="shared" si="65"/>
        <v>-5.8666666666666867E-3</v>
      </c>
      <c r="O825" s="1137">
        <f t="shared" si="67"/>
        <v>-5.8980862261091413E-3</v>
      </c>
      <c r="P825" s="1138"/>
    </row>
    <row r="826" spans="6:16" x14ac:dyDescent="0.2">
      <c r="F826" s="1137">
        <f t="shared" si="66"/>
        <v>-1.7560405614192439E-3</v>
      </c>
      <c r="G826" s="1138"/>
      <c r="H826" s="520">
        <v>8943.0400000000009</v>
      </c>
      <c r="I826" s="512">
        <v>42971</v>
      </c>
      <c r="J826" s="254">
        <f t="shared" si="63"/>
        <v>-1.7246210019767894E-3</v>
      </c>
      <c r="L826" s="251">
        <f t="shared" si="64"/>
        <v>42971</v>
      </c>
      <c r="M826" s="513">
        <v>93.75</v>
      </c>
      <c r="N826" s="254">
        <f t="shared" si="65"/>
        <v>-5.3050397877983935E-3</v>
      </c>
      <c r="O826" s="1137">
        <f t="shared" si="67"/>
        <v>-5.336459347240848E-3</v>
      </c>
      <c r="P826" s="1138"/>
    </row>
    <row r="827" spans="6:16" x14ac:dyDescent="0.2">
      <c r="F827" s="1137">
        <f t="shared" si="66"/>
        <v>-6.2714705539006113E-4</v>
      </c>
      <c r="G827" s="1138"/>
      <c r="H827" s="520">
        <v>8958.49</v>
      </c>
      <c r="I827" s="512">
        <v>42970</v>
      </c>
      <c r="J827" s="254">
        <f t="shared" si="63"/>
        <v>-5.9572749594760666E-4</v>
      </c>
      <c r="L827" s="251">
        <f t="shared" si="64"/>
        <v>42970</v>
      </c>
      <c r="M827" s="513">
        <v>94.25</v>
      </c>
      <c r="N827" s="254">
        <f t="shared" si="65"/>
        <v>-3.1729243786355887E-3</v>
      </c>
      <c r="O827" s="1137">
        <f t="shared" si="67"/>
        <v>-3.2043439380780433E-3</v>
      </c>
      <c r="P827" s="1138"/>
    </row>
    <row r="828" spans="6:16" x14ac:dyDescent="0.2">
      <c r="F828" s="1137">
        <f t="shared" si="66"/>
        <v>8.9793844001333101E-3</v>
      </c>
      <c r="G828" s="1138"/>
      <c r="H828" s="520">
        <v>8963.83</v>
      </c>
      <c r="I828" s="512">
        <v>42969</v>
      </c>
      <c r="J828" s="254">
        <f t="shared" si="63"/>
        <v>9.0108039595757639E-3</v>
      </c>
      <c r="L828" s="251">
        <f t="shared" si="64"/>
        <v>42969</v>
      </c>
      <c r="M828" s="513">
        <v>94.55</v>
      </c>
      <c r="N828" s="254">
        <f t="shared" si="65"/>
        <v>1.7213555675094083E-2</v>
      </c>
      <c r="O828" s="1137">
        <f t="shared" si="67"/>
        <v>1.7182136115651628E-2</v>
      </c>
      <c r="P828" s="1138"/>
    </row>
    <row r="829" spans="6:16" x14ac:dyDescent="0.2">
      <c r="F829" s="1137">
        <f t="shared" si="66"/>
        <v>1.0311934770052692E-3</v>
      </c>
      <c r="G829" s="1138"/>
      <c r="H829" s="520">
        <v>8883.7800000000007</v>
      </c>
      <c r="I829" s="512">
        <v>42968</v>
      </c>
      <c r="J829" s="254">
        <f t="shared" si="63"/>
        <v>1.0626130364477238E-3</v>
      </c>
      <c r="L829" s="251">
        <f t="shared" si="64"/>
        <v>42968</v>
      </c>
      <c r="M829" s="513">
        <v>92.95</v>
      </c>
      <c r="N829" s="254">
        <f t="shared" si="65"/>
        <v>-5.3763440860210565E-4</v>
      </c>
      <c r="O829" s="1137">
        <f t="shared" si="67"/>
        <v>-5.6905396804456012E-4</v>
      </c>
      <c r="P829" s="1138"/>
    </row>
    <row r="830" spans="6:16" x14ac:dyDescent="0.2">
      <c r="F830" s="1137">
        <f t="shared" si="66"/>
        <v>-7.9740492909245297E-3</v>
      </c>
      <c r="G830" s="1138"/>
      <c r="H830" s="520">
        <v>8874.35</v>
      </c>
      <c r="I830" s="512">
        <v>42965</v>
      </c>
      <c r="J830" s="254">
        <f t="shared" si="63"/>
        <v>-7.942629731482076E-3</v>
      </c>
      <c r="L830" s="251">
        <f t="shared" si="64"/>
        <v>42965</v>
      </c>
      <c r="M830" s="513">
        <v>93</v>
      </c>
      <c r="N830" s="254">
        <f t="shared" si="65"/>
        <v>-1.6103059581320522E-3</v>
      </c>
      <c r="O830" s="1137">
        <f t="shared" si="67"/>
        <v>-1.6417255175745068E-3</v>
      </c>
      <c r="P830" s="1138"/>
    </row>
    <row r="831" spans="6:16" x14ac:dyDescent="0.2">
      <c r="F831" s="1137">
        <f t="shared" si="66"/>
        <v>-1.0268288219488149E-2</v>
      </c>
      <c r="G831" s="1138"/>
      <c r="H831" s="520">
        <v>8945.4</v>
      </c>
      <c r="I831" s="512">
        <v>42964</v>
      </c>
      <c r="J831" s="254">
        <f t="shared" si="63"/>
        <v>-1.0236868660045695E-2</v>
      </c>
      <c r="L831" s="251">
        <f t="shared" si="64"/>
        <v>42964</v>
      </c>
      <c r="M831" s="513">
        <v>93.15</v>
      </c>
      <c r="N831" s="254">
        <f t="shared" si="65"/>
        <v>3.231017770597866E-3</v>
      </c>
      <c r="O831" s="1137">
        <f t="shared" si="67"/>
        <v>3.1995982111554114E-3</v>
      </c>
      <c r="P831" s="1138"/>
    </row>
    <row r="832" spans="6:16" x14ac:dyDescent="0.2">
      <c r="F832" s="1137">
        <f t="shared" si="66"/>
        <v>2.7868820920379936E-3</v>
      </c>
      <c r="G832" s="1138"/>
      <c r="H832" s="520">
        <v>9037.92</v>
      </c>
      <c r="I832" s="512">
        <v>42963</v>
      </c>
      <c r="J832" s="254">
        <f t="shared" si="63"/>
        <v>2.8183016514804482E-3</v>
      </c>
      <c r="L832" s="251">
        <f t="shared" si="64"/>
        <v>42963</v>
      </c>
      <c r="M832" s="513">
        <v>92.85</v>
      </c>
      <c r="N832" s="254">
        <f t="shared" si="65"/>
        <v>4.8701298701296913E-3</v>
      </c>
      <c r="O832" s="1137">
        <f t="shared" si="67"/>
        <v>4.8387103106872368E-3</v>
      </c>
      <c r="P832" s="1138"/>
    </row>
    <row r="833" spans="6:16" x14ac:dyDescent="0.2">
      <c r="F833" s="1137">
        <f t="shared" si="66"/>
        <v>-2.1075395292805962E-3</v>
      </c>
      <c r="G833" s="1138"/>
      <c r="H833" s="520">
        <v>9012.52</v>
      </c>
      <c r="I833" s="512">
        <v>42962</v>
      </c>
      <c r="J833" s="254">
        <f t="shared" si="63"/>
        <v>-2.0761199698381416E-3</v>
      </c>
      <c r="L833" s="251">
        <f t="shared" si="64"/>
        <v>42962</v>
      </c>
      <c r="M833" s="513">
        <v>92.4</v>
      </c>
      <c r="N833" s="254">
        <f t="shared" si="65"/>
        <v>1.0834236186350044E-3</v>
      </c>
      <c r="O833" s="1137">
        <f t="shared" si="67"/>
        <v>1.0520040591925498E-3</v>
      </c>
      <c r="P833" s="1138"/>
    </row>
    <row r="834" spans="6:16" x14ac:dyDescent="0.2">
      <c r="F834" s="1137">
        <f t="shared" si="66"/>
        <v>1.6540995693077723E-2</v>
      </c>
      <c r="G834" s="1138"/>
      <c r="H834" s="520">
        <v>9031.27</v>
      </c>
      <c r="I834" s="512">
        <v>42961</v>
      </c>
      <c r="J834" s="254">
        <f t="shared" si="63"/>
        <v>1.6572415252520178E-2</v>
      </c>
      <c r="L834" s="251">
        <f t="shared" si="64"/>
        <v>42961</v>
      </c>
      <c r="M834" s="513">
        <v>92.3</v>
      </c>
      <c r="N834" s="254">
        <f t="shared" si="65"/>
        <v>2.1017699115044142E-2</v>
      </c>
      <c r="O834" s="1137">
        <f t="shared" si="67"/>
        <v>2.0986279555601686E-2</v>
      </c>
      <c r="P834" s="1138"/>
    </row>
    <row r="835" spans="6:16" x14ac:dyDescent="0.2">
      <c r="F835" s="1137">
        <f t="shared" si="66"/>
        <v>-7.3857245429840698E-3</v>
      </c>
      <c r="G835" s="1138"/>
      <c r="H835" s="520">
        <v>8884.0400000000009</v>
      </c>
      <c r="I835" s="512">
        <v>42958</v>
      </c>
      <c r="J835" s="254">
        <f t="shared" si="63"/>
        <v>-7.3543049835416152E-3</v>
      </c>
      <c r="L835" s="251">
        <f t="shared" si="64"/>
        <v>42958</v>
      </c>
      <c r="M835" s="513">
        <v>90.4</v>
      </c>
      <c r="N835" s="254">
        <f t="shared" si="65"/>
        <v>-4.953219592735203E-3</v>
      </c>
      <c r="O835" s="1137">
        <f t="shared" si="67"/>
        <v>-4.9846391521776575E-3</v>
      </c>
      <c r="P835" s="1138"/>
    </row>
    <row r="836" spans="6:16" x14ac:dyDescent="0.2">
      <c r="F836" s="1137">
        <f t="shared" si="66"/>
        <v>-8.5933687903734634E-3</v>
      </c>
      <c r="G836" s="1138"/>
      <c r="H836" s="520">
        <v>8949.86</v>
      </c>
      <c r="I836" s="512">
        <v>42957</v>
      </c>
      <c r="J836" s="254">
        <f t="shared" si="63"/>
        <v>-8.5619492309310097E-3</v>
      </c>
      <c r="L836" s="251">
        <f t="shared" si="64"/>
        <v>42957</v>
      </c>
      <c r="M836" s="513">
        <v>90.85</v>
      </c>
      <c r="N836" s="254">
        <f t="shared" si="65"/>
        <v>-8.1877729257642251E-3</v>
      </c>
      <c r="O836" s="1137">
        <f t="shared" si="67"/>
        <v>-8.2191924852066788E-3</v>
      </c>
      <c r="P836" s="1138"/>
    </row>
    <row r="837" spans="6:16" x14ac:dyDescent="0.2">
      <c r="F837" s="1137">
        <f t="shared" si="66"/>
        <v>-1.4785308581121521E-2</v>
      </c>
      <c r="G837" s="1138"/>
      <c r="H837" s="520">
        <v>9027.15</v>
      </c>
      <c r="I837" s="512">
        <v>42956</v>
      </c>
      <c r="J837" s="254">
        <f t="shared" si="63"/>
        <v>-1.4753889021679067E-2</v>
      </c>
      <c r="L837" s="251">
        <f t="shared" si="64"/>
        <v>42956</v>
      </c>
      <c r="M837" s="513">
        <v>91.6</v>
      </c>
      <c r="N837" s="254">
        <f t="shared" si="65"/>
        <v>-1.1332973556395176E-2</v>
      </c>
      <c r="O837" s="1137">
        <f t="shared" si="67"/>
        <v>-1.136439311583763E-2</v>
      </c>
      <c r="P837" s="1138"/>
    </row>
    <row r="838" spans="6:16" x14ac:dyDescent="0.2">
      <c r="F838" s="1137">
        <f t="shared" si="66"/>
        <v>7.5502476193807608E-4</v>
      </c>
      <c r="G838" s="1138"/>
      <c r="H838" s="520">
        <v>9162.33</v>
      </c>
      <c r="I838" s="512">
        <v>42955</v>
      </c>
      <c r="J838" s="254">
        <f t="shared" si="63"/>
        <v>7.8644432138053055E-4</v>
      </c>
      <c r="L838" s="251">
        <f t="shared" si="64"/>
        <v>42955</v>
      </c>
      <c r="M838" s="513">
        <v>92.65</v>
      </c>
      <c r="N838" s="254">
        <f t="shared" si="65"/>
        <v>-2.1540118470649849E-3</v>
      </c>
      <c r="O838" s="1137">
        <f t="shared" si="67"/>
        <v>-2.1854314065074395E-3</v>
      </c>
      <c r="P838" s="1138"/>
    </row>
    <row r="839" spans="6:16" x14ac:dyDescent="0.2">
      <c r="F839" s="1137">
        <f t="shared" si="66"/>
        <v>-2.4134642167866057E-3</v>
      </c>
      <c r="G839" s="1138"/>
      <c r="H839" s="520">
        <v>9155.1299999999992</v>
      </c>
      <c r="I839" s="512">
        <v>42954</v>
      </c>
      <c r="J839" s="254">
        <f t="shared" si="63"/>
        <v>-2.3820446573441512E-3</v>
      </c>
      <c r="L839" s="251">
        <f t="shared" si="64"/>
        <v>42954</v>
      </c>
      <c r="M839" s="513">
        <v>92.85</v>
      </c>
      <c r="N839" s="254">
        <f t="shared" si="65"/>
        <v>2.6997840172786614E-3</v>
      </c>
      <c r="O839" s="1137">
        <f t="shared" si="67"/>
        <v>2.6683644578362068E-3</v>
      </c>
      <c r="P839" s="1138"/>
    </row>
    <row r="840" spans="6:16" x14ac:dyDescent="0.2">
      <c r="F840" s="1137">
        <f t="shared" si="66"/>
        <v>4.388162758287976E-3</v>
      </c>
      <c r="G840" s="1138"/>
      <c r="H840" s="520">
        <v>9176.99</v>
      </c>
      <c r="I840" s="512">
        <v>42951</v>
      </c>
      <c r="J840" s="254">
        <f t="shared" si="63"/>
        <v>4.4195823177304305E-3</v>
      </c>
      <c r="L840" s="251">
        <f t="shared" si="64"/>
        <v>42951</v>
      </c>
      <c r="M840" s="513">
        <v>92.6</v>
      </c>
      <c r="N840" s="254">
        <f t="shared" si="65"/>
        <v>1.0365521003818712E-2</v>
      </c>
      <c r="O840" s="1137">
        <f t="shared" si="67"/>
        <v>1.0334101444376258E-2</v>
      </c>
      <c r="P840" s="1138"/>
    </row>
    <row r="841" spans="6:16" x14ac:dyDescent="0.2">
      <c r="F841" s="1137">
        <f t="shared" si="66"/>
        <v>1.4955440082810726E-3</v>
      </c>
      <c r="G841" s="1138"/>
      <c r="H841" s="520">
        <v>9136.61</v>
      </c>
      <c r="I841" s="512">
        <v>42950</v>
      </c>
      <c r="J841" s="254">
        <f t="shared" si="63"/>
        <v>1.5269635677235271E-3</v>
      </c>
      <c r="L841" s="251">
        <f t="shared" si="64"/>
        <v>42950</v>
      </c>
      <c r="M841" s="513">
        <v>91.65</v>
      </c>
      <c r="N841" s="254">
        <f t="shared" si="65"/>
        <v>-3.8043478260868513E-3</v>
      </c>
      <c r="O841" s="1137">
        <f t="shared" si="67"/>
        <v>-3.8357673855293059E-3</v>
      </c>
      <c r="P841" s="1138"/>
    </row>
    <row r="842" spans="6:16" x14ac:dyDescent="0.2">
      <c r="F842" s="1137">
        <f t="shared" si="66"/>
        <v>7.4429040186911469E-3</v>
      </c>
      <c r="G842" s="1138"/>
      <c r="H842" s="520">
        <v>9122.68</v>
      </c>
      <c r="I842" s="512">
        <v>42949</v>
      </c>
      <c r="J842" s="254">
        <f t="shared" si="63"/>
        <v>7.4743235781336015E-3</v>
      </c>
      <c r="L842" s="251">
        <f t="shared" si="64"/>
        <v>42949</v>
      </c>
      <c r="M842" s="513">
        <v>92</v>
      </c>
      <c r="N842" s="254">
        <f t="shared" si="65"/>
        <v>-1.6042780748663055E-2</v>
      </c>
      <c r="O842" s="1137">
        <f t="shared" si="67"/>
        <v>-1.607420030810551E-2</v>
      </c>
      <c r="P842" s="1138"/>
    </row>
    <row r="843" spans="6:16" x14ac:dyDescent="0.2">
      <c r="F843" s="1137">
        <f t="shared" si="66"/>
        <v>3.9256458923492979E-3</v>
      </c>
      <c r="G843" s="1138"/>
      <c r="H843" s="520">
        <v>9055</v>
      </c>
      <c r="I843" s="512">
        <v>42947</v>
      </c>
      <c r="J843" s="254">
        <f t="shared" si="63"/>
        <v>3.9570654517917525E-3</v>
      </c>
      <c r="L843" s="251">
        <f t="shared" si="64"/>
        <v>42947</v>
      </c>
      <c r="M843" s="513">
        <v>93.5</v>
      </c>
      <c r="N843" s="254">
        <f t="shared" si="65"/>
        <v>1.4099783080260275E-2</v>
      </c>
      <c r="O843" s="1137">
        <f t="shared" si="67"/>
        <v>1.4068363520817822E-2</v>
      </c>
      <c r="P843" s="1138"/>
    </row>
    <row r="844" spans="6:16" x14ac:dyDescent="0.2">
      <c r="F844" s="1137">
        <f t="shared" si="66"/>
        <v>1.3713615099204921E-4</v>
      </c>
      <c r="G844" s="1138"/>
      <c r="H844" s="520">
        <v>9019.31</v>
      </c>
      <c r="I844" s="512">
        <v>42944</v>
      </c>
      <c r="J844" s="254">
        <f t="shared" si="63"/>
        <v>1.6855571043450368E-4</v>
      </c>
      <c r="L844" s="251">
        <f t="shared" si="64"/>
        <v>42944</v>
      </c>
      <c r="M844" s="513">
        <v>92.2</v>
      </c>
      <c r="N844" s="254">
        <f t="shared" si="65"/>
        <v>-1.2319228709159025E-2</v>
      </c>
      <c r="O844" s="1137">
        <f t="shared" si="67"/>
        <v>-1.2350648268601478E-2</v>
      </c>
      <c r="P844" s="1138"/>
    </row>
    <row r="845" spans="6:16" x14ac:dyDescent="0.2">
      <c r="F845" s="1137">
        <f t="shared" si="66"/>
        <v>3.0218576247353504E-3</v>
      </c>
      <c r="G845" s="1138"/>
      <c r="H845" s="520">
        <v>9017.7900000000009</v>
      </c>
      <c r="I845" s="512">
        <v>42943</v>
      </c>
      <c r="J845" s="254">
        <f t="shared" si="63"/>
        <v>3.053277184177805E-3</v>
      </c>
      <c r="L845" s="251">
        <f t="shared" si="64"/>
        <v>42943</v>
      </c>
      <c r="M845" s="513">
        <v>93.35</v>
      </c>
      <c r="N845" s="254">
        <f t="shared" si="65"/>
        <v>7.0118662351670302E-3</v>
      </c>
      <c r="O845" s="1137">
        <f t="shared" si="67"/>
        <v>6.9804466757245756E-3</v>
      </c>
      <c r="P845" s="1138"/>
    </row>
    <row r="846" spans="6:16" x14ac:dyDescent="0.2">
      <c r="F846" s="1137">
        <f t="shared" si="66"/>
        <v>5.8357304422358017E-3</v>
      </c>
      <c r="G846" s="1138"/>
      <c r="H846" s="520">
        <v>8990.34</v>
      </c>
      <c r="I846" s="512">
        <v>42942</v>
      </c>
      <c r="J846" s="254">
        <f t="shared" si="63"/>
        <v>5.8671500016782563E-3</v>
      </c>
      <c r="L846" s="251">
        <f t="shared" si="64"/>
        <v>42942</v>
      </c>
      <c r="M846" s="513">
        <v>92.7</v>
      </c>
      <c r="N846" s="254">
        <f t="shared" si="65"/>
        <v>1.6447368421052655E-2</v>
      </c>
      <c r="O846" s="1137">
        <f t="shared" si="67"/>
        <v>1.64159488616102E-2</v>
      </c>
      <c r="P846" s="1138"/>
    </row>
    <row r="847" spans="6:16" x14ac:dyDescent="0.2">
      <c r="F847" s="1137">
        <f t="shared" si="66"/>
        <v>4.4267704401416844E-3</v>
      </c>
      <c r="G847" s="1138"/>
      <c r="H847" s="520">
        <v>8937.9</v>
      </c>
      <c r="I847" s="512">
        <v>42941</v>
      </c>
      <c r="J847" s="254">
        <f t="shared" si="63"/>
        <v>4.458189999584139E-3</v>
      </c>
      <c r="L847" s="251">
        <f t="shared" si="64"/>
        <v>42941</v>
      </c>
      <c r="M847" s="513">
        <v>91.2</v>
      </c>
      <c r="N847" s="254">
        <f t="shared" si="65"/>
        <v>-4.9099836333879043E-3</v>
      </c>
      <c r="O847" s="1137">
        <f t="shared" si="67"/>
        <v>-4.9414031928303589E-3</v>
      </c>
      <c r="P847" s="1138"/>
    </row>
    <row r="848" spans="6:16" x14ac:dyDescent="0.2">
      <c r="F848" s="1137">
        <f t="shared" si="66"/>
        <v>-4.5566962222160353E-3</v>
      </c>
      <c r="G848" s="1138"/>
      <c r="H848" s="520">
        <v>8898.23</v>
      </c>
      <c r="I848" s="512">
        <v>42940</v>
      </c>
      <c r="J848" s="254">
        <f t="shared" si="63"/>
        <v>-4.5252766627735808E-3</v>
      </c>
      <c r="L848" s="251">
        <f t="shared" si="64"/>
        <v>42940</v>
      </c>
      <c r="M848" s="513">
        <v>91.65</v>
      </c>
      <c r="N848" s="254">
        <f t="shared" si="65"/>
        <v>-1.9261637239165297E-2</v>
      </c>
      <c r="O848" s="1137">
        <f t="shared" si="67"/>
        <v>-1.9293056798607752E-2</v>
      </c>
      <c r="P848" s="1138"/>
    </row>
    <row r="849" spans="6:16" x14ac:dyDescent="0.2">
      <c r="F849" s="1137">
        <f t="shared" si="66"/>
        <v>-9.8559864044926292E-3</v>
      </c>
      <c r="G849" s="1138"/>
      <c r="H849" s="520">
        <v>8938.68</v>
      </c>
      <c r="I849" s="512">
        <v>42937</v>
      </c>
      <c r="J849" s="254">
        <f t="shared" si="63"/>
        <v>-9.8245668450501755E-3</v>
      </c>
      <c r="L849" s="251">
        <f t="shared" si="64"/>
        <v>42937</v>
      </c>
      <c r="M849" s="513">
        <v>93.45</v>
      </c>
      <c r="N849" s="254">
        <f t="shared" si="65"/>
        <v>-7.4349442379182396E-3</v>
      </c>
      <c r="O849" s="1137">
        <f t="shared" si="67"/>
        <v>-7.4663637973606941E-3</v>
      </c>
      <c r="P849" s="1138"/>
    </row>
    <row r="850" spans="6:16" x14ac:dyDescent="0.2">
      <c r="F850" s="1137">
        <f t="shared" si="66"/>
        <v>3.0655604425962422E-4</v>
      </c>
      <c r="G850" s="1138"/>
      <c r="H850" s="520">
        <v>9027.3700000000008</v>
      </c>
      <c r="I850" s="512">
        <v>42936</v>
      </c>
      <c r="J850" s="254">
        <f t="shared" si="63"/>
        <v>3.3797560370207869E-4</v>
      </c>
      <c r="L850" s="251">
        <f t="shared" si="64"/>
        <v>42936</v>
      </c>
      <c r="M850" s="513">
        <v>94.15</v>
      </c>
      <c r="N850" s="254">
        <f t="shared" si="65"/>
        <v>2.6717557251908497E-2</v>
      </c>
      <c r="O850" s="1137">
        <f t="shared" si="67"/>
        <v>2.6686137692466042E-2</v>
      </c>
      <c r="P850" s="1138"/>
    </row>
    <row r="851" spans="6:16" x14ac:dyDescent="0.2">
      <c r="F851" s="1137">
        <f t="shared" si="66"/>
        <v>5.1300978420220781E-3</v>
      </c>
      <c r="G851" s="1138"/>
      <c r="H851" s="520">
        <v>9024.32</v>
      </c>
      <c r="I851" s="512">
        <v>42935</v>
      </c>
      <c r="J851" s="254">
        <f t="shared" si="63"/>
        <v>5.1615174014645326E-3</v>
      </c>
      <c r="L851" s="251">
        <f t="shared" si="64"/>
        <v>42935</v>
      </c>
      <c r="M851" s="513">
        <v>91.7</v>
      </c>
      <c r="N851" s="254">
        <f t="shared" si="65"/>
        <v>7.692307692307665E-3</v>
      </c>
      <c r="O851" s="1137">
        <f t="shared" si="67"/>
        <v>7.6608881328652104E-3</v>
      </c>
      <c r="P851" s="1138"/>
    </row>
    <row r="852" spans="6:16" x14ac:dyDescent="0.2">
      <c r="F852" s="1137">
        <f t="shared" si="66"/>
        <v>-6.7437051330623684E-3</v>
      </c>
      <c r="G852" s="1138"/>
      <c r="H852" s="520">
        <v>8977.98</v>
      </c>
      <c r="I852" s="512">
        <v>42934</v>
      </c>
      <c r="J852" s="254">
        <f t="shared" si="63"/>
        <v>-6.7122855736199138E-3</v>
      </c>
      <c r="L852" s="251">
        <f t="shared" si="64"/>
        <v>42934</v>
      </c>
      <c r="M852" s="513">
        <v>91</v>
      </c>
      <c r="N852" s="254">
        <f t="shared" si="65"/>
        <v>-1.097694840834218E-3</v>
      </c>
      <c r="O852" s="1137">
        <f t="shared" si="67"/>
        <v>-1.1291144002766726E-3</v>
      </c>
      <c r="P852" s="1138"/>
    </row>
    <row r="853" spans="6:16" x14ac:dyDescent="0.2">
      <c r="F853" s="1137">
        <f t="shared" si="66"/>
        <v>4.2017913313503838E-4</v>
      </c>
      <c r="G853" s="1138"/>
      <c r="H853" s="520">
        <v>9038.65</v>
      </c>
      <c r="I853" s="512">
        <v>42933</v>
      </c>
      <c r="J853" s="254">
        <f t="shared" si="63"/>
        <v>4.5159869257749286E-4</v>
      </c>
      <c r="L853" s="251">
        <f t="shared" si="64"/>
        <v>42933</v>
      </c>
      <c r="M853" s="513">
        <v>91.1</v>
      </c>
      <c r="N853" s="254">
        <f t="shared" si="65"/>
        <v>4.9641478212905099E-3</v>
      </c>
      <c r="O853" s="1137">
        <f t="shared" si="67"/>
        <v>4.9327282618480553E-3</v>
      </c>
      <c r="P853" s="1138"/>
    </row>
    <row r="854" spans="6:16" x14ac:dyDescent="0.2">
      <c r="F854" s="1137">
        <f t="shared" si="66"/>
        <v>3.4116591304548952E-3</v>
      </c>
      <c r="G854" s="1138"/>
      <c r="H854" s="520">
        <v>9034.57</v>
      </c>
      <c r="I854" s="512">
        <v>42930</v>
      </c>
      <c r="J854" s="254">
        <f t="shared" si="63"/>
        <v>3.4430786898973498E-3</v>
      </c>
      <c r="L854" s="251">
        <f t="shared" si="64"/>
        <v>42930</v>
      </c>
      <c r="M854" s="513">
        <v>90.65</v>
      </c>
      <c r="N854" s="254">
        <f t="shared" si="65"/>
        <v>7.222222222222241E-3</v>
      </c>
      <c r="O854" s="1137">
        <f t="shared" si="67"/>
        <v>7.1908026627797864E-3</v>
      </c>
      <c r="P854" s="1138"/>
    </row>
    <row r="855" spans="6:16" x14ac:dyDescent="0.2">
      <c r="F855" s="1137">
        <f t="shared" si="66"/>
        <v>-1.3657733462121699E-3</v>
      </c>
      <c r="G855" s="1138"/>
      <c r="H855" s="520">
        <v>9003.57</v>
      </c>
      <c r="I855" s="512">
        <v>42929</v>
      </c>
      <c r="J855" s="254">
        <f t="shared" si="63"/>
        <v>-1.3343537867697153E-3</v>
      </c>
      <c r="L855" s="251">
        <f t="shared" si="64"/>
        <v>42929</v>
      </c>
      <c r="M855" s="513">
        <v>90</v>
      </c>
      <c r="N855" s="254">
        <f t="shared" si="65"/>
        <v>7.2747621712367927E-3</v>
      </c>
      <c r="O855" s="1137">
        <f t="shared" si="67"/>
        <v>7.2433426117943381E-3</v>
      </c>
      <c r="P855" s="1138"/>
    </row>
    <row r="856" spans="6:16" x14ac:dyDescent="0.2">
      <c r="F856" s="1137">
        <f t="shared" si="66"/>
        <v>1.5917293939549729E-2</v>
      </c>
      <c r="G856" s="1138"/>
      <c r="H856" s="520">
        <v>9015.6</v>
      </c>
      <c r="I856" s="512">
        <v>42928</v>
      </c>
      <c r="J856" s="254">
        <f t="shared" si="63"/>
        <v>1.5948713498992184E-2</v>
      </c>
      <c r="L856" s="251">
        <f t="shared" si="64"/>
        <v>42928</v>
      </c>
      <c r="M856" s="513">
        <v>89.35</v>
      </c>
      <c r="N856" s="254">
        <f t="shared" si="65"/>
        <v>6.7605633802816367E-3</v>
      </c>
      <c r="O856" s="1137">
        <f t="shared" si="67"/>
        <v>6.7291438208391821E-3</v>
      </c>
      <c r="P856" s="1138"/>
    </row>
    <row r="857" spans="6:16" x14ac:dyDescent="0.2">
      <c r="F857" s="1137">
        <f t="shared" si="66"/>
        <v>-7.8323193966488968E-3</v>
      </c>
      <c r="G857" s="1138"/>
      <c r="H857" s="520">
        <v>8874.07</v>
      </c>
      <c r="I857" s="512">
        <v>42927</v>
      </c>
      <c r="J857" s="254">
        <f t="shared" si="63"/>
        <v>-7.8008998372064431E-3</v>
      </c>
      <c r="L857" s="251">
        <f t="shared" si="64"/>
        <v>42927</v>
      </c>
      <c r="M857" s="513">
        <v>88.75</v>
      </c>
      <c r="N857" s="254">
        <f t="shared" si="65"/>
        <v>-4.4868199663489206E-3</v>
      </c>
      <c r="O857" s="1137">
        <f t="shared" si="67"/>
        <v>-4.5182395257913751E-3</v>
      </c>
      <c r="P857" s="1138"/>
    </row>
    <row r="858" spans="6:16" x14ac:dyDescent="0.2">
      <c r="F858" s="1137">
        <f t="shared" si="66"/>
        <v>6.7870155438471561E-3</v>
      </c>
      <c r="G858" s="1138"/>
      <c r="H858" s="520">
        <v>8943.84</v>
      </c>
      <c r="I858" s="512">
        <v>42926</v>
      </c>
      <c r="J858" s="254">
        <f t="shared" si="63"/>
        <v>6.8184351032896107E-3</v>
      </c>
      <c r="L858" s="251">
        <f t="shared" si="64"/>
        <v>42926</v>
      </c>
      <c r="M858" s="513">
        <v>89.15</v>
      </c>
      <c r="N858" s="254">
        <f t="shared" si="65"/>
        <v>1.5954415954416046E-2</v>
      </c>
      <c r="O858" s="1137">
        <f t="shared" si="67"/>
        <v>1.592299639497359E-2</v>
      </c>
      <c r="P858" s="1138"/>
    </row>
    <row r="859" spans="6:16" x14ac:dyDescent="0.2">
      <c r="F859" s="1137">
        <f t="shared" si="66"/>
        <v>-4.4550988289430895E-4</v>
      </c>
      <c r="G859" s="1138"/>
      <c r="H859" s="520">
        <v>8883.27</v>
      </c>
      <c r="I859" s="512">
        <v>42923</v>
      </c>
      <c r="J859" s="254">
        <f t="shared" si="63"/>
        <v>-4.1409032345185448E-4</v>
      </c>
      <c r="L859" s="251">
        <f t="shared" si="64"/>
        <v>42923</v>
      </c>
      <c r="M859" s="513">
        <v>87.75</v>
      </c>
      <c r="N859" s="254">
        <f t="shared" si="65"/>
        <v>1.9163763066202266E-2</v>
      </c>
      <c r="O859" s="1137">
        <f t="shared" si="67"/>
        <v>1.9132343506759811E-2</v>
      </c>
      <c r="P859" s="1138"/>
    </row>
    <row r="860" spans="6:16" x14ac:dyDescent="0.2">
      <c r="F860" s="1137">
        <f t="shared" si="66"/>
        <v>-7.5307773955174814E-3</v>
      </c>
      <c r="G860" s="1138"/>
      <c r="H860" s="520">
        <v>8886.9500000000007</v>
      </c>
      <c r="I860" s="512">
        <v>42922</v>
      </c>
      <c r="J860" s="254">
        <f t="shared" si="63"/>
        <v>-7.4993578360750268E-3</v>
      </c>
      <c r="L860" s="251">
        <f t="shared" si="64"/>
        <v>42922</v>
      </c>
      <c r="M860" s="513">
        <v>86.1</v>
      </c>
      <c r="N860" s="254">
        <f t="shared" si="65"/>
        <v>3.4965034965035446E-3</v>
      </c>
      <c r="O860" s="1137">
        <f t="shared" si="67"/>
        <v>3.4650839370610901E-3</v>
      </c>
      <c r="P860" s="1138"/>
    </row>
    <row r="861" spans="6:16" x14ac:dyDescent="0.2">
      <c r="F861" s="1137">
        <f t="shared" si="66"/>
        <v>-1.9597696497292557E-3</v>
      </c>
      <c r="G861" s="1138"/>
      <c r="H861" s="520">
        <v>8954.1</v>
      </c>
      <c r="I861" s="512">
        <v>42921</v>
      </c>
      <c r="J861" s="254">
        <f t="shared" ref="J861:J924" si="68">H861/H862-1</f>
        <v>-1.9283500902868012E-3</v>
      </c>
      <c r="L861" s="251">
        <f t="shared" ref="L861:L924" si="69">I861</f>
        <v>42921</v>
      </c>
      <c r="M861" s="513">
        <v>85.8</v>
      </c>
      <c r="N861" s="254">
        <f t="shared" ref="N861:N924" si="70">M861/M862-1</f>
        <v>1.1792452830188704E-2</v>
      </c>
      <c r="O861" s="1137">
        <f t="shared" si="67"/>
        <v>1.1761033270746251E-2</v>
      </c>
      <c r="P861" s="1138"/>
    </row>
    <row r="862" spans="6:16" x14ac:dyDescent="0.2">
      <c r="F862" s="1137">
        <f t="shared" ref="F862:F925" si="71">J862-$I$19</f>
        <v>-4.2945505244682955E-3</v>
      </c>
      <c r="G862" s="1138"/>
      <c r="H862" s="520">
        <v>8971.4</v>
      </c>
      <c r="I862" s="512">
        <v>42920</v>
      </c>
      <c r="J862" s="254">
        <f t="shared" si="68"/>
        <v>-4.2631309650258409E-3</v>
      </c>
      <c r="L862" s="251">
        <f t="shared" si="69"/>
        <v>42920</v>
      </c>
      <c r="M862" s="513">
        <v>84.8</v>
      </c>
      <c r="N862" s="254">
        <f t="shared" si="70"/>
        <v>-8.7668030391583329E-3</v>
      </c>
      <c r="O862" s="1137">
        <f t="shared" ref="O862:O925" si="72">N862-$I$19</f>
        <v>-8.7982225986007866E-3</v>
      </c>
      <c r="P862" s="1138"/>
    </row>
    <row r="863" spans="6:16" x14ac:dyDescent="0.2">
      <c r="F863" s="1137">
        <f t="shared" si="71"/>
        <v>1.1523679919724876E-2</v>
      </c>
      <c r="G863" s="1138"/>
      <c r="H863" s="520">
        <v>9009.81</v>
      </c>
      <c r="I863" s="512">
        <v>42919</v>
      </c>
      <c r="J863" s="254">
        <f t="shared" si="68"/>
        <v>1.155509947916733E-2</v>
      </c>
      <c r="L863" s="251">
        <f t="shared" si="69"/>
        <v>42919</v>
      </c>
      <c r="M863" s="513">
        <v>85.55</v>
      </c>
      <c r="N863" s="254">
        <f t="shared" si="70"/>
        <v>-5.8411214953268953E-4</v>
      </c>
      <c r="O863" s="1137">
        <f t="shared" si="72"/>
        <v>-6.15531708975144E-4</v>
      </c>
      <c r="P863" s="1138"/>
    </row>
    <row r="864" spans="6:16" x14ac:dyDescent="0.2">
      <c r="F864" s="1137">
        <f t="shared" si="71"/>
        <v>-4.1850235236467323E-3</v>
      </c>
      <c r="G864" s="1138"/>
      <c r="H864" s="520">
        <v>8906.89</v>
      </c>
      <c r="I864" s="512">
        <v>42916</v>
      </c>
      <c r="J864" s="254">
        <f t="shared" si="68"/>
        <v>-4.1536039642042777E-3</v>
      </c>
      <c r="L864" s="251">
        <f t="shared" si="69"/>
        <v>42916</v>
      </c>
      <c r="M864" s="513">
        <v>85.6</v>
      </c>
      <c r="N864" s="254">
        <f t="shared" si="70"/>
        <v>2.1479713603818507E-2</v>
      </c>
      <c r="O864" s="1137">
        <f t="shared" si="72"/>
        <v>2.1448294044376051E-2</v>
      </c>
      <c r="P864" s="1138"/>
    </row>
    <row r="865" spans="6:16" x14ac:dyDescent="0.2">
      <c r="F865" s="1137">
        <f t="shared" si="71"/>
        <v>-1.4650120347060742E-2</v>
      </c>
      <c r="G865" s="1138"/>
      <c r="H865" s="520">
        <v>8944.0400000000009</v>
      </c>
      <c r="I865" s="512">
        <v>42915</v>
      </c>
      <c r="J865" s="254">
        <f t="shared" si="68"/>
        <v>-1.4618700787618288E-2</v>
      </c>
      <c r="L865" s="251">
        <f t="shared" si="69"/>
        <v>42915</v>
      </c>
      <c r="M865" s="513">
        <v>83.8</v>
      </c>
      <c r="N865" s="254">
        <f t="shared" si="70"/>
        <v>-2.0455873758036258E-2</v>
      </c>
      <c r="O865" s="1137">
        <f t="shared" si="72"/>
        <v>-2.0487293317478714E-2</v>
      </c>
      <c r="P865" s="1138"/>
    </row>
    <row r="866" spans="6:16" x14ac:dyDescent="0.2">
      <c r="F866" s="1137">
        <f t="shared" si="71"/>
        <v>3.8851139993996517E-4</v>
      </c>
      <c r="G866" s="1138"/>
      <c r="H866" s="520">
        <v>9076.73</v>
      </c>
      <c r="I866" s="512">
        <v>42914</v>
      </c>
      <c r="J866" s="254">
        <f t="shared" si="68"/>
        <v>4.1993095938241964E-4</v>
      </c>
      <c r="L866" s="251">
        <f t="shared" si="69"/>
        <v>42914</v>
      </c>
      <c r="M866" s="513">
        <v>85.55</v>
      </c>
      <c r="N866" s="254">
        <f t="shared" si="70"/>
        <v>-1.6666666666666718E-2</v>
      </c>
      <c r="O866" s="1137">
        <f t="shared" si="72"/>
        <v>-1.6698086226109174E-2</v>
      </c>
      <c r="P866" s="1138"/>
    </row>
    <row r="867" spans="6:16" x14ac:dyDescent="0.2">
      <c r="F867" s="1137">
        <f t="shared" si="71"/>
        <v>-5.326763822600152E-3</v>
      </c>
      <c r="G867" s="1138"/>
      <c r="H867" s="520">
        <v>9072.92</v>
      </c>
      <c r="I867" s="512">
        <v>42913</v>
      </c>
      <c r="J867" s="254">
        <f t="shared" si="68"/>
        <v>-5.2953442631576975E-3</v>
      </c>
      <c r="L867" s="251">
        <f t="shared" si="69"/>
        <v>42913</v>
      </c>
      <c r="M867" s="513">
        <v>87</v>
      </c>
      <c r="N867" s="254">
        <f t="shared" si="70"/>
        <v>-9.6755833807625757E-3</v>
      </c>
      <c r="O867" s="1137">
        <f t="shared" si="72"/>
        <v>-9.7070029402050294E-3</v>
      </c>
      <c r="P867" s="1138"/>
    </row>
    <row r="868" spans="6:16" x14ac:dyDescent="0.2">
      <c r="F868" s="1137">
        <f t="shared" si="71"/>
        <v>9.7472891373313209E-3</v>
      </c>
      <c r="G868" s="1138"/>
      <c r="H868" s="520">
        <v>9121.2199999999993</v>
      </c>
      <c r="I868" s="512">
        <v>42912</v>
      </c>
      <c r="J868" s="254">
        <f t="shared" si="68"/>
        <v>9.7787086967737746E-3</v>
      </c>
      <c r="L868" s="251">
        <f t="shared" si="69"/>
        <v>42912</v>
      </c>
      <c r="M868" s="513">
        <v>87.85</v>
      </c>
      <c r="N868" s="254">
        <f t="shared" si="70"/>
        <v>0</v>
      </c>
      <c r="O868" s="1137">
        <f t="shared" si="72"/>
        <v>-3.1419559442454485E-5</v>
      </c>
      <c r="P868" s="1138"/>
    </row>
    <row r="869" spans="6:16" x14ac:dyDescent="0.2">
      <c r="F869" s="1137">
        <f t="shared" si="71"/>
        <v>-2.0620738212201858E-3</v>
      </c>
      <c r="G869" s="1138"/>
      <c r="H869" s="520">
        <v>9032.89</v>
      </c>
      <c r="I869" s="512">
        <v>42909</v>
      </c>
      <c r="J869" s="254">
        <f t="shared" si="68"/>
        <v>-2.0306542617777312E-3</v>
      </c>
      <c r="L869" s="251">
        <f t="shared" si="69"/>
        <v>42909</v>
      </c>
      <c r="M869" s="513">
        <v>87.85</v>
      </c>
      <c r="N869" s="254">
        <f t="shared" si="70"/>
        <v>-1.1370096645823002E-3</v>
      </c>
      <c r="O869" s="1137">
        <f t="shared" si="72"/>
        <v>-1.1684292240247548E-3</v>
      </c>
      <c r="P869" s="1138"/>
    </row>
    <row r="870" spans="6:16" x14ac:dyDescent="0.2">
      <c r="F870" s="1137">
        <f t="shared" si="71"/>
        <v>7.2758194593886697E-3</v>
      </c>
      <c r="G870" s="1138"/>
      <c r="H870" s="520">
        <v>9051.27</v>
      </c>
      <c r="I870" s="512">
        <v>42908</v>
      </c>
      <c r="J870" s="254">
        <f t="shared" si="68"/>
        <v>7.3072390188311243E-3</v>
      </c>
      <c r="L870" s="251">
        <f t="shared" si="69"/>
        <v>42908</v>
      </c>
      <c r="M870" s="513">
        <v>87.95</v>
      </c>
      <c r="N870" s="254">
        <f t="shared" si="70"/>
        <v>3.4227039361094391E-3</v>
      </c>
      <c r="O870" s="1137">
        <f t="shared" si="72"/>
        <v>3.3912843766669845E-3</v>
      </c>
      <c r="P870" s="1138"/>
    </row>
    <row r="871" spans="6:16" x14ac:dyDescent="0.2">
      <c r="F871" s="1137">
        <f t="shared" si="71"/>
        <v>-4.2359731996393498E-3</v>
      </c>
      <c r="G871" s="1138"/>
      <c r="H871" s="520">
        <v>8985.61</v>
      </c>
      <c r="I871" s="512">
        <v>42907</v>
      </c>
      <c r="J871" s="254">
        <f t="shared" si="68"/>
        <v>-4.2045536401968953E-3</v>
      </c>
      <c r="L871" s="251">
        <f t="shared" si="69"/>
        <v>42907</v>
      </c>
      <c r="M871" s="513">
        <v>87.65</v>
      </c>
      <c r="N871" s="254">
        <f t="shared" si="70"/>
        <v>-2.2766078542969526E-3</v>
      </c>
      <c r="O871" s="1137">
        <f t="shared" si="72"/>
        <v>-2.3080274137394071E-3</v>
      </c>
      <c r="P871" s="1138"/>
    </row>
    <row r="872" spans="6:16" x14ac:dyDescent="0.2">
      <c r="F872" s="1137">
        <f t="shared" si="71"/>
        <v>-7.7890303175236111E-4</v>
      </c>
      <c r="G872" s="1138"/>
      <c r="H872" s="520">
        <v>9023.5499999999993</v>
      </c>
      <c r="I872" s="512">
        <v>42906</v>
      </c>
      <c r="J872" s="254">
        <f t="shared" si="68"/>
        <v>-7.4748347230990664E-4</v>
      </c>
      <c r="L872" s="251">
        <f t="shared" si="69"/>
        <v>42906</v>
      </c>
      <c r="M872" s="513">
        <v>87.85</v>
      </c>
      <c r="N872" s="254">
        <f t="shared" si="70"/>
        <v>-4.5325779036827774E-3</v>
      </c>
      <c r="O872" s="1137">
        <f t="shared" si="72"/>
        <v>-4.5639974631252319E-3</v>
      </c>
      <c r="P872" s="1138"/>
    </row>
    <row r="873" spans="6:16" x14ac:dyDescent="0.2">
      <c r="F873" s="1137">
        <f t="shared" si="71"/>
        <v>7.4446299714773937E-3</v>
      </c>
      <c r="G873" s="1138"/>
      <c r="H873" s="520">
        <v>9030.2999999999993</v>
      </c>
      <c r="I873" s="512">
        <v>42905</v>
      </c>
      <c r="J873" s="254">
        <f t="shared" si="68"/>
        <v>7.4760495309198483E-3</v>
      </c>
      <c r="L873" s="251">
        <f t="shared" si="69"/>
        <v>42905</v>
      </c>
      <c r="M873" s="513">
        <v>88.25</v>
      </c>
      <c r="N873" s="254">
        <f t="shared" si="70"/>
        <v>6.8454078722188783E-3</v>
      </c>
      <c r="O873" s="1137">
        <f t="shared" si="72"/>
        <v>6.8139883127764237E-3</v>
      </c>
      <c r="P873" s="1138"/>
    </row>
    <row r="874" spans="6:16" x14ac:dyDescent="0.2">
      <c r="F874" s="1137">
        <f t="shared" si="71"/>
        <v>1.2425360676884005E-2</v>
      </c>
      <c r="G874" s="1138"/>
      <c r="H874" s="520">
        <v>8963.2900000000009</v>
      </c>
      <c r="I874" s="512">
        <v>42902</v>
      </c>
      <c r="J874" s="254">
        <f t="shared" si="68"/>
        <v>1.2456780236326459E-2</v>
      </c>
      <c r="L874" s="251">
        <f t="shared" si="69"/>
        <v>42902</v>
      </c>
      <c r="M874" s="513">
        <v>87.65</v>
      </c>
      <c r="N874" s="254">
        <f t="shared" si="70"/>
        <v>1.741149158444566E-2</v>
      </c>
      <c r="O874" s="1137">
        <f t="shared" si="72"/>
        <v>1.7380072025003204E-2</v>
      </c>
      <c r="P874" s="1138"/>
    </row>
    <row r="875" spans="6:16" x14ac:dyDescent="0.2">
      <c r="F875" s="1137">
        <f t="shared" si="71"/>
        <v>3.7651770184084319E-4</v>
      </c>
      <c r="G875" s="1138"/>
      <c r="H875" s="520">
        <v>8853.01</v>
      </c>
      <c r="I875" s="512">
        <v>42901</v>
      </c>
      <c r="J875" s="254">
        <f t="shared" si="68"/>
        <v>4.0793726128329766E-4</v>
      </c>
      <c r="L875" s="251">
        <f t="shared" si="69"/>
        <v>42901</v>
      </c>
      <c r="M875" s="513">
        <v>86.15</v>
      </c>
      <c r="N875" s="254">
        <f t="shared" si="70"/>
        <v>-1.3737836290784067E-2</v>
      </c>
      <c r="O875" s="1137">
        <f t="shared" si="72"/>
        <v>-1.376925585022652E-2</v>
      </c>
      <c r="P875" s="1138"/>
    </row>
    <row r="876" spans="6:16" x14ac:dyDescent="0.2">
      <c r="F876" s="1137">
        <f t="shared" si="71"/>
        <v>-2.0241860538989095E-3</v>
      </c>
      <c r="G876" s="1138"/>
      <c r="H876" s="520">
        <v>8849.4</v>
      </c>
      <c r="I876" s="512">
        <v>42900</v>
      </c>
      <c r="J876" s="254">
        <f t="shared" si="68"/>
        <v>-1.9927664944564549E-3</v>
      </c>
      <c r="L876" s="251">
        <f t="shared" si="69"/>
        <v>42900</v>
      </c>
      <c r="M876" s="513">
        <v>87.35</v>
      </c>
      <c r="N876" s="254">
        <f t="shared" si="70"/>
        <v>1.1461318051575464E-3</v>
      </c>
      <c r="O876" s="1137">
        <f t="shared" si="72"/>
        <v>1.1147122457150918E-3</v>
      </c>
      <c r="P876" s="1138"/>
    </row>
    <row r="877" spans="6:16" x14ac:dyDescent="0.2">
      <c r="F877" s="1137">
        <f t="shared" si="71"/>
        <v>6.6921281848992412E-3</v>
      </c>
      <c r="G877" s="1138"/>
      <c r="H877" s="520">
        <v>8867.07</v>
      </c>
      <c r="I877" s="512">
        <v>42899</v>
      </c>
      <c r="J877" s="254">
        <f t="shared" si="68"/>
        <v>6.7235477443416958E-3</v>
      </c>
      <c r="L877" s="251">
        <f t="shared" si="69"/>
        <v>42899</v>
      </c>
      <c r="M877" s="513">
        <v>87.25</v>
      </c>
      <c r="N877" s="254">
        <f t="shared" si="70"/>
        <v>1.4534883720930258E-2</v>
      </c>
      <c r="O877" s="1137">
        <f t="shared" si="72"/>
        <v>1.4503464161487805E-2</v>
      </c>
      <c r="P877" s="1138"/>
    </row>
    <row r="878" spans="6:16" x14ac:dyDescent="0.2">
      <c r="F878" s="1137">
        <f t="shared" si="71"/>
        <v>-4.3272192847373788E-3</v>
      </c>
      <c r="G878" s="1138"/>
      <c r="H878" s="520">
        <v>8807.85</v>
      </c>
      <c r="I878" s="512">
        <v>42898</v>
      </c>
      <c r="J878" s="254">
        <f t="shared" si="68"/>
        <v>-4.2957997252949243E-3</v>
      </c>
      <c r="L878" s="251">
        <f t="shared" si="69"/>
        <v>42898</v>
      </c>
      <c r="M878" s="513">
        <v>86</v>
      </c>
      <c r="N878" s="254">
        <f t="shared" si="70"/>
        <v>-6.3690800217746313E-2</v>
      </c>
      <c r="O878" s="1137">
        <f t="shared" si="72"/>
        <v>-6.3722219777188768E-2</v>
      </c>
      <c r="P878" s="1138"/>
    </row>
    <row r="879" spans="6:16" x14ac:dyDescent="0.2">
      <c r="F879" s="1137">
        <f t="shared" si="71"/>
        <v>3.8532236730163963E-3</v>
      </c>
      <c r="G879" s="1138"/>
      <c r="H879" s="520">
        <v>8845.85</v>
      </c>
      <c r="I879" s="512">
        <v>42895</v>
      </c>
      <c r="J879" s="254">
        <f t="shared" si="68"/>
        <v>3.8846432324588509E-3</v>
      </c>
      <c r="L879" s="251">
        <f t="shared" si="69"/>
        <v>42895</v>
      </c>
      <c r="M879" s="513">
        <v>91.85</v>
      </c>
      <c r="N879" s="254">
        <f t="shared" si="70"/>
        <v>1.0451045104510337E-2</v>
      </c>
      <c r="O879" s="1137">
        <f t="shared" si="72"/>
        <v>1.0419625545067883E-2</v>
      </c>
      <c r="P879" s="1138"/>
    </row>
    <row r="880" spans="6:16" x14ac:dyDescent="0.2">
      <c r="F880" s="1137">
        <f t="shared" si="71"/>
        <v>-7.3663277970478632E-3</v>
      </c>
      <c r="G880" s="1138"/>
      <c r="H880" s="520">
        <v>8811.6200000000008</v>
      </c>
      <c r="I880" s="512">
        <v>42894</v>
      </c>
      <c r="J880" s="254">
        <f t="shared" si="68"/>
        <v>-7.3349082376054087E-3</v>
      </c>
      <c r="L880" s="251">
        <f t="shared" si="69"/>
        <v>42894</v>
      </c>
      <c r="M880" s="513">
        <v>90.9</v>
      </c>
      <c r="N880" s="254">
        <f t="shared" si="70"/>
        <v>0</v>
      </c>
      <c r="O880" s="1137">
        <f t="shared" si="72"/>
        <v>-3.1419559442454485E-5</v>
      </c>
      <c r="P880" s="1138"/>
    </row>
    <row r="881" spans="6:16" x14ac:dyDescent="0.2">
      <c r="F881" s="1137">
        <f t="shared" si="71"/>
        <v>-3.5719498756543863E-3</v>
      </c>
      <c r="G881" s="1138"/>
      <c r="H881" s="520">
        <v>8876.73</v>
      </c>
      <c r="I881" s="512">
        <v>42893</v>
      </c>
      <c r="J881" s="254">
        <f t="shared" si="68"/>
        <v>-3.5405303162119317E-3</v>
      </c>
      <c r="L881" s="251">
        <f t="shared" si="69"/>
        <v>42893</v>
      </c>
      <c r="M881" s="513">
        <v>90.9</v>
      </c>
      <c r="N881" s="254">
        <f t="shared" si="70"/>
        <v>1.0561423012784843E-2</v>
      </c>
      <c r="O881" s="1137">
        <f t="shared" si="72"/>
        <v>1.0530003453342389E-2</v>
      </c>
      <c r="P881" s="1138"/>
    </row>
    <row r="882" spans="6:16" x14ac:dyDescent="0.2">
      <c r="F882" s="1137">
        <f t="shared" si="71"/>
        <v>-1.5034803033053419E-2</v>
      </c>
      <c r="G882" s="1138"/>
      <c r="H882" s="520">
        <v>8908.27</v>
      </c>
      <c r="I882" s="512">
        <v>42892</v>
      </c>
      <c r="J882" s="254">
        <f t="shared" si="68"/>
        <v>-1.5003383473610965E-2</v>
      </c>
      <c r="L882" s="251">
        <f t="shared" si="69"/>
        <v>42892</v>
      </c>
      <c r="M882" s="513">
        <v>89.95</v>
      </c>
      <c r="N882" s="254">
        <f t="shared" si="70"/>
        <v>1.0674157303370846E-2</v>
      </c>
      <c r="O882" s="1137">
        <f t="shared" si="72"/>
        <v>1.0642737743928392E-2</v>
      </c>
      <c r="P882" s="1138"/>
    </row>
    <row r="883" spans="6:16" x14ac:dyDescent="0.2">
      <c r="F883" s="1137">
        <f t="shared" si="71"/>
        <v>2.0782944324819344E-3</v>
      </c>
      <c r="G883" s="1138"/>
      <c r="H883" s="520">
        <v>9043.9599999999991</v>
      </c>
      <c r="I883" s="512">
        <v>42888</v>
      </c>
      <c r="J883" s="254">
        <f t="shared" si="68"/>
        <v>2.109713991924389E-3</v>
      </c>
      <c r="L883" s="251">
        <f t="shared" si="69"/>
        <v>42888</v>
      </c>
      <c r="M883" s="513">
        <v>89</v>
      </c>
      <c r="N883" s="254">
        <f t="shared" si="70"/>
        <v>-1.0011123470522909E-2</v>
      </c>
      <c r="O883" s="1137">
        <f t="shared" si="72"/>
        <v>-1.0042543029965363E-2</v>
      </c>
      <c r="P883" s="1138"/>
    </row>
    <row r="884" spans="6:16" x14ac:dyDescent="0.2">
      <c r="F884" s="1137">
        <f t="shared" si="71"/>
        <v>8.8688260189480437E-4</v>
      </c>
      <c r="G884" s="1138"/>
      <c r="H884" s="520">
        <v>9024.92</v>
      </c>
      <c r="I884" s="512">
        <v>42887</v>
      </c>
      <c r="J884" s="254">
        <f t="shared" si="68"/>
        <v>9.1830216133725884E-4</v>
      </c>
      <c r="L884" s="251">
        <f t="shared" si="69"/>
        <v>42887</v>
      </c>
      <c r="M884" s="513">
        <v>89.9</v>
      </c>
      <c r="N884" s="254">
        <f t="shared" si="70"/>
        <v>-2.2197558268589601E-3</v>
      </c>
      <c r="O884" s="1137">
        <f t="shared" si="72"/>
        <v>-2.2511753863014147E-3</v>
      </c>
      <c r="P884" s="1138"/>
    </row>
    <row r="885" spans="6:16" x14ac:dyDescent="0.2">
      <c r="F885" s="1137">
        <f t="shared" si="71"/>
        <v>9.7884517432485305E-4</v>
      </c>
      <c r="G885" s="1138"/>
      <c r="H885" s="520">
        <v>9016.64</v>
      </c>
      <c r="I885" s="512">
        <v>42886</v>
      </c>
      <c r="J885" s="254">
        <f t="shared" si="68"/>
        <v>1.0102647337673076E-3</v>
      </c>
      <c r="L885" s="251">
        <f t="shared" si="69"/>
        <v>42886</v>
      </c>
      <c r="M885" s="513">
        <v>90.1</v>
      </c>
      <c r="N885" s="254">
        <f t="shared" si="70"/>
        <v>-1.6620498614958734E-3</v>
      </c>
      <c r="O885" s="1137">
        <f t="shared" si="72"/>
        <v>-1.693469420938328E-3</v>
      </c>
      <c r="P885" s="1138"/>
    </row>
    <row r="886" spans="6:16" x14ac:dyDescent="0.2">
      <c r="F886" s="1137">
        <f t="shared" si="71"/>
        <v>-2.7351516397437345E-3</v>
      </c>
      <c r="G886" s="1138"/>
      <c r="H886" s="520">
        <v>9007.5400000000009</v>
      </c>
      <c r="I886" s="512">
        <v>42885</v>
      </c>
      <c r="J886" s="254">
        <f t="shared" si="68"/>
        <v>-2.7037320803012799E-3</v>
      </c>
      <c r="L886" s="251">
        <f t="shared" si="69"/>
        <v>42885</v>
      </c>
      <c r="M886" s="513">
        <v>90.25</v>
      </c>
      <c r="N886" s="254">
        <f t="shared" si="70"/>
        <v>7.8168620882188566E-3</v>
      </c>
      <c r="O886" s="1137">
        <f t="shared" si="72"/>
        <v>7.7854425287764021E-3</v>
      </c>
      <c r="P886" s="1138"/>
    </row>
    <row r="887" spans="6:16" x14ac:dyDescent="0.2">
      <c r="F887" s="1137">
        <f t="shared" si="71"/>
        <v>-1.1451075255299167E-3</v>
      </c>
      <c r="G887" s="1138"/>
      <c r="H887" s="520">
        <v>9031.9599999999991</v>
      </c>
      <c r="I887" s="512">
        <v>42884</v>
      </c>
      <c r="J887" s="254">
        <f t="shared" si="68"/>
        <v>-1.1136879660874621E-3</v>
      </c>
      <c r="L887" s="251">
        <f t="shared" si="69"/>
        <v>42884</v>
      </c>
      <c r="M887" s="513">
        <v>89.55</v>
      </c>
      <c r="N887" s="254">
        <f t="shared" si="70"/>
        <v>-6.6555740432613364E-3</v>
      </c>
      <c r="O887" s="1137">
        <f t="shared" si="72"/>
        <v>-6.686993602703791E-3</v>
      </c>
      <c r="P887" s="1138"/>
    </row>
    <row r="888" spans="6:16" x14ac:dyDescent="0.2">
      <c r="F888" s="1137">
        <f t="shared" si="71"/>
        <v>7.3669675151851008E-4</v>
      </c>
      <c r="G888" s="1138"/>
      <c r="H888" s="520">
        <v>9042.0300000000007</v>
      </c>
      <c r="I888" s="512">
        <v>42881</v>
      </c>
      <c r="J888" s="254">
        <f t="shared" si="68"/>
        <v>7.6811631096096455E-4</v>
      </c>
      <c r="L888" s="251">
        <f t="shared" si="69"/>
        <v>42881</v>
      </c>
      <c r="M888" s="513">
        <v>90.15</v>
      </c>
      <c r="N888" s="254">
        <f t="shared" si="70"/>
        <v>2.2234574763757564E-3</v>
      </c>
      <c r="O888" s="1137">
        <f t="shared" si="72"/>
        <v>2.1920379169333018E-3</v>
      </c>
      <c r="P888" s="1138"/>
    </row>
    <row r="889" spans="6:16" x14ac:dyDescent="0.2">
      <c r="F889" s="1137">
        <f t="shared" si="71"/>
        <v>-2.9745564335154481E-3</v>
      </c>
      <c r="G889" s="1138"/>
      <c r="H889" s="520">
        <v>9035.09</v>
      </c>
      <c r="I889" s="512">
        <v>42879</v>
      </c>
      <c r="J889" s="254">
        <f t="shared" si="68"/>
        <v>-2.9431368740729935E-3</v>
      </c>
      <c r="L889" s="251">
        <f t="shared" si="69"/>
        <v>42879</v>
      </c>
      <c r="M889" s="513">
        <v>89.95</v>
      </c>
      <c r="N889" s="254">
        <f t="shared" si="70"/>
        <v>7.2788353863382227E-3</v>
      </c>
      <c r="O889" s="1137">
        <f t="shared" si="72"/>
        <v>7.2474158268957681E-3</v>
      </c>
      <c r="P889" s="1138"/>
    </row>
    <row r="890" spans="6:16" x14ac:dyDescent="0.2">
      <c r="F890" s="1137">
        <f t="shared" si="71"/>
        <v>-2.5653279204595333E-3</v>
      </c>
      <c r="G890" s="1138"/>
      <c r="H890" s="520">
        <v>9061.76</v>
      </c>
      <c r="I890" s="512">
        <v>42878</v>
      </c>
      <c r="J890" s="254">
        <f t="shared" si="68"/>
        <v>-2.5339083610170787E-3</v>
      </c>
      <c r="L890" s="251">
        <f t="shared" si="69"/>
        <v>42878</v>
      </c>
      <c r="M890" s="513">
        <v>89.3</v>
      </c>
      <c r="N890" s="254">
        <f t="shared" si="70"/>
        <v>5.6306306306306286E-3</v>
      </c>
      <c r="O890" s="1137">
        <f t="shared" si="72"/>
        <v>5.5992110711881741E-3</v>
      </c>
      <c r="P890" s="1138"/>
    </row>
    <row r="891" spans="6:16" x14ac:dyDescent="0.2">
      <c r="F891" s="1137">
        <f t="shared" si="71"/>
        <v>6.8702075930906084E-3</v>
      </c>
      <c r="G891" s="1138"/>
      <c r="H891" s="520">
        <v>9084.7800000000007</v>
      </c>
      <c r="I891" s="512">
        <v>42877</v>
      </c>
      <c r="J891" s="254">
        <f t="shared" si="68"/>
        <v>6.901627152533063E-3</v>
      </c>
      <c r="L891" s="251">
        <f t="shared" si="69"/>
        <v>42877</v>
      </c>
      <c r="M891" s="513">
        <v>88.8</v>
      </c>
      <c r="N891" s="254">
        <f t="shared" si="70"/>
        <v>-2.2471910112359383E-3</v>
      </c>
      <c r="O891" s="1137">
        <f t="shared" si="72"/>
        <v>-2.2786105706783929E-3</v>
      </c>
      <c r="P891" s="1138"/>
    </row>
    <row r="892" spans="6:16" x14ac:dyDescent="0.2">
      <c r="F892" s="1137">
        <f t="shared" si="71"/>
        <v>9.3819298543768737E-3</v>
      </c>
      <c r="G892" s="1138"/>
      <c r="H892" s="520">
        <v>9022.51</v>
      </c>
      <c r="I892" s="512">
        <v>42874</v>
      </c>
      <c r="J892" s="254">
        <f t="shared" si="68"/>
        <v>9.4133494138193274E-3</v>
      </c>
      <c r="L892" s="251">
        <f t="shared" si="69"/>
        <v>42874</v>
      </c>
      <c r="M892" s="513">
        <v>89</v>
      </c>
      <c r="N892" s="254">
        <f t="shared" si="70"/>
        <v>2.1227768215720033E-2</v>
      </c>
      <c r="O892" s="1137">
        <f t="shared" si="72"/>
        <v>2.1196348656277578E-2</v>
      </c>
      <c r="P892" s="1138"/>
    </row>
    <row r="893" spans="6:16" x14ac:dyDescent="0.2">
      <c r="F893" s="1137">
        <f t="shared" si="71"/>
        <v>-7.0557263493464103E-3</v>
      </c>
      <c r="G893" s="1138"/>
      <c r="H893" s="520">
        <v>8938.3700000000008</v>
      </c>
      <c r="I893" s="512">
        <v>42873</v>
      </c>
      <c r="J893" s="254">
        <f t="shared" si="68"/>
        <v>-7.0243067899039557E-3</v>
      </c>
      <c r="L893" s="251">
        <f t="shared" si="69"/>
        <v>42873</v>
      </c>
      <c r="M893" s="513">
        <v>87.15</v>
      </c>
      <c r="N893" s="254">
        <f t="shared" si="70"/>
        <v>5.7703404500866196E-3</v>
      </c>
      <c r="O893" s="1137">
        <f t="shared" si="72"/>
        <v>5.738920890644165E-3</v>
      </c>
      <c r="P893" s="1138"/>
    </row>
    <row r="894" spans="6:16" x14ac:dyDescent="0.2">
      <c r="F894" s="1137">
        <f t="shared" si="71"/>
        <v>-1.3836785914928691E-2</v>
      </c>
      <c r="G894" s="1138"/>
      <c r="H894" s="520">
        <v>9001.6</v>
      </c>
      <c r="I894" s="512">
        <v>42872</v>
      </c>
      <c r="J894" s="254">
        <f t="shared" si="68"/>
        <v>-1.3805366355486237E-2</v>
      </c>
      <c r="L894" s="251">
        <f t="shared" si="69"/>
        <v>42872</v>
      </c>
      <c r="M894" s="513">
        <v>86.65</v>
      </c>
      <c r="N894" s="254">
        <f t="shared" si="70"/>
        <v>-2.6404494382022414E-2</v>
      </c>
      <c r="O894" s="1137">
        <f t="shared" si="72"/>
        <v>-2.643591394146487E-2</v>
      </c>
      <c r="P894" s="1138"/>
    </row>
    <row r="895" spans="6:16" x14ac:dyDescent="0.2">
      <c r="F895" s="1137">
        <f t="shared" si="71"/>
        <v>2.0941259624744505E-3</v>
      </c>
      <c r="G895" s="1138"/>
      <c r="H895" s="520">
        <v>9127.61</v>
      </c>
      <c r="I895" s="512">
        <v>42871</v>
      </c>
      <c r="J895" s="254">
        <f t="shared" si="68"/>
        <v>2.125545521916905E-3</v>
      </c>
      <c r="L895" s="251">
        <f t="shared" si="69"/>
        <v>42871</v>
      </c>
      <c r="M895" s="513">
        <v>89</v>
      </c>
      <c r="N895" s="254">
        <f t="shared" si="70"/>
        <v>5.0818746470919773E-3</v>
      </c>
      <c r="O895" s="1137">
        <f t="shared" si="72"/>
        <v>5.0504550876495228E-3</v>
      </c>
      <c r="P895" s="1138"/>
    </row>
    <row r="896" spans="6:16" x14ac:dyDescent="0.2">
      <c r="F896" s="1137">
        <f t="shared" si="71"/>
        <v>-1.6930789609162352E-3</v>
      </c>
      <c r="G896" s="1138"/>
      <c r="H896" s="520">
        <v>9108.25</v>
      </c>
      <c r="I896" s="512">
        <v>42870</v>
      </c>
      <c r="J896" s="254">
        <f t="shared" si="68"/>
        <v>-1.6616594014737807E-3</v>
      </c>
      <c r="L896" s="251">
        <f t="shared" si="69"/>
        <v>42870</v>
      </c>
      <c r="M896" s="513">
        <v>88.55</v>
      </c>
      <c r="N896" s="254">
        <f t="shared" si="70"/>
        <v>-5.0561797752809445E-3</v>
      </c>
      <c r="O896" s="1137">
        <f t="shared" si="72"/>
        <v>-5.0875993347233991E-3</v>
      </c>
      <c r="P896" s="1138"/>
    </row>
    <row r="897" spans="6:16" x14ac:dyDescent="0.2">
      <c r="F897" s="1137">
        <f t="shared" si="71"/>
        <v>6.4253675133043179E-3</v>
      </c>
      <c r="G897" s="1138"/>
      <c r="H897" s="520">
        <v>9123.41</v>
      </c>
      <c r="I897" s="512">
        <v>42867</v>
      </c>
      <c r="J897" s="254">
        <f t="shared" si="68"/>
        <v>6.4567870727467724E-3</v>
      </c>
      <c r="L897" s="251">
        <f t="shared" si="69"/>
        <v>42867</v>
      </c>
      <c r="M897" s="513">
        <v>89</v>
      </c>
      <c r="N897" s="254">
        <f t="shared" si="70"/>
        <v>1.0215664018161208E-2</v>
      </c>
      <c r="O897" s="1137">
        <f t="shared" si="72"/>
        <v>1.0184244458718754E-2</v>
      </c>
      <c r="P897" s="1138"/>
    </row>
    <row r="898" spans="6:16" x14ac:dyDescent="0.2">
      <c r="F898" s="1137">
        <f t="shared" si="71"/>
        <v>-2.7729540266474969E-3</v>
      </c>
      <c r="G898" s="1138"/>
      <c r="H898" s="520">
        <v>9064.8799999999992</v>
      </c>
      <c r="I898" s="512">
        <v>42866</v>
      </c>
      <c r="J898" s="254">
        <f t="shared" si="68"/>
        <v>-2.7415344672050423E-3</v>
      </c>
      <c r="L898" s="251">
        <f t="shared" si="69"/>
        <v>42866</v>
      </c>
      <c r="M898" s="513">
        <v>88.1</v>
      </c>
      <c r="N898" s="254">
        <f t="shared" si="70"/>
        <v>-2.2650056625141968E-3</v>
      </c>
      <c r="O898" s="1137">
        <f t="shared" si="72"/>
        <v>-2.2964252219566514E-3</v>
      </c>
      <c r="P898" s="1138"/>
    </row>
    <row r="899" spans="6:16" x14ac:dyDescent="0.2">
      <c r="F899" s="1137">
        <f t="shared" si="71"/>
        <v>-2.6680717682285157E-3</v>
      </c>
      <c r="G899" s="1138"/>
      <c r="H899" s="520">
        <v>9089.7999999999993</v>
      </c>
      <c r="I899" s="512">
        <v>42865</v>
      </c>
      <c r="J899" s="254">
        <f t="shared" si="68"/>
        <v>-2.6366522087860611E-3</v>
      </c>
      <c r="L899" s="251">
        <f t="shared" si="69"/>
        <v>42865</v>
      </c>
      <c r="M899" s="513">
        <v>88.3</v>
      </c>
      <c r="N899" s="254">
        <f t="shared" si="70"/>
        <v>-2.8232636928289256E-3</v>
      </c>
      <c r="O899" s="1137">
        <f t="shared" si="72"/>
        <v>-2.8546832522713802E-3</v>
      </c>
      <c r="P899" s="1138"/>
    </row>
    <row r="900" spans="6:16" x14ac:dyDescent="0.2">
      <c r="F900" s="1137">
        <f t="shared" si="71"/>
        <v>8.1791116471027926E-3</v>
      </c>
      <c r="G900" s="1138"/>
      <c r="H900" s="520">
        <v>9113.83</v>
      </c>
      <c r="I900" s="512">
        <v>42864</v>
      </c>
      <c r="J900" s="254">
        <f t="shared" si="68"/>
        <v>8.2105312065452463E-3</v>
      </c>
      <c r="L900" s="251">
        <f t="shared" si="69"/>
        <v>42864</v>
      </c>
      <c r="M900" s="513">
        <v>88.55</v>
      </c>
      <c r="N900" s="254">
        <f t="shared" si="70"/>
        <v>6.8220579874929133E-3</v>
      </c>
      <c r="O900" s="1137">
        <f t="shared" si="72"/>
        <v>6.7906384280504587E-3</v>
      </c>
      <c r="P900" s="1138"/>
    </row>
    <row r="901" spans="6:16" x14ac:dyDescent="0.2">
      <c r="F901" s="1137">
        <f t="shared" si="71"/>
        <v>2.5138688289409608E-3</v>
      </c>
      <c r="G901" s="1138"/>
      <c r="H901" s="520">
        <v>9039.61</v>
      </c>
      <c r="I901" s="512">
        <v>42863</v>
      </c>
      <c r="J901" s="254">
        <f t="shared" si="68"/>
        <v>2.5452883883834154E-3</v>
      </c>
      <c r="L901" s="251">
        <f t="shared" si="69"/>
        <v>42863</v>
      </c>
      <c r="M901" s="513">
        <v>87.95</v>
      </c>
      <c r="N901" s="254">
        <f t="shared" si="70"/>
        <v>4.5688178183895811E-3</v>
      </c>
      <c r="O901" s="1137">
        <f t="shared" si="72"/>
        <v>4.5373982589471265E-3</v>
      </c>
      <c r="P901" s="1138"/>
    </row>
    <row r="902" spans="6:16" x14ac:dyDescent="0.2">
      <c r="F902" s="1137">
        <f t="shared" si="71"/>
        <v>4.0487495270406662E-3</v>
      </c>
      <c r="G902" s="1138"/>
      <c r="H902" s="520">
        <v>9016.66</v>
      </c>
      <c r="I902" s="512">
        <v>42860</v>
      </c>
      <c r="J902" s="254">
        <f t="shared" si="68"/>
        <v>4.0801690864831208E-3</v>
      </c>
      <c r="L902" s="251">
        <f t="shared" si="69"/>
        <v>42860</v>
      </c>
      <c r="M902" s="513">
        <v>87.55</v>
      </c>
      <c r="N902" s="254">
        <f t="shared" si="70"/>
        <v>1.7162471395879564E-3</v>
      </c>
      <c r="O902" s="1137">
        <f t="shared" si="72"/>
        <v>1.6848275801455018E-3</v>
      </c>
      <c r="P902" s="1138"/>
    </row>
    <row r="903" spans="6:16" x14ac:dyDescent="0.2">
      <c r="F903" s="1137">
        <f t="shared" si="71"/>
        <v>9.879859145085006E-3</v>
      </c>
      <c r="G903" s="1138"/>
      <c r="H903" s="520">
        <v>8980.02</v>
      </c>
      <c r="I903" s="512">
        <v>42859</v>
      </c>
      <c r="J903" s="254">
        <f t="shared" si="68"/>
        <v>9.9112787045274597E-3</v>
      </c>
      <c r="L903" s="251">
        <f t="shared" si="69"/>
        <v>42859</v>
      </c>
      <c r="M903" s="513">
        <v>87.4</v>
      </c>
      <c r="N903" s="254">
        <f t="shared" si="70"/>
        <v>5.7240984544937312E-4</v>
      </c>
      <c r="O903" s="1137">
        <f t="shared" si="72"/>
        <v>5.4099028600691865E-4</v>
      </c>
      <c r="P903" s="1138"/>
    </row>
    <row r="904" spans="6:16" x14ac:dyDescent="0.2">
      <c r="F904" s="1137">
        <f t="shared" si="71"/>
        <v>2.5992217171570556E-3</v>
      </c>
      <c r="G904" s="1138"/>
      <c r="H904" s="520">
        <v>8891.89</v>
      </c>
      <c r="I904" s="512">
        <v>42858</v>
      </c>
      <c r="J904" s="254">
        <f t="shared" si="68"/>
        <v>2.6306412765995102E-3</v>
      </c>
      <c r="L904" s="251">
        <f t="shared" si="69"/>
        <v>42858</v>
      </c>
      <c r="M904" s="513">
        <v>87.35</v>
      </c>
      <c r="N904" s="254">
        <f t="shared" si="70"/>
        <v>-5.69151963574277E-3</v>
      </c>
      <c r="O904" s="1137">
        <f t="shared" si="72"/>
        <v>-5.7229391951852246E-3</v>
      </c>
      <c r="P904" s="1138"/>
    </row>
    <row r="905" spans="6:16" x14ac:dyDescent="0.2">
      <c r="F905" s="1137">
        <f t="shared" si="71"/>
        <v>6.3105857579017358E-3</v>
      </c>
      <c r="G905" s="1138"/>
      <c r="H905" s="520">
        <v>8868.56</v>
      </c>
      <c r="I905" s="512">
        <v>42857</v>
      </c>
      <c r="J905" s="254">
        <f t="shared" si="68"/>
        <v>6.3420053173441904E-3</v>
      </c>
      <c r="L905" s="251">
        <f t="shared" si="69"/>
        <v>42857</v>
      </c>
      <c r="M905" s="513">
        <v>87.85</v>
      </c>
      <c r="N905" s="254">
        <f t="shared" si="70"/>
        <v>1.9733023795704963E-2</v>
      </c>
      <c r="O905" s="1137">
        <f t="shared" si="72"/>
        <v>1.9701604236262507E-2</v>
      </c>
      <c r="P905" s="1138"/>
    </row>
    <row r="906" spans="6:16" x14ac:dyDescent="0.2">
      <c r="F906" s="1137">
        <f t="shared" si="71"/>
        <v>-3.6618094617351512E-3</v>
      </c>
      <c r="G906" s="1138"/>
      <c r="H906" s="520">
        <v>8812.67</v>
      </c>
      <c r="I906" s="512">
        <v>42853</v>
      </c>
      <c r="J906" s="254">
        <f t="shared" si="68"/>
        <v>-3.6303899022926966E-3</v>
      </c>
      <c r="L906" s="251">
        <f t="shared" si="69"/>
        <v>42853</v>
      </c>
      <c r="M906" s="513">
        <v>86.15</v>
      </c>
      <c r="N906" s="254">
        <f t="shared" si="70"/>
        <v>6.4252336448600289E-3</v>
      </c>
      <c r="O906" s="1137">
        <f t="shared" si="72"/>
        <v>6.3938140854175743E-3</v>
      </c>
      <c r="P906" s="1138"/>
    </row>
    <row r="907" spans="6:16" x14ac:dyDescent="0.2">
      <c r="F907" s="1137">
        <f t="shared" si="71"/>
        <v>1.6095231502532706E-3</v>
      </c>
      <c r="G907" s="1138"/>
      <c r="H907" s="520">
        <v>8844.7800000000007</v>
      </c>
      <c r="I907" s="512">
        <v>42852</v>
      </c>
      <c r="J907" s="254">
        <f t="shared" si="68"/>
        <v>1.6409427096957252E-3</v>
      </c>
      <c r="L907" s="251">
        <f t="shared" si="69"/>
        <v>42852</v>
      </c>
      <c r="M907" s="513">
        <v>85.6</v>
      </c>
      <c r="N907" s="254">
        <f t="shared" si="70"/>
        <v>1.1222681630242093E-2</v>
      </c>
      <c r="O907" s="1137">
        <f t="shared" si="72"/>
        <v>1.1191262070799639E-2</v>
      </c>
      <c r="P907" s="1138"/>
    </row>
    <row r="908" spans="6:16" x14ac:dyDescent="0.2">
      <c r="F908" s="1137">
        <f t="shared" si="71"/>
        <v>6.2419131357318173E-3</v>
      </c>
      <c r="G908" s="1138"/>
      <c r="H908" s="520">
        <v>8830.2900000000009</v>
      </c>
      <c r="I908" s="512">
        <v>42851</v>
      </c>
      <c r="J908" s="254">
        <f t="shared" si="68"/>
        <v>6.2733326951742718E-3</v>
      </c>
      <c r="L908" s="251">
        <f t="shared" si="69"/>
        <v>42851</v>
      </c>
      <c r="M908" s="513">
        <v>84.65</v>
      </c>
      <c r="N908" s="254">
        <f t="shared" si="70"/>
        <v>4.1518386714116673E-3</v>
      </c>
      <c r="O908" s="1137">
        <f t="shared" si="72"/>
        <v>4.1204191119692127E-3</v>
      </c>
      <c r="P908" s="1138"/>
    </row>
    <row r="909" spans="6:16" x14ac:dyDescent="0.2">
      <c r="F909" s="1137">
        <f t="shared" si="71"/>
        <v>7.3061595904452973E-3</v>
      </c>
      <c r="G909" s="1138"/>
      <c r="H909" s="520">
        <v>8775.24</v>
      </c>
      <c r="I909" s="512">
        <v>42850</v>
      </c>
      <c r="J909" s="254">
        <f t="shared" si="68"/>
        <v>7.3375791498877518E-3</v>
      </c>
      <c r="L909" s="251">
        <f t="shared" si="69"/>
        <v>42850</v>
      </c>
      <c r="M909" s="513">
        <v>84.3</v>
      </c>
      <c r="N909" s="254">
        <f t="shared" si="70"/>
        <v>2.8048780487804903E-2</v>
      </c>
      <c r="O909" s="1137">
        <f t="shared" si="72"/>
        <v>2.8017360928362448E-2</v>
      </c>
      <c r="P909" s="1138"/>
    </row>
    <row r="910" spans="6:16" x14ac:dyDescent="0.2">
      <c r="F910" s="1137">
        <f t="shared" si="71"/>
        <v>1.83611668242218E-2</v>
      </c>
      <c r="G910" s="1138"/>
      <c r="H910" s="520">
        <v>8711.32</v>
      </c>
      <c r="I910" s="512">
        <v>42849</v>
      </c>
      <c r="J910" s="254">
        <f t="shared" si="68"/>
        <v>1.8392586383664256E-2</v>
      </c>
      <c r="L910" s="251">
        <f t="shared" si="69"/>
        <v>42849</v>
      </c>
      <c r="M910" s="513">
        <v>82</v>
      </c>
      <c r="N910" s="254">
        <f t="shared" si="70"/>
        <v>2.4999999999999911E-2</v>
      </c>
      <c r="O910" s="1137">
        <f t="shared" si="72"/>
        <v>2.4968580440557456E-2</v>
      </c>
      <c r="P910" s="1138"/>
    </row>
    <row r="911" spans="6:16" x14ac:dyDescent="0.2">
      <c r="F911" s="1137">
        <f t="shared" si="71"/>
        <v>-4.848034037870226E-4</v>
      </c>
      <c r="G911" s="1138"/>
      <c r="H911" s="520">
        <v>8553.99</v>
      </c>
      <c r="I911" s="512">
        <v>42846</v>
      </c>
      <c r="J911" s="254">
        <f t="shared" si="68"/>
        <v>-4.5338384434456813E-4</v>
      </c>
      <c r="L911" s="251">
        <f t="shared" si="69"/>
        <v>42846</v>
      </c>
      <c r="M911" s="513">
        <v>80</v>
      </c>
      <c r="N911" s="254">
        <f t="shared" si="70"/>
        <v>1.4584654407102216E-2</v>
      </c>
      <c r="O911" s="1137">
        <f t="shared" si="72"/>
        <v>1.4553234847659762E-2</v>
      </c>
      <c r="P911" s="1138"/>
    </row>
    <row r="912" spans="6:16" x14ac:dyDescent="0.2">
      <c r="F912" s="1137">
        <f t="shared" si="71"/>
        <v>2.9689543152708478E-3</v>
      </c>
      <c r="G912" s="1138"/>
      <c r="H912" s="520">
        <v>8557.8700000000008</v>
      </c>
      <c r="I912" s="512">
        <v>42845</v>
      </c>
      <c r="J912" s="254">
        <f t="shared" si="68"/>
        <v>3.0003738747133024E-3</v>
      </c>
      <c r="L912" s="251">
        <f t="shared" si="69"/>
        <v>42845</v>
      </c>
      <c r="M912" s="513">
        <v>78.849999999999994</v>
      </c>
      <c r="N912" s="254">
        <f t="shared" si="70"/>
        <v>-1.2666244458519049E-3</v>
      </c>
      <c r="O912" s="1137">
        <f t="shared" si="72"/>
        <v>-1.2980440052943595E-3</v>
      </c>
      <c r="P912" s="1138"/>
    </row>
    <row r="913" spans="6:16" x14ac:dyDescent="0.2">
      <c r="F913" s="1137">
        <f t="shared" si="71"/>
        <v>3.1913758019892866E-4</v>
      </c>
      <c r="G913" s="1138"/>
      <c r="H913" s="520">
        <v>8532.27</v>
      </c>
      <c r="I913" s="512">
        <v>42844</v>
      </c>
      <c r="J913" s="254">
        <f t="shared" si="68"/>
        <v>3.5055713964138313E-4</v>
      </c>
      <c r="L913" s="251">
        <f t="shared" si="69"/>
        <v>42844</v>
      </c>
      <c r="M913" s="513">
        <v>78.95</v>
      </c>
      <c r="N913" s="254">
        <f t="shared" si="70"/>
        <v>-5.6675062972292301E-3</v>
      </c>
      <c r="O913" s="1137">
        <f t="shared" si="72"/>
        <v>-5.6989258566716846E-3</v>
      </c>
      <c r="P913" s="1138"/>
    </row>
    <row r="914" spans="6:16" x14ac:dyDescent="0.2">
      <c r="F914" s="1137">
        <f t="shared" si="71"/>
        <v>-1.1590090184843733E-2</v>
      </c>
      <c r="G914" s="1138"/>
      <c r="H914" s="520">
        <v>8529.2800000000007</v>
      </c>
      <c r="I914" s="512">
        <v>42843</v>
      </c>
      <c r="J914" s="254">
        <f t="shared" si="68"/>
        <v>-1.1558670625401279E-2</v>
      </c>
      <c r="L914" s="251">
        <f t="shared" si="69"/>
        <v>42843</v>
      </c>
      <c r="M914" s="513">
        <v>79.400000000000006</v>
      </c>
      <c r="N914" s="254">
        <f t="shared" si="70"/>
        <v>-8.1199250468456663E-3</v>
      </c>
      <c r="O914" s="1137">
        <f t="shared" si="72"/>
        <v>-8.15134460628812E-3</v>
      </c>
      <c r="P914" s="1138"/>
    </row>
    <row r="915" spans="6:16" x14ac:dyDescent="0.2">
      <c r="F915" s="1137">
        <f t="shared" si="71"/>
        <v>-4.0423755289568505E-3</v>
      </c>
      <c r="G915" s="1138"/>
      <c r="H915" s="520">
        <v>8629.02</v>
      </c>
      <c r="I915" s="512">
        <v>42838</v>
      </c>
      <c r="J915" s="254">
        <f t="shared" si="68"/>
        <v>-4.0109559695143959E-3</v>
      </c>
      <c r="L915" s="251">
        <f t="shared" si="69"/>
        <v>42838</v>
      </c>
      <c r="M915" s="513">
        <v>80.05</v>
      </c>
      <c r="N915" s="254">
        <f t="shared" si="70"/>
        <v>3.1328320802004317E-3</v>
      </c>
      <c r="O915" s="1137">
        <f t="shared" si="72"/>
        <v>3.1014125207579771E-3</v>
      </c>
      <c r="P915" s="1138"/>
    </row>
    <row r="916" spans="6:16" x14ac:dyDescent="0.2">
      <c r="F916" s="1137">
        <f t="shared" si="71"/>
        <v>2.5398784137222333E-3</v>
      </c>
      <c r="G916" s="1138"/>
      <c r="H916" s="520">
        <v>8663.77</v>
      </c>
      <c r="I916" s="512">
        <v>42837</v>
      </c>
      <c r="J916" s="254">
        <f t="shared" si="68"/>
        <v>2.5712979731646879E-3</v>
      </c>
      <c r="L916" s="251">
        <f t="shared" si="69"/>
        <v>42837</v>
      </c>
      <c r="M916" s="513">
        <v>79.8</v>
      </c>
      <c r="N916" s="254">
        <f t="shared" si="70"/>
        <v>5.0377833753147971E-3</v>
      </c>
      <c r="O916" s="1137">
        <f t="shared" si="72"/>
        <v>5.0063638158723426E-3</v>
      </c>
      <c r="P916" s="1138"/>
    </row>
    <row r="917" spans="6:16" x14ac:dyDescent="0.2">
      <c r="F917" s="1137">
        <f t="shared" si="71"/>
        <v>2.8548428989520628E-3</v>
      </c>
      <c r="G917" s="1138"/>
      <c r="H917" s="520">
        <v>8641.5499999999993</v>
      </c>
      <c r="I917" s="512">
        <v>42836</v>
      </c>
      <c r="J917" s="254">
        <f t="shared" si="68"/>
        <v>2.8862624583945173E-3</v>
      </c>
      <c r="L917" s="251">
        <f t="shared" si="69"/>
        <v>42836</v>
      </c>
      <c r="M917" s="513">
        <v>79.400000000000006</v>
      </c>
      <c r="N917" s="254">
        <f t="shared" si="70"/>
        <v>-7.4999999999999512E-3</v>
      </c>
      <c r="O917" s="1137">
        <f t="shared" si="72"/>
        <v>-7.5314195594424057E-3</v>
      </c>
      <c r="P917" s="1138"/>
    </row>
    <row r="918" spans="6:16" x14ac:dyDescent="0.2">
      <c r="F918" s="1137">
        <f t="shared" si="71"/>
        <v>-2.8355223680586591E-3</v>
      </c>
      <c r="G918" s="1138"/>
      <c r="H918" s="520">
        <v>8616.68</v>
      </c>
      <c r="I918" s="512">
        <v>42835</v>
      </c>
      <c r="J918" s="254">
        <f t="shared" si="68"/>
        <v>-2.8041028086162045E-3</v>
      </c>
      <c r="L918" s="251">
        <f t="shared" si="69"/>
        <v>42835</v>
      </c>
      <c r="M918" s="513">
        <v>80</v>
      </c>
      <c r="N918" s="254">
        <f t="shared" si="70"/>
        <v>4.3942247332076079E-3</v>
      </c>
      <c r="O918" s="1137">
        <f t="shared" si="72"/>
        <v>4.3628051737651533E-3</v>
      </c>
      <c r="P918" s="1138"/>
    </row>
    <row r="919" spans="6:16" x14ac:dyDescent="0.2">
      <c r="F919" s="1137">
        <f t="shared" si="71"/>
        <v>2.6261739428830408E-4</v>
      </c>
      <c r="G919" s="1138"/>
      <c r="H919" s="520">
        <v>8640.91</v>
      </c>
      <c r="I919" s="512">
        <v>42832</v>
      </c>
      <c r="J919" s="254">
        <f t="shared" si="68"/>
        <v>2.9403695373075855E-4</v>
      </c>
      <c r="L919" s="251">
        <f t="shared" si="69"/>
        <v>42832</v>
      </c>
      <c r="M919" s="513">
        <v>79.650000000000006</v>
      </c>
      <c r="N919" s="254">
        <f t="shared" si="70"/>
        <v>-6.2735257214552309E-4</v>
      </c>
      <c r="O919" s="1137">
        <f t="shared" si="72"/>
        <v>-6.5877213158797756E-4</v>
      </c>
      <c r="P919" s="1138"/>
    </row>
    <row r="920" spans="6:16" x14ac:dyDescent="0.2">
      <c r="F920" s="1137">
        <f t="shared" si="71"/>
        <v>-2.7909012518449641E-4</v>
      </c>
      <c r="G920" s="1138"/>
      <c r="H920" s="520">
        <v>8638.3700000000008</v>
      </c>
      <c r="I920" s="512">
        <v>42831</v>
      </c>
      <c r="J920" s="254">
        <f t="shared" si="68"/>
        <v>-2.4767056574204194E-4</v>
      </c>
      <c r="L920" s="251">
        <f t="shared" si="69"/>
        <v>42831</v>
      </c>
      <c r="M920" s="513">
        <v>79.7</v>
      </c>
      <c r="N920" s="254">
        <f t="shared" si="70"/>
        <v>-2.5031289111389077E-3</v>
      </c>
      <c r="O920" s="1137">
        <f t="shared" si="72"/>
        <v>-2.5345484705813623E-3</v>
      </c>
      <c r="P920" s="1138"/>
    </row>
    <row r="921" spans="6:16" x14ac:dyDescent="0.2">
      <c r="F921" s="1137">
        <f t="shared" si="71"/>
        <v>-7.8081327910665868E-4</v>
      </c>
      <c r="G921" s="1138"/>
      <c r="H921" s="520">
        <v>8640.51</v>
      </c>
      <c r="I921" s="512">
        <v>42830</v>
      </c>
      <c r="J921" s="254">
        <f t="shared" si="68"/>
        <v>-7.4939371966420421E-4</v>
      </c>
      <c r="L921" s="251">
        <f t="shared" si="69"/>
        <v>42830</v>
      </c>
      <c r="M921" s="513">
        <v>79.900000000000006</v>
      </c>
      <c r="N921" s="254">
        <f t="shared" si="70"/>
        <v>3.7688442211056827E-3</v>
      </c>
      <c r="O921" s="1137">
        <f t="shared" si="72"/>
        <v>3.7374246616632282E-3</v>
      </c>
      <c r="P921" s="1138"/>
    </row>
    <row r="922" spans="6:16" x14ac:dyDescent="0.2">
      <c r="F922" s="1137">
        <f t="shared" si="71"/>
        <v>1.4893370893795535E-3</v>
      </c>
      <c r="G922" s="1138"/>
      <c r="H922" s="520">
        <v>8646.99</v>
      </c>
      <c r="I922" s="512">
        <v>42829</v>
      </c>
      <c r="J922" s="254">
        <f t="shared" si="68"/>
        <v>1.5207566488220081E-3</v>
      </c>
      <c r="L922" s="251">
        <f t="shared" si="69"/>
        <v>42829</v>
      </c>
      <c r="M922" s="513">
        <v>79.599999999999994</v>
      </c>
      <c r="N922" s="254">
        <f t="shared" si="70"/>
        <v>0</v>
      </c>
      <c r="O922" s="1137">
        <f t="shared" si="72"/>
        <v>-3.1419559442454485E-5</v>
      </c>
      <c r="P922" s="1138"/>
    </row>
    <row r="923" spans="6:16" x14ac:dyDescent="0.2">
      <c r="F923" s="1137">
        <f t="shared" si="71"/>
        <v>-2.9220903036139409E-3</v>
      </c>
      <c r="G923" s="1138"/>
      <c r="H923" s="520">
        <v>8633.86</v>
      </c>
      <c r="I923" s="512">
        <v>42828</v>
      </c>
      <c r="J923" s="254">
        <f t="shared" si="68"/>
        <v>-2.8906707441714863E-3</v>
      </c>
      <c r="L923" s="251">
        <f t="shared" si="69"/>
        <v>42828</v>
      </c>
      <c r="M923" s="513">
        <v>79.599999999999994</v>
      </c>
      <c r="N923" s="254">
        <f t="shared" si="70"/>
        <v>0</v>
      </c>
      <c r="O923" s="1137">
        <f t="shared" si="72"/>
        <v>-3.1419559442454485E-5</v>
      </c>
      <c r="P923" s="1138"/>
    </row>
    <row r="924" spans="6:16" x14ac:dyDescent="0.2">
      <c r="F924" s="1137">
        <f t="shared" si="71"/>
        <v>-5.2586669598921184E-3</v>
      </c>
      <c r="G924" s="1138"/>
      <c r="H924" s="520">
        <v>8658.89</v>
      </c>
      <c r="I924" s="512">
        <v>42825</v>
      </c>
      <c r="J924" s="254">
        <f t="shared" si="68"/>
        <v>-5.2272474004496638E-3</v>
      </c>
      <c r="L924" s="251">
        <f t="shared" si="69"/>
        <v>42825</v>
      </c>
      <c r="M924" s="513">
        <v>79.599999999999994</v>
      </c>
      <c r="N924" s="254">
        <f t="shared" si="70"/>
        <v>-5.0000000000001155E-3</v>
      </c>
      <c r="O924" s="1137">
        <f t="shared" si="72"/>
        <v>-5.03141955944257E-3</v>
      </c>
      <c r="P924" s="1138"/>
    </row>
    <row r="925" spans="6:16" x14ac:dyDescent="0.2">
      <c r="F925" s="1137">
        <f t="shared" si="71"/>
        <v>4.9168978856277282E-3</v>
      </c>
      <c r="G925" s="1138"/>
      <c r="H925" s="520">
        <v>8704.39</v>
      </c>
      <c r="I925" s="512">
        <v>42824</v>
      </c>
      <c r="J925" s="254">
        <f t="shared" ref="J925:J988" si="73">H925/H926-1</f>
        <v>4.9483174450701828E-3</v>
      </c>
      <c r="L925" s="251">
        <f t="shared" ref="L925:L988" si="74">I925</f>
        <v>42824</v>
      </c>
      <c r="M925" s="513">
        <v>80</v>
      </c>
      <c r="N925" s="254">
        <f t="shared" ref="N925:N988" si="75">M925/M926-1</f>
        <v>7.5566750629723067E-3</v>
      </c>
      <c r="O925" s="1137">
        <f t="shared" si="72"/>
        <v>7.5252555035298522E-3</v>
      </c>
      <c r="P925" s="1138"/>
    </row>
    <row r="926" spans="6:16" x14ac:dyDescent="0.2">
      <c r="F926" s="1137">
        <f t="shared" ref="F926:F989" si="76">J926-$I$19</f>
        <v>7.4723433723642022E-3</v>
      </c>
      <c r="G926" s="1138"/>
      <c r="H926" s="520">
        <v>8661.5300000000007</v>
      </c>
      <c r="I926" s="512">
        <v>42823</v>
      </c>
      <c r="J926" s="254">
        <f t="shared" si="73"/>
        <v>7.5037629318066568E-3</v>
      </c>
      <c r="L926" s="251">
        <f t="shared" si="74"/>
        <v>42823</v>
      </c>
      <c r="M926" s="513">
        <v>79.400000000000006</v>
      </c>
      <c r="N926" s="254">
        <f t="shared" si="75"/>
        <v>-4.3887147335422982E-3</v>
      </c>
      <c r="O926" s="1137">
        <f t="shared" ref="O926:O989" si="77">N926-$I$19</f>
        <v>-4.4201342929847528E-3</v>
      </c>
      <c r="P926" s="1138"/>
    </row>
    <row r="927" spans="6:16" x14ac:dyDescent="0.2">
      <c r="F927" s="1137">
        <f t="shared" si="76"/>
        <v>2.5713573263837317E-4</v>
      </c>
      <c r="G927" s="1138"/>
      <c r="H927" s="520">
        <v>8597.02</v>
      </c>
      <c r="I927" s="512">
        <v>42822</v>
      </c>
      <c r="J927" s="254">
        <f t="shared" si="73"/>
        <v>2.8855529208082764E-4</v>
      </c>
      <c r="L927" s="251">
        <f t="shared" si="74"/>
        <v>42822</v>
      </c>
      <c r="M927" s="513">
        <v>79.75</v>
      </c>
      <c r="N927" s="254">
        <f t="shared" si="75"/>
        <v>2.5141420490257804E-3</v>
      </c>
      <c r="O927" s="1137">
        <f t="shared" si="77"/>
        <v>2.4827224895833258E-3</v>
      </c>
      <c r="P927" s="1138"/>
    </row>
    <row r="928" spans="6:16" x14ac:dyDescent="0.2">
      <c r="F928" s="1137">
        <f t="shared" si="76"/>
        <v>-2.2488328713522873E-3</v>
      </c>
      <c r="G928" s="1138"/>
      <c r="H928" s="520">
        <v>8594.5400000000009</v>
      </c>
      <c r="I928" s="512">
        <v>42821</v>
      </c>
      <c r="J928" s="254">
        <f t="shared" si="73"/>
        <v>-2.2174133119098327E-3</v>
      </c>
      <c r="L928" s="251">
        <f t="shared" si="74"/>
        <v>42821</v>
      </c>
      <c r="M928" s="513">
        <v>79.55</v>
      </c>
      <c r="N928" s="254">
        <f t="shared" si="75"/>
        <v>0</v>
      </c>
      <c r="O928" s="1137">
        <f t="shared" si="77"/>
        <v>-3.1419559442454485E-5</v>
      </c>
      <c r="P928" s="1138"/>
    </row>
    <row r="929" spans="6:16" x14ac:dyDescent="0.2">
      <c r="F929" s="1137">
        <f t="shared" si="76"/>
        <v>-1.7698163403952324E-3</v>
      </c>
      <c r="G929" s="1138"/>
      <c r="H929" s="520">
        <v>8613.64</v>
      </c>
      <c r="I929" s="512">
        <v>42818</v>
      </c>
      <c r="J929" s="254">
        <f t="shared" si="73"/>
        <v>-1.7383967809527778E-3</v>
      </c>
      <c r="L929" s="251">
        <f t="shared" si="74"/>
        <v>42818</v>
      </c>
      <c r="M929" s="513">
        <v>79.55</v>
      </c>
      <c r="N929" s="254">
        <f t="shared" si="75"/>
        <v>1.2586532410319151E-3</v>
      </c>
      <c r="O929" s="1137">
        <f t="shared" si="77"/>
        <v>1.2272336815894605E-3</v>
      </c>
      <c r="P929" s="1138"/>
    </row>
    <row r="930" spans="6:16" x14ac:dyDescent="0.2">
      <c r="F930" s="1137">
        <f t="shared" si="76"/>
        <v>7.0601830306966243E-3</v>
      </c>
      <c r="G930" s="1138"/>
      <c r="H930" s="520">
        <v>8628.64</v>
      </c>
      <c r="I930" s="512">
        <v>42817</v>
      </c>
      <c r="J930" s="254">
        <f t="shared" si="73"/>
        <v>7.0916025901390789E-3</v>
      </c>
      <c r="L930" s="251">
        <f t="shared" si="74"/>
        <v>42817</v>
      </c>
      <c r="M930" s="513">
        <v>79.45</v>
      </c>
      <c r="N930" s="254">
        <f t="shared" si="75"/>
        <v>2.4500322372662975E-2</v>
      </c>
      <c r="O930" s="1137">
        <f t="shared" si="77"/>
        <v>2.4468902813220519E-2</v>
      </c>
      <c r="P930" s="1138"/>
    </row>
    <row r="931" spans="6:16" x14ac:dyDescent="0.2">
      <c r="F931" s="1137">
        <f t="shared" si="76"/>
        <v>-5.4847873448738279E-3</v>
      </c>
      <c r="G931" s="1138"/>
      <c r="H931" s="520">
        <v>8567.8799999999992</v>
      </c>
      <c r="I931" s="512">
        <v>42816</v>
      </c>
      <c r="J931" s="254">
        <f t="shared" si="73"/>
        <v>-5.4533677854313733E-3</v>
      </c>
      <c r="L931" s="251">
        <f t="shared" si="74"/>
        <v>42816</v>
      </c>
      <c r="M931" s="513">
        <v>77.55</v>
      </c>
      <c r="N931" s="254">
        <f t="shared" si="75"/>
        <v>-5.7692307692308598E-3</v>
      </c>
      <c r="O931" s="1137">
        <f t="shared" si="77"/>
        <v>-5.8006503286733143E-3</v>
      </c>
      <c r="P931" s="1138"/>
    </row>
    <row r="932" spans="6:16" x14ac:dyDescent="0.2">
      <c r="F932" s="1137">
        <f t="shared" si="76"/>
        <v>-9.2527687424250171E-3</v>
      </c>
      <c r="G932" s="1138"/>
      <c r="H932" s="520">
        <v>8614.86</v>
      </c>
      <c r="I932" s="512">
        <v>42815</v>
      </c>
      <c r="J932" s="254">
        <f t="shared" si="73"/>
        <v>-9.2213491829825633E-3</v>
      </c>
      <c r="L932" s="251">
        <f t="shared" si="74"/>
        <v>42815</v>
      </c>
      <c r="M932" s="513">
        <v>78</v>
      </c>
      <c r="N932" s="254">
        <f t="shared" si="75"/>
        <v>-1.7013232514177634E-2</v>
      </c>
      <c r="O932" s="1137">
        <f t="shared" si="77"/>
        <v>-1.704465207362009E-2</v>
      </c>
      <c r="P932" s="1138"/>
    </row>
    <row r="933" spans="6:16" x14ac:dyDescent="0.2">
      <c r="F933" s="1137">
        <f t="shared" si="76"/>
        <v>-4.3263677660436331E-4</v>
      </c>
      <c r="G933" s="1138"/>
      <c r="H933" s="520">
        <v>8695.0400000000009</v>
      </c>
      <c r="I933" s="512">
        <v>42814</v>
      </c>
      <c r="J933" s="254">
        <f t="shared" si="73"/>
        <v>-4.0121721716190883E-4</v>
      </c>
      <c r="L933" s="251">
        <f t="shared" si="74"/>
        <v>42814</v>
      </c>
      <c r="M933" s="513">
        <v>79.349999999999994</v>
      </c>
      <c r="N933" s="254">
        <f t="shared" si="75"/>
        <v>1.8939393939392257E-3</v>
      </c>
      <c r="O933" s="1137">
        <f t="shared" si="77"/>
        <v>1.8625198344967711E-3</v>
      </c>
      <c r="P933" s="1138"/>
    </row>
    <row r="934" spans="6:16" x14ac:dyDescent="0.2">
      <c r="F934" s="1137">
        <f t="shared" si="76"/>
        <v>3.5509365579066846E-3</v>
      </c>
      <c r="G934" s="1138"/>
      <c r="H934" s="520">
        <v>8698.5300000000007</v>
      </c>
      <c r="I934" s="512">
        <v>42811</v>
      </c>
      <c r="J934" s="254">
        <f t="shared" si="73"/>
        <v>3.5823561173491392E-3</v>
      </c>
      <c r="L934" s="251">
        <f t="shared" si="74"/>
        <v>42811</v>
      </c>
      <c r="M934" s="513">
        <v>79.2</v>
      </c>
      <c r="N934" s="254">
        <f t="shared" si="75"/>
        <v>-1.2610340479192184E-3</v>
      </c>
      <c r="O934" s="1137">
        <f t="shared" si="77"/>
        <v>-1.2924536073616729E-3</v>
      </c>
      <c r="P934" s="1138"/>
    </row>
    <row r="935" spans="6:16" x14ac:dyDescent="0.2">
      <c r="F935" s="1137">
        <f t="shared" si="76"/>
        <v>-2.4920415512803959E-3</v>
      </c>
      <c r="G935" s="1138"/>
      <c r="H935" s="520">
        <v>8667.48</v>
      </c>
      <c r="I935" s="512">
        <v>42810</v>
      </c>
      <c r="J935" s="254">
        <f t="shared" si="73"/>
        <v>-2.4606219918379413E-3</v>
      </c>
      <c r="L935" s="251">
        <f t="shared" si="74"/>
        <v>42810</v>
      </c>
      <c r="M935" s="513">
        <v>79.3</v>
      </c>
      <c r="N935" s="254">
        <f t="shared" si="75"/>
        <v>3.7974683544304E-3</v>
      </c>
      <c r="O935" s="1137">
        <f t="shared" si="77"/>
        <v>3.7660487949879454E-3</v>
      </c>
      <c r="P935" s="1138"/>
    </row>
    <row r="936" spans="6:16" x14ac:dyDescent="0.2">
      <c r="F936" s="1137">
        <f t="shared" si="76"/>
        <v>2.8911732836677953E-3</v>
      </c>
      <c r="G936" s="1138"/>
      <c r="H936" s="520">
        <v>8688.86</v>
      </c>
      <c r="I936" s="512">
        <v>42809</v>
      </c>
      <c r="J936" s="254">
        <f t="shared" si="73"/>
        <v>2.9225928431102499E-3</v>
      </c>
      <c r="L936" s="251">
        <f t="shared" si="74"/>
        <v>42809</v>
      </c>
      <c r="M936" s="513">
        <v>79</v>
      </c>
      <c r="N936" s="254">
        <f t="shared" si="75"/>
        <v>6.3694267515923553E-3</v>
      </c>
      <c r="O936" s="1137">
        <f t="shared" si="77"/>
        <v>6.3380071921499007E-3</v>
      </c>
      <c r="P936" s="1138"/>
    </row>
    <row r="937" spans="6:16" x14ac:dyDescent="0.2">
      <c r="F937" s="1137">
        <f t="shared" si="76"/>
        <v>-2.2783258884396104E-3</v>
      </c>
      <c r="G937" s="1138"/>
      <c r="H937" s="520">
        <v>8663.5400000000009</v>
      </c>
      <c r="I937" s="512">
        <v>42808</v>
      </c>
      <c r="J937" s="254">
        <f t="shared" si="73"/>
        <v>-2.2469063289971558E-3</v>
      </c>
      <c r="L937" s="251">
        <f t="shared" si="74"/>
        <v>42808</v>
      </c>
      <c r="M937" s="513">
        <v>78.5</v>
      </c>
      <c r="N937" s="254">
        <f t="shared" si="75"/>
        <v>6.4102564102563875E-3</v>
      </c>
      <c r="O937" s="1137">
        <f t="shared" si="77"/>
        <v>6.3788368508139329E-3</v>
      </c>
      <c r="P937" s="1138"/>
    </row>
    <row r="938" spans="6:16" x14ac:dyDescent="0.2">
      <c r="F938" s="1137">
        <f t="shared" si="76"/>
        <v>1.4772361798506975E-3</v>
      </c>
      <c r="G938" s="1138"/>
      <c r="H938" s="520">
        <v>8683.0499999999993</v>
      </c>
      <c r="I938" s="512">
        <v>42807</v>
      </c>
      <c r="J938" s="254">
        <f t="shared" si="73"/>
        <v>1.5086557392931521E-3</v>
      </c>
      <c r="L938" s="251">
        <f t="shared" si="74"/>
        <v>42807</v>
      </c>
      <c r="M938" s="513">
        <v>78</v>
      </c>
      <c r="N938" s="254">
        <f t="shared" si="75"/>
        <v>-7.0019096117122093E-3</v>
      </c>
      <c r="O938" s="1137">
        <f t="shared" si="77"/>
        <v>-7.0333291711546638E-3</v>
      </c>
      <c r="P938" s="1138"/>
    </row>
    <row r="939" spans="6:16" x14ac:dyDescent="0.2">
      <c r="F939" s="1137">
        <f t="shared" si="76"/>
        <v>3.4721743153447041E-3</v>
      </c>
      <c r="G939" s="1138"/>
      <c r="H939" s="520">
        <v>8669.9699999999993</v>
      </c>
      <c r="I939" s="512">
        <v>42804</v>
      </c>
      <c r="J939" s="254">
        <f t="shared" si="73"/>
        <v>3.5035938747871587E-3</v>
      </c>
      <c r="L939" s="251">
        <f t="shared" si="74"/>
        <v>42804</v>
      </c>
      <c r="M939" s="513">
        <v>78.55</v>
      </c>
      <c r="N939" s="254">
        <f t="shared" si="75"/>
        <v>1.274697259400881E-3</v>
      </c>
      <c r="O939" s="1137">
        <f t="shared" si="77"/>
        <v>1.2432776999584264E-3</v>
      </c>
      <c r="P939" s="1138"/>
    </row>
    <row r="940" spans="6:16" x14ac:dyDescent="0.2">
      <c r="F940" s="1137">
        <f t="shared" si="76"/>
        <v>1.4813345223855948E-3</v>
      </c>
      <c r="G940" s="1138"/>
      <c r="H940" s="520">
        <v>8639.7000000000007</v>
      </c>
      <c r="I940" s="512">
        <v>42803</v>
      </c>
      <c r="J940" s="254">
        <f t="shared" si="73"/>
        <v>1.5127540818280494E-3</v>
      </c>
      <c r="L940" s="251">
        <f t="shared" si="74"/>
        <v>42803</v>
      </c>
      <c r="M940" s="513">
        <v>78.45</v>
      </c>
      <c r="N940" s="254">
        <f t="shared" si="75"/>
        <v>-1.9083969465647499E-3</v>
      </c>
      <c r="O940" s="1137">
        <f t="shared" si="77"/>
        <v>-1.9398165060072045E-3</v>
      </c>
      <c r="P940" s="1138"/>
    </row>
    <row r="941" spans="6:16" x14ac:dyDescent="0.2">
      <c r="F941" s="1137">
        <f t="shared" si="76"/>
        <v>2.7934218949683773E-4</v>
      </c>
      <c r="G941" s="1138"/>
      <c r="H941" s="520">
        <v>8626.65</v>
      </c>
      <c r="I941" s="512">
        <v>42802</v>
      </c>
      <c r="J941" s="254">
        <f t="shared" si="73"/>
        <v>3.107617489392922E-4</v>
      </c>
      <c r="L941" s="251">
        <f t="shared" si="74"/>
        <v>42802</v>
      </c>
      <c r="M941" s="513">
        <v>78.599999999999994</v>
      </c>
      <c r="N941" s="254">
        <f t="shared" si="75"/>
        <v>-2.5380710659899108E-3</v>
      </c>
      <c r="O941" s="1137">
        <f t="shared" si="77"/>
        <v>-2.5694906254323654E-3</v>
      </c>
      <c r="P941" s="1138"/>
    </row>
    <row r="942" spans="6:16" x14ac:dyDescent="0.2">
      <c r="F942" s="1137">
        <f t="shared" si="76"/>
        <v>-4.7435883342555182E-3</v>
      </c>
      <c r="G942" s="1138"/>
      <c r="H942" s="520">
        <v>8623.9699999999993</v>
      </c>
      <c r="I942" s="512">
        <v>42801</v>
      </c>
      <c r="J942" s="254">
        <f t="shared" si="73"/>
        <v>-4.7121687748130636E-3</v>
      </c>
      <c r="L942" s="251">
        <f t="shared" si="74"/>
        <v>42801</v>
      </c>
      <c r="M942" s="513">
        <v>78.8</v>
      </c>
      <c r="N942" s="254">
        <f t="shared" si="75"/>
        <v>2.0725388601036121E-2</v>
      </c>
      <c r="O942" s="1137">
        <f t="shared" si="77"/>
        <v>2.0693969041593666E-2</v>
      </c>
      <c r="P942" s="1138"/>
    </row>
    <row r="943" spans="6:16" x14ac:dyDescent="0.2">
      <c r="F943" s="1137">
        <f t="shared" si="76"/>
        <v>-6.3810509564403331E-4</v>
      </c>
      <c r="G943" s="1138"/>
      <c r="H943" s="520">
        <v>8664.7999999999993</v>
      </c>
      <c r="I943" s="512">
        <v>42800</v>
      </c>
      <c r="J943" s="254">
        <f t="shared" si="73"/>
        <v>-6.0668553620157883E-4</v>
      </c>
      <c r="L943" s="251">
        <f t="shared" si="74"/>
        <v>42800</v>
      </c>
      <c r="M943" s="513">
        <v>77.2</v>
      </c>
      <c r="N943" s="254">
        <f t="shared" si="75"/>
        <v>-6.4724919093850364E-4</v>
      </c>
      <c r="O943" s="1137">
        <f t="shared" si="77"/>
        <v>-6.7866875038095811E-4</v>
      </c>
      <c r="P943" s="1138"/>
    </row>
    <row r="944" spans="6:16" x14ac:dyDescent="0.2">
      <c r="F944" s="1137">
        <f t="shared" si="76"/>
        <v>9.4183836083346171E-4</v>
      </c>
      <c r="G944" s="1138"/>
      <c r="H944" s="520">
        <v>8670.06</v>
      </c>
      <c r="I944" s="512">
        <v>42797</v>
      </c>
      <c r="J944" s="254">
        <f t="shared" si="73"/>
        <v>9.7325792027591618E-4</v>
      </c>
      <c r="L944" s="251">
        <f t="shared" si="74"/>
        <v>42797</v>
      </c>
      <c r="M944" s="513">
        <v>77.25</v>
      </c>
      <c r="N944" s="254">
        <f t="shared" si="75"/>
        <v>-1.9379844961241455E-3</v>
      </c>
      <c r="O944" s="1137">
        <f t="shared" si="77"/>
        <v>-1.9694040555666001E-3</v>
      </c>
      <c r="P944" s="1138"/>
    </row>
    <row r="945" spans="6:16" x14ac:dyDescent="0.2">
      <c r="F945" s="1137">
        <f t="shared" si="76"/>
        <v>3.0873917484197247E-3</v>
      </c>
      <c r="G945" s="1138"/>
      <c r="H945" s="520">
        <v>8661.6299999999992</v>
      </c>
      <c r="I945" s="512">
        <v>42796</v>
      </c>
      <c r="J945" s="254">
        <f t="shared" si="73"/>
        <v>3.1188113078621793E-3</v>
      </c>
      <c r="L945" s="251">
        <f t="shared" si="74"/>
        <v>42796</v>
      </c>
      <c r="M945" s="513">
        <v>77.400000000000006</v>
      </c>
      <c r="N945" s="254">
        <f t="shared" si="75"/>
        <v>-8.3279948750799582E-3</v>
      </c>
      <c r="O945" s="1137">
        <f t="shared" si="77"/>
        <v>-8.3594144345224119E-3</v>
      </c>
      <c r="P945" s="1138"/>
    </row>
    <row r="946" spans="6:16" x14ac:dyDescent="0.2">
      <c r="F946" s="1137">
        <f t="shared" si="76"/>
        <v>1.0370169055329241E-2</v>
      </c>
      <c r="G946" s="1138"/>
      <c r="H946" s="520">
        <v>8634.7000000000007</v>
      </c>
      <c r="I946" s="512">
        <v>42795</v>
      </c>
      <c r="J946" s="254">
        <f t="shared" si="73"/>
        <v>1.0401588614771695E-2</v>
      </c>
      <c r="L946" s="251">
        <f t="shared" si="74"/>
        <v>42795</v>
      </c>
      <c r="M946" s="513">
        <v>78.05</v>
      </c>
      <c r="N946" s="254">
        <f t="shared" si="75"/>
        <v>5.1513200257564673E-3</v>
      </c>
      <c r="O946" s="1137">
        <f t="shared" si="77"/>
        <v>5.1199004663140127E-3</v>
      </c>
      <c r="P946" s="1138"/>
    </row>
    <row r="947" spans="6:16" x14ac:dyDescent="0.2">
      <c r="F947" s="1137">
        <f t="shared" si="76"/>
        <v>2.932000685236206E-3</v>
      </c>
      <c r="G947" s="1138"/>
      <c r="H947" s="520">
        <v>8545.81</v>
      </c>
      <c r="I947" s="512">
        <v>42794</v>
      </c>
      <c r="J947" s="254">
        <f t="shared" si="73"/>
        <v>2.9634202446786606E-3</v>
      </c>
      <c r="L947" s="251">
        <f t="shared" si="74"/>
        <v>42794</v>
      </c>
      <c r="M947" s="513">
        <v>77.650000000000006</v>
      </c>
      <c r="N947" s="254">
        <f t="shared" si="75"/>
        <v>5.1779935275082511E-3</v>
      </c>
      <c r="O947" s="1137">
        <f t="shared" si="77"/>
        <v>5.1465739680657966E-3</v>
      </c>
      <c r="P947" s="1138"/>
    </row>
    <row r="948" spans="6:16" x14ac:dyDescent="0.2">
      <c r="F948" s="1137">
        <f t="shared" si="76"/>
        <v>-6.249247825231137E-4</v>
      </c>
      <c r="G948" s="1138"/>
      <c r="H948" s="520">
        <v>8520.56</v>
      </c>
      <c r="I948" s="512">
        <v>42793</v>
      </c>
      <c r="J948" s="254">
        <f t="shared" si="73"/>
        <v>-5.9350522308065923E-4</v>
      </c>
      <c r="L948" s="251">
        <f t="shared" si="74"/>
        <v>42793</v>
      </c>
      <c r="M948" s="513">
        <v>77.25</v>
      </c>
      <c r="N948" s="254">
        <f t="shared" si="75"/>
        <v>1.6447368421052655E-2</v>
      </c>
      <c r="O948" s="1137">
        <f t="shared" si="77"/>
        <v>1.64159488616102E-2</v>
      </c>
      <c r="P948" s="1138"/>
    </row>
    <row r="949" spans="6:16" x14ac:dyDescent="0.2">
      <c r="F949" s="1137">
        <f t="shared" si="76"/>
        <v>-5.1356513807219581E-3</v>
      </c>
      <c r="G949" s="1138"/>
      <c r="H949" s="520">
        <v>8525.6200000000008</v>
      </c>
      <c r="I949" s="512">
        <v>42790</v>
      </c>
      <c r="J949" s="254">
        <f t="shared" si="73"/>
        <v>-5.1042318212795035E-3</v>
      </c>
      <c r="L949" s="251">
        <f t="shared" si="74"/>
        <v>42790</v>
      </c>
      <c r="M949" s="513">
        <v>76</v>
      </c>
      <c r="N949" s="254">
        <f t="shared" si="75"/>
        <v>-1.8721755971594645E-2</v>
      </c>
      <c r="O949" s="1137">
        <f t="shared" si="77"/>
        <v>-1.87531755310371E-2</v>
      </c>
      <c r="P949" s="1138"/>
    </row>
    <row r="950" spans="6:16" x14ac:dyDescent="0.2">
      <c r="F950" s="1137">
        <f t="shared" si="76"/>
        <v>-1.9520214800444044E-3</v>
      </c>
      <c r="G950" s="1138"/>
      <c r="H950" s="520">
        <v>8569.36</v>
      </c>
      <c r="I950" s="512">
        <v>42789</v>
      </c>
      <c r="J950" s="254">
        <f t="shared" si="73"/>
        <v>-1.9206019206019498E-3</v>
      </c>
      <c r="L950" s="251">
        <f t="shared" si="74"/>
        <v>42789</v>
      </c>
      <c r="M950" s="513">
        <v>77.45</v>
      </c>
      <c r="N950" s="254">
        <f t="shared" si="75"/>
        <v>3.2383419689119286E-3</v>
      </c>
      <c r="O950" s="1137">
        <f t="shared" si="77"/>
        <v>3.206922409469474E-3</v>
      </c>
      <c r="P950" s="1138"/>
    </row>
    <row r="951" spans="6:16" x14ac:dyDescent="0.2">
      <c r="F951" s="1137">
        <f t="shared" si="76"/>
        <v>2.1478272872445673E-3</v>
      </c>
      <c r="G951" s="1138"/>
      <c r="H951" s="520">
        <v>8585.85</v>
      </c>
      <c r="I951" s="512">
        <v>42788</v>
      </c>
      <c r="J951" s="254">
        <f t="shared" si="73"/>
        <v>2.1792468466870218E-3</v>
      </c>
      <c r="L951" s="251">
        <f t="shared" si="74"/>
        <v>42788</v>
      </c>
      <c r="M951" s="513">
        <v>77.2</v>
      </c>
      <c r="N951" s="254">
        <f t="shared" si="75"/>
        <v>2.5913621262458442E-2</v>
      </c>
      <c r="O951" s="1137">
        <f t="shared" si="77"/>
        <v>2.5882201703015986E-2</v>
      </c>
      <c r="P951" s="1138"/>
    </row>
    <row r="952" spans="6:16" x14ac:dyDescent="0.2">
      <c r="F952" s="1137">
        <f t="shared" si="76"/>
        <v>6.1533095855945278E-3</v>
      </c>
      <c r="G952" s="1138"/>
      <c r="H952" s="520">
        <v>8567.18</v>
      </c>
      <c r="I952" s="512">
        <v>42787</v>
      </c>
      <c r="J952" s="254">
        <f t="shared" si="73"/>
        <v>6.1847291450369823E-3</v>
      </c>
      <c r="L952" s="251">
        <f t="shared" si="74"/>
        <v>42787</v>
      </c>
      <c r="M952" s="513">
        <v>75.25</v>
      </c>
      <c r="N952" s="254">
        <f t="shared" si="75"/>
        <v>0</v>
      </c>
      <c r="O952" s="1137">
        <f t="shared" si="77"/>
        <v>-3.1419559442454485E-5</v>
      </c>
      <c r="P952" s="1138"/>
    </row>
    <row r="953" spans="6:16" x14ac:dyDescent="0.2">
      <c r="F953" s="1137">
        <f t="shared" si="76"/>
        <v>9.1256556250569984E-4</v>
      </c>
      <c r="G953" s="1138"/>
      <c r="H953" s="520">
        <v>8514.52</v>
      </c>
      <c r="I953" s="512">
        <v>42786</v>
      </c>
      <c r="J953" s="254">
        <f t="shared" si="73"/>
        <v>9.4398512194815432E-4</v>
      </c>
      <c r="L953" s="251">
        <f t="shared" si="74"/>
        <v>42786</v>
      </c>
      <c r="M953" s="513">
        <v>75.25</v>
      </c>
      <c r="N953" s="254">
        <f t="shared" si="75"/>
        <v>1.6891891891891886E-2</v>
      </c>
      <c r="O953" s="1137">
        <f t="shared" si="77"/>
        <v>1.686047233244943E-2</v>
      </c>
      <c r="P953" s="1138"/>
    </row>
    <row r="954" spans="6:16" x14ac:dyDescent="0.2">
      <c r="F954" s="1137">
        <f t="shared" si="76"/>
        <v>4.5708724930119829E-3</v>
      </c>
      <c r="G954" s="1138"/>
      <c r="H954" s="520">
        <v>8506.49</v>
      </c>
      <c r="I954" s="512">
        <v>42783</v>
      </c>
      <c r="J954" s="254">
        <f t="shared" si="73"/>
        <v>4.6022920524544375E-3</v>
      </c>
      <c r="L954" s="251">
        <f t="shared" si="74"/>
        <v>42783</v>
      </c>
      <c r="M954" s="513">
        <v>74</v>
      </c>
      <c r="N954" s="254">
        <f t="shared" si="75"/>
        <v>-1.3495276653170407E-3</v>
      </c>
      <c r="O954" s="1137">
        <f t="shared" si="77"/>
        <v>-1.3809472247594953E-3</v>
      </c>
      <c r="P954" s="1138"/>
    </row>
    <row r="955" spans="6:16" x14ac:dyDescent="0.2">
      <c r="F955" s="1137">
        <f t="shared" si="76"/>
        <v>-2.2408708260178009E-3</v>
      </c>
      <c r="G955" s="1138"/>
      <c r="H955" s="520">
        <v>8467.52</v>
      </c>
      <c r="I955" s="512">
        <v>42782</v>
      </c>
      <c r="J955" s="254">
        <f t="shared" si="73"/>
        <v>-2.2094512665753463E-3</v>
      </c>
      <c r="L955" s="251">
        <f t="shared" si="74"/>
        <v>42782</v>
      </c>
      <c r="M955" s="513">
        <v>74.099999999999994</v>
      </c>
      <c r="N955" s="254">
        <f t="shared" si="75"/>
        <v>3.9999999999999813E-2</v>
      </c>
      <c r="O955" s="1137">
        <f t="shared" si="77"/>
        <v>3.9968580440557358E-2</v>
      </c>
      <c r="P955" s="1138"/>
    </row>
    <row r="956" spans="6:16" x14ac:dyDescent="0.2">
      <c r="F956" s="1137">
        <f t="shared" si="76"/>
        <v>7.1035115775536931E-3</v>
      </c>
      <c r="G956" s="1138"/>
      <c r="H956" s="520">
        <v>8486.27</v>
      </c>
      <c r="I956" s="512">
        <v>42781</v>
      </c>
      <c r="J956" s="254">
        <f t="shared" si="73"/>
        <v>7.1349311369961477E-3</v>
      </c>
      <c r="L956" s="251">
        <f t="shared" si="74"/>
        <v>42781</v>
      </c>
      <c r="M956" s="513">
        <v>71.25</v>
      </c>
      <c r="N956" s="254">
        <f t="shared" si="75"/>
        <v>-3.3898305084745783E-2</v>
      </c>
      <c r="O956" s="1137">
        <f t="shared" si="77"/>
        <v>-3.3929724644188239E-2</v>
      </c>
      <c r="P956" s="1138"/>
    </row>
    <row r="957" spans="6:16" x14ac:dyDescent="0.2">
      <c r="F957" s="1137">
        <f t="shared" si="76"/>
        <v>-4.371549633365209E-3</v>
      </c>
      <c r="G957" s="1138"/>
      <c r="H957" s="520">
        <v>8426.15</v>
      </c>
      <c r="I957" s="512">
        <v>42780</v>
      </c>
      <c r="J957" s="254">
        <f t="shared" si="73"/>
        <v>-4.3401300739227544E-3</v>
      </c>
      <c r="L957" s="251">
        <f t="shared" si="74"/>
        <v>42780</v>
      </c>
      <c r="M957" s="513">
        <v>73.75</v>
      </c>
      <c r="N957" s="254">
        <f t="shared" si="75"/>
        <v>4.0844111640572223E-3</v>
      </c>
      <c r="O957" s="1137">
        <f t="shared" si="77"/>
        <v>4.0529916046147677E-3</v>
      </c>
      <c r="P957" s="1138"/>
    </row>
    <row r="958" spans="6:16" x14ac:dyDescent="0.2">
      <c r="F958" s="1137">
        <f t="shared" si="76"/>
        <v>7.5616638321270122E-4</v>
      </c>
      <c r="G958" s="1138"/>
      <c r="H958" s="520">
        <v>8462.8799999999992</v>
      </c>
      <c r="I958" s="512">
        <v>42779</v>
      </c>
      <c r="J958" s="254">
        <f t="shared" si="73"/>
        <v>7.8758594265515569E-4</v>
      </c>
      <c r="L958" s="251">
        <f t="shared" si="74"/>
        <v>42779</v>
      </c>
      <c r="M958" s="513">
        <v>73.45</v>
      </c>
      <c r="N958" s="254">
        <f t="shared" si="75"/>
        <v>-4.0677966101694274E-3</v>
      </c>
      <c r="O958" s="1137">
        <f t="shared" si="77"/>
        <v>-4.099216169611882E-3</v>
      </c>
      <c r="P958" s="1138"/>
    </row>
    <row r="959" spans="6:16" x14ac:dyDescent="0.2">
      <c r="F959" s="1137">
        <f t="shared" si="76"/>
        <v>2.1824958708842193E-3</v>
      </c>
      <c r="G959" s="1138"/>
      <c r="H959" s="520">
        <v>8456.2199999999993</v>
      </c>
      <c r="I959" s="512">
        <v>42776</v>
      </c>
      <c r="J959" s="254">
        <f t="shared" si="73"/>
        <v>2.2139154303266739E-3</v>
      </c>
      <c r="L959" s="251">
        <f t="shared" si="74"/>
        <v>42776</v>
      </c>
      <c r="M959" s="513">
        <v>73.75</v>
      </c>
      <c r="N959" s="254">
        <f t="shared" si="75"/>
        <v>1.3577732518668117E-3</v>
      </c>
      <c r="O959" s="1137">
        <f t="shared" si="77"/>
        <v>1.3263536924243572E-3</v>
      </c>
      <c r="P959" s="1138"/>
    </row>
    <row r="960" spans="6:16" x14ac:dyDescent="0.2">
      <c r="F960" s="1137">
        <f t="shared" si="76"/>
        <v>6.9875439350252791E-3</v>
      </c>
      <c r="G960" s="1138"/>
      <c r="H960" s="520">
        <v>8437.5400000000009</v>
      </c>
      <c r="I960" s="512">
        <v>42775</v>
      </c>
      <c r="J960" s="254">
        <f t="shared" si="73"/>
        <v>7.0189634944677337E-3</v>
      </c>
      <c r="L960" s="251">
        <f t="shared" si="74"/>
        <v>42775</v>
      </c>
      <c r="M960" s="513">
        <v>73.650000000000006</v>
      </c>
      <c r="N960" s="254">
        <f t="shared" si="75"/>
        <v>6.7934782608713995E-4</v>
      </c>
      <c r="O960" s="1137">
        <f t="shared" si="77"/>
        <v>6.4792826664468548E-4</v>
      </c>
      <c r="P960" s="1138"/>
    </row>
    <row r="961" spans="6:16" x14ac:dyDescent="0.2">
      <c r="F961" s="1137">
        <f t="shared" si="76"/>
        <v>9.948476236631568E-4</v>
      </c>
      <c r="G961" s="1138"/>
      <c r="H961" s="520">
        <v>8378.73</v>
      </c>
      <c r="I961" s="512">
        <v>42774</v>
      </c>
      <c r="J961" s="254">
        <f t="shared" si="73"/>
        <v>1.0262671831056114E-3</v>
      </c>
      <c r="L961" s="251">
        <f t="shared" si="74"/>
        <v>42774</v>
      </c>
      <c r="M961" s="513">
        <v>73.599999999999994</v>
      </c>
      <c r="N961" s="254">
        <f t="shared" si="75"/>
        <v>-2.7100271002710175E-3</v>
      </c>
      <c r="O961" s="1137">
        <f t="shared" si="77"/>
        <v>-2.741446659713472E-3</v>
      </c>
      <c r="P961" s="1138"/>
    </row>
    <row r="962" spans="6:16" x14ac:dyDescent="0.2">
      <c r="F962" s="1137">
        <f t="shared" si="76"/>
        <v>4.6751378117033263E-3</v>
      </c>
      <c r="G962" s="1138"/>
      <c r="H962" s="520">
        <v>8370.14</v>
      </c>
      <c r="I962" s="512">
        <v>42773</v>
      </c>
      <c r="J962" s="254">
        <f t="shared" si="73"/>
        <v>4.7065573711457809E-3</v>
      </c>
      <c r="L962" s="251">
        <f t="shared" si="74"/>
        <v>42773</v>
      </c>
      <c r="M962" s="513">
        <v>73.8</v>
      </c>
      <c r="N962" s="254">
        <f t="shared" si="75"/>
        <v>-5.3908355795149188E-3</v>
      </c>
      <c r="O962" s="1137">
        <f t="shared" si="77"/>
        <v>-5.4222551389573733E-3</v>
      </c>
      <c r="P962" s="1138"/>
    </row>
    <row r="963" spans="6:16" x14ac:dyDescent="0.2">
      <c r="F963" s="1137">
        <f t="shared" si="76"/>
        <v>-2.4156108503784876E-3</v>
      </c>
      <c r="G963" s="1138"/>
      <c r="H963" s="520">
        <v>8330.93</v>
      </c>
      <c r="I963" s="512">
        <v>42772</v>
      </c>
      <c r="J963" s="254">
        <f t="shared" si="73"/>
        <v>-2.384191290936033E-3</v>
      </c>
      <c r="L963" s="251">
        <f t="shared" si="74"/>
        <v>42772</v>
      </c>
      <c r="M963" s="513">
        <v>74.2</v>
      </c>
      <c r="N963" s="254">
        <f t="shared" si="75"/>
        <v>1.3495276653172628E-3</v>
      </c>
      <c r="O963" s="1137">
        <f t="shared" si="77"/>
        <v>1.3181081058748082E-3</v>
      </c>
      <c r="P963" s="1138"/>
    </row>
    <row r="964" spans="6:16" x14ac:dyDescent="0.2">
      <c r="F964" s="1137">
        <f t="shared" si="76"/>
        <v>8.9262568091585549E-3</v>
      </c>
      <c r="G964" s="1138"/>
      <c r="H964" s="520">
        <v>8350.84</v>
      </c>
      <c r="I964" s="512">
        <v>42769</v>
      </c>
      <c r="J964" s="254">
        <f t="shared" si="73"/>
        <v>8.9576763686010086E-3</v>
      </c>
      <c r="L964" s="251">
        <f t="shared" si="74"/>
        <v>42769</v>
      </c>
      <c r="M964" s="513">
        <v>74.099999999999994</v>
      </c>
      <c r="N964" s="254">
        <f t="shared" si="75"/>
        <v>1.5764222069910794E-2</v>
      </c>
      <c r="O964" s="1137">
        <f t="shared" si="77"/>
        <v>1.5732802510468338E-2</v>
      </c>
      <c r="P964" s="1138"/>
    </row>
    <row r="965" spans="6:16" x14ac:dyDescent="0.2">
      <c r="F965" s="1137">
        <f t="shared" si="76"/>
        <v>-6.3309668132503346E-3</v>
      </c>
      <c r="G965" s="1138"/>
      <c r="H965" s="520">
        <v>8276.7000000000007</v>
      </c>
      <c r="I965" s="512">
        <v>42768</v>
      </c>
      <c r="J965" s="254">
        <f t="shared" si="73"/>
        <v>-6.2995472538078801E-3</v>
      </c>
      <c r="L965" s="251">
        <f t="shared" si="74"/>
        <v>42768</v>
      </c>
      <c r="M965" s="513">
        <v>72.95</v>
      </c>
      <c r="N965" s="254">
        <f t="shared" si="75"/>
        <v>8.9903181189487924E-3</v>
      </c>
      <c r="O965" s="1137">
        <f t="shared" si="77"/>
        <v>8.9588985595063387E-3</v>
      </c>
      <c r="P965" s="1138"/>
    </row>
    <row r="966" spans="6:16" x14ac:dyDescent="0.2">
      <c r="F966" s="1137">
        <f t="shared" si="76"/>
        <v>4.4887687254548539E-3</v>
      </c>
      <c r="G966" s="1138"/>
      <c r="H966" s="520">
        <v>8329.17</v>
      </c>
      <c r="I966" s="512">
        <v>42767</v>
      </c>
      <c r="J966" s="254">
        <f t="shared" si="73"/>
        <v>4.5201882848973085E-3</v>
      </c>
      <c r="L966" s="251">
        <f t="shared" si="74"/>
        <v>42767</v>
      </c>
      <c r="M966" s="513">
        <v>72.3</v>
      </c>
      <c r="N966" s="254">
        <f t="shared" si="75"/>
        <v>8.3682008368199945E-3</v>
      </c>
      <c r="O966" s="1137">
        <f t="shared" si="77"/>
        <v>8.3367812773775408E-3</v>
      </c>
      <c r="P966" s="1138"/>
    </row>
    <row r="967" spans="6:16" x14ac:dyDescent="0.2">
      <c r="F967" s="1137">
        <f t="shared" si="76"/>
        <v>-3.5334740419880458E-3</v>
      </c>
      <c r="G967" s="1138"/>
      <c r="H967" s="520">
        <v>8291.69</v>
      </c>
      <c r="I967" s="512">
        <v>42766</v>
      </c>
      <c r="J967" s="254">
        <f t="shared" si="73"/>
        <v>-3.5020544825455913E-3</v>
      </c>
      <c r="L967" s="251">
        <f t="shared" si="74"/>
        <v>42766</v>
      </c>
      <c r="M967" s="513">
        <v>71.7</v>
      </c>
      <c r="N967" s="254">
        <f t="shared" si="75"/>
        <v>6.9783670621070826E-4</v>
      </c>
      <c r="O967" s="1137">
        <f t="shared" si="77"/>
        <v>6.6641714676825379E-4</v>
      </c>
      <c r="P967" s="1138"/>
    </row>
    <row r="968" spans="6:16" x14ac:dyDescent="0.2">
      <c r="F968" s="1137">
        <f t="shared" si="76"/>
        <v>-7.0413257956813266E-3</v>
      </c>
      <c r="G968" s="1138"/>
      <c r="H968" s="520">
        <v>8320.83</v>
      </c>
      <c r="I968" s="512">
        <v>42765</v>
      </c>
      <c r="J968" s="254">
        <f t="shared" si="73"/>
        <v>-7.009906236238872E-3</v>
      </c>
      <c r="L968" s="251">
        <f t="shared" si="74"/>
        <v>42765</v>
      </c>
      <c r="M968" s="513">
        <v>71.650000000000006</v>
      </c>
      <c r="N968" s="254">
        <f t="shared" si="75"/>
        <v>0</v>
      </c>
      <c r="O968" s="1137">
        <f t="shared" si="77"/>
        <v>-3.1419559442454485E-5</v>
      </c>
      <c r="P968" s="1138"/>
    </row>
    <row r="969" spans="6:16" x14ac:dyDescent="0.2">
      <c r="F969" s="1137">
        <f t="shared" si="76"/>
        <v>-3.1139323963060147E-3</v>
      </c>
      <c r="G969" s="1138"/>
      <c r="H969" s="520">
        <v>8379.57</v>
      </c>
      <c r="I969" s="512">
        <v>42762</v>
      </c>
      <c r="J969" s="254">
        <f t="shared" si="73"/>
        <v>-3.0825128368635601E-3</v>
      </c>
      <c r="L969" s="251">
        <f t="shared" si="74"/>
        <v>42762</v>
      </c>
      <c r="M969" s="513">
        <v>71.650000000000006</v>
      </c>
      <c r="N969" s="254">
        <f t="shared" si="75"/>
        <v>6.9832402234659696E-4</v>
      </c>
      <c r="O969" s="1137">
        <f t="shared" si="77"/>
        <v>6.6690446290414249E-4</v>
      </c>
      <c r="P969" s="1138"/>
    </row>
    <row r="970" spans="6:16" x14ac:dyDescent="0.2">
      <c r="F970" s="1137">
        <f t="shared" si="76"/>
        <v>2.1062726152689263E-3</v>
      </c>
      <c r="G970" s="1138"/>
      <c r="H970" s="520">
        <v>8405.48</v>
      </c>
      <c r="I970" s="512">
        <v>42761</v>
      </c>
      <c r="J970" s="254">
        <f t="shared" si="73"/>
        <v>2.1376921747113808E-3</v>
      </c>
      <c r="L970" s="251">
        <f t="shared" si="74"/>
        <v>42761</v>
      </c>
      <c r="M970" s="513">
        <v>71.599999999999994</v>
      </c>
      <c r="N970" s="254">
        <f t="shared" si="75"/>
        <v>1.3986013986013734E-3</v>
      </c>
      <c r="O970" s="1137">
        <f t="shared" si="77"/>
        <v>1.3671818391589189E-3</v>
      </c>
      <c r="P970" s="1138"/>
    </row>
    <row r="971" spans="6:16" x14ac:dyDescent="0.2">
      <c r="F971" s="1137">
        <f t="shared" si="76"/>
        <v>1.7053072828991003E-2</v>
      </c>
      <c r="G971" s="1138"/>
      <c r="H971" s="520">
        <v>8387.5499999999993</v>
      </c>
      <c r="I971" s="512">
        <v>42760</v>
      </c>
      <c r="J971" s="254">
        <f t="shared" si="73"/>
        <v>1.7084492388433459E-2</v>
      </c>
      <c r="L971" s="251">
        <f t="shared" si="74"/>
        <v>42760</v>
      </c>
      <c r="M971" s="513">
        <v>71.5</v>
      </c>
      <c r="N971" s="254">
        <f t="shared" si="75"/>
        <v>2.7298850574712707E-2</v>
      </c>
      <c r="O971" s="1137">
        <f t="shared" si="77"/>
        <v>2.7267431015270252E-2</v>
      </c>
      <c r="P971" s="1138"/>
    </row>
    <row r="972" spans="6:16" x14ac:dyDescent="0.2">
      <c r="F972" s="1137">
        <f t="shared" si="76"/>
        <v>2.113431400757996E-3</v>
      </c>
      <c r="G972" s="1138"/>
      <c r="H972" s="520">
        <v>8246.66</v>
      </c>
      <c r="I972" s="512">
        <v>42759</v>
      </c>
      <c r="J972" s="254">
        <f t="shared" si="73"/>
        <v>2.1448509602004506E-3</v>
      </c>
      <c r="L972" s="251">
        <f t="shared" si="74"/>
        <v>42759</v>
      </c>
      <c r="M972" s="513">
        <v>69.599999999999994</v>
      </c>
      <c r="N972" s="254">
        <f t="shared" si="75"/>
        <v>-2.1505376344086446E-3</v>
      </c>
      <c r="O972" s="1137">
        <f t="shared" si="77"/>
        <v>-2.1819571938510992E-3</v>
      </c>
      <c r="P972" s="1138"/>
    </row>
    <row r="973" spans="6:16" x14ac:dyDescent="0.2">
      <c r="F973" s="1137">
        <f t="shared" si="76"/>
        <v>-5.6047458999349117E-3</v>
      </c>
      <c r="G973" s="1138"/>
      <c r="H973" s="520">
        <v>8229.01</v>
      </c>
      <c r="I973" s="512">
        <v>42758</v>
      </c>
      <c r="J973" s="254">
        <f t="shared" si="73"/>
        <v>-5.5733263404924571E-3</v>
      </c>
      <c r="L973" s="251">
        <f t="shared" si="74"/>
        <v>42758</v>
      </c>
      <c r="M973" s="513">
        <v>69.75</v>
      </c>
      <c r="N973" s="254">
        <f t="shared" si="75"/>
        <v>-7.1174377224199059E-3</v>
      </c>
      <c r="O973" s="1137">
        <f t="shared" si="77"/>
        <v>-7.1488572818623605E-3</v>
      </c>
      <c r="P973" s="1138"/>
    </row>
    <row r="974" spans="6:16" x14ac:dyDescent="0.2">
      <c r="F974" s="1137">
        <f t="shared" si="76"/>
        <v>2.1637207317799876E-4</v>
      </c>
      <c r="G974" s="1138"/>
      <c r="H974" s="520">
        <v>8275.1299999999992</v>
      </c>
      <c r="I974" s="512">
        <v>42755</v>
      </c>
      <c r="J974" s="254">
        <f t="shared" si="73"/>
        <v>2.4779163262045323E-4</v>
      </c>
      <c r="L974" s="251">
        <f t="shared" si="74"/>
        <v>42755</v>
      </c>
      <c r="M974" s="513">
        <v>70.25</v>
      </c>
      <c r="N974" s="254">
        <f t="shared" si="75"/>
        <v>-5.6617126680821306E-3</v>
      </c>
      <c r="O974" s="1137">
        <f t="shared" si="77"/>
        <v>-5.6931322275245852E-3</v>
      </c>
      <c r="P974" s="1138"/>
    </row>
    <row r="975" spans="6:16" x14ac:dyDescent="0.2">
      <c r="F975" s="1137">
        <f t="shared" si="76"/>
        <v>-4.764096685959159E-3</v>
      </c>
      <c r="G975" s="1138"/>
      <c r="H975" s="520">
        <v>8273.08</v>
      </c>
      <c r="I975" s="512">
        <v>42754</v>
      </c>
      <c r="J975" s="254">
        <f t="shared" si="73"/>
        <v>-4.7326771265167045E-3</v>
      </c>
      <c r="L975" s="251">
        <f t="shared" si="74"/>
        <v>42754</v>
      </c>
      <c r="M975" s="513">
        <v>70.650000000000006</v>
      </c>
      <c r="N975" s="254">
        <f t="shared" si="75"/>
        <v>-1.4134275618373771E-3</v>
      </c>
      <c r="O975" s="1137">
        <f t="shared" si="77"/>
        <v>-1.4448471212798316E-3</v>
      </c>
      <c r="P975" s="1138"/>
    </row>
    <row r="976" spans="6:16" x14ac:dyDescent="0.2">
      <c r="F976" s="1137">
        <f t="shared" si="76"/>
        <v>9.7049515738408074E-4</v>
      </c>
      <c r="G976" s="1138"/>
      <c r="H976" s="520">
        <v>8312.42</v>
      </c>
      <c r="I976" s="512">
        <v>42753</v>
      </c>
      <c r="J976" s="254">
        <f t="shared" si="73"/>
        <v>1.0019147168265352E-3</v>
      </c>
      <c r="L976" s="251">
        <f t="shared" si="74"/>
        <v>42753</v>
      </c>
      <c r="M976" s="513">
        <v>70.75</v>
      </c>
      <c r="N976" s="254">
        <f t="shared" si="75"/>
        <v>2.1246458923513956E-3</v>
      </c>
      <c r="O976" s="1137">
        <f t="shared" si="77"/>
        <v>2.093226332908941E-3</v>
      </c>
      <c r="P976" s="1138"/>
    </row>
    <row r="977" spans="6:16" x14ac:dyDescent="0.2">
      <c r="F977" s="1137">
        <f t="shared" si="76"/>
        <v>-7.0268516021086266E-3</v>
      </c>
      <c r="G977" s="1138"/>
      <c r="H977" s="520">
        <v>8304.1</v>
      </c>
      <c r="I977" s="512">
        <v>42752</v>
      </c>
      <c r="J977" s="254">
        <f t="shared" si="73"/>
        <v>-6.995432042666172E-3</v>
      </c>
      <c r="L977" s="251">
        <f t="shared" si="74"/>
        <v>42752</v>
      </c>
      <c r="M977" s="513">
        <v>70.599999999999994</v>
      </c>
      <c r="N977" s="254">
        <f t="shared" si="75"/>
        <v>-1.2587412587412694E-2</v>
      </c>
      <c r="O977" s="1137">
        <f t="shared" si="77"/>
        <v>-1.2618832146855148E-2</v>
      </c>
      <c r="P977" s="1138"/>
    </row>
    <row r="978" spans="6:16" x14ac:dyDescent="0.2">
      <c r="F978" s="1137">
        <f t="shared" si="76"/>
        <v>-1.0631039302964536E-2</v>
      </c>
      <c r="G978" s="1138"/>
      <c r="H978" s="520">
        <v>8362.6</v>
      </c>
      <c r="I978" s="512">
        <v>42751</v>
      </c>
      <c r="J978" s="254">
        <f t="shared" si="73"/>
        <v>-1.0599619743522082E-2</v>
      </c>
      <c r="L978" s="251">
        <f t="shared" si="74"/>
        <v>42751</v>
      </c>
      <c r="M978" s="513">
        <v>71.5</v>
      </c>
      <c r="N978" s="254">
        <f t="shared" si="75"/>
        <v>-8.3217753120664595E-3</v>
      </c>
      <c r="O978" s="1137">
        <f t="shared" si="77"/>
        <v>-8.3531948715089132E-3</v>
      </c>
      <c r="P978" s="1138"/>
    </row>
    <row r="979" spans="6:16" x14ac:dyDescent="0.2">
      <c r="F979" s="1137">
        <f t="shared" si="76"/>
        <v>9.1828867944527427E-3</v>
      </c>
      <c r="G979" s="1138"/>
      <c r="H979" s="520">
        <v>8452.19</v>
      </c>
      <c r="I979" s="512">
        <v>42748</v>
      </c>
      <c r="J979" s="254">
        <f t="shared" si="73"/>
        <v>9.2143063538951964E-3</v>
      </c>
      <c r="L979" s="251">
        <f t="shared" si="74"/>
        <v>42748</v>
      </c>
      <c r="M979" s="513">
        <v>72.099999999999994</v>
      </c>
      <c r="N979" s="254">
        <f t="shared" si="75"/>
        <v>2.0847810979844894E-3</v>
      </c>
      <c r="O979" s="1137">
        <f t="shared" si="77"/>
        <v>2.0533615385420348E-3</v>
      </c>
      <c r="P979" s="1138"/>
    </row>
    <row r="980" spans="6:16" x14ac:dyDescent="0.2">
      <c r="F980" s="1137">
        <f t="shared" si="76"/>
        <v>-6.2173780388808239E-3</v>
      </c>
      <c r="G980" s="1138"/>
      <c r="H980" s="520">
        <v>8375.02</v>
      </c>
      <c r="I980" s="512">
        <v>42747</v>
      </c>
      <c r="J980" s="254">
        <f t="shared" si="73"/>
        <v>-6.1859584794383693E-3</v>
      </c>
      <c r="L980" s="251">
        <f t="shared" si="74"/>
        <v>42747</v>
      </c>
      <c r="M980" s="513">
        <v>71.95</v>
      </c>
      <c r="N980" s="254">
        <f t="shared" si="75"/>
        <v>-6.9013112491372874E-3</v>
      </c>
      <c r="O980" s="1137">
        <f t="shared" si="77"/>
        <v>-6.932730808579742E-3</v>
      </c>
      <c r="P980" s="1138"/>
    </row>
    <row r="981" spans="6:16" x14ac:dyDescent="0.2">
      <c r="F981" s="1137">
        <f t="shared" si="76"/>
        <v>-2.6399536319394032E-3</v>
      </c>
      <c r="G981" s="1138"/>
      <c r="H981" s="520">
        <v>8427.15</v>
      </c>
      <c r="I981" s="512">
        <v>42746</v>
      </c>
      <c r="J981" s="254">
        <f t="shared" si="73"/>
        <v>-2.6085340724969486E-3</v>
      </c>
      <c r="L981" s="251">
        <f t="shared" si="74"/>
        <v>42746</v>
      </c>
      <c r="M981" s="513">
        <v>72.45</v>
      </c>
      <c r="N981" s="254">
        <f t="shared" si="75"/>
        <v>-1.3783597518951529E-3</v>
      </c>
      <c r="O981" s="1137">
        <f t="shared" si="77"/>
        <v>-1.4097793113376075E-3</v>
      </c>
      <c r="P981" s="1138"/>
    </row>
    <row r="982" spans="6:16" x14ac:dyDescent="0.2">
      <c r="F982" s="1137">
        <f t="shared" si="76"/>
        <v>2.8564622569912804E-3</v>
      </c>
      <c r="G982" s="1138"/>
      <c r="H982" s="520">
        <v>8449.19</v>
      </c>
      <c r="I982" s="512">
        <v>42745</v>
      </c>
      <c r="J982" s="254">
        <f t="shared" si="73"/>
        <v>2.887881816433735E-3</v>
      </c>
      <c r="L982" s="251">
        <f t="shared" si="74"/>
        <v>42745</v>
      </c>
      <c r="M982" s="513">
        <v>72.55</v>
      </c>
      <c r="N982" s="254">
        <f t="shared" si="75"/>
        <v>-6.164383561643838E-3</v>
      </c>
      <c r="O982" s="1137">
        <f t="shared" si="77"/>
        <v>-6.1958031210862926E-3</v>
      </c>
      <c r="P982" s="1138"/>
    </row>
    <row r="983" spans="6:16" x14ac:dyDescent="0.2">
      <c r="F983" s="1137">
        <f t="shared" si="76"/>
        <v>8.4770549728503772E-4</v>
      </c>
      <c r="G983" s="1138"/>
      <c r="H983" s="520">
        <v>8424.86</v>
      </c>
      <c r="I983" s="512">
        <v>42744</v>
      </c>
      <c r="J983" s="254">
        <f t="shared" si="73"/>
        <v>8.7912505672749219E-4</v>
      </c>
      <c r="L983" s="251">
        <f t="shared" si="74"/>
        <v>42744</v>
      </c>
      <c r="M983" s="513">
        <v>73</v>
      </c>
      <c r="N983" s="254">
        <f t="shared" si="75"/>
        <v>1.388888888888884E-2</v>
      </c>
      <c r="O983" s="1137">
        <f t="shared" si="77"/>
        <v>1.3857469329446386E-2</v>
      </c>
      <c r="P983" s="1138"/>
    </row>
    <row r="984" spans="6:16" x14ac:dyDescent="0.2">
      <c r="F984" s="1137">
        <f t="shared" si="76"/>
        <v>2.9438595293617845E-3</v>
      </c>
      <c r="G984" s="1138"/>
      <c r="H984" s="520">
        <v>8417.4599999999991</v>
      </c>
      <c r="I984" s="512">
        <v>42741</v>
      </c>
      <c r="J984" s="254">
        <f t="shared" si="73"/>
        <v>2.9752790888042391E-3</v>
      </c>
      <c r="L984" s="251">
        <f t="shared" si="74"/>
        <v>42741</v>
      </c>
      <c r="M984" s="513">
        <v>72</v>
      </c>
      <c r="N984" s="254">
        <f t="shared" si="75"/>
        <v>-6.8965517241379448E-3</v>
      </c>
      <c r="O984" s="1137">
        <f t="shared" si="77"/>
        <v>-6.9279712835803994E-3</v>
      </c>
      <c r="P984" s="1138"/>
    </row>
    <row r="985" spans="6:16" x14ac:dyDescent="0.2">
      <c r="F985" s="1137">
        <f t="shared" si="76"/>
        <v>4.4785573281229266E-3</v>
      </c>
      <c r="G985" s="1138"/>
      <c r="H985" s="520">
        <v>8392.49</v>
      </c>
      <c r="I985" s="512">
        <v>42740</v>
      </c>
      <c r="J985" s="254">
        <f t="shared" si="73"/>
        <v>4.5099768875653812E-3</v>
      </c>
      <c r="L985" s="251">
        <f t="shared" si="74"/>
        <v>42740</v>
      </c>
      <c r="M985" s="513">
        <v>72.5</v>
      </c>
      <c r="N985" s="254">
        <f t="shared" si="75"/>
        <v>8.3449235048678183E-3</v>
      </c>
      <c r="O985" s="1137">
        <f t="shared" si="77"/>
        <v>8.3135039454253646E-3</v>
      </c>
      <c r="P985" s="1138"/>
    </row>
    <row r="986" spans="6:16" x14ac:dyDescent="0.2">
      <c r="F986" s="1137">
        <f t="shared" si="76"/>
        <v>4.6137420411962041E-3</v>
      </c>
      <c r="G986" s="1138"/>
      <c r="H986" s="520">
        <v>8354.81</v>
      </c>
      <c r="I986" s="512">
        <v>42739</v>
      </c>
      <c r="J986" s="254">
        <f t="shared" si="73"/>
        <v>4.6451616006386587E-3</v>
      </c>
      <c r="L986" s="251">
        <f t="shared" si="74"/>
        <v>42739</v>
      </c>
      <c r="M986" s="513">
        <v>71.900000000000006</v>
      </c>
      <c r="N986" s="254">
        <f t="shared" si="75"/>
        <v>-1.3888888888887729E-3</v>
      </c>
      <c r="O986" s="1137">
        <f t="shared" si="77"/>
        <v>-1.4203084483312275E-3</v>
      </c>
      <c r="P986" s="1138"/>
    </row>
    <row r="987" spans="6:16" x14ac:dyDescent="0.2">
      <c r="F987" s="1137">
        <f t="shared" si="76"/>
        <v>1.1685310753810589E-2</v>
      </c>
      <c r="G987" s="1138"/>
      <c r="H987" s="520">
        <v>8316.18</v>
      </c>
      <c r="I987" s="512">
        <v>42738</v>
      </c>
      <c r="J987" s="254">
        <f t="shared" si="73"/>
        <v>1.1716730313253043E-2</v>
      </c>
      <c r="L987" s="251">
        <f t="shared" si="74"/>
        <v>42738</v>
      </c>
      <c r="M987" s="513">
        <v>72</v>
      </c>
      <c r="N987" s="254">
        <f t="shared" si="75"/>
        <v>1.5514809590973178E-2</v>
      </c>
      <c r="O987" s="1137">
        <f t="shared" si="77"/>
        <v>1.5483390031530724E-2</v>
      </c>
      <c r="P987" s="1138"/>
    </row>
    <row r="988" spans="6:16" x14ac:dyDescent="0.2">
      <c r="F988" s="1137">
        <f t="shared" si="76"/>
        <v>-3.8199915489757616E-3</v>
      </c>
      <c r="G988" s="1138"/>
      <c r="H988" s="520">
        <v>8219.8700000000008</v>
      </c>
      <c r="I988" s="512">
        <v>42734</v>
      </c>
      <c r="J988" s="254">
        <f t="shared" si="73"/>
        <v>-3.788571989533307E-3</v>
      </c>
      <c r="L988" s="251">
        <f t="shared" si="74"/>
        <v>42734</v>
      </c>
      <c r="M988" s="513">
        <v>70.900000000000006</v>
      </c>
      <c r="N988" s="254">
        <f t="shared" si="75"/>
        <v>-7.6976906927921362E-3</v>
      </c>
      <c r="O988" s="1137">
        <f t="shared" si="77"/>
        <v>-7.7291102522345908E-3</v>
      </c>
      <c r="P988" s="1138"/>
    </row>
    <row r="989" spans="6:16" x14ac:dyDescent="0.2">
      <c r="F989" s="1137">
        <f t="shared" si="76"/>
        <v>-6.9513021066629113E-4</v>
      </c>
      <c r="G989" s="1138"/>
      <c r="H989" s="520">
        <v>8251.1299999999992</v>
      </c>
      <c r="I989" s="512">
        <v>42733</v>
      </c>
      <c r="J989" s="254">
        <f t="shared" ref="J989:J1052" si="78">H989/H990-1</f>
        <v>-6.6371065122383666E-4</v>
      </c>
      <c r="L989" s="251">
        <f t="shared" ref="L989:L1052" si="79">I989</f>
        <v>42733</v>
      </c>
      <c r="M989" s="513">
        <v>71.45</v>
      </c>
      <c r="N989" s="254">
        <f t="shared" ref="N989:N1052" si="80">M989/M990-1</f>
        <v>-6.2586926286509748E-3</v>
      </c>
      <c r="O989" s="1137">
        <f t="shared" si="77"/>
        <v>-6.2901121880934293E-3</v>
      </c>
      <c r="P989" s="1138"/>
    </row>
    <row r="990" spans="6:16" x14ac:dyDescent="0.2">
      <c r="F990" s="1137">
        <f t="shared" ref="F990:F1053" si="81">J990-$I$19</f>
        <v>-3.7526812078740493E-4</v>
      </c>
      <c r="G990" s="1138"/>
      <c r="H990" s="520">
        <v>8256.61</v>
      </c>
      <c r="I990" s="512">
        <v>42732</v>
      </c>
      <c r="J990" s="254">
        <f t="shared" si="78"/>
        <v>-3.4384856134495045E-4</v>
      </c>
      <c r="L990" s="251">
        <f t="shared" si="79"/>
        <v>42732</v>
      </c>
      <c r="M990" s="513">
        <v>71.900000000000006</v>
      </c>
      <c r="N990" s="254">
        <f t="shared" si="80"/>
        <v>1.3927576601673319E-3</v>
      </c>
      <c r="O990" s="1137">
        <f t="shared" ref="O990:O1053" si="82">N990-$I$19</f>
        <v>1.3613381007248774E-3</v>
      </c>
      <c r="P990" s="1138"/>
    </row>
    <row r="991" spans="6:16" x14ac:dyDescent="0.2">
      <c r="F991" s="1137">
        <f t="shared" si="81"/>
        <v>3.2251299799521274E-3</v>
      </c>
      <c r="G991" s="1138"/>
      <c r="H991" s="520">
        <v>8259.4500000000007</v>
      </c>
      <c r="I991" s="512">
        <v>42731</v>
      </c>
      <c r="J991" s="254">
        <f t="shared" si="78"/>
        <v>3.256549539394582E-3</v>
      </c>
      <c r="L991" s="251">
        <f t="shared" si="79"/>
        <v>42731</v>
      </c>
      <c r="M991" s="513">
        <v>71.8</v>
      </c>
      <c r="N991" s="254">
        <f t="shared" si="80"/>
        <v>1.5558698727015541E-2</v>
      </c>
      <c r="O991" s="1137">
        <f t="shared" si="82"/>
        <v>1.5527279167573087E-2</v>
      </c>
      <c r="P991" s="1138"/>
    </row>
    <row r="992" spans="6:16" x14ac:dyDescent="0.2">
      <c r="F992" s="1137">
        <f t="shared" si="81"/>
        <v>-6.796367194743931E-4</v>
      </c>
      <c r="G992" s="1138"/>
      <c r="H992" s="520">
        <v>8232.64</v>
      </c>
      <c r="I992" s="512">
        <v>42727</v>
      </c>
      <c r="J992" s="254">
        <f t="shared" si="78"/>
        <v>-6.4821716003193863E-4</v>
      </c>
      <c r="L992" s="251">
        <f t="shared" si="79"/>
        <v>42727</v>
      </c>
      <c r="M992" s="513">
        <v>70.7</v>
      </c>
      <c r="N992" s="254">
        <f t="shared" si="80"/>
        <v>0</v>
      </c>
      <c r="O992" s="1137">
        <f t="shared" si="82"/>
        <v>-3.1419559442454485E-5</v>
      </c>
      <c r="P992" s="1138"/>
    </row>
    <row r="993" spans="6:16" x14ac:dyDescent="0.2">
      <c r="F993" s="1137">
        <f t="shared" si="81"/>
        <v>5.1877507342697291E-4</v>
      </c>
      <c r="G993" s="1138"/>
      <c r="H993" s="520">
        <v>8237.98</v>
      </c>
      <c r="I993" s="512">
        <v>42726</v>
      </c>
      <c r="J993" s="254">
        <f t="shared" si="78"/>
        <v>5.5019463286942738E-4</v>
      </c>
      <c r="L993" s="251">
        <f t="shared" si="79"/>
        <v>42726</v>
      </c>
      <c r="M993" s="513">
        <v>70.7</v>
      </c>
      <c r="N993" s="254">
        <f t="shared" si="80"/>
        <v>-1.4124293785310327E-3</v>
      </c>
      <c r="O993" s="1137">
        <f t="shared" si="82"/>
        <v>-1.4438489379734873E-3</v>
      </c>
      <c r="P993" s="1138"/>
    </row>
    <row r="994" spans="6:16" x14ac:dyDescent="0.2">
      <c r="F994" s="1137">
        <f t="shared" si="81"/>
        <v>-1.1899783365865576E-3</v>
      </c>
      <c r="G994" s="1138"/>
      <c r="H994" s="520">
        <v>8233.4500000000007</v>
      </c>
      <c r="I994" s="512">
        <v>42725</v>
      </c>
      <c r="J994" s="254">
        <f t="shared" si="78"/>
        <v>-1.158558777144103E-3</v>
      </c>
      <c r="L994" s="251">
        <f t="shared" si="79"/>
        <v>42725</v>
      </c>
      <c r="M994" s="513">
        <v>70.8</v>
      </c>
      <c r="N994" s="254">
        <f t="shared" si="80"/>
        <v>8.5470085470085166E-3</v>
      </c>
      <c r="O994" s="1137">
        <f t="shared" si="82"/>
        <v>8.5155889875660629E-3</v>
      </c>
      <c r="P994" s="1138"/>
    </row>
    <row r="995" spans="6:16" x14ac:dyDescent="0.2">
      <c r="F995" s="1137">
        <f t="shared" si="81"/>
        <v>1.0020384932116358E-3</v>
      </c>
      <c r="G995" s="1138"/>
      <c r="H995" s="520">
        <v>8243</v>
      </c>
      <c r="I995" s="512">
        <v>42724</v>
      </c>
      <c r="J995" s="254">
        <f t="shared" si="78"/>
        <v>1.0334580526540904E-3</v>
      </c>
      <c r="L995" s="251">
        <f t="shared" si="79"/>
        <v>42724</v>
      </c>
      <c r="M995" s="513">
        <v>70.2</v>
      </c>
      <c r="N995" s="254">
        <f t="shared" si="80"/>
        <v>-1.0570824524312905E-2</v>
      </c>
      <c r="O995" s="1137">
        <f t="shared" si="82"/>
        <v>-1.0602244083755359E-2</v>
      </c>
      <c r="P995" s="1138"/>
    </row>
    <row r="996" spans="6:16" x14ac:dyDescent="0.2">
      <c r="F996" s="1137">
        <f t="shared" si="81"/>
        <v>7.9140863597500319E-4</v>
      </c>
      <c r="G996" s="1138"/>
      <c r="H996" s="520">
        <v>8234.49</v>
      </c>
      <c r="I996" s="512">
        <v>42723</v>
      </c>
      <c r="J996" s="254">
        <f t="shared" si="78"/>
        <v>8.2282819541745766E-4</v>
      </c>
      <c r="L996" s="251">
        <f t="shared" si="79"/>
        <v>42723</v>
      </c>
      <c r="M996" s="513">
        <v>70.95</v>
      </c>
      <c r="N996" s="254">
        <f t="shared" si="80"/>
        <v>-2.8109627547435734E-3</v>
      </c>
      <c r="O996" s="1137">
        <f t="shared" si="82"/>
        <v>-2.842382314186028E-3</v>
      </c>
      <c r="P996" s="1138"/>
    </row>
    <row r="997" spans="6:16" x14ac:dyDescent="0.2">
      <c r="F997" s="1137">
        <f t="shared" si="81"/>
        <v>1.6023167297118538E-3</v>
      </c>
      <c r="G997" s="1138"/>
      <c r="H997" s="520">
        <v>8227.7199999999993</v>
      </c>
      <c r="I997" s="512">
        <v>42720</v>
      </c>
      <c r="J997" s="254">
        <f t="shared" si="78"/>
        <v>1.6337362891543084E-3</v>
      </c>
      <c r="L997" s="251">
        <f t="shared" si="79"/>
        <v>42720</v>
      </c>
      <c r="M997" s="513">
        <v>71.150000000000006</v>
      </c>
      <c r="N997" s="254">
        <f t="shared" si="80"/>
        <v>7.0323488045032079E-4</v>
      </c>
      <c r="O997" s="1137">
        <f t="shared" si="82"/>
        <v>6.7181532100786632E-4</v>
      </c>
      <c r="P997" s="1138"/>
    </row>
    <row r="998" spans="6:16" x14ac:dyDescent="0.2">
      <c r="F998" s="1137">
        <f t="shared" si="81"/>
        <v>9.0455188257247566E-3</v>
      </c>
      <c r="G998" s="1138"/>
      <c r="H998" s="520">
        <v>8214.2999999999993</v>
      </c>
      <c r="I998" s="512">
        <v>42719</v>
      </c>
      <c r="J998" s="254">
        <f t="shared" si="78"/>
        <v>9.0769383851672103E-3</v>
      </c>
      <c r="L998" s="251">
        <f t="shared" si="79"/>
        <v>42719</v>
      </c>
      <c r="M998" s="513">
        <v>71.099999999999994</v>
      </c>
      <c r="N998" s="254">
        <f t="shared" si="80"/>
        <v>6.3694267515921332E-3</v>
      </c>
      <c r="O998" s="1137">
        <f t="shared" si="82"/>
        <v>6.3380071921496786E-3</v>
      </c>
      <c r="P998" s="1138"/>
    </row>
    <row r="999" spans="6:16" x14ac:dyDescent="0.2">
      <c r="F999" s="1137">
        <f t="shared" si="81"/>
        <v>-2.7413636576571329E-3</v>
      </c>
      <c r="G999" s="1138"/>
      <c r="H999" s="520">
        <v>8140.41</v>
      </c>
      <c r="I999" s="512">
        <v>42718</v>
      </c>
      <c r="J999" s="254">
        <f t="shared" si="78"/>
        <v>-2.7099440982146783E-3</v>
      </c>
      <c r="L999" s="251">
        <f t="shared" si="79"/>
        <v>42718</v>
      </c>
      <c r="M999" s="513">
        <v>70.650000000000006</v>
      </c>
      <c r="N999" s="254">
        <f t="shared" si="80"/>
        <v>4.1267501842299437E-2</v>
      </c>
      <c r="O999" s="1137">
        <f t="shared" si="82"/>
        <v>4.1236082282856981E-2</v>
      </c>
      <c r="P999" s="1138"/>
    </row>
    <row r="1000" spans="6:16" x14ac:dyDescent="0.2">
      <c r="F1000" s="1137">
        <f t="shared" si="81"/>
        <v>1.5197265691593258E-2</v>
      </c>
      <c r="G1000" s="1138"/>
      <c r="H1000" s="520">
        <v>8162.53</v>
      </c>
      <c r="I1000" s="512">
        <v>42717</v>
      </c>
      <c r="J1000" s="254">
        <f t="shared" si="78"/>
        <v>1.5228685251035712E-2</v>
      </c>
      <c r="L1000" s="251">
        <f t="shared" si="79"/>
        <v>42717</v>
      </c>
      <c r="M1000" s="513">
        <v>67.849999999999994</v>
      </c>
      <c r="N1000" s="254">
        <f t="shared" si="80"/>
        <v>1.268656716417893E-2</v>
      </c>
      <c r="O1000" s="1137">
        <f t="shared" si="82"/>
        <v>1.2655147604736476E-2</v>
      </c>
      <c r="P1000" s="1138"/>
    </row>
    <row r="1001" spans="6:16" x14ac:dyDescent="0.2">
      <c r="F1001" s="1137">
        <f t="shared" si="81"/>
        <v>-7.3823726276689835E-3</v>
      </c>
      <c r="G1001" s="1138"/>
      <c r="H1001" s="520">
        <v>8040.09</v>
      </c>
      <c r="I1001" s="512">
        <v>42716</v>
      </c>
      <c r="J1001" s="254">
        <f t="shared" si="78"/>
        <v>-7.3509530682265289E-3</v>
      </c>
      <c r="L1001" s="251">
        <f t="shared" si="79"/>
        <v>42716</v>
      </c>
      <c r="M1001" s="513">
        <v>67</v>
      </c>
      <c r="N1001" s="254">
        <f t="shared" si="80"/>
        <v>-1.8315018315018361E-2</v>
      </c>
      <c r="O1001" s="1137">
        <f t="shared" si="82"/>
        <v>-1.8346437874460816E-2</v>
      </c>
      <c r="P1001" s="1138"/>
    </row>
    <row r="1002" spans="6:16" x14ac:dyDescent="0.2">
      <c r="F1002" s="1137">
        <f t="shared" si="81"/>
        <v>1.8318576920174537E-2</v>
      </c>
      <c r="G1002" s="1138"/>
      <c r="H1002" s="520">
        <v>8099.63</v>
      </c>
      <c r="I1002" s="512">
        <v>42713</v>
      </c>
      <c r="J1002" s="254">
        <f t="shared" si="78"/>
        <v>1.8349996479616992E-2</v>
      </c>
      <c r="L1002" s="251">
        <f t="shared" si="79"/>
        <v>42713</v>
      </c>
      <c r="M1002" s="513">
        <v>68.25</v>
      </c>
      <c r="N1002" s="254">
        <f t="shared" si="80"/>
        <v>1.8656716417910557E-2</v>
      </c>
      <c r="O1002" s="1137">
        <f t="shared" si="82"/>
        <v>1.8625296858468102E-2</v>
      </c>
      <c r="P1002" s="1138"/>
    </row>
    <row r="1003" spans="6:16" x14ac:dyDescent="0.2">
      <c r="F1003" s="1137">
        <f t="shared" si="81"/>
        <v>2.9230900714014166E-3</v>
      </c>
      <c r="G1003" s="1138"/>
      <c r="H1003" s="520">
        <v>7953.68</v>
      </c>
      <c r="I1003" s="512">
        <v>42712</v>
      </c>
      <c r="J1003" s="254">
        <f t="shared" si="78"/>
        <v>2.9545096308438712E-3</v>
      </c>
      <c r="L1003" s="251">
        <f t="shared" si="79"/>
        <v>42712</v>
      </c>
      <c r="M1003" s="513">
        <v>67</v>
      </c>
      <c r="N1003" s="254">
        <f t="shared" si="80"/>
        <v>1.3615733736762614E-2</v>
      </c>
      <c r="O1003" s="1137">
        <f t="shared" si="82"/>
        <v>1.358431417732016E-2</v>
      </c>
      <c r="P1003" s="1138"/>
    </row>
    <row r="1004" spans="6:16" x14ac:dyDescent="0.2">
      <c r="F1004" s="1137">
        <f t="shared" si="81"/>
        <v>2.2257998142233984E-3</v>
      </c>
      <c r="G1004" s="1138"/>
      <c r="H1004" s="520">
        <v>7930.25</v>
      </c>
      <c r="I1004" s="512">
        <v>42711</v>
      </c>
      <c r="J1004" s="254">
        <f t="shared" si="78"/>
        <v>2.257219373665853E-3</v>
      </c>
      <c r="L1004" s="251">
        <f t="shared" si="79"/>
        <v>42711</v>
      </c>
      <c r="M1004" s="513">
        <v>66.099999999999994</v>
      </c>
      <c r="N1004" s="254">
        <f t="shared" si="80"/>
        <v>-1.7100371747212018E-2</v>
      </c>
      <c r="O1004" s="1137">
        <f t="shared" si="82"/>
        <v>-1.7131791306654473E-2</v>
      </c>
      <c r="P1004" s="1138"/>
    </row>
    <row r="1005" spans="6:16" x14ac:dyDescent="0.2">
      <c r="F1005" s="1137">
        <f t="shared" si="81"/>
        <v>8.4713488430414197E-3</v>
      </c>
      <c r="G1005" s="1138"/>
      <c r="H1005" s="520">
        <v>7912.39</v>
      </c>
      <c r="I1005" s="512">
        <v>42710</v>
      </c>
      <c r="J1005" s="254">
        <f t="shared" si="78"/>
        <v>8.5027684024838734E-3</v>
      </c>
      <c r="L1005" s="251">
        <f t="shared" si="79"/>
        <v>42710</v>
      </c>
      <c r="M1005" s="513">
        <v>67.25</v>
      </c>
      <c r="N1005" s="254">
        <f t="shared" si="80"/>
        <v>-1.2481644640234824E-2</v>
      </c>
      <c r="O1005" s="1137">
        <f t="shared" si="82"/>
        <v>-1.2513064199677277E-2</v>
      </c>
      <c r="P1005" s="1138"/>
    </row>
    <row r="1006" spans="6:16" x14ac:dyDescent="0.2">
      <c r="F1006" s="1137">
        <f t="shared" si="81"/>
        <v>7.8912321329371472E-3</v>
      </c>
      <c r="G1006" s="1138"/>
      <c r="H1006" s="520">
        <v>7845.68</v>
      </c>
      <c r="I1006" s="512">
        <v>42709</v>
      </c>
      <c r="J1006" s="254">
        <f t="shared" si="78"/>
        <v>7.9226516923796009E-3</v>
      </c>
      <c r="L1006" s="251">
        <f t="shared" si="79"/>
        <v>42709</v>
      </c>
      <c r="M1006" s="513">
        <v>68.099999999999994</v>
      </c>
      <c r="N1006" s="254">
        <f t="shared" si="80"/>
        <v>7.3475385745780386E-4</v>
      </c>
      <c r="O1006" s="1137">
        <f t="shared" si="82"/>
        <v>7.0333429801534939E-4</v>
      </c>
      <c r="P1006" s="1138"/>
    </row>
    <row r="1007" spans="6:16" x14ac:dyDescent="0.2">
      <c r="F1007" s="1137">
        <f t="shared" si="81"/>
        <v>5.9847254903795763E-4</v>
      </c>
      <c r="G1007" s="1138"/>
      <c r="H1007" s="520">
        <v>7784.01</v>
      </c>
      <c r="I1007" s="512">
        <v>42706</v>
      </c>
      <c r="J1007" s="254">
        <f t="shared" si="78"/>
        <v>6.2989210848041211E-4</v>
      </c>
      <c r="L1007" s="251">
        <f t="shared" si="79"/>
        <v>42706</v>
      </c>
      <c r="M1007" s="513">
        <v>68.05</v>
      </c>
      <c r="N1007" s="254">
        <f t="shared" si="80"/>
        <v>-9.4614264919942181E-3</v>
      </c>
      <c r="O1007" s="1137">
        <f t="shared" si="82"/>
        <v>-9.4928460514366719E-3</v>
      </c>
      <c r="P1007" s="1138"/>
    </row>
    <row r="1008" spans="6:16" x14ac:dyDescent="0.2">
      <c r="F1008" s="1137">
        <f t="shared" si="81"/>
        <v>-1.2231760122654296E-2</v>
      </c>
      <c r="G1008" s="1138"/>
      <c r="H1008" s="520">
        <v>7779.11</v>
      </c>
      <c r="I1008" s="512">
        <v>42705</v>
      </c>
      <c r="J1008" s="254">
        <f t="shared" si="78"/>
        <v>-1.2200340563211842E-2</v>
      </c>
      <c r="L1008" s="251">
        <f t="shared" si="79"/>
        <v>42705</v>
      </c>
      <c r="M1008" s="513">
        <v>68.7</v>
      </c>
      <c r="N1008" s="254">
        <f t="shared" si="80"/>
        <v>-2.4147727272727293E-2</v>
      </c>
      <c r="O1008" s="1137">
        <f t="shared" si="82"/>
        <v>-2.4179146832169748E-2</v>
      </c>
      <c r="P1008" s="1138"/>
    </row>
    <row r="1009" spans="6:16" x14ac:dyDescent="0.2">
      <c r="F1009" s="1137">
        <f t="shared" si="81"/>
        <v>3.8156118656289132E-3</v>
      </c>
      <c r="G1009" s="1138"/>
      <c r="H1009" s="520">
        <v>7875.19</v>
      </c>
      <c r="I1009" s="512">
        <v>42704</v>
      </c>
      <c r="J1009" s="254">
        <f t="shared" si="78"/>
        <v>3.8470314250713677E-3</v>
      </c>
      <c r="L1009" s="251">
        <f t="shared" si="79"/>
        <v>42704</v>
      </c>
      <c r="M1009" s="513">
        <v>70.400000000000006</v>
      </c>
      <c r="N1009" s="254">
        <f t="shared" si="80"/>
        <v>1.0043041606886627E-2</v>
      </c>
      <c r="O1009" s="1137">
        <f t="shared" si="82"/>
        <v>1.0011622047444173E-2</v>
      </c>
      <c r="P1009" s="1138"/>
    </row>
    <row r="1010" spans="6:16" x14ac:dyDescent="0.2">
      <c r="F1010" s="1137">
        <f t="shared" si="81"/>
        <v>2.7525967611822947E-3</v>
      </c>
      <c r="G1010" s="1138"/>
      <c r="H1010" s="520">
        <v>7845.01</v>
      </c>
      <c r="I1010" s="512">
        <v>42703</v>
      </c>
      <c r="J1010" s="254">
        <f t="shared" si="78"/>
        <v>2.7840163206247492E-3</v>
      </c>
      <c r="L1010" s="251">
        <f t="shared" si="79"/>
        <v>42703</v>
      </c>
      <c r="M1010" s="513">
        <v>69.7</v>
      </c>
      <c r="N1010" s="254">
        <f t="shared" si="80"/>
        <v>5.7720057720058726E-3</v>
      </c>
      <c r="O1010" s="1137">
        <f t="shared" si="82"/>
        <v>5.740586212563418E-3</v>
      </c>
      <c r="P1010" s="1138"/>
    </row>
    <row r="1011" spans="6:16" x14ac:dyDescent="0.2">
      <c r="F1011" s="1137">
        <f t="shared" si="81"/>
        <v>-7.4284604893127123E-3</v>
      </c>
      <c r="G1011" s="1138"/>
      <c r="H1011" s="520">
        <v>7823.23</v>
      </c>
      <c r="I1011" s="512">
        <v>42702</v>
      </c>
      <c r="J1011" s="254">
        <f t="shared" si="78"/>
        <v>-7.3970409298702577E-3</v>
      </c>
      <c r="L1011" s="251">
        <f t="shared" si="79"/>
        <v>42702</v>
      </c>
      <c r="M1011" s="513">
        <v>69.3</v>
      </c>
      <c r="N1011" s="254">
        <f t="shared" si="80"/>
        <v>-6.4516129032258229E-3</v>
      </c>
      <c r="O1011" s="1137">
        <f t="shared" si="82"/>
        <v>-6.4830324626682775E-3</v>
      </c>
      <c r="P1011" s="1138"/>
    </row>
    <row r="1012" spans="6:16" x14ac:dyDescent="0.2">
      <c r="F1012" s="1137">
        <f t="shared" si="81"/>
        <v>1.0615499719906123E-2</v>
      </c>
      <c r="G1012" s="1138"/>
      <c r="H1012" s="520">
        <v>7881.53</v>
      </c>
      <c r="I1012" s="512">
        <v>42699</v>
      </c>
      <c r="J1012" s="254">
        <f t="shared" si="78"/>
        <v>1.0646919279348577E-2</v>
      </c>
      <c r="L1012" s="251">
        <f t="shared" si="79"/>
        <v>42699</v>
      </c>
      <c r="M1012" s="513">
        <v>69.75</v>
      </c>
      <c r="N1012" s="254">
        <f t="shared" si="80"/>
        <v>2.8756290438534116E-3</v>
      </c>
      <c r="O1012" s="1137">
        <f t="shared" si="82"/>
        <v>2.844209484410957E-3</v>
      </c>
      <c r="P1012" s="1138"/>
    </row>
    <row r="1013" spans="6:16" x14ac:dyDescent="0.2">
      <c r="F1013" s="1137">
        <f t="shared" si="81"/>
        <v>5.9358879542567725E-3</v>
      </c>
      <c r="G1013" s="1138"/>
      <c r="H1013" s="520">
        <v>7798.5</v>
      </c>
      <c r="I1013" s="512">
        <v>42698</v>
      </c>
      <c r="J1013" s="254">
        <f t="shared" si="78"/>
        <v>5.9673075136992271E-3</v>
      </c>
      <c r="L1013" s="251">
        <f t="shared" si="79"/>
        <v>42698</v>
      </c>
      <c r="M1013" s="513">
        <v>69.55</v>
      </c>
      <c r="N1013" s="254">
        <f t="shared" si="80"/>
        <v>1.6812865497075835E-2</v>
      </c>
      <c r="O1013" s="1137">
        <f t="shared" si="82"/>
        <v>1.678144593763338E-2</v>
      </c>
      <c r="P1013" s="1138"/>
    </row>
    <row r="1014" spans="6:16" x14ac:dyDescent="0.2">
      <c r="F1014" s="1137">
        <f t="shared" si="81"/>
        <v>1.3145171841139761E-3</v>
      </c>
      <c r="G1014" s="1138"/>
      <c r="H1014" s="520">
        <v>7752.24</v>
      </c>
      <c r="I1014" s="512">
        <v>42697</v>
      </c>
      <c r="J1014" s="254">
        <f t="shared" si="78"/>
        <v>1.3459367435564307E-3</v>
      </c>
      <c r="L1014" s="251">
        <f t="shared" si="79"/>
        <v>42697</v>
      </c>
      <c r="M1014" s="513">
        <v>68.400000000000006</v>
      </c>
      <c r="N1014" s="254">
        <f t="shared" si="80"/>
        <v>-3.6416605972323657E-3</v>
      </c>
      <c r="O1014" s="1137">
        <f t="shared" si="82"/>
        <v>-3.6730801566748203E-3</v>
      </c>
      <c r="P1014" s="1138"/>
    </row>
    <row r="1015" spans="6:16" x14ac:dyDescent="0.2">
      <c r="F1015" s="1137">
        <f t="shared" si="81"/>
        <v>-1.379472234446026E-2</v>
      </c>
      <c r="G1015" s="1138"/>
      <c r="H1015" s="520">
        <v>7741.82</v>
      </c>
      <c r="I1015" s="512">
        <v>42696</v>
      </c>
      <c r="J1015" s="254">
        <f t="shared" si="78"/>
        <v>-1.3763302785017806E-2</v>
      </c>
      <c r="L1015" s="251">
        <f t="shared" si="79"/>
        <v>42696</v>
      </c>
      <c r="M1015" s="513">
        <v>68.650000000000006</v>
      </c>
      <c r="N1015" s="254">
        <f t="shared" si="80"/>
        <v>1.4781966001478297E-2</v>
      </c>
      <c r="O1015" s="1137">
        <f t="shared" si="82"/>
        <v>1.4750546442035843E-2</v>
      </c>
      <c r="P1015" s="1138"/>
    </row>
    <row r="1016" spans="6:16" x14ac:dyDescent="0.2">
      <c r="F1016" s="1137">
        <f t="shared" si="81"/>
        <v>-6.950219491127437E-3</v>
      </c>
      <c r="G1016" s="1138"/>
      <c r="H1016" s="520">
        <v>7849.86</v>
      </c>
      <c r="I1016" s="512">
        <v>42695</v>
      </c>
      <c r="J1016" s="254">
        <f t="shared" si="78"/>
        <v>-6.9187999316849824E-3</v>
      </c>
      <c r="L1016" s="251">
        <f t="shared" si="79"/>
        <v>42695</v>
      </c>
      <c r="M1016" s="513">
        <v>67.650000000000006</v>
      </c>
      <c r="N1016" s="254">
        <f t="shared" si="80"/>
        <v>-6.6079295154183315E-3</v>
      </c>
      <c r="O1016" s="1137">
        <f t="shared" si="82"/>
        <v>-6.6393490748607861E-3</v>
      </c>
      <c r="P1016" s="1138"/>
    </row>
    <row r="1017" spans="6:16" x14ac:dyDescent="0.2">
      <c r="F1017" s="1137">
        <f t="shared" si="81"/>
        <v>-7.5810009613317816E-3</v>
      </c>
      <c r="G1017" s="1138"/>
      <c r="H1017" s="520">
        <v>7904.55</v>
      </c>
      <c r="I1017" s="512">
        <v>42692</v>
      </c>
      <c r="J1017" s="254">
        <f t="shared" si="78"/>
        <v>-7.549581401889327E-3</v>
      </c>
      <c r="L1017" s="251">
        <f t="shared" si="79"/>
        <v>42692</v>
      </c>
      <c r="M1017" s="513">
        <v>68.099999999999994</v>
      </c>
      <c r="N1017" s="254">
        <f t="shared" si="80"/>
        <v>3.8109756097560954E-2</v>
      </c>
      <c r="O1017" s="1137">
        <f t="shared" si="82"/>
        <v>3.8078336538118498E-2</v>
      </c>
      <c r="P1017" s="1138"/>
    </row>
    <row r="1018" spans="6:16" x14ac:dyDescent="0.2">
      <c r="F1018" s="1137">
        <f t="shared" si="81"/>
        <v>6.3698783902721027E-3</v>
      </c>
      <c r="G1018" s="1138"/>
      <c r="H1018" s="520">
        <v>7964.68</v>
      </c>
      <c r="I1018" s="512">
        <v>42691</v>
      </c>
      <c r="J1018" s="254">
        <f t="shared" si="78"/>
        <v>6.4012979497145572E-3</v>
      </c>
      <c r="L1018" s="251">
        <f t="shared" si="79"/>
        <v>42691</v>
      </c>
      <c r="M1018" s="513">
        <v>65.599999999999994</v>
      </c>
      <c r="N1018" s="254">
        <f t="shared" si="80"/>
        <v>1.8633540372670732E-2</v>
      </c>
      <c r="O1018" s="1137">
        <f t="shared" si="82"/>
        <v>1.8602120813228276E-2</v>
      </c>
      <c r="P1018" s="1138"/>
    </row>
    <row r="1019" spans="6:16" x14ac:dyDescent="0.2">
      <c r="F1019" s="1137">
        <f t="shared" si="81"/>
        <v>5.7799732216375175E-4</v>
      </c>
      <c r="G1019" s="1138"/>
      <c r="H1019" s="520">
        <v>7914.02</v>
      </c>
      <c r="I1019" s="512">
        <v>42690</v>
      </c>
      <c r="J1019" s="254">
        <f t="shared" si="78"/>
        <v>6.0941688160620622E-4</v>
      </c>
      <c r="L1019" s="251">
        <f t="shared" si="79"/>
        <v>42690</v>
      </c>
      <c r="M1019" s="513">
        <v>64.400000000000006</v>
      </c>
      <c r="N1019" s="254">
        <f t="shared" si="80"/>
        <v>2.2222222222222365E-2</v>
      </c>
      <c r="O1019" s="1137">
        <f t="shared" si="82"/>
        <v>2.219080266277991E-2</v>
      </c>
      <c r="P1019" s="1138"/>
    </row>
    <row r="1020" spans="6:16" x14ac:dyDescent="0.2">
      <c r="F1020" s="1137">
        <f t="shared" si="81"/>
        <v>1.0609066904356404E-3</v>
      </c>
      <c r="G1020" s="1138"/>
      <c r="H1020" s="520">
        <v>7909.2</v>
      </c>
      <c r="I1020" s="512">
        <v>42689</v>
      </c>
      <c r="J1020" s="254">
        <f t="shared" si="78"/>
        <v>1.092326249878095E-3</v>
      </c>
      <c r="L1020" s="251">
        <f t="shared" si="79"/>
        <v>42689</v>
      </c>
      <c r="M1020" s="513">
        <v>63</v>
      </c>
      <c r="N1020" s="254">
        <f t="shared" si="80"/>
        <v>2.5223759153783609E-2</v>
      </c>
      <c r="O1020" s="1137">
        <f t="shared" si="82"/>
        <v>2.5192339594341154E-2</v>
      </c>
      <c r="P1020" s="1138"/>
    </row>
    <row r="1021" spans="6:16" x14ac:dyDescent="0.2">
      <c r="F1021" s="1137">
        <f t="shared" si="81"/>
        <v>2.5420897911016685E-3</v>
      </c>
      <c r="G1021" s="1138"/>
      <c r="H1021" s="520">
        <v>7900.57</v>
      </c>
      <c r="I1021" s="512">
        <v>42688</v>
      </c>
      <c r="J1021" s="254">
        <f t="shared" si="78"/>
        <v>2.5735093505441231E-3</v>
      </c>
      <c r="L1021" s="251">
        <f t="shared" si="79"/>
        <v>42688</v>
      </c>
      <c r="M1021" s="513">
        <v>61.45</v>
      </c>
      <c r="N1021" s="254">
        <f t="shared" si="80"/>
        <v>-1.2851405622489875E-2</v>
      </c>
      <c r="O1021" s="1137">
        <f t="shared" si="82"/>
        <v>-1.2882825181932329E-2</v>
      </c>
      <c r="P1021" s="1138"/>
    </row>
    <row r="1022" spans="6:16" x14ac:dyDescent="0.2">
      <c r="F1022" s="1137">
        <f t="shared" si="81"/>
        <v>-6.1458610175753456E-3</v>
      </c>
      <c r="G1022" s="1138"/>
      <c r="H1022" s="520">
        <v>7880.29</v>
      </c>
      <c r="I1022" s="512">
        <v>42685</v>
      </c>
      <c r="J1022" s="254">
        <f t="shared" si="78"/>
        <v>-6.114441458132891E-3</v>
      </c>
      <c r="L1022" s="251">
        <f t="shared" si="79"/>
        <v>42685</v>
      </c>
      <c r="M1022" s="513">
        <v>62.25</v>
      </c>
      <c r="N1022" s="254">
        <f t="shared" si="80"/>
        <v>-2.5058731401722767E-2</v>
      </c>
      <c r="O1022" s="1137">
        <f t="shared" si="82"/>
        <v>-2.5090150961165222E-2</v>
      </c>
      <c r="P1022" s="1138"/>
    </row>
    <row r="1023" spans="6:16" x14ac:dyDescent="0.2">
      <c r="F1023" s="1137">
        <f t="shared" si="81"/>
        <v>3.8848410890385968E-3</v>
      </c>
      <c r="G1023" s="1138"/>
      <c r="H1023" s="520">
        <v>7928.77</v>
      </c>
      <c r="I1023" s="512">
        <v>42684</v>
      </c>
      <c r="J1023" s="254">
        <f t="shared" si="78"/>
        <v>3.9162606484810514E-3</v>
      </c>
      <c r="L1023" s="251">
        <f t="shared" si="79"/>
        <v>42684</v>
      </c>
      <c r="M1023" s="513">
        <v>63.85</v>
      </c>
      <c r="N1023" s="254">
        <f t="shared" si="80"/>
        <v>5.5118110236220819E-3</v>
      </c>
      <c r="O1023" s="1137">
        <f t="shared" si="82"/>
        <v>5.4803914641796273E-3</v>
      </c>
      <c r="P1023" s="1138"/>
    </row>
    <row r="1024" spans="6:16" x14ac:dyDescent="0.2">
      <c r="F1024" s="1137">
        <f t="shared" si="81"/>
        <v>1.9830332009185228E-2</v>
      </c>
      <c r="G1024" s="1138"/>
      <c r="H1024" s="520">
        <v>7897.84</v>
      </c>
      <c r="I1024" s="512">
        <v>42683</v>
      </c>
      <c r="J1024" s="254">
        <f t="shared" si="78"/>
        <v>1.9861751568627684E-2</v>
      </c>
      <c r="L1024" s="251">
        <f t="shared" si="79"/>
        <v>42683</v>
      </c>
      <c r="M1024" s="513">
        <v>63.5</v>
      </c>
      <c r="N1024" s="254">
        <f t="shared" si="80"/>
        <v>-1.0132501948558192E-2</v>
      </c>
      <c r="O1024" s="1137">
        <f t="shared" si="82"/>
        <v>-1.0163921508000646E-2</v>
      </c>
      <c r="P1024" s="1138"/>
    </row>
    <row r="1025" spans="6:16" x14ac:dyDescent="0.2">
      <c r="F1025" s="1137">
        <f t="shared" si="81"/>
        <v>1.1075267148716464E-3</v>
      </c>
      <c r="G1025" s="1138"/>
      <c r="H1025" s="520">
        <v>7744.03</v>
      </c>
      <c r="I1025" s="512">
        <v>42682</v>
      </c>
      <c r="J1025" s="254">
        <f t="shared" si="78"/>
        <v>1.138946274314101E-3</v>
      </c>
      <c r="L1025" s="251">
        <f t="shared" si="79"/>
        <v>42682</v>
      </c>
      <c r="M1025" s="513">
        <v>64.150000000000006</v>
      </c>
      <c r="N1025" s="254">
        <f t="shared" si="80"/>
        <v>-1.0794140323824086E-2</v>
      </c>
      <c r="O1025" s="1137">
        <f t="shared" si="82"/>
        <v>-1.082555988326654E-2</v>
      </c>
      <c r="P1025" s="1138"/>
    </row>
    <row r="1026" spans="6:16" x14ac:dyDescent="0.2">
      <c r="F1026" s="1137">
        <f t="shared" si="81"/>
        <v>1.8672157325138453E-2</v>
      </c>
      <c r="G1026" s="1138"/>
      <c r="H1026" s="520">
        <v>7735.22</v>
      </c>
      <c r="I1026" s="512">
        <v>42681</v>
      </c>
      <c r="J1026" s="254">
        <f t="shared" si="78"/>
        <v>1.8703576884580908E-2</v>
      </c>
      <c r="L1026" s="251">
        <f t="shared" si="79"/>
        <v>42681</v>
      </c>
      <c r="M1026" s="513">
        <v>64.849999999999994</v>
      </c>
      <c r="N1026" s="254">
        <f t="shared" si="80"/>
        <v>3.7599999999999856E-2</v>
      </c>
      <c r="O1026" s="1137">
        <f t="shared" si="82"/>
        <v>3.75685804405574E-2</v>
      </c>
      <c r="P1026" s="1138"/>
    </row>
    <row r="1027" spans="6:16" x14ac:dyDescent="0.2">
      <c r="F1027" s="1137">
        <f t="shared" si="81"/>
        <v>-6.2793419354851129E-3</v>
      </c>
      <c r="G1027" s="1138"/>
      <c r="H1027" s="520">
        <v>7593.2</v>
      </c>
      <c r="I1027" s="512">
        <v>42678</v>
      </c>
      <c r="J1027" s="254">
        <f t="shared" si="78"/>
        <v>-6.2479223760426583E-3</v>
      </c>
      <c r="L1027" s="251">
        <f t="shared" si="79"/>
        <v>42678</v>
      </c>
      <c r="M1027" s="513">
        <v>62.5</v>
      </c>
      <c r="N1027" s="254">
        <f t="shared" si="80"/>
        <v>3.2102728731941976E-3</v>
      </c>
      <c r="O1027" s="1137">
        <f t="shared" si="82"/>
        <v>3.178853313751743E-3</v>
      </c>
      <c r="P1027" s="1138"/>
    </row>
    <row r="1028" spans="6:16" x14ac:dyDescent="0.2">
      <c r="F1028" s="1137">
        <f t="shared" si="81"/>
        <v>-7.7543849599860789E-3</v>
      </c>
      <c r="G1028" s="1138"/>
      <c r="H1028" s="520">
        <v>7640.94</v>
      </c>
      <c r="I1028" s="512">
        <v>42677</v>
      </c>
      <c r="J1028" s="254">
        <f t="shared" si="78"/>
        <v>-7.7229654005436243E-3</v>
      </c>
      <c r="L1028" s="251">
        <f t="shared" si="79"/>
        <v>42677</v>
      </c>
      <c r="M1028" s="513">
        <v>62.3</v>
      </c>
      <c r="N1028" s="254">
        <f t="shared" si="80"/>
        <v>1.3832384052074875E-2</v>
      </c>
      <c r="O1028" s="1137">
        <f t="shared" si="82"/>
        <v>1.3800964492632422E-2</v>
      </c>
      <c r="P1028" s="1138"/>
    </row>
    <row r="1029" spans="6:16" x14ac:dyDescent="0.2">
      <c r="F1029" s="1137">
        <f t="shared" si="81"/>
        <v>-7.8818680644687066E-3</v>
      </c>
      <c r="G1029" s="1138"/>
      <c r="H1029" s="520">
        <v>7700.41</v>
      </c>
      <c r="I1029" s="512">
        <v>42676</v>
      </c>
      <c r="J1029" s="254">
        <f t="shared" si="78"/>
        <v>-7.8504485050262529E-3</v>
      </c>
      <c r="L1029" s="251">
        <f t="shared" si="79"/>
        <v>42676</v>
      </c>
      <c r="M1029" s="513">
        <v>61.45</v>
      </c>
      <c r="N1029" s="254">
        <f t="shared" si="80"/>
        <v>-1.2851405622489875E-2</v>
      </c>
      <c r="O1029" s="1137">
        <f t="shared" si="82"/>
        <v>-1.2882825181932329E-2</v>
      </c>
      <c r="P1029" s="1138"/>
    </row>
    <row r="1030" spans="6:16" x14ac:dyDescent="0.2">
      <c r="F1030" s="1137">
        <f t="shared" si="81"/>
        <v>-8.5140722791290768E-3</v>
      </c>
      <c r="G1030" s="1138"/>
      <c r="H1030" s="520">
        <v>7761.34</v>
      </c>
      <c r="I1030" s="512">
        <v>42675</v>
      </c>
      <c r="J1030" s="254">
        <f t="shared" si="78"/>
        <v>-8.482652719686623E-3</v>
      </c>
      <c r="L1030" s="251">
        <f t="shared" si="79"/>
        <v>42675</v>
      </c>
      <c r="M1030" s="513">
        <v>62.25</v>
      </c>
      <c r="N1030" s="254">
        <f t="shared" si="80"/>
        <v>-2.5058731401722767E-2</v>
      </c>
      <c r="O1030" s="1137">
        <f t="shared" si="82"/>
        <v>-2.5090150961165222E-2</v>
      </c>
      <c r="P1030" s="1138"/>
    </row>
    <row r="1031" spans="6:16" x14ac:dyDescent="0.2">
      <c r="F1031" s="1137">
        <f t="shared" si="81"/>
        <v>-1.0251977764023019E-2</v>
      </c>
      <c r="G1031" s="1138"/>
      <c r="H1031" s="520">
        <v>7827.74</v>
      </c>
      <c r="I1031" s="512">
        <v>42674</v>
      </c>
      <c r="J1031" s="254">
        <f t="shared" si="78"/>
        <v>-1.0220558204580565E-2</v>
      </c>
      <c r="L1031" s="251">
        <f t="shared" si="79"/>
        <v>42674</v>
      </c>
      <c r="M1031" s="513">
        <v>63.85</v>
      </c>
      <c r="N1031" s="254">
        <f t="shared" si="80"/>
        <v>-6.225680933852118E-3</v>
      </c>
      <c r="O1031" s="1137">
        <f t="shared" si="82"/>
        <v>-6.2571004932945725E-3</v>
      </c>
      <c r="P1031" s="1138"/>
    </row>
    <row r="1032" spans="6:16" x14ac:dyDescent="0.2">
      <c r="F1032" s="1137">
        <f t="shared" si="81"/>
        <v>-2.0277877341537262E-3</v>
      </c>
      <c r="G1032" s="1138"/>
      <c r="H1032" s="520">
        <v>7908.57</v>
      </c>
      <c r="I1032" s="512">
        <v>42671</v>
      </c>
      <c r="J1032" s="254">
        <f t="shared" si="78"/>
        <v>-1.9963681747112716E-3</v>
      </c>
      <c r="L1032" s="251">
        <f t="shared" si="79"/>
        <v>42671</v>
      </c>
      <c r="M1032" s="513">
        <v>64.25</v>
      </c>
      <c r="N1032" s="254">
        <f t="shared" si="80"/>
        <v>3.90625E-3</v>
      </c>
      <c r="O1032" s="1137">
        <f t="shared" si="82"/>
        <v>3.8748304405575454E-3</v>
      </c>
      <c r="P1032" s="1138"/>
    </row>
    <row r="1033" spans="6:16" x14ac:dyDescent="0.2">
      <c r="F1033" s="1137">
        <f t="shared" si="81"/>
        <v>3.9747785180385834E-3</v>
      </c>
      <c r="G1033" s="1138"/>
      <c r="H1033" s="520">
        <v>7924.39</v>
      </c>
      <c r="I1033" s="512">
        <v>42670</v>
      </c>
      <c r="J1033" s="254">
        <f t="shared" si="78"/>
        <v>4.006198077481038E-3</v>
      </c>
      <c r="L1033" s="251">
        <f t="shared" si="79"/>
        <v>42670</v>
      </c>
      <c r="M1033" s="513">
        <v>64</v>
      </c>
      <c r="N1033" s="254">
        <f t="shared" si="80"/>
        <v>-3.8910505836575737E-3</v>
      </c>
      <c r="O1033" s="1137">
        <f t="shared" si="82"/>
        <v>-3.9224701431000283E-3</v>
      </c>
      <c r="P1033" s="1138"/>
    </row>
    <row r="1034" spans="6:16" x14ac:dyDescent="0.2">
      <c r="F1034" s="1137">
        <f t="shared" si="81"/>
        <v>-4.7099325741576789E-3</v>
      </c>
      <c r="G1034" s="1138"/>
      <c r="H1034" s="520">
        <v>7892.77</v>
      </c>
      <c r="I1034" s="512">
        <v>42669</v>
      </c>
      <c r="J1034" s="254">
        <f t="shared" si="78"/>
        <v>-4.6785130147152243E-3</v>
      </c>
      <c r="L1034" s="251">
        <f t="shared" si="79"/>
        <v>42669</v>
      </c>
      <c r="M1034" s="513">
        <v>64.25</v>
      </c>
      <c r="N1034" s="254">
        <f t="shared" si="80"/>
        <v>1.5588464536242519E-3</v>
      </c>
      <c r="O1034" s="1137">
        <f t="shared" si="82"/>
        <v>1.5274268941817973E-3</v>
      </c>
      <c r="P1034" s="1138"/>
    </row>
    <row r="1035" spans="6:16" x14ac:dyDescent="0.2">
      <c r="F1035" s="1137">
        <f t="shared" si="81"/>
        <v>-7.7905450718375588E-3</v>
      </c>
      <c r="G1035" s="1138"/>
      <c r="H1035" s="520">
        <v>7929.87</v>
      </c>
      <c r="I1035" s="512">
        <v>42668</v>
      </c>
      <c r="J1035" s="254">
        <f t="shared" si="78"/>
        <v>-7.7591255123951042E-3</v>
      </c>
      <c r="L1035" s="251">
        <f t="shared" si="79"/>
        <v>42668</v>
      </c>
      <c r="M1035" s="513">
        <v>64.150000000000006</v>
      </c>
      <c r="N1035" s="254">
        <f t="shared" si="80"/>
        <v>-1.5349194167306179E-2</v>
      </c>
      <c r="O1035" s="1137">
        <f t="shared" si="82"/>
        <v>-1.5380613726748633E-2</v>
      </c>
      <c r="P1035" s="1138"/>
    </row>
    <row r="1036" spans="6:16" x14ac:dyDescent="0.2">
      <c r="F1036" s="1137">
        <f t="shared" si="81"/>
        <v>-5.3806104600927903E-3</v>
      </c>
      <c r="G1036" s="1138"/>
      <c r="H1036" s="520">
        <v>7991.88</v>
      </c>
      <c r="I1036" s="512">
        <v>42667</v>
      </c>
      <c r="J1036" s="254">
        <f t="shared" si="78"/>
        <v>-5.3491909006503358E-3</v>
      </c>
      <c r="L1036" s="251">
        <f t="shared" si="79"/>
        <v>42667</v>
      </c>
      <c r="M1036" s="513">
        <v>65.150000000000006</v>
      </c>
      <c r="N1036" s="254">
        <f t="shared" si="80"/>
        <v>-1.5117157974300799E-2</v>
      </c>
      <c r="O1036" s="1137">
        <f t="shared" si="82"/>
        <v>-1.5148577533743253E-2</v>
      </c>
      <c r="P1036" s="1138"/>
    </row>
    <row r="1037" spans="6:16" x14ac:dyDescent="0.2">
      <c r="F1037" s="1137">
        <f t="shared" si="81"/>
        <v>-4.2957458243958876E-3</v>
      </c>
      <c r="G1037" s="1138"/>
      <c r="H1037" s="520">
        <v>8034.86</v>
      </c>
      <c r="I1037" s="512">
        <v>42664</v>
      </c>
      <c r="J1037" s="254">
        <f t="shared" si="78"/>
        <v>-4.264326264953433E-3</v>
      </c>
      <c r="L1037" s="251">
        <f t="shared" si="79"/>
        <v>42664</v>
      </c>
      <c r="M1037" s="513">
        <v>66.150000000000006</v>
      </c>
      <c r="N1037" s="254">
        <f t="shared" si="80"/>
        <v>3.1981279251170225E-2</v>
      </c>
      <c r="O1037" s="1137">
        <f t="shared" si="82"/>
        <v>3.1949859691727769E-2</v>
      </c>
      <c r="P1037" s="1138"/>
    </row>
    <row r="1038" spans="6:16" x14ac:dyDescent="0.2">
      <c r="F1038" s="1137">
        <f t="shared" si="81"/>
        <v>-3.059670883298434E-3</v>
      </c>
      <c r="G1038" s="1138"/>
      <c r="H1038" s="520">
        <v>8069.27</v>
      </c>
      <c r="I1038" s="512">
        <v>42663</v>
      </c>
      <c r="J1038" s="254">
        <f t="shared" si="78"/>
        <v>-3.0282513238559794E-3</v>
      </c>
      <c r="L1038" s="251">
        <f t="shared" si="79"/>
        <v>42663</v>
      </c>
      <c r="M1038" s="513">
        <v>64.099999999999994</v>
      </c>
      <c r="N1038" s="254">
        <f t="shared" si="80"/>
        <v>-3.0257186081694365E-2</v>
      </c>
      <c r="O1038" s="1137">
        <f t="shared" si="82"/>
        <v>-3.028860564113682E-2</v>
      </c>
      <c r="P1038" s="1138"/>
    </row>
    <row r="1039" spans="6:16" x14ac:dyDescent="0.2">
      <c r="F1039" s="1137">
        <f t="shared" si="81"/>
        <v>2.3327578888558556E-3</v>
      </c>
      <c r="G1039" s="1138"/>
      <c r="H1039" s="520">
        <v>8093.78</v>
      </c>
      <c r="I1039" s="512">
        <v>42662</v>
      </c>
      <c r="J1039" s="254">
        <f t="shared" si="78"/>
        <v>2.3641774482983102E-3</v>
      </c>
      <c r="L1039" s="251">
        <f t="shared" si="79"/>
        <v>42662</v>
      </c>
      <c r="M1039" s="513">
        <v>66.099999999999994</v>
      </c>
      <c r="N1039" s="254">
        <f t="shared" si="80"/>
        <v>5.3231939163498332E-3</v>
      </c>
      <c r="O1039" s="1137">
        <f t="shared" si="82"/>
        <v>5.2917743569073786E-3</v>
      </c>
      <c r="P1039" s="1138"/>
    </row>
    <row r="1040" spans="6:16" x14ac:dyDescent="0.2">
      <c r="F1040" s="1137">
        <f t="shared" si="81"/>
        <v>9.1837246232555226E-3</v>
      </c>
      <c r="G1040" s="1138"/>
      <c r="H1040" s="520">
        <v>8074.69</v>
      </c>
      <c r="I1040" s="512">
        <v>42661</v>
      </c>
      <c r="J1040" s="254">
        <f t="shared" si="78"/>
        <v>9.2151441826979763E-3</v>
      </c>
      <c r="L1040" s="251">
        <f t="shared" si="79"/>
        <v>42661</v>
      </c>
      <c r="M1040" s="513">
        <v>65.75</v>
      </c>
      <c r="N1040" s="254">
        <f t="shared" si="80"/>
        <v>1.5232292460014563E-3</v>
      </c>
      <c r="O1040" s="1137">
        <f t="shared" si="82"/>
        <v>1.4918096865590017E-3</v>
      </c>
      <c r="P1040" s="1138"/>
    </row>
    <row r="1041" spans="6:16" x14ac:dyDescent="0.2">
      <c r="F1041" s="1137">
        <f t="shared" si="81"/>
        <v>-1.1026597503325615E-2</v>
      </c>
      <c r="G1041" s="1138"/>
      <c r="H1041" s="520">
        <v>8000.96</v>
      </c>
      <c r="I1041" s="512">
        <v>42660</v>
      </c>
      <c r="J1041" s="254">
        <f t="shared" si="78"/>
        <v>-1.0995177943883161E-2</v>
      </c>
      <c r="L1041" s="251">
        <f t="shared" si="79"/>
        <v>42660</v>
      </c>
      <c r="M1041" s="513">
        <v>65.650000000000006</v>
      </c>
      <c r="N1041" s="254">
        <f t="shared" si="80"/>
        <v>-3.597650513950057E-2</v>
      </c>
      <c r="O1041" s="1137">
        <f t="shared" si="82"/>
        <v>-3.6007924698943025E-2</v>
      </c>
      <c r="P1041" s="1138"/>
    </row>
    <row r="1042" spans="6:16" x14ac:dyDescent="0.2">
      <c r="F1042" s="1137">
        <f t="shared" si="81"/>
        <v>1.1216178857043695E-2</v>
      </c>
      <c r="G1042" s="1138"/>
      <c r="H1042" s="520">
        <v>8089.91</v>
      </c>
      <c r="I1042" s="512">
        <v>42657</v>
      </c>
      <c r="J1042" s="254">
        <f t="shared" si="78"/>
        <v>1.1247598416486149E-2</v>
      </c>
      <c r="L1042" s="251">
        <f t="shared" si="79"/>
        <v>42657</v>
      </c>
      <c r="M1042" s="513">
        <v>68.099999999999994</v>
      </c>
      <c r="N1042" s="254">
        <f t="shared" si="80"/>
        <v>-7.3367571533400344E-4</v>
      </c>
      <c r="O1042" s="1137">
        <f t="shared" si="82"/>
        <v>-7.6509527477645791E-4</v>
      </c>
      <c r="P1042" s="1138"/>
    </row>
    <row r="1043" spans="6:16" x14ac:dyDescent="0.2">
      <c r="F1043" s="1137">
        <f t="shared" si="81"/>
        <v>-8.5372743835994535E-3</v>
      </c>
      <c r="G1043" s="1138"/>
      <c r="H1043" s="520">
        <v>7999.93</v>
      </c>
      <c r="I1043" s="512">
        <v>42656</v>
      </c>
      <c r="J1043" s="254">
        <f t="shared" si="78"/>
        <v>-8.5058548241569998E-3</v>
      </c>
      <c r="L1043" s="251">
        <f t="shared" si="79"/>
        <v>42656</v>
      </c>
      <c r="M1043" s="513">
        <v>68.150000000000006</v>
      </c>
      <c r="N1043" s="254">
        <f t="shared" si="80"/>
        <v>9.6296296296296546E-3</v>
      </c>
      <c r="O1043" s="1137">
        <f t="shared" si="82"/>
        <v>9.5982100701872009E-3</v>
      </c>
      <c r="P1043" s="1138"/>
    </row>
    <row r="1044" spans="6:16" x14ac:dyDescent="0.2">
      <c r="F1044" s="1137">
        <f t="shared" si="81"/>
        <v>-8.2168863301841765E-3</v>
      </c>
      <c r="G1044" s="1138"/>
      <c r="H1044" s="520">
        <v>8068.56</v>
      </c>
      <c r="I1044" s="512">
        <v>42655</v>
      </c>
      <c r="J1044" s="254">
        <f t="shared" si="78"/>
        <v>-8.1854667707417228E-3</v>
      </c>
      <c r="L1044" s="251">
        <f t="shared" si="79"/>
        <v>42655</v>
      </c>
      <c r="M1044" s="513">
        <v>67.5</v>
      </c>
      <c r="N1044" s="254">
        <f t="shared" si="80"/>
        <v>3.7174721189590088E-3</v>
      </c>
      <c r="O1044" s="1137">
        <f t="shared" si="82"/>
        <v>3.6860525595165542E-3</v>
      </c>
      <c r="P1044" s="1138"/>
    </row>
    <row r="1045" spans="6:16" x14ac:dyDescent="0.2">
      <c r="F1045" s="1137">
        <f t="shared" si="81"/>
        <v>-4.5675186855062408E-3</v>
      </c>
      <c r="G1045" s="1138"/>
      <c r="H1045" s="520">
        <v>8135.15</v>
      </c>
      <c r="I1045" s="512">
        <v>42654</v>
      </c>
      <c r="J1045" s="254">
        <f t="shared" si="78"/>
        <v>-4.5360991260637862E-3</v>
      </c>
      <c r="L1045" s="251">
        <f t="shared" si="79"/>
        <v>42654</v>
      </c>
      <c r="M1045" s="513">
        <v>67.25</v>
      </c>
      <c r="N1045" s="254">
        <f t="shared" si="80"/>
        <v>-4.4411547002219942E-3</v>
      </c>
      <c r="O1045" s="1137">
        <f t="shared" si="82"/>
        <v>-4.4725742596644488E-3</v>
      </c>
      <c r="P1045" s="1138"/>
    </row>
    <row r="1046" spans="6:16" x14ac:dyDescent="0.2">
      <c r="F1046" s="1137">
        <f t="shared" si="81"/>
        <v>5.8310301149410862E-3</v>
      </c>
      <c r="G1046" s="1138"/>
      <c r="H1046" s="520">
        <v>8172.22</v>
      </c>
      <c r="I1046" s="512">
        <v>42653</v>
      </c>
      <c r="J1046" s="254">
        <f t="shared" si="78"/>
        <v>5.8624496743835408E-3</v>
      </c>
      <c r="L1046" s="251">
        <f t="shared" si="79"/>
        <v>42653</v>
      </c>
      <c r="M1046" s="513">
        <v>67.55</v>
      </c>
      <c r="N1046" s="254">
        <f t="shared" si="80"/>
        <v>2.3484848484848442E-2</v>
      </c>
      <c r="O1046" s="1137">
        <f t="shared" si="82"/>
        <v>2.3453428925405986E-2</v>
      </c>
      <c r="P1046" s="1138"/>
    </row>
    <row r="1047" spans="6:16" x14ac:dyDescent="0.2">
      <c r="F1047" s="1137">
        <f t="shared" si="81"/>
        <v>-5.6431124425673626E-3</v>
      </c>
      <c r="G1047" s="1138"/>
      <c r="H1047" s="520">
        <v>8124.59</v>
      </c>
      <c r="I1047" s="512">
        <v>42650</v>
      </c>
      <c r="J1047" s="254">
        <f t="shared" si="78"/>
        <v>-5.611692883124908E-3</v>
      </c>
      <c r="L1047" s="251">
        <f t="shared" si="79"/>
        <v>42650</v>
      </c>
      <c r="M1047" s="513">
        <v>66</v>
      </c>
      <c r="N1047" s="254">
        <f t="shared" si="80"/>
        <v>-9.7524381095274171E-3</v>
      </c>
      <c r="O1047" s="1137">
        <f t="shared" si="82"/>
        <v>-9.7838576689698708E-3</v>
      </c>
      <c r="P1047" s="1138"/>
    </row>
    <row r="1048" spans="6:16" x14ac:dyDescent="0.2">
      <c r="F1048" s="1137">
        <f t="shared" si="81"/>
        <v>-3.0563499152714132E-3</v>
      </c>
      <c r="G1048" s="1138"/>
      <c r="H1048" s="520">
        <v>8170.44</v>
      </c>
      <c r="I1048" s="512">
        <v>42649</v>
      </c>
      <c r="J1048" s="254">
        <f t="shared" si="78"/>
        <v>-3.0249303558289586E-3</v>
      </c>
      <c r="L1048" s="251">
        <f t="shared" si="79"/>
        <v>42649</v>
      </c>
      <c r="M1048" s="513">
        <v>66.650000000000006</v>
      </c>
      <c r="N1048" s="254">
        <f t="shared" si="80"/>
        <v>1.1380880121396153E-2</v>
      </c>
      <c r="O1048" s="1137">
        <f t="shared" si="82"/>
        <v>1.1349460561953699E-2</v>
      </c>
      <c r="P1048" s="1138"/>
    </row>
    <row r="1049" spans="6:16" x14ac:dyDescent="0.2">
      <c r="F1049" s="1137">
        <f t="shared" si="81"/>
        <v>-4.3445242293806271E-3</v>
      </c>
      <c r="G1049" s="1138"/>
      <c r="H1049" s="520">
        <v>8195.23</v>
      </c>
      <c r="I1049" s="512">
        <v>42648</v>
      </c>
      <c r="J1049" s="254">
        <f t="shared" si="78"/>
        <v>-4.3131046699381725E-3</v>
      </c>
      <c r="L1049" s="251">
        <f t="shared" si="79"/>
        <v>42648</v>
      </c>
      <c r="M1049" s="513">
        <v>65.900000000000006</v>
      </c>
      <c r="N1049" s="254">
        <f t="shared" si="80"/>
        <v>2.2813688212928174E-3</v>
      </c>
      <c r="O1049" s="1137">
        <f t="shared" si="82"/>
        <v>2.2499492618503628E-3</v>
      </c>
      <c r="P1049" s="1138"/>
    </row>
    <row r="1050" spans="6:16" x14ac:dyDescent="0.2">
      <c r="F1050" s="1137">
        <f t="shared" si="81"/>
        <v>7.8558540227830643E-3</v>
      </c>
      <c r="G1050" s="1138"/>
      <c r="H1050" s="520">
        <v>8230.73</v>
      </c>
      <c r="I1050" s="512">
        <v>42647</v>
      </c>
      <c r="J1050" s="254">
        <f t="shared" si="78"/>
        <v>7.887273582225518E-3</v>
      </c>
      <c r="L1050" s="251">
        <f t="shared" si="79"/>
        <v>42647</v>
      </c>
      <c r="M1050" s="513">
        <v>65.75</v>
      </c>
      <c r="N1050" s="254">
        <f t="shared" si="80"/>
        <v>-2.5925925925925908E-2</v>
      </c>
      <c r="O1050" s="1137">
        <f t="shared" si="82"/>
        <v>-2.5957345485368363E-2</v>
      </c>
      <c r="P1050" s="1138"/>
    </row>
    <row r="1051" spans="6:16" x14ac:dyDescent="0.2">
      <c r="F1051" s="1137">
        <f t="shared" si="81"/>
        <v>3.3240253902504105E-3</v>
      </c>
      <c r="G1051" s="1138"/>
      <c r="H1051" s="520">
        <v>8166.32</v>
      </c>
      <c r="I1051" s="512">
        <v>42646</v>
      </c>
      <c r="J1051" s="254">
        <f t="shared" si="78"/>
        <v>3.3554449496928651E-3</v>
      </c>
      <c r="L1051" s="251">
        <f t="shared" si="79"/>
        <v>42646</v>
      </c>
      <c r="M1051" s="513">
        <v>67.5</v>
      </c>
      <c r="N1051" s="254">
        <f t="shared" si="80"/>
        <v>0.10294117647058809</v>
      </c>
      <c r="O1051" s="1137">
        <f t="shared" si="82"/>
        <v>0.10290975691114564</v>
      </c>
      <c r="P1051" s="1138"/>
    </row>
    <row r="1052" spans="6:16" x14ac:dyDescent="0.2">
      <c r="F1052" s="1137">
        <f t="shared" si="81"/>
        <v>-3.1168412786555652E-3</v>
      </c>
      <c r="G1052" s="1138"/>
      <c r="H1052" s="520">
        <v>8139.01</v>
      </c>
      <c r="I1052" s="512">
        <v>42643</v>
      </c>
      <c r="J1052" s="254">
        <f t="shared" si="78"/>
        <v>-3.0854217192131106E-3</v>
      </c>
      <c r="L1052" s="251">
        <f t="shared" si="79"/>
        <v>42643</v>
      </c>
      <c r="M1052" s="513">
        <v>61.2</v>
      </c>
      <c r="N1052" s="254">
        <f t="shared" si="80"/>
        <v>-1.6313213703098572E-3</v>
      </c>
      <c r="O1052" s="1137">
        <f t="shared" si="82"/>
        <v>-1.6627409297523118E-3</v>
      </c>
      <c r="P1052" s="1138"/>
    </row>
    <row r="1053" spans="6:16" x14ac:dyDescent="0.2">
      <c r="F1053" s="1137">
        <f t="shared" si="81"/>
        <v>-6.8281986622968213E-3</v>
      </c>
      <c r="G1053" s="1138"/>
      <c r="H1053" s="520">
        <v>8164.2</v>
      </c>
      <c r="I1053" s="512">
        <v>42642</v>
      </c>
      <c r="J1053" s="254">
        <f t="shared" ref="J1053:J1116" si="83">H1053/H1054-1</f>
        <v>-6.7967791028543667E-3</v>
      </c>
      <c r="L1053" s="251">
        <f t="shared" ref="L1053:L1116" si="84">I1053</f>
        <v>42642</v>
      </c>
      <c r="M1053" s="513">
        <v>61.3</v>
      </c>
      <c r="N1053" s="254">
        <f t="shared" ref="N1053:N1116" si="85">M1053/M1054-1</f>
        <v>-8.8924818108326864E-3</v>
      </c>
      <c r="O1053" s="1137">
        <f t="shared" si="82"/>
        <v>-8.9239013702751401E-3</v>
      </c>
      <c r="P1053" s="1138"/>
    </row>
    <row r="1054" spans="6:16" x14ac:dyDescent="0.2">
      <c r="F1054" s="1137">
        <f t="shared" ref="F1054:F1117" si="86">J1054-$I$19</f>
        <v>5.4300735503915601E-3</v>
      </c>
      <c r="G1054" s="1138"/>
      <c r="H1054" s="520">
        <v>8220.07</v>
      </c>
      <c r="I1054" s="512">
        <v>42641</v>
      </c>
      <c r="J1054" s="254">
        <f t="shared" si="83"/>
        <v>5.4614931098340147E-3</v>
      </c>
      <c r="L1054" s="251">
        <f t="shared" si="84"/>
        <v>42641</v>
      </c>
      <c r="M1054" s="513">
        <v>61.85</v>
      </c>
      <c r="N1054" s="254">
        <f t="shared" si="85"/>
        <v>-8.0775444264935548E-4</v>
      </c>
      <c r="O1054" s="1137">
        <f t="shared" ref="O1054:O1117" si="87">N1054-$I$19</f>
        <v>-8.3917400209180995E-4</v>
      </c>
      <c r="P1054" s="1138"/>
    </row>
    <row r="1055" spans="6:16" x14ac:dyDescent="0.2">
      <c r="F1055" s="1137">
        <f t="shared" si="86"/>
        <v>1.2386277764586265E-3</v>
      </c>
      <c r="G1055" s="1138"/>
      <c r="H1055" s="520">
        <v>8175.42</v>
      </c>
      <c r="I1055" s="512">
        <v>42640</v>
      </c>
      <c r="J1055" s="254">
        <f t="shared" si="83"/>
        <v>1.2700473359010811E-3</v>
      </c>
      <c r="L1055" s="251">
        <f t="shared" si="84"/>
        <v>42640</v>
      </c>
      <c r="M1055" s="513">
        <v>61.9</v>
      </c>
      <c r="N1055" s="254">
        <f t="shared" si="85"/>
        <v>0</v>
      </c>
      <c r="O1055" s="1137">
        <f t="shared" si="87"/>
        <v>-3.1419559442454485E-5</v>
      </c>
      <c r="P1055" s="1138"/>
    </row>
    <row r="1056" spans="6:16" x14ac:dyDescent="0.2">
      <c r="F1056" s="1137">
        <f t="shared" si="86"/>
        <v>-1.3066767545454478E-2</v>
      </c>
      <c r="G1056" s="1138"/>
      <c r="H1056" s="520">
        <v>8165.05</v>
      </c>
      <c r="I1056" s="512">
        <v>42639</v>
      </c>
      <c r="J1056" s="254">
        <f t="shared" si="83"/>
        <v>-1.3035347986012025E-2</v>
      </c>
      <c r="L1056" s="251">
        <f t="shared" si="84"/>
        <v>42639</v>
      </c>
      <c r="M1056" s="513">
        <v>61.9</v>
      </c>
      <c r="N1056" s="254">
        <f t="shared" si="85"/>
        <v>2.4291497975708065E-3</v>
      </c>
      <c r="O1056" s="1137">
        <f t="shared" si="87"/>
        <v>2.3977302381283519E-3</v>
      </c>
      <c r="P1056" s="1138"/>
    </row>
    <row r="1057" spans="6:16" x14ac:dyDescent="0.2">
      <c r="F1057" s="1137">
        <f t="shared" si="86"/>
        <v>-4.2131175888442804E-3</v>
      </c>
      <c r="G1057" s="1138"/>
      <c r="H1057" s="520">
        <v>8272.89</v>
      </c>
      <c r="I1057" s="512">
        <v>42636</v>
      </c>
      <c r="J1057" s="254">
        <f t="shared" si="83"/>
        <v>-4.1816980294018258E-3</v>
      </c>
      <c r="L1057" s="251">
        <f t="shared" si="84"/>
        <v>42636</v>
      </c>
      <c r="M1057" s="513">
        <v>61.75</v>
      </c>
      <c r="N1057" s="254">
        <f t="shared" si="85"/>
        <v>-7.2347266881029881E-3</v>
      </c>
      <c r="O1057" s="1137">
        <f t="shared" si="87"/>
        <v>-7.2661462475454427E-3</v>
      </c>
      <c r="P1057" s="1138"/>
    </row>
    <row r="1058" spans="6:16" x14ac:dyDescent="0.2">
      <c r="F1058" s="1137">
        <f t="shared" si="86"/>
        <v>9.8342944102189512E-3</v>
      </c>
      <c r="G1058" s="1138"/>
      <c r="H1058" s="520">
        <v>8307.6299999999992</v>
      </c>
      <c r="I1058" s="512">
        <v>42635</v>
      </c>
      <c r="J1058" s="254">
        <f t="shared" si="83"/>
        <v>9.8657139696614049E-3</v>
      </c>
      <c r="L1058" s="251">
        <f t="shared" si="84"/>
        <v>42635</v>
      </c>
      <c r="M1058" s="513">
        <v>62.2</v>
      </c>
      <c r="N1058" s="254">
        <f t="shared" si="85"/>
        <v>8.1037277147488762E-3</v>
      </c>
      <c r="O1058" s="1137">
        <f t="shared" si="87"/>
        <v>8.0723081553064225E-3</v>
      </c>
      <c r="P1058" s="1138"/>
    </row>
    <row r="1059" spans="6:16" x14ac:dyDescent="0.2">
      <c r="F1059" s="1137">
        <f t="shared" si="86"/>
        <v>-1.3752673586642635E-3</v>
      </c>
      <c r="G1059" s="1138"/>
      <c r="H1059" s="520">
        <v>8226.4699999999993</v>
      </c>
      <c r="I1059" s="512">
        <v>42634</v>
      </c>
      <c r="J1059" s="254">
        <f t="shared" si="83"/>
        <v>-1.343847799221809E-3</v>
      </c>
      <c r="L1059" s="251">
        <f t="shared" si="84"/>
        <v>42634</v>
      </c>
      <c r="M1059" s="513">
        <v>61.7</v>
      </c>
      <c r="N1059" s="254">
        <f t="shared" si="85"/>
        <v>8.9942763695831651E-3</v>
      </c>
      <c r="O1059" s="1137">
        <f t="shared" si="87"/>
        <v>8.9628568101407114E-3</v>
      </c>
      <c r="P1059" s="1138"/>
    </row>
    <row r="1060" spans="6:16" x14ac:dyDescent="0.2">
      <c r="F1060" s="1137">
        <f t="shared" si="86"/>
        <v>5.072470158471191E-3</v>
      </c>
      <c r="G1060" s="1138"/>
      <c r="H1060" s="520">
        <v>8237.5400000000009</v>
      </c>
      <c r="I1060" s="512">
        <v>42633</v>
      </c>
      <c r="J1060" s="254">
        <f t="shared" si="83"/>
        <v>5.1038897179136455E-3</v>
      </c>
      <c r="L1060" s="251">
        <f t="shared" si="84"/>
        <v>42633</v>
      </c>
      <c r="M1060" s="513">
        <v>61.15</v>
      </c>
      <c r="N1060" s="254">
        <f t="shared" si="85"/>
        <v>2.4590163934425924E-3</v>
      </c>
      <c r="O1060" s="1137">
        <f t="shared" si="87"/>
        <v>2.4275968340001378E-3</v>
      </c>
      <c r="P1060" s="1138"/>
    </row>
    <row r="1061" spans="6:16" x14ac:dyDescent="0.2">
      <c r="F1061" s="1137">
        <f t="shared" si="86"/>
        <v>7.9964362515591737E-3</v>
      </c>
      <c r="G1061" s="1138"/>
      <c r="H1061" s="520">
        <v>8195.7099999999991</v>
      </c>
      <c r="I1061" s="512">
        <v>42632</v>
      </c>
      <c r="J1061" s="254">
        <f t="shared" si="83"/>
        <v>8.0278558110016274E-3</v>
      </c>
      <c r="L1061" s="251">
        <f t="shared" si="84"/>
        <v>42632</v>
      </c>
      <c r="M1061" s="513">
        <v>61</v>
      </c>
      <c r="N1061" s="254">
        <f t="shared" si="85"/>
        <v>7.4318744838977047E-3</v>
      </c>
      <c r="O1061" s="1137">
        <f t="shared" si="87"/>
        <v>7.4004549244552501E-3</v>
      </c>
      <c r="P1061" s="1138"/>
    </row>
    <row r="1062" spans="6:16" x14ac:dyDescent="0.2">
      <c r="F1062" s="1137">
        <f t="shared" si="86"/>
        <v>-6.677853698655963E-3</v>
      </c>
      <c r="G1062" s="1138"/>
      <c r="H1062" s="520">
        <v>8130.44</v>
      </c>
      <c r="I1062" s="512">
        <v>42629</v>
      </c>
      <c r="J1062" s="254">
        <f t="shared" si="83"/>
        <v>-6.6464341392135085E-3</v>
      </c>
      <c r="L1062" s="251">
        <f t="shared" si="84"/>
        <v>42629</v>
      </c>
      <c r="M1062" s="513">
        <v>60.55</v>
      </c>
      <c r="N1062" s="254">
        <f t="shared" si="85"/>
        <v>-3.2921810699588772E-3</v>
      </c>
      <c r="O1062" s="1137">
        <f t="shared" si="87"/>
        <v>-3.3236006294013317E-3</v>
      </c>
      <c r="P1062" s="1138"/>
    </row>
    <row r="1063" spans="6:16" x14ac:dyDescent="0.2">
      <c r="F1063" s="1137">
        <f t="shared" si="86"/>
        <v>2.6870603459805001E-3</v>
      </c>
      <c r="G1063" s="1138"/>
      <c r="H1063" s="520">
        <v>8184.84</v>
      </c>
      <c r="I1063" s="512">
        <v>42628</v>
      </c>
      <c r="J1063" s="254">
        <f t="shared" si="83"/>
        <v>2.7184799054229547E-3</v>
      </c>
      <c r="L1063" s="251">
        <f t="shared" si="84"/>
        <v>42628</v>
      </c>
      <c r="M1063" s="513">
        <v>60.75</v>
      </c>
      <c r="N1063" s="254">
        <f t="shared" si="85"/>
        <v>1.4190317195325486E-2</v>
      </c>
      <c r="O1063" s="1137">
        <f t="shared" si="87"/>
        <v>1.4158897635883032E-2</v>
      </c>
      <c r="P1063" s="1138"/>
    </row>
    <row r="1064" spans="6:16" x14ac:dyDescent="0.2">
      <c r="F1064" s="1137">
        <f t="shared" si="86"/>
        <v>-1.5091442060057155E-3</v>
      </c>
      <c r="G1064" s="1138"/>
      <c r="H1064" s="520">
        <v>8162.65</v>
      </c>
      <c r="I1064" s="512">
        <v>42627</v>
      </c>
      <c r="J1064" s="254">
        <f t="shared" si="83"/>
        <v>-1.477724646563261E-3</v>
      </c>
      <c r="L1064" s="251">
        <f t="shared" si="84"/>
        <v>42627</v>
      </c>
      <c r="M1064" s="513">
        <v>59.9</v>
      </c>
      <c r="N1064" s="254">
        <f t="shared" si="85"/>
        <v>0</v>
      </c>
      <c r="O1064" s="1137">
        <f t="shared" si="87"/>
        <v>-3.1419559442454485E-5</v>
      </c>
      <c r="P1064" s="1138"/>
    </row>
    <row r="1065" spans="6:16" x14ac:dyDescent="0.2">
      <c r="F1065" s="1137">
        <f t="shared" si="86"/>
        <v>-3.8663248749358078E-3</v>
      </c>
      <c r="G1065" s="1138"/>
      <c r="H1065" s="520">
        <v>8174.73</v>
      </c>
      <c r="I1065" s="512">
        <v>42626</v>
      </c>
      <c r="J1065" s="254">
        <f t="shared" si="83"/>
        <v>-3.8349053154933532E-3</v>
      </c>
      <c r="L1065" s="251">
        <f t="shared" si="84"/>
        <v>42626</v>
      </c>
      <c r="M1065" s="513">
        <v>59.9</v>
      </c>
      <c r="N1065" s="254">
        <f t="shared" si="85"/>
        <v>8.4175084175084347E-3</v>
      </c>
      <c r="O1065" s="1137">
        <f t="shared" si="87"/>
        <v>8.386088858065981E-3</v>
      </c>
      <c r="P1065" s="1138"/>
    </row>
    <row r="1066" spans="6:16" x14ac:dyDescent="0.2">
      <c r="F1066" s="1137">
        <f t="shared" si="86"/>
        <v>-7.041231844582981E-3</v>
      </c>
      <c r="G1066" s="1138"/>
      <c r="H1066" s="520">
        <v>8206.2000000000007</v>
      </c>
      <c r="I1066" s="512">
        <v>42625</v>
      </c>
      <c r="J1066" s="254">
        <f t="shared" si="83"/>
        <v>-7.0098122851405265E-3</v>
      </c>
      <c r="L1066" s="251">
        <f t="shared" si="84"/>
        <v>42625</v>
      </c>
      <c r="M1066" s="513">
        <v>59.4</v>
      </c>
      <c r="N1066" s="254">
        <f t="shared" si="85"/>
        <v>-4.19111483654655E-3</v>
      </c>
      <c r="O1066" s="1137">
        <f t="shared" si="87"/>
        <v>-4.2225343959890046E-3</v>
      </c>
      <c r="P1066" s="1138"/>
    </row>
    <row r="1067" spans="6:16" x14ac:dyDescent="0.2">
      <c r="F1067" s="1137">
        <f t="shared" si="86"/>
        <v>-6.1731840389499934E-3</v>
      </c>
      <c r="G1067" s="1138"/>
      <c r="H1067" s="520">
        <v>8264.1299999999992</v>
      </c>
      <c r="I1067" s="512">
        <v>42622</v>
      </c>
      <c r="J1067" s="254">
        <f t="shared" si="83"/>
        <v>-6.1417644795075388E-3</v>
      </c>
      <c r="L1067" s="251">
        <f t="shared" si="84"/>
        <v>42622</v>
      </c>
      <c r="M1067" s="513">
        <v>59.65</v>
      </c>
      <c r="N1067" s="254">
        <f t="shared" si="85"/>
        <v>-1.4049586776859524E-2</v>
      </c>
      <c r="O1067" s="1137">
        <f t="shared" si="87"/>
        <v>-1.4081006336301978E-2</v>
      </c>
      <c r="P1067" s="1138"/>
    </row>
    <row r="1068" spans="6:16" x14ac:dyDescent="0.2">
      <c r="F1068" s="1137">
        <f t="shared" si="86"/>
        <v>-7.2725022382240281E-4</v>
      </c>
      <c r="G1068" s="1138"/>
      <c r="H1068" s="520">
        <v>8315.2000000000007</v>
      </c>
      <c r="I1068" s="512">
        <v>42621</v>
      </c>
      <c r="J1068" s="254">
        <f t="shared" si="83"/>
        <v>-6.9583066437994834E-4</v>
      </c>
      <c r="L1068" s="251">
        <f t="shared" si="84"/>
        <v>42621</v>
      </c>
      <c r="M1068" s="513">
        <v>60.5</v>
      </c>
      <c r="N1068" s="254">
        <f t="shared" si="85"/>
        <v>-9.009009009008917E-3</v>
      </c>
      <c r="O1068" s="1137">
        <f t="shared" si="87"/>
        <v>-9.0404285684513707E-3</v>
      </c>
      <c r="P1068" s="1138"/>
    </row>
    <row r="1069" spans="6:16" x14ac:dyDescent="0.2">
      <c r="F1069" s="1137">
        <f t="shared" si="86"/>
        <v>1.973556152053039E-3</v>
      </c>
      <c r="G1069" s="1138"/>
      <c r="H1069" s="520">
        <v>8320.99</v>
      </c>
      <c r="I1069" s="512">
        <v>42620</v>
      </c>
      <c r="J1069" s="254">
        <f t="shared" si="83"/>
        <v>2.0049757114954936E-3</v>
      </c>
      <c r="L1069" s="251">
        <f t="shared" si="84"/>
        <v>42620</v>
      </c>
      <c r="M1069" s="513">
        <v>61.05</v>
      </c>
      <c r="N1069" s="254">
        <f t="shared" si="85"/>
        <v>0</v>
      </c>
      <c r="O1069" s="1137">
        <f t="shared" si="87"/>
        <v>-3.1419559442454485E-5</v>
      </c>
      <c r="P1069" s="1138"/>
    </row>
    <row r="1070" spans="6:16" x14ac:dyDescent="0.2">
      <c r="F1070" s="1137">
        <f t="shared" si="86"/>
        <v>-7.5701902131967882E-4</v>
      </c>
      <c r="G1070" s="1138"/>
      <c r="H1070" s="520">
        <v>8304.34</v>
      </c>
      <c r="I1070" s="512">
        <v>42619</v>
      </c>
      <c r="J1070" s="254">
        <f t="shared" si="83"/>
        <v>-7.2559946187722435E-4</v>
      </c>
      <c r="L1070" s="251">
        <f t="shared" si="84"/>
        <v>42619</v>
      </c>
      <c r="M1070" s="513">
        <v>61.05</v>
      </c>
      <c r="N1070" s="254">
        <f t="shared" si="85"/>
        <v>-1.5322580645161343E-2</v>
      </c>
      <c r="O1070" s="1137">
        <f t="shared" si="87"/>
        <v>-1.5354000204603797E-2</v>
      </c>
      <c r="P1070" s="1138"/>
    </row>
    <row r="1071" spans="6:16" x14ac:dyDescent="0.2">
      <c r="F1071" s="1137">
        <f t="shared" si="86"/>
        <v>1.9060555740832577E-3</v>
      </c>
      <c r="G1071" s="1138"/>
      <c r="H1071" s="520">
        <v>8310.3700000000008</v>
      </c>
      <c r="I1071" s="512">
        <v>42618</v>
      </c>
      <c r="J1071" s="254">
        <f t="shared" si="83"/>
        <v>1.9374751335257123E-3</v>
      </c>
      <c r="L1071" s="251">
        <f t="shared" si="84"/>
        <v>42618</v>
      </c>
      <c r="M1071" s="513">
        <v>62</v>
      </c>
      <c r="N1071" s="254">
        <f t="shared" si="85"/>
        <v>7.638888888888884E-2</v>
      </c>
      <c r="O1071" s="1137">
        <f t="shared" si="87"/>
        <v>7.6357469329446384E-2</v>
      </c>
      <c r="P1071" s="1138"/>
    </row>
    <row r="1072" spans="6:16" x14ac:dyDescent="0.2">
      <c r="F1072" s="1137">
        <f t="shared" si="86"/>
        <v>1.8593989398831348E-2</v>
      </c>
      <c r="G1072" s="1138"/>
      <c r="H1072" s="520">
        <v>8294.2999999999993</v>
      </c>
      <c r="I1072" s="512">
        <v>42615</v>
      </c>
      <c r="J1072" s="254">
        <f t="shared" si="83"/>
        <v>1.8625408958273804E-2</v>
      </c>
      <c r="L1072" s="251">
        <f t="shared" si="84"/>
        <v>42615</v>
      </c>
      <c r="M1072" s="513">
        <v>57.6</v>
      </c>
      <c r="N1072" s="254">
        <f t="shared" si="85"/>
        <v>8.6880973066905121E-4</v>
      </c>
      <c r="O1072" s="1137">
        <f t="shared" si="87"/>
        <v>8.3739017122659673E-4</v>
      </c>
      <c r="P1072" s="1138"/>
    </row>
    <row r="1073" spans="6:16" x14ac:dyDescent="0.2">
      <c r="F1073" s="1137">
        <f t="shared" si="86"/>
        <v>-7.2844135987955435E-3</v>
      </c>
      <c r="G1073" s="1138"/>
      <c r="H1073" s="520">
        <v>8142.64</v>
      </c>
      <c r="I1073" s="512">
        <v>42614</v>
      </c>
      <c r="J1073" s="254">
        <f t="shared" si="83"/>
        <v>-7.252994039353089E-3</v>
      </c>
      <c r="L1073" s="251">
        <f t="shared" si="84"/>
        <v>42614</v>
      </c>
      <c r="M1073" s="513">
        <v>57.55</v>
      </c>
      <c r="N1073" s="254">
        <f t="shared" si="85"/>
        <v>6.9991251093612927E-3</v>
      </c>
      <c r="O1073" s="1137">
        <f t="shared" si="87"/>
        <v>6.9677055499188381E-3</v>
      </c>
      <c r="P1073" s="1138"/>
    </row>
    <row r="1074" spans="6:16" x14ac:dyDescent="0.2">
      <c r="F1074" s="1137">
        <f t="shared" si="86"/>
        <v>-4.1450619663847962E-3</v>
      </c>
      <c r="G1074" s="1138"/>
      <c r="H1074" s="520">
        <v>8202.1299999999992</v>
      </c>
      <c r="I1074" s="512">
        <v>42613</v>
      </c>
      <c r="J1074" s="254">
        <f t="shared" si="83"/>
        <v>-4.1136424069423416E-3</v>
      </c>
      <c r="L1074" s="251">
        <f t="shared" si="84"/>
        <v>42613</v>
      </c>
      <c r="M1074" s="513">
        <v>57.15</v>
      </c>
      <c r="N1074" s="254">
        <f t="shared" si="85"/>
        <v>-2.9711375212224111E-2</v>
      </c>
      <c r="O1074" s="1137">
        <f t="shared" si="87"/>
        <v>-2.9742794771666567E-2</v>
      </c>
      <c r="P1074" s="1138"/>
    </row>
    <row r="1075" spans="6:16" x14ac:dyDescent="0.2">
      <c r="F1075" s="1137">
        <f t="shared" si="86"/>
        <v>6.3125966964882744E-3</v>
      </c>
      <c r="G1075" s="1138"/>
      <c r="H1075" s="520">
        <v>8236.01</v>
      </c>
      <c r="I1075" s="512">
        <v>42612</v>
      </c>
      <c r="J1075" s="254">
        <f t="shared" si="83"/>
        <v>6.3440162559307289E-3</v>
      </c>
      <c r="L1075" s="251">
        <f t="shared" si="84"/>
        <v>42612</v>
      </c>
      <c r="M1075" s="513">
        <v>58.9</v>
      </c>
      <c r="N1075" s="254">
        <f t="shared" si="85"/>
        <v>1.9031141868512069E-2</v>
      </c>
      <c r="O1075" s="1137">
        <f t="shared" si="87"/>
        <v>1.8999722309069614E-2</v>
      </c>
      <c r="P1075" s="1138"/>
    </row>
    <row r="1076" spans="6:16" x14ac:dyDescent="0.2">
      <c r="F1076" s="1137">
        <f t="shared" si="86"/>
        <v>1.8992099947376532E-3</v>
      </c>
      <c r="G1076" s="1138"/>
      <c r="H1076" s="520">
        <v>8184.09</v>
      </c>
      <c r="I1076" s="512">
        <v>42611</v>
      </c>
      <c r="J1076" s="254">
        <f t="shared" si="83"/>
        <v>1.9306295541801077E-3</v>
      </c>
      <c r="L1076" s="251">
        <f t="shared" si="84"/>
        <v>42611</v>
      </c>
      <c r="M1076" s="513">
        <v>57.8</v>
      </c>
      <c r="N1076" s="254">
        <f t="shared" si="85"/>
        <v>-6.8728522336770626E-3</v>
      </c>
      <c r="O1076" s="1137">
        <f t="shared" si="87"/>
        <v>-6.9042717931195171E-3</v>
      </c>
      <c r="P1076" s="1138"/>
    </row>
    <row r="1077" spans="6:16" x14ac:dyDescent="0.2">
      <c r="F1077" s="1137">
        <f t="shared" si="86"/>
        <v>3.2899254870366193E-3</v>
      </c>
      <c r="G1077" s="1138"/>
      <c r="H1077" s="520">
        <v>8168.32</v>
      </c>
      <c r="I1077" s="512">
        <v>42608</v>
      </c>
      <c r="J1077" s="254">
        <f t="shared" si="83"/>
        <v>3.3213450464790739E-3</v>
      </c>
      <c r="L1077" s="251">
        <f t="shared" si="84"/>
        <v>42608</v>
      </c>
      <c r="M1077" s="513">
        <v>58.2</v>
      </c>
      <c r="N1077" s="254">
        <f t="shared" si="85"/>
        <v>2.1052631578947434E-2</v>
      </c>
      <c r="O1077" s="1137">
        <f t="shared" si="87"/>
        <v>2.1021212019504978E-2</v>
      </c>
      <c r="P1077" s="1138"/>
    </row>
    <row r="1078" spans="6:16" x14ac:dyDescent="0.2">
      <c r="F1078" s="1137">
        <f t="shared" si="86"/>
        <v>-7.171811494397203E-3</v>
      </c>
      <c r="G1078" s="1138"/>
      <c r="H1078" s="520">
        <v>8141.28</v>
      </c>
      <c r="I1078" s="512">
        <v>42607</v>
      </c>
      <c r="J1078" s="254">
        <f t="shared" si="83"/>
        <v>-7.1403919349547484E-3</v>
      </c>
      <c r="L1078" s="251">
        <f t="shared" si="84"/>
        <v>42607</v>
      </c>
      <c r="M1078" s="513">
        <v>57</v>
      </c>
      <c r="N1078" s="254">
        <f t="shared" si="85"/>
        <v>-6.9686411149825211E-3</v>
      </c>
      <c r="O1078" s="1137">
        <f t="shared" si="87"/>
        <v>-7.0000606744249757E-3</v>
      </c>
      <c r="P1078" s="1138"/>
    </row>
    <row r="1079" spans="6:16" x14ac:dyDescent="0.2">
      <c r="F1079" s="1137">
        <f t="shared" si="86"/>
        <v>-2.4845011807676689E-4</v>
      </c>
      <c r="G1079" s="1138"/>
      <c r="H1079" s="520">
        <v>8199.83</v>
      </c>
      <c r="I1079" s="512">
        <v>42606</v>
      </c>
      <c r="J1079" s="254">
        <f t="shared" si="83"/>
        <v>-2.1703055863431242E-4</v>
      </c>
      <c r="L1079" s="251">
        <f t="shared" si="84"/>
        <v>42606</v>
      </c>
      <c r="M1079" s="513">
        <v>57.4</v>
      </c>
      <c r="N1079" s="254">
        <f t="shared" si="85"/>
        <v>-1.1197243755383224E-2</v>
      </c>
      <c r="O1079" s="1137">
        <f t="shared" si="87"/>
        <v>-1.1228663314825678E-2</v>
      </c>
      <c r="P1079" s="1138"/>
    </row>
    <row r="1080" spans="6:16" x14ac:dyDescent="0.2">
      <c r="F1080" s="1137">
        <f t="shared" si="86"/>
        <v>5.3327388891683683E-3</v>
      </c>
      <c r="G1080" s="1138"/>
      <c r="H1080" s="520">
        <v>8201.61</v>
      </c>
      <c r="I1080" s="512">
        <v>42605</v>
      </c>
      <c r="J1080" s="254">
        <f t="shared" si="83"/>
        <v>5.3641584486108229E-3</v>
      </c>
      <c r="L1080" s="251">
        <f t="shared" si="84"/>
        <v>42605</v>
      </c>
      <c r="M1080" s="513">
        <v>58.05</v>
      </c>
      <c r="N1080" s="254">
        <f t="shared" si="85"/>
        <v>8.6206896551721535E-4</v>
      </c>
      <c r="O1080" s="1137">
        <f t="shared" si="87"/>
        <v>8.3064940607476088E-4</v>
      </c>
      <c r="P1080" s="1138"/>
    </row>
    <row r="1081" spans="6:16" x14ac:dyDescent="0.2">
      <c r="F1081" s="1137">
        <f t="shared" si="86"/>
        <v>3.7299864706192435E-3</v>
      </c>
      <c r="G1081" s="1138"/>
      <c r="H1081" s="520">
        <v>8157.85</v>
      </c>
      <c r="I1081" s="512">
        <v>42604</v>
      </c>
      <c r="J1081" s="254">
        <f t="shared" si="83"/>
        <v>3.761406030061698E-3</v>
      </c>
      <c r="L1081" s="251">
        <f t="shared" si="84"/>
        <v>42604</v>
      </c>
      <c r="M1081" s="513">
        <v>58</v>
      </c>
      <c r="N1081" s="254">
        <f t="shared" si="85"/>
        <v>0</v>
      </c>
      <c r="O1081" s="1137">
        <f t="shared" si="87"/>
        <v>-3.1419559442454485E-5</v>
      </c>
      <c r="P1081" s="1138"/>
    </row>
    <row r="1082" spans="6:16" x14ac:dyDescent="0.2">
      <c r="F1082" s="1137">
        <f t="shared" si="86"/>
        <v>-7.6568235715405572E-3</v>
      </c>
      <c r="G1082" s="1138"/>
      <c r="H1082" s="520">
        <v>8127.28</v>
      </c>
      <c r="I1082" s="512">
        <v>42601</v>
      </c>
      <c r="J1082" s="254">
        <f t="shared" si="83"/>
        <v>-7.6254040120981026E-3</v>
      </c>
      <c r="L1082" s="251">
        <f t="shared" si="84"/>
        <v>42601</v>
      </c>
      <c r="M1082" s="513">
        <v>58</v>
      </c>
      <c r="N1082" s="254">
        <f t="shared" si="85"/>
        <v>-8.5470085470085166E-3</v>
      </c>
      <c r="O1082" s="1137">
        <f t="shared" si="87"/>
        <v>-8.5784281064509704E-3</v>
      </c>
      <c r="P1082" s="1138"/>
    </row>
    <row r="1083" spans="6:16" x14ac:dyDescent="0.2">
      <c r="F1083" s="1137">
        <f t="shared" si="86"/>
        <v>4.3751148171670843E-3</v>
      </c>
      <c r="G1083" s="1138"/>
      <c r="H1083" s="520">
        <v>8189.73</v>
      </c>
      <c r="I1083" s="512">
        <v>42600</v>
      </c>
      <c r="J1083" s="254">
        <f t="shared" si="83"/>
        <v>4.4065343766095388E-3</v>
      </c>
      <c r="L1083" s="251">
        <f t="shared" si="84"/>
        <v>42600</v>
      </c>
      <c r="M1083" s="513">
        <v>58.5</v>
      </c>
      <c r="N1083" s="254">
        <f t="shared" si="85"/>
        <v>7.7519379844961378E-3</v>
      </c>
      <c r="O1083" s="1137">
        <f t="shared" si="87"/>
        <v>7.7205184250536832E-3</v>
      </c>
      <c r="P1083" s="1138"/>
    </row>
    <row r="1084" spans="6:16" x14ac:dyDescent="0.2">
      <c r="F1084" s="1137">
        <f t="shared" si="86"/>
        <v>-7.5355733185184367E-3</v>
      </c>
      <c r="G1084" s="1138"/>
      <c r="H1084" s="520">
        <v>8153.8</v>
      </c>
      <c r="I1084" s="512">
        <v>42599</v>
      </c>
      <c r="J1084" s="254">
        <f t="shared" si="83"/>
        <v>-7.5041537590759821E-3</v>
      </c>
      <c r="L1084" s="251">
        <f t="shared" si="84"/>
        <v>42599</v>
      </c>
      <c r="M1084" s="513">
        <v>58.05</v>
      </c>
      <c r="N1084" s="254">
        <f t="shared" si="85"/>
        <v>-1.2755102040816313E-2</v>
      </c>
      <c r="O1084" s="1137">
        <f t="shared" si="87"/>
        <v>-1.2786521600258767E-2</v>
      </c>
      <c r="P1084" s="1138"/>
    </row>
    <row r="1085" spans="6:16" x14ac:dyDescent="0.2">
      <c r="F1085" s="1137">
        <f t="shared" si="86"/>
        <v>-1.0847430578938484E-2</v>
      </c>
      <c r="G1085" s="1138"/>
      <c r="H1085" s="520">
        <v>8215.4500000000007</v>
      </c>
      <c r="I1085" s="512">
        <v>42598</v>
      </c>
      <c r="J1085" s="254">
        <f t="shared" si="83"/>
        <v>-1.081601101949603E-2</v>
      </c>
      <c r="L1085" s="251">
        <f t="shared" si="84"/>
        <v>42598</v>
      </c>
      <c r="M1085" s="513">
        <v>58.8</v>
      </c>
      <c r="N1085" s="254">
        <f t="shared" si="85"/>
        <v>-1.0933557611438327E-2</v>
      </c>
      <c r="O1085" s="1137">
        <f t="shared" si="87"/>
        <v>-1.0964977170880781E-2</v>
      </c>
      <c r="P1085" s="1138"/>
    </row>
    <row r="1086" spans="6:16" x14ac:dyDescent="0.2">
      <c r="F1086" s="1137">
        <f t="shared" si="86"/>
        <v>1.2030530892730021E-3</v>
      </c>
      <c r="G1086" s="1138"/>
      <c r="H1086" s="520">
        <v>8305.2800000000007</v>
      </c>
      <c r="I1086" s="512">
        <v>42597</v>
      </c>
      <c r="J1086" s="254">
        <f t="shared" si="83"/>
        <v>1.2344726487154567E-3</v>
      </c>
      <c r="L1086" s="251">
        <f t="shared" si="84"/>
        <v>42597</v>
      </c>
      <c r="M1086" s="513">
        <v>59.45</v>
      </c>
      <c r="N1086" s="254">
        <f t="shared" si="85"/>
        <v>1.6849199663016012E-3</v>
      </c>
      <c r="O1086" s="1137">
        <f t="shared" si="87"/>
        <v>1.6535004068591467E-3</v>
      </c>
      <c r="P1086" s="1138"/>
    </row>
    <row r="1087" spans="6:16" x14ac:dyDescent="0.2">
      <c r="F1087" s="1137">
        <f t="shared" si="86"/>
        <v>-1.6401134309111567E-4</v>
      </c>
      <c r="G1087" s="1138"/>
      <c r="H1087" s="520">
        <v>8295.0400000000009</v>
      </c>
      <c r="I1087" s="512">
        <v>42594</v>
      </c>
      <c r="J1087" s="254">
        <f t="shared" si="83"/>
        <v>-1.325917836486612E-4</v>
      </c>
      <c r="L1087" s="251">
        <f t="shared" si="84"/>
        <v>42594</v>
      </c>
      <c r="M1087" s="513">
        <v>59.35</v>
      </c>
      <c r="N1087" s="254">
        <f t="shared" si="85"/>
        <v>-1.4119601328903664E-2</v>
      </c>
      <c r="O1087" s="1137">
        <f t="shared" si="87"/>
        <v>-1.4151020888346117E-2</v>
      </c>
      <c r="P1087" s="1138"/>
    </row>
    <row r="1088" spans="6:16" x14ac:dyDescent="0.2">
      <c r="F1088" s="1137">
        <f t="shared" si="86"/>
        <v>1.0596070116397143E-2</v>
      </c>
      <c r="G1088" s="1138"/>
      <c r="H1088" s="520">
        <v>8296.14</v>
      </c>
      <c r="I1088" s="512">
        <v>42593</v>
      </c>
      <c r="J1088" s="254">
        <f t="shared" si="83"/>
        <v>1.0627489675839596E-2</v>
      </c>
      <c r="L1088" s="251">
        <f t="shared" si="84"/>
        <v>42593</v>
      </c>
      <c r="M1088" s="513">
        <v>60.2</v>
      </c>
      <c r="N1088" s="254">
        <f t="shared" si="85"/>
        <v>2.0338983050847581E-2</v>
      </c>
      <c r="O1088" s="1137">
        <f t="shared" si="87"/>
        <v>2.0307563491405126E-2</v>
      </c>
      <c r="P1088" s="1138"/>
    </row>
    <row r="1089" spans="6:16" x14ac:dyDescent="0.2">
      <c r="F1089" s="1137">
        <f t="shared" si="86"/>
        <v>-2.5249124179915058E-3</v>
      </c>
      <c r="G1089" s="1138"/>
      <c r="H1089" s="520">
        <v>8208.9</v>
      </c>
      <c r="I1089" s="512">
        <v>42592</v>
      </c>
      <c r="J1089" s="254">
        <f t="shared" si="83"/>
        <v>-2.4934928585490512E-3</v>
      </c>
      <c r="L1089" s="251">
        <f t="shared" si="84"/>
        <v>42592</v>
      </c>
      <c r="M1089" s="513">
        <v>59</v>
      </c>
      <c r="N1089" s="254">
        <f t="shared" si="85"/>
        <v>-1.3377926421404673E-2</v>
      </c>
      <c r="O1089" s="1137">
        <f t="shared" si="87"/>
        <v>-1.3409345980847127E-2</v>
      </c>
      <c r="P1089" s="1138"/>
    </row>
    <row r="1090" spans="6:16" x14ac:dyDescent="0.2">
      <c r="F1090" s="1137">
        <f t="shared" si="86"/>
        <v>7.3845660639752656E-3</v>
      </c>
      <c r="G1090" s="1138"/>
      <c r="H1090" s="520">
        <v>8229.42</v>
      </c>
      <c r="I1090" s="512">
        <v>42591</v>
      </c>
      <c r="J1090" s="254">
        <f t="shared" si="83"/>
        <v>7.4159856234177202E-3</v>
      </c>
      <c r="L1090" s="251">
        <f t="shared" si="84"/>
        <v>42591</v>
      </c>
      <c r="M1090" s="513">
        <v>59.8</v>
      </c>
      <c r="N1090" s="254">
        <f t="shared" si="85"/>
        <v>1.6750418760467234E-3</v>
      </c>
      <c r="O1090" s="1137">
        <f t="shared" si="87"/>
        <v>1.6436223166042688E-3</v>
      </c>
      <c r="P1090" s="1138"/>
    </row>
    <row r="1091" spans="6:16" x14ac:dyDescent="0.2">
      <c r="F1091" s="1137">
        <f t="shared" si="86"/>
        <v>-3.143323629812996E-3</v>
      </c>
      <c r="G1091" s="1138"/>
      <c r="H1091" s="520">
        <v>8168.84</v>
      </c>
      <c r="I1091" s="512">
        <v>42590</v>
      </c>
      <c r="J1091" s="254">
        <f t="shared" si="83"/>
        <v>-3.1119040703705414E-3</v>
      </c>
      <c r="L1091" s="251">
        <f t="shared" si="84"/>
        <v>42590</v>
      </c>
      <c r="M1091" s="513">
        <v>59.7</v>
      </c>
      <c r="N1091" s="254">
        <f t="shared" si="85"/>
        <v>-5.0000000000000044E-3</v>
      </c>
      <c r="O1091" s="1137">
        <f t="shared" si="87"/>
        <v>-5.031419559442459E-3</v>
      </c>
      <c r="P1091" s="1138"/>
    </row>
    <row r="1092" spans="6:16" x14ac:dyDescent="0.2">
      <c r="F1092" s="1137">
        <f t="shared" si="86"/>
        <v>1.3976505065053506E-2</v>
      </c>
      <c r="G1092" s="1138"/>
      <c r="H1092" s="520">
        <v>8194.34</v>
      </c>
      <c r="I1092" s="512">
        <v>42587</v>
      </c>
      <c r="J1092" s="254">
        <f t="shared" si="83"/>
        <v>1.400792462449596E-2</v>
      </c>
      <c r="L1092" s="251">
        <f t="shared" si="84"/>
        <v>42587</v>
      </c>
      <c r="M1092" s="513">
        <v>60</v>
      </c>
      <c r="N1092" s="254">
        <f t="shared" si="85"/>
        <v>0</v>
      </c>
      <c r="O1092" s="1137">
        <f t="shared" si="87"/>
        <v>-3.1419559442454485E-5</v>
      </c>
      <c r="P1092" s="1138"/>
    </row>
    <row r="1093" spans="6:16" x14ac:dyDescent="0.2">
      <c r="F1093" s="1137">
        <f t="shared" si="86"/>
        <v>8.8373835765982057E-3</v>
      </c>
      <c r="G1093" s="1138"/>
      <c r="H1093" s="520">
        <v>8081.14</v>
      </c>
      <c r="I1093" s="512">
        <v>42586</v>
      </c>
      <c r="J1093" s="254">
        <f t="shared" si="83"/>
        <v>8.8688031360406594E-3</v>
      </c>
      <c r="L1093" s="251">
        <f t="shared" si="84"/>
        <v>42586</v>
      </c>
      <c r="M1093" s="513">
        <v>60</v>
      </c>
      <c r="N1093" s="254">
        <f t="shared" si="85"/>
        <v>8.4033613445377853E-3</v>
      </c>
      <c r="O1093" s="1137">
        <f t="shared" si="87"/>
        <v>8.3719417850953316E-3</v>
      </c>
      <c r="P1093" s="1138"/>
    </row>
    <row r="1094" spans="6:16" x14ac:dyDescent="0.2">
      <c r="F1094" s="1137">
        <f t="shared" si="86"/>
        <v>-1.7371962784622122E-4</v>
      </c>
      <c r="G1094" s="1138"/>
      <c r="H1094" s="520">
        <v>8010.1</v>
      </c>
      <c r="I1094" s="512">
        <v>42585</v>
      </c>
      <c r="J1094" s="254">
        <f t="shared" si="83"/>
        <v>-1.4230006840376674E-4</v>
      </c>
      <c r="L1094" s="251">
        <f t="shared" si="84"/>
        <v>42585</v>
      </c>
      <c r="M1094" s="513">
        <v>59.5</v>
      </c>
      <c r="N1094" s="254">
        <f t="shared" si="85"/>
        <v>-5.8479532163743242E-3</v>
      </c>
      <c r="O1094" s="1137">
        <f t="shared" si="87"/>
        <v>-5.8793727758167788E-3</v>
      </c>
      <c r="P1094" s="1138"/>
    </row>
    <row r="1095" spans="6:16" x14ac:dyDescent="0.2">
      <c r="F1095" s="1137">
        <f t="shared" si="86"/>
        <v>-1.4299556187063285E-2</v>
      </c>
      <c r="G1095" s="1138"/>
      <c r="H1095" s="520">
        <v>8011.24</v>
      </c>
      <c r="I1095" s="512">
        <v>42584</v>
      </c>
      <c r="J1095" s="254">
        <f t="shared" si="83"/>
        <v>-1.4268136627620831E-2</v>
      </c>
      <c r="L1095" s="251">
        <f t="shared" si="84"/>
        <v>42584</v>
      </c>
      <c r="M1095" s="513">
        <v>59.85</v>
      </c>
      <c r="N1095" s="254">
        <f t="shared" si="85"/>
        <v>-1.6680567139283342E-3</v>
      </c>
      <c r="O1095" s="1137">
        <f t="shared" si="87"/>
        <v>-1.6994762733707888E-3</v>
      </c>
      <c r="P1095" s="1138"/>
    </row>
    <row r="1096" spans="6:16" x14ac:dyDescent="0.2">
      <c r="F1096" s="1137">
        <f t="shared" si="86"/>
        <v>3.9376628573865738E-3</v>
      </c>
      <c r="G1096" s="1138"/>
      <c r="H1096" s="520">
        <v>8127.2</v>
      </c>
      <c r="I1096" s="512">
        <v>42580</v>
      </c>
      <c r="J1096" s="254">
        <f t="shared" si="83"/>
        <v>3.9690824168290284E-3</v>
      </c>
      <c r="L1096" s="251">
        <f t="shared" si="84"/>
        <v>42580</v>
      </c>
      <c r="M1096" s="513">
        <v>59.95</v>
      </c>
      <c r="N1096" s="254">
        <f t="shared" si="85"/>
        <v>-4.9792531120331773E-3</v>
      </c>
      <c r="O1096" s="1137">
        <f t="shared" si="87"/>
        <v>-5.0106726714756319E-3</v>
      </c>
      <c r="P1096" s="1138"/>
    </row>
    <row r="1097" spans="6:16" x14ac:dyDescent="0.2">
      <c r="F1097" s="1137">
        <f t="shared" si="86"/>
        <v>-1.5389032013875021E-2</v>
      </c>
      <c r="G1097" s="1138"/>
      <c r="H1097" s="520">
        <v>8095.07</v>
      </c>
      <c r="I1097" s="512">
        <v>42579</v>
      </c>
      <c r="J1097" s="254">
        <f t="shared" si="83"/>
        <v>-1.5357612454432568E-2</v>
      </c>
      <c r="L1097" s="251">
        <f t="shared" si="84"/>
        <v>42579</v>
      </c>
      <c r="M1097" s="513">
        <v>60.25</v>
      </c>
      <c r="N1097" s="254">
        <f t="shared" si="85"/>
        <v>1.8596787827557026E-2</v>
      </c>
      <c r="O1097" s="1137">
        <f t="shared" si="87"/>
        <v>1.8565368268114571E-2</v>
      </c>
      <c r="P1097" s="1138"/>
    </row>
    <row r="1098" spans="6:16" x14ac:dyDescent="0.2">
      <c r="F1098" s="1137">
        <f t="shared" si="86"/>
        <v>-7.4490652949314631E-4</v>
      </c>
      <c r="G1098" s="1138"/>
      <c r="H1098" s="520">
        <v>8221.33</v>
      </c>
      <c r="I1098" s="512">
        <v>42578</v>
      </c>
      <c r="J1098" s="254">
        <f t="shared" si="83"/>
        <v>-7.1348697005069184E-4</v>
      </c>
      <c r="L1098" s="251">
        <f t="shared" si="84"/>
        <v>42578</v>
      </c>
      <c r="M1098" s="513">
        <v>59.15</v>
      </c>
      <c r="N1098" s="254">
        <f t="shared" si="85"/>
        <v>8.5251491901108256E-3</v>
      </c>
      <c r="O1098" s="1137">
        <f t="shared" si="87"/>
        <v>8.4937296306683719E-3</v>
      </c>
      <c r="P1098" s="1138"/>
    </row>
    <row r="1099" spans="6:16" x14ac:dyDescent="0.2">
      <c r="F1099" s="1137">
        <f t="shared" si="86"/>
        <v>3.9700887858808579E-3</v>
      </c>
      <c r="G1099" s="1138"/>
      <c r="H1099" s="520">
        <v>8227.2000000000007</v>
      </c>
      <c r="I1099" s="512">
        <v>42577</v>
      </c>
      <c r="J1099" s="254">
        <f t="shared" si="83"/>
        <v>4.0015083453233125E-3</v>
      </c>
      <c r="L1099" s="251">
        <f t="shared" si="84"/>
        <v>42577</v>
      </c>
      <c r="M1099" s="513">
        <v>58.65</v>
      </c>
      <c r="N1099" s="254">
        <f t="shared" si="85"/>
        <v>1.4705882352941124E-2</v>
      </c>
      <c r="O1099" s="1137">
        <f t="shared" si="87"/>
        <v>1.4674462793498671E-2</v>
      </c>
      <c r="P1099" s="1138"/>
    </row>
    <row r="1100" spans="6:16" x14ac:dyDescent="0.2">
      <c r="F1100" s="1137">
        <f t="shared" si="86"/>
        <v>-7.0469046124662242E-5</v>
      </c>
      <c r="G1100" s="1138"/>
      <c r="H1100" s="520">
        <v>8194.41</v>
      </c>
      <c r="I1100" s="512">
        <v>42576</v>
      </c>
      <c r="J1100" s="254">
        <f t="shared" si="83"/>
        <v>-3.9049486682207757E-5</v>
      </c>
      <c r="L1100" s="251">
        <f t="shared" si="84"/>
        <v>42576</v>
      </c>
      <c r="M1100" s="513">
        <v>57.8</v>
      </c>
      <c r="N1100" s="254">
        <f t="shared" si="85"/>
        <v>6.9686411149825211E-3</v>
      </c>
      <c r="O1100" s="1137">
        <f t="shared" si="87"/>
        <v>6.9372215555400666E-3</v>
      </c>
      <c r="P1100" s="1138"/>
    </row>
    <row r="1101" spans="6:16" x14ac:dyDescent="0.2">
      <c r="F1101" s="1137">
        <f t="shared" si="86"/>
        <v>1.4693534364206987E-3</v>
      </c>
      <c r="G1101" s="1138"/>
      <c r="H1101" s="520">
        <v>8194.73</v>
      </c>
      <c r="I1101" s="512">
        <v>42573</v>
      </c>
      <c r="J1101" s="254">
        <f t="shared" si="83"/>
        <v>1.5007729958631533E-3</v>
      </c>
      <c r="L1101" s="251">
        <f t="shared" si="84"/>
        <v>42573</v>
      </c>
      <c r="M1101" s="513">
        <v>57.4</v>
      </c>
      <c r="N1101" s="254">
        <f t="shared" si="85"/>
        <v>1.9538188277087087E-2</v>
      </c>
      <c r="O1101" s="1137">
        <f t="shared" si="87"/>
        <v>1.9506768717644632E-2</v>
      </c>
      <c r="P1101" s="1138"/>
    </row>
    <row r="1102" spans="6:16" x14ac:dyDescent="0.2">
      <c r="F1102" s="1137">
        <f t="shared" si="86"/>
        <v>-1.8588215622653967E-3</v>
      </c>
      <c r="G1102" s="1138"/>
      <c r="H1102" s="520">
        <v>8182.45</v>
      </c>
      <c r="I1102" s="512">
        <v>42572</v>
      </c>
      <c r="J1102" s="254">
        <f t="shared" si="83"/>
        <v>-1.8274020028229421E-3</v>
      </c>
      <c r="L1102" s="251">
        <f t="shared" si="84"/>
        <v>42572</v>
      </c>
      <c r="M1102" s="513">
        <v>56.3</v>
      </c>
      <c r="N1102" s="254">
        <f t="shared" si="85"/>
        <v>4.6468401486988942E-2</v>
      </c>
      <c r="O1102" s="1137">
        <f t="shared" si="87"/>
        <v>4.6436981927546486E-2</v>
      </c>
      <c r="P1102" s="1138"/>
    </row>
    <row r="1103" spans="6:16" x14ac:dyDescent="0.2">
      <c r="F1103" s="1137">
        <f t="shared" si="86"/>
        <v>1.0564673878499868E-2</v>
      </c>
      <c r="G1103" s="1138"/>
      <c r="H1103" s="520">
        <v>8197.43</v>
      </c>
      <c r="I1103" s="512">
        <v>42571</v>
      </c>
      <c r="J1103" s="254">
        <f t="shared" si="83"/>
        <v>1.0596093437942322E-2</v>
      </c>
      <c r="L1103" s="251">
        <f t="shared" si="84"/>
        <v>42571</v>
      </c>
      <c r="M1103" s="513">
        <v>53.8</v>
      </c>
      <c r="N1103" s="254">
        <f t="shared" si="85"/>
        <v>5.4901960784313752E-2</v>
      </c>
      <c r="O1103" s="1137">
        <f t="shared" si="87"/>
        <v>5.4870541224871297E-2</v>
      </c>
      <c r="P1103" s="1138"/>
    </row>
    <row r="1104" spans="6:16" x14ac:dyDescent="0.2">
      <c r="F1104" s="1137">
        <f t="shared" si="86"/>
        <v>-6.1723723138044492E-3</v>
      </c>
      <c r="G1104" s="1138"/>
      <c r="H1104" s="520">
        <v>8111.48</v>
      </c>
      <c r="I1104" s="512">
        <v>42570</v>
      </c>
      <c r="J1104" s="254">
        <f t="shared" si="83"/>
        <v>-6.1409527543619946E-3</v>
      </c>
      <c r="L1104" s="251">
        <f t="shared" si="84"/>
        <v>42570</v>
      </c>
      <c r="M1104" s="513">
        <v>51</v>
      </c>
      <c r="N1104" s="254">
        <f t="shared" si="85"/>
        <v>-1.2584704743465625E-2</v>
      </c>
      <c r="O1104" s="1137">
        <f t="shared" si="87"/>
        <v>-1.2616124302908078E-2</v>
      </c>
      <c r="P1104" s="1138"/>
    </row>
    <row r="1105" spans="6:16" x14ac:dyDescent="0.2">
      <c r="F1105" s="1137">
        <f t="shared" si="86"/>
        <v>6.2329228152387215E-4</v>
      </c>
      <c r="G1105" s="1138"/>
      <c r="H1105" s="520">
        <v>8161.6</v>
      </c>
      <c r="I1105" s="512">
        <v>42569</v>
      </c>
      <c r="J1105" s="254">
        <f t="shared" si="83"/>
        <v>6.5471184096632662E-4</v>
      </c>
      <c r="L1105" s="251">
        <f t="shared" si="84"/>
        <v>42569</v>
      </c>
      <c r="M1105" s="513">
        <v>51.65</v>
      </c>
      <c r="N1105" s="254">
        <f t="shared" si="85"/>
        <v>2.2772277227722793E-2</v>
      </c>
      <c r="O1105" s="1137">
        <f t="shared" si="87"/>
        <v>2.2740857668280337E-2</v>
      </c>
      <c r="P1105" s="1138"/>
    </row>
    <row r="1106" spans="6:16" x14ac:dyDescent="0.2">
      <c r="F1106" s="1137">
        <f t="shared" si="86"/>
        <v>-2.2041570863875889E-3</v>
      </c>
      <c r="G1106" s="1138"/>
      <c r="H1106" s="520">
        <v>8156.26</v>
      </c>
      <c r="I1106" s="512">
        <v>42566</v>
      </c>
      <c r="J1106" s="254">
        <f t="shared" si="83"/>
        <v>-2.1727375269451343E-3</v>
      </c>
      <c r="L1106" s="251">
        <f t="shared" si="84"/>
        <v>42566</v>
      </c>
      <c r="M1106" s="513">
        <v>50.5</v>
      </c>
      <c r="N1106" s="254">
        <f t="shared" si="85"/>
        <v>-1.2707722385141729E-2</v>
      </c>
      <c r="O1106" s="1137">
        <f t="shared" si="87"/>
        <v>-1.2739141944584182E-2</v>
      </c>
      <c r="P1106" s="1138"/>
    </row>
    <row r="1107" spans="6:16" x14ac:dyDescent="0.2">
      <c r="F1107" s="1137">
        <f t="shared" si="86"/>
        <v>3.8605867827225674E-3</v>
      </c>
      <c r="G1107" s="1138"/>
      <c r="H1107" s="520">
        <v>8174.02</v>
      </c>
      <c r="I1107" s="512">
        <v>42565</v>
      </c>
      <c r="J1107" s="254">
        <f t="shared" si="83"/>
        <v>3.8920063421650219E-3</v>
      </c>
      <c r="L1107" s="251">
        <f t="shared" si="84"/>
        <v>42565</v>
      </c>
      <c r="M1107" s="513">
        <v>51.15</v>
      </c>
      <c r="N1107" s="254">
        <f t="shared" si="85"/>
        <v>9.7847358121327943E-4</v>
      </c>
      <c r="O1107" s="1137">
        <f t="shared" si="87"/>
        <v>9.4705402177082496E-4</v>
      </c>
      <c r="P1107" s="1138"/>
    </row>
    <row r="1108" spans="6:16" x14ac:dyDescent="0.2">
      <c r="F1108" s="1137">
        <f t="shared" si="86"/>
        <v>-1.2966188149802951E-4</v>
      </c>
      <c r="G1108" s="1138"/>
      <c r="H1108" s="520">
        <v>8142.33</v>
      </c>
      <c r="I1108" s="512">
        <v>42564</v>
      </c>
      <c r="J1108" s="254">
        <f t="shared" si="83"/>
        <v>-9.8242322055575038E-5</v>
      </c>
      <c r="L1108" s="251">
        <f t="shared" si="84"/>
        <v>42564</v>
      </c>
      <c r="M1108" s="513">
        <v>51.1</v>
      </c>
      <c r="N1108" s="254">
        <f t="shared" si="85"/>
        <v>-5.8365758754863606E-3</v>
      </c>
      <c r="O1108" s="1137">
        <f t="shared" si="87"/>
        <v>-5.8679954349288152E-3</v>
      </c>
      <c r="P1108" s="1138"/>
    </row>
    <row r="1109" spans="6:16" x14ac:dyDescent="0.2">
      <c r="F1109" s="1137">
        <f t="shared" si="86"/>
        <v>3.1741548383421173E-3</v>
      </c>
      <c r="G1109" s="1138"/>
      <c r="H1109" s="520">
        <v>8143.13</v>
      </c>
      <c r="I1109" s="512">
        <v>42563</v>
      </c>
      <c r="J1109" s="254">
        <f t="shared" si="83"/>
        <v>3.2055743977845719E-3</v>
      </c>
      <c r="L1109" s="251">
        <f t="shared" si="84"/>
        <v>42563</v>
      </c>
      <c r="M1109" s="513">
        <v>51.4</v>
      </c>
      <c r="N1109" s="254">
        <f t="shared" si="85"/>
        <v>-9.6339113680153909E-3</v>
      </c>
      <c r="O1109" s="1137">
        <f t="shared" si="87"/>
        <v>-9.6653309274578447E-3</v>
      </c>
      <c r="P1109" s="1138"/>
    </row>
    <row r="1110" spans="6:16" x14ac:dyDescent="0.2">
      <c r="F1110" s="1137">
        <f t="shared" si="86"/>
        <v>9.8181190039207823E-3</v>
      </c>
      <c r="G1110" s="1138"/>
      <c r="H1110" s="520">
        <v>8117.11</v>
      </c>
      <c r="I1110" s="512">
        <v>42562</v>
      </c>
      <c r="J1110" s="254">
        <f t="shared" si="83"/>
        <v>9.849538563363236E-3</v>
      </c>
      <c r="L1110" s="251">
        <f t="shared" si="84"/>
        <v>42562</v>
      </c>
      <c r="M1110" s="513">
        <v>51.9</v>
      </c>
      <c r="N1110" s="254">
        <f t="shared" si="85"/>
        <v>2.8741328047571679E-2</v>
      </c>
      <c r="O1110" s="1137">
        <f t="shared" si="87"/>
        <v>2.8709908488129224E-2</v>
      </c>
      <c r="P1110" s="1138"/>
    </row>
    <row r="1111" spans="6:16" x14ac:dyDescent="0.2">
      <c r="F1111" s="1137">
        <f t="shared" si="86"/>
        <v>9.22371244955285E-3</v>
      </c>
      <c r="G1111" s="1138"/>
      <c r="H1111" s="520">
        <v>8037.94</v>
      </c>
      <c r="I1111" s="512">
        <v>42559</v>
      </c>
      <c r="J1111" s="254">
        <f t="shared" si="83"/>
        <v>9.2551320089953037E-3</v>
      </c>
      <c r="L1111" s="251">
        <f t="shared" si="84"/>
        <v>42559</v>
      </c>
      <c r="M1111" s="513">
        <v>50.45</v>
      </c>
      <c r="N1111" s="254">
        <f t="shared" si="85"/>
        <v>2.1255060728744946E-2</v>
      </c>
      <c r="O1111" s="1137">
        <f t="shared" si="87"/>
        <v>2.122364116930249E-2</v>
      </c>
      <c r="P1111" s="1138"/>
    </row>
    <row r="1112" spans="6:16" x14ac:dyDescent="0.2">
      <c r="F1112" s="1137">
        <f t="shared" si="86"/>
        <v>8.3274364345104646E-3</v>
      </c>
      <c r="G1112" s="1138"/>
      <c r="H1112" s="520">
        <v>7964.23</v>
      </c>
      <c r="I1112" s="512">
        <v>42558</v>
      </c>
      <c r="J1112" s="254">
        <f t="shared" si="83"/>
        <v>8.3588559939529183E-3</v>
      </c>
      <c r="L1112" s="251">
        <f t="shared" si="84"/>
        <v>42558</v>
      </c>
      <c r="M1112" s="513">
        <v>49.4</v>
      </c>
      <c r="N1112" s="254">
        <f t="shared" si="85"/>
        <v>2.5960539979231534E-2</v>
      </c>
      <c r="O1112" s="1137">
        <f t="shared" si="87"/>
        <v>2.5929120419789078E-2</v>
      </c>
      <c r="P1112" s="1138"/>
    </row>
    <row r="1113" spans="6:16" x14ac:dyDescent="0.2">
      <c r="F1113" s="1137">
        <f t="shared" si="86"/>
        <v>-5.5038202006173894E-3</v>
      </c>
      <c r="G1113" s="1138"/>
      <c r="H1113" s="520">
        <v>7898.21</v>
      </c>
      <c r="I1113" s="512">
        <v>42557</v>
      </c>
      <c r="J1113" s="254">
        <f t="shared" si="83"/>
        <v>-5.4724006411749349E-3</v>
      </c>
      <c r="L1113" s="251">
        <f t="shared" si="84"/>
        <v>42557</v>
      </c>
      <c r="M1113" s="513">
        <v>48.15</v>
      </c>
      <c r="N1113" s="254">
        <f t="shared" si="85"/>
        <v>-2.2335025380710638E-2</v>
      </c>
      <c r="O1113" s="1137">
        <f t="shared" si="87"/>
        <v>-2.2366444940153093E-2</v>
      </c>
      <c r="P1113" s="1138"/>
    </row>
    <row r="1114" spans="6:16" x14ac:dyDescent="0.2">
      <c r="F1114" s="1137">
        <f t="shared" si="86"/>
        <v>-1.4310200848579075E-2</v>
      </c>
      <c r="G1114" s="1138"/>
      <c r="H1114" s="520">
        <v>7941.67</v>
      </c>
      <c r="I1114" s="512">
        <v>42556</v>
      </c>
      <c r="J1114" s="254">
        <f t="shared" si="83"/>
        <v>-1.4278781289136622E-2</v>
      </c>
      <c r="L1114" s="251">
        <f t="shared" si="84"/>
        <v>42556</v>
      </c>
      <c r="M1114" s="513">
        <v>49.25</v>
      </c>
      <c r="N1114" s="254">
        <f t="shared" si="85"/>
        <v>-1.4014014014014031E-2</v>
      </c>
      <c r="O1114" s="1137">
        <f t="shared" si="87"/>
        <v>-1.4045433573456485E-2</v>
      </c>
      <c r="P1114" s="1138"/>
    </row>
    <row r="1115" spans="6:16" x14ac:dyDescent="0.2">
      <c r="F1115" s="1137">
        <f t="shared" si="86"/>
        <v>-3.556374384363555E-3</v>
      </c>
      <c r="G1115" s="1138"/>
      <c r="H1115" s="520">
        <v>8056.71</v>
      </c>
      <c r="I1115" s="512">
        <v>42555</v>
      </c>
      <c r="J1115" s="254">
        <f t="shared" si="83"/>
        <v>-3.5249548249211005E-3</v>
      </c>
      <c r="L1115" s="251">
        <f t="shared" si="84"/>
        <v>42555</v>
      </c>
      <c r="M1115" s="513">
        <v>49.95</v>
      </c>
      <c r="N1115" s="254">
        <f t="shared" si="85"/>
        <v>-9.9999999999988987E-4</v>
      </c>
      <c r="O1115" s="1137">
        <f t="shared" si="87"/>
        <v>-1.0314195594423444E-3</v>
      </c>
      <c r="P1115" s="1138"/>
    </row>
    <row r="1116" spans="6:16" x14ac:dyDescent="0.2">
      <c r="F1116" s="1137">
        <f t="shared" si="86"/>
        <v>8.0806481699641931E-3</v>
      </c>
      <c r="G1116" s="1138"/>
      <c r="H1116" s="520">
        <v>8085.21</v>
      </c>
      <c r="I1116" s="512">
        <v>42552</v>
      </c>
      <c r="J1116" s="254">
        <f t="shared" si="83"/>
        <v>8.1120677294066468E-3</v>
      </c>
      <c r="L1116" s="251">
        <f t="shared" si="84"/>
        <v>42552</v>
      </c>
      <c r="M1116" s="513">
        <v>50</v>
      </c>
      <c r="N1116" s="254">
        <f t="shared" si="85"/>
        <v>3.0927835051546282E-2</v>
      </c>
      <c r="O1116" s="1137">
        <f t="shared" si="87"/>
        <v>3.0896415492103826E-2</v>
      </c>
      <c r="P1116" s="1138"/>
    </row>
    <row r="1117" spans="6:16" x14ac:dyDescent="0.2">
      <c r="F1117" s="1137">
        <f t="shared" si="86"/>
        <v>5.130907360356666E-3</v>
      </c>
      <c r="G1117" s="1138"/>
      <c r="H1117" s="520">
        <v>8020.15</v>
      </c>
      <c r="I1117" s="512">
        <v>42551</v>
      </c>
      <c r="J1117" s="254">
        <f t="shared" ref="J1117:J1180" si="88">H1117/H1118-1</f>
        <v>5.1623269197991206E-3</v>
      </c>
      <c r="L1117" s="251">
        <f t="shared" ref="L1117:L1180" si="89">I1117</f>
        <v>42551</v>
      </c>
      <c r="M1117" s="513">
        <v>48.5</v>
      </c>
      <c r="N1117" s="254">
        <f t="shared" ref="N1117:N1180" si="90">M1117/M1118-1</f>
        <v>-2.0202020202020221E-2</v>
      </c>
      <c r="O1117" s="1137">
        <f t="shared" si="87"/>
        <v>-2.0233439761462677E-2</v>
      </c>
      <c r="P1117" s="1138"/>
    </row>
    <row r="1118" spans="6:16" x14ac:dyDescent="0.2">
      <c r="F1118" s="1137">
        <f t="shared" ref="F1118:F1181" si="91">J1118-$I$19</f>
        <v>2.6359791945870195E-2</v>
      </c>
      <c r="G1118" s="1138"/>
      <c r="H1118" s="520">
        <v>7978.96</v>
      </c>
      <c r="I1118" s="512">
        <v>42550</v>
      </c>
      <c r="J1118" s="254">
        <f t="shared" si="88"/>
        <v>2.6391211505312651E-2</v>
      </c>
      <c r="L1118" s="251">
        <f t="shared" si="89"/>
        <v>42550</v>
      </c>
      <c r="M1118" s="513">
        <v>49.5</v>
      </c>
      <c r="N1118" s="254">
        <f t="shared" si="90"/>
        <v>3.3402922755741082E-2</v>
      </c>
      <c r="O1118" s="1137">
        <f t="shared" ref="O1118:O1181" si="92">N1118-$I$19</f>
        <v>3.3371503196298627E-2</v>
      </c>
      <c r="P1118" s="1138"/>
    </row>
    <row r="1119" spans="6:16" x14ac:dyDescent="0.2">
      <c r="F1119" s="1137">
        <f t="shared" si="91"/>
        <v>2.3579119133741736E-2</v>
      </c>
      <c r="G1119" s="1138"/>
      <c r="H1119" s="520">
        <v>7773.8</v>
      </c>
      <c r="I1119" s="512">
        <v>42549</v>
      </c>
      <c r="J1119" s="254">
        <f t="shared" si="88"/>
        <v>2.3610538693184191E-2</v>
      </c>
      <c r="L1119" s="251">
        <f t="shared" si="89"/>
        <v>42549</v>
      </c>
      <c r="M1119" s="513">
        <v>47.9</v>
      </c>
      <c r="N1119" s="254">
        <f t="shared" si="90"/>
        <v>-1.0330578512396715E-2</v>
      </c>
      <c r="O1119" s="1137">
        <f t="shared" si="92"/>
        <v>-1.0361998071839169E-2</v>
      </c>
      <c r="P1119" s="1138"/>
    </row>
    <row r="1120" spans="6:16" x14ac:dyDescent="0.2">
      <c r="F1120" s="1137">
        <f t="shared" si="91"/>
        <v>-1.9740526615171158E-2</v>
      </c>
      <c r="G1120" s="1138"/>
      <c r="H1120" s="520">
        <v>7594.49</v>
      </c>
      <c r="I1120" s="512">
        <v>42548</v>
      </c>
      <c r="J1120" s="254">
        <f t="shared" si="88"/>
        <v>-1.9709107055728703E-2</v>
      </c>
      <c r="L1120" s="251">
        <f t="shared" si="89"/>
        <v>42548</v>
      </c>
      <c r="M1120" s="513">
        <v>48.4</v>
      </c>
      <c r="N1120" s="254">
        <f t="shared" si="90"/>
        <v>-8.0721747388414089E-2</v>
      </c>
      <c r="O1120" s="1137">
        <f t="shared" si="92"/>
        <v>-8.0753166947856544E-2</v>
      </c>
      <c r="P1120" s="1138"/>
    </row>
    <row r="1121" spans="6:16" x14ac:dyDescent="0.2">
      <c r="F1121" s="1137">
        <f t="shared" si="91"/>
        <v>-3.4416098702661088E-2</v>
      </c>
      <c r="G1121" s="1138"/>
      <c r="H1121" s="520">
        <v>7747.18</v>
      </c>
      <c r="I1121" s="512">
        <v>42545</v>
      </c>
      <c r="J1121" s="254">
        <f t="shared" si="88"/>
        <v>-3.4384679143218633E-2</v>
      </c>
      <c r="L1121" s="251">
        <f t="shared" si="89"/>
        <v>42545</v>
      </c>
      <c r="M1121" s="513">
        <v>52.65</v>
      </c>
      <c r="N1121" s="254">
        <f t="shared" si="90"/>
        <v>-6.4000000000000057E-2</v>
      </c>
      <c r="O1121" s="1137">
        <f t="shared" si="92"/>
        <v>-6.4031419559442512E-2</v>
      </c>
      <c r="P1121" s="1138"/>
    </row>
    <row r="1122" spans="6:16" x14ac:dyDescent="0.2">
      <c r="F1122" s="1137">
        <f t="shared" si="91"/>
        <v>6.3545696479722783E-3</v>
      </c>
      <c r="G1122" s="1138"/>
      <c r="H1122" s="520">
        <v>8023.05</v>
      </c>
      <c r="I1122" s="512">
        <v>42544</v>
      </c>
      <c r="J1122" s="254">
        <f t="shared" si="88"/>
        <v>6.3859892074147329E-3</v>
      </c>
      <c r="L1122" s="251">
        <f t="shared" si="89"/>
        <v>42544</v>
      </c>
      <c r="M1122" s="513">
        <v>56.25</v>
      </c>
      <c r="N1122" s="254">
        <f t="shared" si="90"/>
        <v>2.1798365122615904E-2</v>
      </c>
      <c r="O1122" s="1137">
        <f t="shared" si="92"/>
        <v>2.1766945563173448E-2</v>
      </c>
      <c r="P1122" s="1138"/>
    </row>
    <row r="1123" spans="6:16" x14ac:dyDescent="0.2">
      <c r="F1123" s="1137">
        <f t="shared" si="91"/>
        <v>4.5541583632493091E-3</v>
      </c>
      <c r="G1123" s="1138"/>
      <c r="H1123" s="520">
        <v>7972.14</v>
      </c>
      <c r="I1123" s="512">
        <v>42543</v>
      </c>
      <c r="J1123" s="254">
        <f t="shared" si="88"/>
        <v>4.5855779226917637E-3</v>
      </c>
      <c r="L1123" s="251">
        <f t="shared" si="89"/>
        <v>42543</v>
      </c>
      <c r="M1123" s="513">
        <v>55.05</v>
      </c>
      <c r="N1123" s="254">
        <f t="shared" si="90"/>
        <v>-2.995594713656391E-2</v>
      </c>
      <c r="O1123" s="1137">
        <f t="shared" si="92"/>
        <v>-2.9987366696006365E-2</v>
      </c>
      <c r="P1123" s="1138"/>
    </row>
    <row r="1124" spans="6:16" x14ac:dyDescent="0.2">
      <c r="F1124" s="1137">
        <f t="shared" si="91"/>
        <v>4.4659235525214705E-3</v>
      </c>
      <c r="G1124" s="1138"/>
      <c r="H1124" s="520">
        <v>7935.75</v>
      </c>
      <c r="I1124" s="512">
        <v>42542</v>
      </c>
      <c r="J1124" s="254">
        <f t="shared" si="88"/>
        <v>4.4973431119639251E-3</v>
      </c>
      <c r="L1124" s="251">
        <f t="shared" si="89"/>
        <v>42542</v>
      </c>
      <c r="M1124" s="513">
        <v>56.75</v>
      </c>
      <c r="N1124" s="254">
        <f t="shared" si="90"/>
        <v>0</v>
      </c>
      <c r="O1124" s="1137">
        <f t="shared" si="92"/>
        <v>-3.1419559442454485E-5</v>
      </c>
      <c r="P1124" s="1138"/>
    </row>
    <row r="1125" spans="6:16" x14ac:dyDescent="0.2">
      <c r="F1125" s="1137">
        <f t="shared" si="91"/>
        <v>2.4160884692393039E-2</v>
      </c>
      <c r="G1125" s="1138"/>
      <c r="H1125" s="520">
        <v>7900.22</v>
      </c>
      <c r="I1125" s="512">
        <v>42541</v>
      </c>
      <c r="J1125" s="254">
        <f t="shared" si="88"/>
        <v>2.4192304251835495E-2</v>
      </c>
      <c r="L1125" s="251">
        <f t="shared" si="89"/>
        <v>42541</v>
      </c>
      <c r="M1125" s="513">
        <v>56.75</v>
      </c>
      <c r="N1125" s="254">
        <f t="shared" si="90"/>
        <v>3.6529680365296802E-2</v>
      </c>
      <c r="O1125" s="1137">
        <f t="shared" si="92"/>
        <v>3.6498260805854346E-2</v>
      </c>
      <c r="P1125" s="1138"/>
    </row>
    <row r="1126" spans="6:16" x14ac:dyDescent="0.2">
      <c r="F1126" s="1137">
        <f t="shared" si="91"/>
        <v>1.0309577944048258E-2</v>
      </c>
      <c r="G1126" s="1138"/>
      <c r="H1126" s="520">
        <v>7713.61</v>
      </c>
      <c r="I1126" s="512">
        <v>42538</v>
      </c>
      <c r="J1126" s="254">
        <f t="shared" si="88"/>
        <v>1.0340997503490712E-2</v>
      </c>
      <c r="L1126" s="251">
        <f t="shared" si="89"/>
        <v>42538</v>
      </c>
      <c r="M1126" s="513">
        <v>54.75</v>
      </c>
      <c r="N1126" s="254">
        <f t="shared" si="90"/>
        <v>2.6241799437675795E-2</v>
      </c>
      <c r="O1126" s="1137">
        <f t="shared" si="92"/>
        <v>2.6210379878233339E-2</v>
      </c>
      <c r="P1126" s="1138"/>
    </row>
    <row r="1127" spans="6:16" x14ac:dyDescent="0.2">
      <c r="F1127" s="1137">
        <f t="shared" si="91"/>
        <v>-5.8690467977095392E-3</v>
      </c>
      <c r="G1127" s="1138"/>
      <c r="H1127" s="520">
        <v>7634.66</v>
      </c>
      <c r="I1127" s="512">
        <v>42537</v>
      </c>
      <c r="J1127" s="254">
        <f t="shared" si="88"/>
        <v>-5.8376272382670846E-3</v>
      </c>
      <c r="L1127" s="251">
        <f t="shared" si="89"/>
        <v>42537</v>
      </c>
      <c r="M1127" s="513">
        <v>53.35</v>
      </c>
      <c r="N1127" s="254">
        <f t="shared" si="90"/>
        <v>-2.4680073126142621E-2</v>
      </c>
      <c r="O1127" s="1137">
        <f t="shared" si="92"/>
        <v>-2.4711492685585076E-2</v>
      </c>
      <c r="P1127" s="1138"/>
    </row>
    <row r="1128" spans="6:16" x14ac:dyDescent="0.2">
      <c r="F1128" s="1137">
        <f t="shared" si="91"/>
        <v>5.2992815874699098E-3</v>
      </c>
      <c r="G1128" s="1138"/>
      <c r="H1128" s="520">
        <v>7679.49</v>
      </c>
      <c r="I1128" s="512">
        <v>42536</v>
      </c>
      <c r="J1128" s="254">
        <f t="shared" si="88"/>
        <v>5.3307011469123644E-3</v>
      </c>
      <c r="L1128" s="251">
        <f t="shared" si="89"/>
        <v>42536</v>
      </c>
      <c r="M1128" s="513">
        <v>54.7</v>
      </c>
      <c r="N1128" s="254">
        <f t="shared" si="90"/>
        <v>9.1491308325708509E-4</v>
      </c>
      <c r="O1128" s="1137">
        <f t="shared" si="92"/>
        <v>8.8349352381463062E-4</v>
      </c>
      <c r="P1128" s="1138"/>
    </row>
    <row r="1129" spans="6:16" x14ac:dyDescent="0.2">
      <c r="F1129" s="1137">
        <f t="shared" si="91"/>
        <v>-1.8480859638595956E-2</v>
      </c>
      <c r="G1129" s="1138"/>
      <c r="H1129" s="520">
        <v>7638.77</v>
      </c>
      <c r="I1129" s="512">
        <v>42535</v>
      </c>
      <c r="J1129" s="254">
        <f t="shared" si="88"/>
        <v>-1.8449440079153501E-2</v>
      </c>
      <c r="L1129" s="251">
        <f t="shared" si="89"/>
        <v>42535</v>
      </c>
      <c r="M1129" s="513">
        <v>54.65</v>
      </c>
      <c r="N1129" s="254">
        <f t="shared" si="90"/>
        <v>-1.5315315315315381E-2</v>
      </c>
      <c r="O1129" s="1137">
        <f t="shared" si="92"/>
        <v>-1.5346734874757835E-2</v>
      </c>
      <c r="P1129" s="1138"/>
    </row>
    <row r="1130" spans="6:16" x14ac:dyDescent="0.2">
      <c r="F1130" s="1137">
        <f t="shared" si="91"/>
        <v>-1.7747579812689082E-2</v>
      </c>
      <c r="G1130" s="1138"/>
      <c r="H1130" s="520">
        <v>7782.35</v>
      </c>
      <c r="I1130" s="512">
        <v>42534</v>
      </c>
      <c r="J1130" s="254">
        <f t="shared" si="88"/>
        <v>-1.7716160253246627E-2</v>
      </c>
      <c r="L1130" s="251">
        <f t="shared" si="89"/>
        <v>42534</v>
      </c>
      <c r="M1130" s="513">
        <v>55.5</v>
      </c>
      <c r="N1130" s="254">
        <f t="shared" si="90"/>
        <v>-1.4209591474245054E-2</v>
      </c>
      <c r="O1130" s="1137">
        <f t="shared" si="92"/>
        <v>-1.4241011033687507E-2</v>
      </c>
      <c r="P1130" s="1138"/>
    </row>
    <row r="1131" spans="6:16" x14ac:dyDescent="0.2">
      <c r="F1131" s="1137">
        <f t="shared" si="91"/>
        <v>-1.90548645562542E-2</v>
      </c>
      <c r="G1131" s="1138"/>
      <c r="H1131" s="520">
        <v>7922.71</v>
      </c>
      <c r="I1131" s="512">
        <v>42531</v>
      </c>
      <c r="J1131" s="254">
        <f t="shared" si="88"/>
        <v>-1.9023444996811745E-2</v>
      </c>
      <c r="L1131" s="251">
        <f t="shared" si="89"/>
        <v>42531</v>
      </c>
      <c r="M1131" s="513">
        <v>56.3</v>
      </c>
      <c r="N1131" s="254">
        <f t="shared" si="90"/>
        <v>-2.0017406440383079E-2</v>
      </c>
      <c r="O1131" s="1137">
        <f t="shared" si="92"/>
        <v>-2.0048825999825534E-2</v>
      </c>
      <c r="P1131" s="1138"/>
    </row>
    <row r="1132" spans="6:16" x14ac:dyDescent="0.2">
      <c r="F1132" s="1137">
        <f t="shared" si="91"/>
        <v>-8.3089228257469516E-3</v>
      </c>
      <c r="G1132" s="1138"/>
      <c r="H1132" s="520">
        <v>8076.35</v>
      </c>
      <c r="I1132" s="512">
        <v>42530</v>
      </c>
      <c r="J1132" s="254">
        <f t="shared" si="88"/>
        <v>-8.2775032663044978E-3</v>
      </c>
      <c r="L1132" s="251">
        <f t="shared" si="89"/>
        <v>42530</v>
      </c>
      <c r="M1132" s="513">
        <v>57.45</v>
      </c>
      <c r="N1132" s="254">
        <f t="shared" si="90"/>
        <v>-1.7376194613378804E-3</v>
      </c>
      <c r="O1132" s="1137">
        <f t="shared" si="92"/>
        <v>-1.7690390207803349E-3</v>
      </c>
      <c r="P1132" s="1138"/>
    </row>
    <row r="1133" spans="6:16" x14ac:dyDescent="0.2">
      <c r="F1133" s="1137">
        <f t="shared" si="91"/>
        <v>-8.7974770731539653E-3</v>
      </c>
      <c r="G1133" s="1138"/>
      <c r="H1133" s="520">
        <v>8143.76</v>
      </c>
      <c r="I1133" s="512">
        <v>42529</v>
      </c>
      <c r="J1133" s="254">
        <f t="shared" si="88"/>
        <v>-8.7660575137115115E-3</v>
      </c>
      <c r="L1133" s="251">
        <f t="shared" si="89"/>
        <v>42529</v>
      </c>
      <c r="M1133" s="513">
        <v>57.55</v>
      </c>
      <c r="N1133" s="254">
        <f t="shared" si="90"/>
        <v>5.2401746724890508E-3</v>
      </c>
      <c r="O1133" s="1137">
        <f t="shared" si="92"/>
        <v>5.2087551130465962E-3</v>
      </c>
      <c r="P1133" s="1138"/>
    </row>
    <row r="1134" spans="6:16" x14ac:dyDescent="0.2">
      <c r="F1134" s="1137">
        <f t="shared" si="91"/>
        <v>6.0670523937095969E-3</v>
      </c>
      <c r="G1134" s="1138"/>
      <c r="H1134" s="520">
        <v>8215.7800000000007</v>
      </c>
      <c r="I1134" s="512">
        <v>42528</v>
      </c>
      <c r="J1134" s="254">
        <f t="shared" si="88"/>
        <v>6.0984719531520515E-3</v>
      </c>
      <c r="L1134" s="251">
        <f t="shared" si="89"/>
        <v>42528</v>
      </c>
      <c r="M1134" s="513">
        <v>57.25</v>
      </c>
      <c r="N1134" s="254">
        <f t="shared" si="90"/>
        <v>8.8105726872247381E-3</v>
      </c>
      <c r="O1134" s="1137">
        <f t="shared" si="92"/>
        <v>8.7791531277822844E-3</v>
      </c>
      <c r="P1134" s="1138"/>
    </row>
    <row r="1135" spans="6:16" x14ac:dyDescent="0.2">
      <c r="F1135" s="1137">
        <f t="shared" si="91"/>
        <v>2.1260592093956402E-3</v>
      </c>
      <c r="G1135" s="1138"/>
      <c r="H1135" s="520">
        <v>8165.98</v>
      </c>
      <c r="I1135" s="512">
        <v>42527</v>
      </c>
      <c r="J1135" s="254">
        <f t="shared" si="88"/>
        <v>2.1574787688380948E-3</v>
      </c>
      <c r="L1135" s="251">
        <f t="shared" si="89"/>
        <v>42527</v>
      </c>
      <c r="M1135" s="513">
        <v>56.75</v>
      </c>
      <c r="N1135" s="254">
        <f t="shared" si="90"/>
        <v>8.818342151675207E-4</v>
      </c>
      <c r="O1135" s="1137">
        <f t="shared" si="92"/>
        <v>8.5041465572506623E-4</v>
      </c>
      <c r="P1135" s="1138"/>
    </row>
    <row r="1136" spans="6:16" x14ac:dyDescent="0.2">
      <c r="F1136" s="1137">
        <f t="shared" si="91"/>
        <v>-7.0288920850401356E-3</v>
      </c>
      <c r="G1136" s="1138"/>
      <c r="H1136" s="520">
        <v>8148.4</v>
      </c>
      <c r="I1136" s="512">
        <v>42524</v>
      </c>
      <c r="J1136" s="254">
        <f t="shared" si="88"/>
        <v>-6.9974725255976811E-3</v>
      </c>
      <c r="L1136" s="251">
        <f t="shared" si="89"/>
        <v>42524</v>
      </c>
      <c r="M1136" s="513">
        <v>56.7</v>
      </c>
      <c r="N1136" s="254">
        <f t="shared" si="90"/>
        <v>1.7040358744394579E-2</v>
      </c>
      <c r="O1136" s="1137">
        <f t="shared" si="92"/>
        <v>1.7008939184952124E-2</v>
      </c>
      <c r="P1136" s="1138"/>
    </row>
    <row r="1137" spans="6:16" x14ac:dyDescent="0.2">
      <c r="F1137" s="1137">
        <f t="shared" si="91"/>
        <v>2.4473447966834741E-3</v>
      </c>
      <c r="G1137" s="1138"/>
      <c r="H1137" s="520">
        <v>8205.82</v>
      </c>
      <c r="I1137" s="512">
        <v>42523</v>
      </c>
      <c r="J1137" s="254">
        <f t="shared" si="88"/>
        <v>2.4787643561259287E-3</v>
      </c>
      <c r="L1137" s="251">
        <f t="shared" si="89"/>
        <v>42523</v>
      </c>
      <c r="M1137" s="513">
        <v>55.75</v>
      </c>
      <c r="N1137" s="254">
        <f t="shared" si="90"/>
        <v>0</v>
      </c>
      <c r="O1137" s="1137">
        <f t="shared" si="92"/>
        <v>-3.1419559442454485E-5</v>
      </c>
      <c r="P1137" s="1138"/>
    </row>
    <row r="1138" spans="6:16" x14ac:dyDescent="0.2">
      <c r="F1138" s="1137">
        <f t="shared" si="91"/>
        <v>-3.790964470729837E-3</v>
      </c>
      <c r="G1138" s="1138"/>
      <c r="H1138" s="520">
        <v>8185.53</v>
      </c>
      <c r="I1138" s="512">
        <v>42522</v>
      </c>
      <c r="J1138" s="254">
        <f t="shared" si="88"/>
        <v>-3.7595449112873824E-3</v>
      </c>
      <c r="L1138" s="251">
        <f t="shared" si="89"/>
        <v>42522</v>
      </c>
      <c r="M1138" s="513">
        <v>55.75</v>
      </c>
      <c r="N1138" s="254">
        <f t="shared" si="90"/>
        <v>9.9637681159419067E-3</v>
      </c>
      <c r="O1138" s="1137">
        <f t="shared" si="92"/>
        <v>9.932348556499453E-3</v>
      </c>
      <c r="P1138" s="1138"/>
    </row>
    <row r="1139" spans="6:16" x14ac:dyDescent="0.2">
      <c r="F1139" s="1137">
        <f t="shared" si="91"/>
        <v>-7.4500304755883836E-3</v>
      </c>
      <c r="G1139" s="1138"/>
      <c r="H1139" s="520">
        <v>8216.42</v>
      </c>
      <c r="I1139" s="512">
        <v>42521</v>
      </c>
      <c r="J1139" s="254">
        <f t="shared" si="88"/>
        <v>-7.418610916145929E-3</v>
      </c>
      <c r="L1139" s="251">
        <f t="shared" si="89"/>
        <v>42521</v>
      </c>
      <c r="M1139" s="513">
        <v>55.2</v>
      </c>
      <c r="N1139" s="254">
        <f t="shared" si="90"/>
        <v>4.5495905368517775E-3</v>
      </c>
      <c r="O1139" s="1137">
        <f t="shared" si="92"/>
        <v>4.5181709774093229E-3</v>
      </c>
      <c r="P1139" s="1138"/>
    </row>
    <row r="1140" spans="6:16" x14ac:dyDescent="0.2">
      <c r="F1140" s="1137">
        <f t="shared" si="91"/>
        <v>-1.7944690803923099E-3</v>
      </c>
      <c r="G1140" s="1138"/>
      <c r="H1140" s="520">
        <v>8277.83</v>
      </c>
      <c r="I1140" s="512">
        <v>42520</v>
      </c>
      <c r="J1140" s="254">
        <f t="shared" si="88"/>
        <v>-1.7630495209498553E-3</v>
      </c>
      <c r="L1140" s="251">
        <f t="shared" si="89"/>
        <v>42520</v>
      </c>
      <c r="M1140" s="513">
        <v>54.95</v>
      </c>
      <c r="N1140" s="254">
        <f t="shared" si="90"/>
        <v>-9.0909090909085943E-4</v>
      </c>
      <c r="O1140" s="1137">
        <f t="shared" si="92"/>
        <v>-9.405104685333139E-4</v>
      </c>
      <c r="P1140" s="1138"/>
    </row>
    <row r="1141" spans="6:16" x14ac:dyDescent="0.2">
      <c r="F1141" s="1137">
        <f t="shared" si="91"/>
        <v>7.611768707230974E-3</v>
      </c>
      <c r="G1141" s="1138"/>
      <c r="H1141" s="520">
        <v>8292.4500000000007</v>
      </c>
      <c r="I1141" s="512">
        <v>42517</v>
      </c>
      <c r="J1141" s="254">
        <f t="shared" si="88"/>
        <v>7.6431882666734285E-3</v>
      </c>
      <c r="L1141" s="251">
        <f t="shared" si="89"/>
        <v>42517</v>
      </c>
      <c r="M1141" s="513">
        <v>55</v>
      </c>
      <c r="N1141" s="254">
        <f t="shared" si="90"/>
        <v>0</v>
      </c>
      <c r="O1141" s="1137">
        <f t="shared" si="92"/>
        <v>-3.1419559442454485E-5</v>
      </c>
      <c r="P1141" s="1138"/>
    </row>
    <row r="1142" spans="6:16" x14ac:dyDescent="0.2">
      <c r="F1142" s="1137">
        <f t="shared" si="91"/>
        <v>7.5521942516969124E-3</v>
      </c>
      <c r="G1142" s="1138"/>
      <c r="H1142" s="520">
        <v>8229.5499999999993</v>
      </c>
      <c r="I1142" s="512">
        <v>42516</v>
      </c>
      <c r="J1142" s="254">
        <f t="shared" si="88"/>
        <v>7.5836138111393669E-3</v>
      </c>
      <c r="L1142" s="251">
        <f t="shared" si="89"/>
        <v>42516</v>
      </c>
      <c r="M1142" s="513">
        <v>55</v>
      </c>
      <c r="N1142" s="254">
        <f t="shared" si="90"/>
        <v>6.4043915827995956E-3</v>
      </c>
      <c r="O1142" s="1137">
        <f t="shared" si="92"/>
        <v>6.3729720233571411E-3</v>
      </c>
      <c r="P1142" s="1138"/>
    </row>
    <row r="1143" spans="6:16" x14ac:dyDescent="0.2">
      <c r="F1143" s="1137">
        <f t="shared" si="91"/>
        <v>5.1831956396161819E-3</v>
      </c>
      <c r="G1143" s="1138"/>
      <c r="H1143" s="520">
        <v>8167.61</v>
      </c>
      <c r="I1143" s="512">
        <v>42515</v>
      </c>
      <c r="J1143" s="254">
        <f t="shared" si="88"/>
        <v>5.2146151990586365E-3</v>
      </c>
      <c r="L1143" s="251">
        <f t="shared" si="89"/>
        <v>42515</v>
      </c>
      <c r="M1143" s="513">
        <v>54.65</v>
      </c>
      <c r="N1143" s="254">
        <f t="shared" si="90"/>
        <v>-3.6463081130355679E-3</v>
      </c>
      <c r="O1143" s="1137">
        <f t="shared" si="92"/>
        <v>-3.6777276724780225E-3</v>
      </c>
      <c r="P1143" s="1138"/>
    </row>
    <row r="1144" spans="6:16" x14ac:dyDescent="0.2">
      <c r="F1144" s="1137">
        <f t="shared" si="91"/>
        <v>1.0764180592825539E-2</v>
      </c>
      <c r="G1144" s="1138"/>
      <c r="H1144" s="520">
        <v>8125.24</v>
      </c>
      <c r="I1144" s="512">
        <v>42514</v>
      </c>
      <c r="J1144" s="254">
        <f t="shared" si="88"/>
        <v>1.0795600152267992E-2</v>
      </c>
      <c r="L1144" s="251">
        <f t="shared" si="89"/>
        <v>42514</v>
      </c>
      <c r="M1144" s="513">
        <v>54.85</v>
      </c>
      <c r="N1144" s="254">
        <f t="shared" si="90"/>
        <v>-5.4397098821395984E-3</v>
      </c>
      <c r="O1144" s="1137">
        <f t="shared" si="92"/>
        <v>-5.471129441582053E-3</v>
      </c>
      <c r="P1144" s="1138"/>
    </row>
    <row r="1145" spans="6:16" x14ac:dyDescent="0.2">
      <c r="F1145" s="1137">
        <f t="shared" si="91"/>
        <v>5.1153174643030078E-3</v>
      </c>
      <c r="G1145" s="1138"/>
      <c r="H1145" s="520">
        <v>8038.46</v>
      </c>
      <c r="I1145" s="512">
        <v>42513</v>
      </c>
      <c r="J1145" s="254">
        <f t="shared" si="88"/>
        <v>5.1467370237454624E-3</v>
      </c>
      <c r="L1145" s="251">
        <f t="shared" si="89"/>
        <v>42513</v>
      </c>
      <c r="M1145" s="513">
        <v>55.15</v>
      </c>
      <c r="N1145" s="254">
        <f t="shared" si="90"/>
        <v>3.1805425631431072E-2</v>
      </c>
      <c r="O1145" s="1137">
        <f t="shared" si="92"/>
        <v>3.1774006071988617E-2</v>
      </c>
      <c r="P1145" s="1138"/>
    </row>
    <row r="1146" spans="6:16" x14ac:dyDescent="0.2">
      <c r="F1146" s="1137">
        <f t="shared" si="91"/>
        <v>1.1159925766454486E-2</v>
      </c>
      <c r="G1146" s="1138"/>
      <c r="H1146" s="520">
        <v>7997.3</v>
      </c>
      <c r="I1146" s="512">
        <v>42510</v>
      </c>
      <c r="J1146" s="254">
        <f t="shared" si="88"/>
        <v>1.119134532589694E-2</v>
      </c>
      <c r="L1146" s="251">
        <f t="shared" si="89"/>
        <v>42510</v>
      </c>
      <c r="M1146" s="513">
        <v>53.45</v>
      </c>
      <c r="N1146" s="254">
        <f t="shared" si="90"/>
        <v>2.6897214217099119E-2</v>
      </c>
      <c r="O1146" s="1137">
        <f t="shared" si="92"/>
        <v>2.6865794657656664E-2</v>
      </c>
      <c r="P1146" s="1138"/>
    </row>
    <row r="1147" spans="6:16" x14ac:dyDescent="0.2">
      <c r="F1147" s="1137">
        <f t="shared" si="91"/>
        <v>-8.2005406829035853E-3</v>
      </c>
      <c r="G1147" s="1138"/>
      <c r="H1147" s="520">
        <v>7908.79</v>
      </c>
      <c r="I1147" s="512">
        <v>42509</v>
      </c>
      <c r="J1147" s="254">
        <f t="shared" si="88"/>
        <v>-8.1691211234611316E-3</v>
      </c>
      <c r="L1147" s="251">
        <f t="shared" si="89"/>
        <v>42509</v>
      </c>
      <c r="M1147" s="513">
        <v>52.05</v>
      </c>
      <c r="N1147" s="254">
        <f t="shared" si="90"/>
        <v>-7.6263107721640244E-3</v>
      </c>
      <c r="O1147" s="1137">
        <f t="shared" si="92"/>
        <v>-7.657730331606479E-3</v>
      </c>
      <c r="P1147" s="1138"/>
    </row>
    <row r="1148" spans="6:16" x14ac:dyDescent="0.2">
      <c r="F1148" s="1137">
        <f t="shared" si="91"/>
        <v>8.4638427224530011E-3</v>
      </c>
      <c r="G1148" s="1138"/>
      <c r="H1148" s="520">
        <v>7973.93</v>
      </c>
      <c r="I1148" s="512">
        <v>42508</v>
      </c>
      <c r="J1148" s="254">
        <f t="shared" si="88"/>
        <v>8.4952622818954548E-3</v>
      </c>
      <c r="L1148" s="251">
        <f t="shared" si="89"/>
        <v>42508</v>
      </c>
      <c r="M1148" s="513">
        <v>52.45</v>
      </c>
      <c r="N1148" s="254">
        <f t="shared" si="90"/>
        <v>-4.7438330170778142E-3</v>
      </c>
      <c r="O1148" s="1137">
        <f t="shared" si="92"/>
        <v>-4.7752525765202688E-3</v>
      </c>
      <c r="P1148" s="1138"/>
    </row>
    <row r="1149" spans="6:16" x14ac:dyDescent="0.2">
      <c r="F1149" s="1137">
        <f t="shared" si="91"/>
        <v>-2.4286660064708884E-3</v>
      </c>
      <c r="G1149" s="1138"/>
      <c r="H1149" s="520">
        <v>7906.76</v>
      </c>
      <c r="I1149" s="512">
        <v>42507</v>
      </c>
      <c r="J1149" s="254">
        <f t="shared" si="88"/>
        <v>-2.3972464470284338E-3</v>
      </c>
      <c r="L1149" s="251">
        <f t="shared" si="89"/>
        <v>42507</v>
      </c>
      <c r="M1149" s="513">
        <v>52.7</v>
      </c>
      <c r="N1149" s="254">
        <f t="shared" si="90"/>
        <v>7.6481835564055078E-3</v>
      </c>
      <c r="O1149" s="1137">
        <f t="shared" si="92"/>
        <v>7.6167639969630533E-3</v>
      </c>
      <c r="P1149" s="1138"/>
    </row>
    <row r="1150" spans="6:16" x14ac:dyDescent="0.2">
      <c r="F1150" s="1137">
        <f t="shared" si="91"/>
        <v>5.0295440652778503E-3</v>
      </c>
      <c r="G1150" s="1138"/>
      <c r="H1150" s="520">
        <v>7925.76</v>
      </c>
      <c r="I1150" s="512">
        <v>42503</v>
      </c>
      <c r="J1150" s="254">
        <f t="shared" si="88"/>
        <v>5.0609636247203049E-3</v>
      </c>
      <c r="L1150" s="251">
        <f t="shared" si="89"/>
        <v>42503</v>
      </c>
      <c r="M1150" s="513">
        <v>52.3</v>
      </c>
      <c r="N1150" s="254">
        <f t="shared" si="90"/>
        <v>-3.8095238095238182E-3</v>
      </c>
      <c r="O1150" s="1137">
        <f t="shared" si="92"/>
        <v>-3.8409433689662728E-3</v>
      </c>
      <c r="P1150" s="1138"/>
    </row>
    <row r="1151" spans="6:16" x14ac:dyDescent="0.2">
      <c r="F1151" s="1137">
        <f t="shared" si="91"/>
        <v>-6.586066392097952E-3</v>
      </c>
      <c r="G1151" s="1138"/>
      <c r="H1151" s="520">
        <v>7885.85</v>
      </c>
      <c r="I1151" s="512">
        <v>42502</v>
      </c>
      <c r="J1151" s="254">
        <f t="shared" si="88"/>
        <v>-6.5546468326554974E-3</v>
      </c>
      <c r="L1151" s="251">
        <f t="shared" si="89"/>
        <v>42502</v>
      </c>
      <c r="M1151" s="513">
        <v>52.5</v>
      </c>
      <c r="N1151" s="254">
        <f t="shared" si="90"/>
        <v>3.8240917782026429E-3</v>
      </c>
      <c r="O1151" s="1137">
        <f t="shared" si="92"/>
        <v>3.7926722187601883E-3</v>
      </c>
      <c r="P1151" s="1138"/>
    </row>
    <row r="1152" spans="6:16" x14ac:dyDescent="0.2">
      <c r="F1152" s="1137">
        <f t="shared" si="91"/>
        <v>3.4035435664754685E-4</v>
      </c>
      <c r="G1152" s="1138"/>
      <c r="H1152" s="520">
        <v>7937.88</v>
      </c>
      <c r="I1152" s="512">
        <v>42501</v>
      </c>
      <c r="J1152" s="254">
        <f t="shared" si="88"/>
        <v>3.7177391609000132E-4</v>
      </c>
      <c r="L1152" s="251">
        <f t="shared" si="89"/>
        <v>42501</v>
      </c>
      <c r="M1152" s="513">
        <v>52.3</v>
      </c>
      <c r="N1152" s="254">
        <f t="shared" si="90"/>
        <v>6.7372473532241184E-3</v>
      </c>
      <c r="O1152" s="1137">
        <f t="shared" si="92"/>
        <v>6.7058277937816638E-3</v>
      </c>
      <c r="P1152" s="1138"/>
    </row>
    <row r="1153" spans="6:16" x14ac:dyDescent="0.2">
      <c r="F1153" s="1137">
        <f t="shared" si="91"/>
        <v>1.4023622325809186E-2</v>
      </c>
      <c r="G1153" s="1138"/>
      <c r="H1153" s="520">
        <v>7934.93</v>
      </c>
      <c r="I1153" s="512">
        <v>42500</v>
      </c>
      <c r="J1153" s="254">
        <f t="shared" si="88"/>
        <v>1.405504188525164E-2</v>
      </c>
      <c r="L1153" s="251">
        <f t="shared" si="89"/>
        <v>42500</v>
      </c>
      <c r="M1153" s="513">
        <v>51.95</v>
      </c>
      <c r="N1153" s="254">
        <f t="shared" si="90"/>
        <v>-9.6153846153845812E-4</v>
      </c>
      <c r="O1153" s="1137">
        <f t="shared" si="92"/>
        <v>-9.929580209809127E-4</v>
      </c>
      <c r="P1153" s="1138"/>
    </row>
    <row r="1154" spans="6:16" x14ac:dyDescent="0.2">
      <c r="F1154" s="1137">
        <f t="shared" si="91"/>
        <v>1.151907426133421E-2</v>
      </c>
      <c r="G1154" s="1138"/>
      <c r="H1154" s="520">
        <v>7824.95</v>
      </c>
      <c r="I1154" s="512">
        <v>42499</v>
      </c>
      <c r="J1154" s="254">
        <f t="shared" si="88"/>
        <v>1.1550493820776664E-2</v>
      </c>
      <c r="L1154" s="251">
        <f t="shared" si="89"/>
        <v>42499</v>
      </c>
      <c r="M1154" s="513">
        <v>52</v>
      </c>
      <c r="N1154" s="254">
        <f t="shared" si="90"/>
        <v>2.0608439646712329E-2</v>
      </c>
      <c r="O1154" s="1137">
        <f t="shared" si="92"/>
        <v>2.0577020087269873E-2</v>
      </c>
      <c r="P1154" s="1138"/>
    </row>
    <row r="1155" spans="6:16" x14ac:dyDescent="0.2">
      <c r="F1155" s="1137">
        <f t="shared" si="91"/>
        <v>-2.2718512907660545E-3</v>
      </c>
      <c r="G1155" s="1138"/>
      <c r="H1155" s="520">
        <v>7735.6</v>
      </c>
      <c r="I1155" s="512">
        <v>42496</v>
      </c>
      <c r="J1155" s="254">
        <f t="shared" si="88"/>
        <v>-2.2404317313236E-3</v>
      </c>
      <c r="L1155" s="251">
        <f t="shared" si="89"/>
        <v>42496</v>
      </c>
      <c r="M1155" s="513">
        <v>50.95</v>
      </c>
      <c r="N1155" s="254">
        <f t="shared" si="90"/>
        <v>-8.7548638132295409E-3</v>
      </c>
      <c r="O1155" s="1137">
        <f t="shared" si="92"/>
        <v>-8.7862833726719946E-3</v>
      </c>
      <c r="P1155" s="1138"/>
    </row>
    <row r="1156" spans="6:16" x14ac:dyDescent="0.2">
      <c r="F1156" s="1137">
        <f t="shared" si="91"/>
        <v>-1.2477475187744709E-2</v>
      </c>
      <c r="G1156" s="1138"/>
      <c r="H1156" s="520">
        <v>7752.97</v>
      </c>
      <c r="I1156" s="512">
        <v>42494</v>
      </c>
      <c r="J1156" s="254">
        <f t="shared" si="88"/>
        <v>-1.2446055628302255E-2</v>
      </c>
      <c r="L1156" s="251">
        <f t="shared" si="89"/>
        <v>42494</v>
      </c>
      <c r="M1156" s="513">
        <v>51.4</v>
      </c>
      <c r="N1156" s="254">
        <f t="shared" si="90"/>
        <v>8.8321884200195377E-3</v>
      </c>
      <c r="O1156" s="1137">
        <f t="shared" si="92"/>
        <v>8.800768860577084E-3</v>
      </c>
      <c r="P1156" s="1138"/>
    </row>
    <row r="1157" spans="6:16" x14ac:dyDescent="0.2">
      <c r="F1157" s="1137">
        <f t="shared" si="91"/>
        <v>-1.5961936483344805E-2</v>
      </c>
      <c r="G1157" s="1138"/>
      <c r="H1157" s="520">
        <v>7850.68</v>
      </c>
      <c r="I1157" s="512">
        <v>42493</v>
      </c>
      <c r="J1157" s="254">
        <f t="shared" si="88"/>
        <v>-1.5930516923902349E-2</v>
      </c>
      <c r="L1157" s="251">
        <f t="shared" si="89"/>
        <v>42493</v>
      </c>
      <c r="M1157" s="513">
        <v>50.95</v>
      </c>
      <c r="N1157" s="254">
        <f t="shared" si="90"/>
        <v>1.5952143569292199E-2</v>
      </c>
      <c r="O1157" s="1137">
        <f t="shared" si="92"/>
        <v>1.5920724009849743E-2</v>
      </c>
      <c r="P1157" s="1138"/>
    </row>
    <row r="1158" spans="6:16" x14ac:dyDescent="0.2">
      <c r="F1158" s="1137">
        <f t="shared" si="91"/>
        <v>2.0939816225921818E-3</v>
      </c>
      <c r="G1158" s="1138"/>
      <c r="H1158" s="520">
        <v>7977.77</v>
      </c>
      <c r="I1158" s="512">
        <v>42492</v>
      </c>
      <c r="J1158" s="254">
        <f t="shared" si="88"/>
        <v>2.1254011820346363E-3</v>
      </c>
      <c r="L1158" s="251">
        <f t="shared" si="89"/>
        <v>42492</v>
      </c>
      <c r="M1158" s="513">
        <v>50.15</v>
      </c>
      <c r="N1158" s="254">
        <f t="shared" si="90"/>
        <v>8.040201005025116E-3</v>
      </c>
      <c r="O1158" s="1137">
        <f t="shared" si="92"/>
        <v>8.0087814455826623E-3</v>
      </c>
      <c r="P1158" s="1138"/>
    </row>
    <row r="1159" spans="6:16" x14ac:dyDescent="0.2">
      <c r="F1159" s="1137">
        <f t="shared" si="91"/>
        <v>-1.7140052029421746E-2</v>
      </c>
      <c r="G1159" s="1138"/>
      <c r="H1159" s="520">
        <v>7960.85</v>
      </c>
      <c r="I1159" s="512">
        <v>42489</v>
      </c>
      <c r="J1159" s="254">
        <f t="shared" si="88"/>
        <v>-1.710863246997929E-2</v>
      </c>
      <c r="L1159" s="251">
        <f t="shared" si="89"/>
        <v>42489</v>
      </c>
      <c r="M1159" s="513">
        <v>49.75</v>
      </c>
      <c r="N1159" s="254">
        <f t="shared" si="90"/>
        <v>-6.98602794411185E-3</v>
      </c>
      <c r="O1159" s="1137">
        <f t="shared" si="92"/>
        <v>-7.0174475035543046E-3</v>
      </c>
      <c r="P1159" s="1138"/>
    </row>
    <row r="1160" spans="6:16" x14ac:dyDescent="0.2">
      <c r="F1160" s="1137">
        <f t="shared" si="91"/>
        <v>2.9710691287494859E-4</v>
      </c>
      <c r="G1160" s="1138"/>
      <c r="H1160" s="520">
        <v>8099.42</v>
      </c>
      <c r="I1160" s="512">
        <v>42488</v>
      </c>
      <c r="J1160" s="254">
        <f t="shared" si="88"/>
        <v>3.2852647231740306E-4</v>
      </c>
      <c r="L1160" s="251">
        <f t="shared" si="89"/>
        <v>42488</v>
      </c>
      <c r="M1160" s="513">
        <v>50.1</v>
      </c>
      <c r="N1160" s="254">
        <f t="shared" si="90"/>
        <v>-1.1834319526627279E-2</v>
      </c>
      <c r="O1160" s="1137">
        <f t="shared" si="92"/>
        <v>-1.1865739086069733E-2</v>
      </c>
      <c r="P1160" s="1138"/>
    </row>
    <row r="1161" spans="6:16" x14ac:dyDescent="0.2">
      <c r="F1161" s="1137">
        <f t="shared" si="91"/>
        <v>2.392693806856098E-3</v>
      </c>
      <c r="G1161" s="1138"/>
      <c r="H1161" s="520">
        <v>8096.76</v>
      </c>
      <c r="I1161" s="512">
        <v>42487</v>
      </c>
      <c r="J1161" s="254">
        <f t="shared" si="88"/>
        <v>2.4241133662985526E-3</v>
      </c>
      <c r="L1161" s="251">
        <f t="shared" si="89"/>
        <v>42487</v>
      </c>
      <c r="M1161" s="513">
        <v>50.7</v>
      </c>
      <c r="N1161" s="254">
        <f t="shared" si="90"/>
        <v>3.9603960396039639E-3</v>
      </c>
      <c r="O1161" s="1137">
        <f t="shared" si="92"/>
        <v>3.9289764801615093E-3</v>
      </c>
      <c r="P1161" s="1138"/>
    </row>
    <row r="1162" spans="6:16" x14ac:dyDescent="0.2">
      <c r="F1162" s="1137">
        <f t="shared" si="91"/>
        <v>-3.6682016514381812E-4</v>
      </c>
      <c r="G1162" s="1138"/>
      <c r="H1162" s="520">
        <v>8077.18</v>
      </c>
      <c r="I1162" s="512">
        <v>42486</v>
      </c>
      <c r="J1162" s="254">
        <f t="shared" si="88"/>
        <v>-3.3540060570136365E-4</v>
      </c>
      <c r="L1162" s="251">
        <f t="shared" si="89"/>
        <v>42486</v>
      </c>
      <c r="M1162" s="513">
        <v>50.5</v>
      </c>
      <c r="N1162" s="254">
        <f t="shared" si="90"/>
        <v>-4.9261083743842304E-3</v>
      </c>
      <c r="O1162" s="1137">
        <f t="shared" si="92"/>
        <v>-4.957527933826685E-3</v>
      </c>
      <c r="P1162" s="1138"/>
    </row>
    <row r="1163" spans="6:16" x14ac:dyDescent="0.2">
      <c r="F1163" s="1137">
        <f t="shared" si="91"/>
        <v>-3.6753209879010615E-3</v>
      </c>
      <c r="G1163" s="1138"/>
      <c r="H1163" s="520">
        <v>8079.89</v>
      </c>
      <c r="I1163" s="512">
        <v>42485</v>
      </c>
      <c r="J1163" s="254">
        <f t="shared" si="88"/>
        <v>-3.6439014284586069E-3</v>
      </c>
      <c r="L1163" s="251">
        <f t="shared" si="89"/>
        <v>42485</v>
      </c>
      <c r="M1163" s="513">
        <v>50.75</v>
      </c>
      <c r="N1163" s="254">
        <f t="shared" si="90"/>
        <v>-1.3605442176870763E-2</v>
      </c>
      <c r="O1163" s="1137">
        <f t="shared" si="92"/>
        <v>-1.3636861736313217E-2</v>
      </c>
      <c r="P1163" s="1138"/>
    </row>
    <row r="1164" spans="6:16" x14ac:dyDescent="0.2">
      <c r="F1164" s="1137">
        <f t="shared" si="91"/>
        <v>-6.1873057656249139E-3</v>
      </c>
      <c r="G1164" s="1138"/>
      <c r="H1164" s="520">
        <v>8109.44</v>
      </c>
      <c r="I1164" s="512">
        <v>42482</v>
      </c>
      <c r="J1164" s="254">
        <f t="shared" si="88"/>
        <v>-6.1558862061824593E-3</v>
      </c>
      <c r="L1164" s="251">
        <f t="shared" si="89"/>
        <v>42482</v>
      </c>
      <c r="M1164" s="513">
        <v>51.45</v>
      </c>
      <c r="N1164" s="254">
        <f t="shared" si="90"/>
        <v>7.8354554358472939E-3</v>
      </c>
      <c r="O1164" s="1137">
        <f t="shared" si="92"/>
        <v>7.8040358764048393E-3</v>
      </c>
      <c r="P1164" s="1138"/>
    </row>
    <row r="1165" spans="6:16" x14ac:dyDescent="0.2">
      <c r="F1165" s="1137">
        <f t="shared" si="91"/>
        <v>-3.3659865604209046E-3</v>
      </c>
      <c r="G1165" s="1138"/>
      <c r="H1165" s="520">
        <v>8159.67</v>
      </c>
      <c r="I1165" s="512">
        <v>42481</v>
      </c>
      <c r="J1165" s="254">
        <f t="shared" si="88"/>
        <v>-3.33456700097845E-3</v>
      </c>
      <c r="L1165" s="251">
        <f t="shared" si="89"/>
        <v>42481</v>
      </c>
      <c r="M1165" s="513">
        <v>51.05</v>
      </c>
      <c r="N1165" s="254">
        <f t="shared" si="90"/>
        <v>-7.7745383867834361E-3</v>
      </c>
      <c r="O1165" s="1137">
        <f t="shared" si="92"/>
        <v>-7.8059579462258907E-3</v>
      </c>
      <c r="P1165" s="1138"/>
    </row>
    <row r="1166" spans="6:16" x14ac:dyDescent="0.2">
      <c r="F1166" s="1137">
        <f t="shared" si="91"/>
        <v>4.1647054338113812E-3</v>
      </c>
      <c r="G1166" s="1138"/>
      <c r="H1166" s="520">
        <v>8186.97</v>
      </c>
      <c r="I1166" s="512">
        <v>42480</v>
      </c>
      <c r="J1166" s="254">
        <f t="shared" si="88"/>
        <v>4.1961249932538358E-3</v>
      </c>
      <c r="L1166" s="251">
        <f t="shared" si="89"/>
        <v>42480</v>
      </c>
      <c r="M1166" s="513">
        <v>51.45</v>
      </c>
      <c r="N1166" s="254">
        <f t="shared" si="90"/>
        <v>-2.9245283018867863E-2</v>
      </c>
      <c r="O1166" s="1137">
        <f t="shared" si="92"/>
        <v>-2.9276702578310318E-2</v>
      </c>
      <c r="P1166" s="1138"/>
    </row>
    <row r="1167" spans="6:16" x14ac:dyDescent="0.2">
      <c r="F1167" s="1137">
        <f t="shared" si="91"/>
        <v>1.3413624320924371E-2</v>
      </c>
      <c r="G1167" s="1138"/>
      <c r="H1167" s="520">
        <v>8152.76</v>
      </c>
      <c r="I1167" s="512">
        <v>42479</v>
      </c>
      <c r="J1167" s="254">
        <f t="shared" si="88"/>
        <v>1.3445043880366825E-2</v>
      </c>
      <c r="L1167" s="251">
        <f t="shared" si="89"/>
        <v>42479</v>
      </c>
      <c r="M1167" s="513">
        <v>53</v>
      </c>
      <c r="N1167" s="254">
        <f t="shared" si="90"/>
        <v>4.7393364928909332E-3</v>
      </c>
      <c r="O1167" s="1137">
        <f t="shared" si="92"/>
        <v>4.7079169334484786E-3</v>
      </c>
      <c r="P1167" s="1138"/>
    </row>
    <row r="1168" spans="6:16" x14ac:dyDescent="0.2">
      <c r="F1168" s="1137">
        <f t="shared" si="91"/>
        <v>3.7117491576487841E-3</v>
      </c>
      <c r="G1168" s="1138"/>
      <c r="H1168" s="520">
        <v>8044.6</v>
      </c>
      <c r="I1168" s="512">
        <v>42478</v>
      </c>
      <c r="J1168" s="254">
        <f t="shared" si="88"/>
        <v>3.7431687170912387E-3</v>
      </c>
      <c r="L1168" s="251">
        <f t="shared" si="89"/>
        <v>42478</v>
      </c>
      <c r="M1168" s="513">
        <v>52.75</v>
      </c>
      <c r="N1168" s="254">
        <f t="shared" si="90"/>
        <v>5.7197330791229906E-3</v>
      </c>
      <c r="O1168" s="1137">
        <f t="shared" si="92"/>
        <v>5.688313519680536E-3</v>
      </c>
      <c r="P1168" s="1138"/>
    </row>
    <row r="1169" spans="6:16" x14ac:dyDescent="0.2">
      <c r="F1169" s="1137">
        <f t="shared" si="91"/>
        <v>-8.293250575100293E-4</v>
      </c>
      <c r="G1169" s="1138"/>
      <c r="H1169" s="520">
        <v>8014.6</v>
      </c>
      <c r="I1169" s="512">
        <v>42475</v>
      </c>
      <c r="J1169" s="254">
        <f t="shared" si="88"/>
        <v>-7.9790549806757483E-4</v>
      </c>
      <c r="L1169" s="251">
        <f t="shared" si="89"/>
        <v>42475</v>
      </c>
      <c r="M1169" s="513">
        <v>52.45</v>
      </c>
      <c r="N1169" s="254">
        <f t="shared" si="90"/>
        <v>-1.5947467166979257E-2</v>
      </c>
      <c r="O1169" s="1137">
        <f t="shared" si="92"/>
        <v>-1.5978886726421712E-2</v>
      </c>
      <c r="P1169" s="1138"/>
    </row>
    <row r="1170" spans="6:16" x14ac:dyDescent="0.2">
      <c r="F1170" s="1137">
        <f t="shared" si="91"/>
        <v>1.0875434845268166E-2</v>
      </c>
      <c r="G1170" s="1138"/>
      <c r="H1170" s="520">
        <v>8021</v>
      </c>
      <c r="I1170" s="512">
        <v>42474</v>
      </c>
      <c r="J1170" s="254">
        <f t="shared" si="88"/>
        <v>1.090685440471062E-2</v>
      </c>
      <c r="L1170" s="251">
        <f t="shared" si="89"/>
        <v>42474</v>
      </c>
      <c r="M1170" s="513">
        <v>53.3</v>
      </c>
      <c r="N1170" s="254">
        <f t="shared" si="90"/>
        <v>9.3896713615015948E-4</v>
      </c>
      <c r="O1170" s="1137">
        <f t="shared" si="92"/>
        <v>9.07547576707705E-4</v>
      </c>
      <c r="P1170" s="1138"/>
    </row>
    <row r="1171" spans="6:16" x14ac:dyDescent="0.2">
      <c r="F1171" s="1137">
        <f t="shared" si="91"/>
        <v>1.8672408254412923E-2</v>
      </c>
      <c r="G1171" s="1138"/>
      <c r="H1171" s="520">
        <v>7934.46</v>
      </c>
      <c r="I1171" s="512">
        <v>42473</v>
      </c>
      <c r="J1171" s="254">
        <f t="shared" si="88"/>
        <v>1.8703827813855378E-2</v>
      </c>
      <c r="L1171" s="251">
        <f t="shared" si="89"/>
        <v>42473</v>
      </c>
      <c r="M1171" s="513">
        <v>53.25</v>
      </c>
      <c r="N1171" s="254">
        <f t="shared" si="90"/>
        <v>3.1976744186046568E-2</v>
      </c>
      <c r="O1171" s="1137">
        <f t="shared" si="92"/>
        <v>3.1945324626604113E-2</v>
      </c>
      <c r="P1171" s="1138"/>
    </row>
    <row r="1172" spans="6:16" x14ac:dyDescent="0.2">
      <c r="F1172" s="1137">
        <f t="shared" si="91"/>
        <v>4.7676020593758342E-3</v>
      </c>
      <c r="G1172" s="1138"/>
      <c r="H1172" s="520">
        <v>7788.78</v>
      </c>
      <c r="I1172" s="512">
        <v>42472</v>
      </c>
      <c r="J1172" s="254">
        <f t="shared" si="88"/>
        <v>4.7990216188182888E-3</v>
      </c>
      <c r="L1172" s="251">
        <f t="shared" si="89"/>
        <v>42472</v>
      </c>
      <c r="M1172" s="513">
        <v>51.6</v>
      </c>
      <c r="N1172" s="254">
        <f t="shared" si="90"/>
        <v>7.8125E-3</v>
      </c>
      <c r="O1172" s="1137">
        <f t="shared" si="92"/>
        <v>7.7810804405575454E-3</v>
      </c>
      <c r="P1172" s="1138"/>
    </row>
    <row r="1173" spans="6:16" x14ac:dyDescent="0.2">
      <c r="F1173" s="1137">
        <f t="shared" si="91"/>
        <v>-8.4701247803877066E-3</v>
      </c>
      <c r="G1173" s="1138"/>
      <c r="H1173" s="520">
        <v>7751.58</v>
      </c>
      <c r="I1173" s="512">
        <v>42471</v>
      </c>
      <c r="J1173" s="254">
        <f t="shared" si="88"/>
        <v>-8.4387052209452529E-3</v>
      </c>
      <c r="L1173" s="251">
        <f t="shared" si="89"/>
        <v>42471</v>
      </c>
      <c r="M1173" s="513">
        <v>51.2</v>
      </c>
      <c r="N1173" s="254">
        <f t="shared" si="90"/>
        <v>-1.6330451488952846E-2</v>
      </c>
      <c r="O1173" s="1137">
        <f t="shared" si="92"/>
        <v>-1.6361871048395302E-2</v>
      </c>
      <c r="P1173" s="1138"/>
    </row>
    <row r="1174" spans="6:16" x14ac:dyDescent="0.2">
      <c r="F1174" s="1137">
        <f t="shared" si="91"/>
        <v>7.2095887702940545E-3</v>
      </c>
      <c r="G1174" s="1138"/>
      <c r="H1174" s="520">
        <v>7817.55</v>
      </c>
      <c r="I1174" s="512">
        <v>42468</v>
      </c>
      <c r="J1174" s="254">
        <f t="shared" si="88"/>
        <v>7.2410083297365091E-3</v>
      </c>
      <c r="L1174" s="251">
        <f t="shared" si="89"/>
        <v>42468</v>
      </c>
      <c r="M1174" s="513">
        <v>52.05</v>
      </c>
      <c r="N1174" s="254">
        <f t="shared" si="90"/>
        <v>8.720930232558155E-3</v>
      </c>
      <c r="O1174" s="1137">
        <f t="shared" si="92"/>
        <v>8.6895106731157013E-3</v>
      </c>
      <c r="P1174" s="1138"/>
    </row>
    <row r="1175" spans="6:16" x14ac:dyDescent="0.2">
      <c r="F1175" s="1137">
        <f t="shared" si="91"/>
        <v>-9.1707819725299247E-4</v>
      </c>
      <c r="G1175" s="1138"/>
      <c r="H1175" s="520">
        <v>7761.35</v>
      </c>
      <c r="I1175" s="512">
        <v>42467</v>
      </c>
      <c r="J1175" s="254">
        <f t="shared" si="88"/>
        <v>-8.85658637810538E-4</v>
      </c>
      <c r="L1175" s="251">
        <f t="shared" si="89"/>
        <v>42467</v>
      </c>
      <c r="M1175" s="513">
        <v>51.6</v>
      </c>
      <c r="N1175" s="254">
        <f t="shared" si="90"/>
        <v>-6.7372473532242294E-3</v>
      </c>
      <c r="O1175" s="1137">
        <f t="shared" si="92"/>
        <v>-6.768666912666684E-3</v>
      </c>
      <c r="P1175" s="1138"/>
    </row>
    <row r="1176" spans="6:16" x14ac:dyDescent="0.2">
      <c r="F1176" s="1137">
        <f t="shared" si="91"/>
        <v>1.2291237005147742E-2</v>
      </c>
      <c r="G1176" s="1138"/>
      <c r="H1176" s="520">
        <v>7768.23</v>
      </c>
      <c r="I1176" s="512">
        <v>42466</v>
      </c>
      <c r="J1176" s="254">
        <f t="shared" si="88"/>
        <v>1.2322656564590195E-2</v>
      </c>
      <c r="L1176" s="251">
        <f t="shared" si="89"/>
        <v>42466</v>
      </c>
      <c r="M1176" s="513">
        <v>51.95</v>
      </c>
      <c r="N1176" s="254">
        <f t="shared" si="90"/>
        <v>7.7594568380214834E-3</v>
      </c>
      <c r="O1176" s="1137">
        <f t="shared" si="92"/>
        <v>7.7280372785790289E-3</v>
      </c>
      <c r="P1176" s="1138"/>
    </row>
    <row r="1177" spans="6:16" x14ac:dyDescent="0.2">
      <c r="F1177" s="1137">
        <f t="shared" si="91"/>
        <v>-7.5510042362516979E-3</v>
      </c>
      <c r="G1177" s="1138"/>
      <c r="H1177" s="520">
        <v>7673.67</v>
      </c>
      <c r="I1177" s="512">
        <v>42465</v>
      </c>
      <c r="J1177" s="254">
        <f t="shared" si="88"/>
        <v>-7.5195846768092434E-3</v>
      </c>
      <c r="L1177" s="251">
        <f t="shared" si="89"/>
        <v>42465</v>
      </c>
      <c r="M1177" s="513">
        <v>51.55</v>
      </c>
      <c r="N1177" s="254">
        <f t="shared" si="90"/>
        <v>-2.089268755935425E-2</v>
      </c>
      <c r="O1177" s="1137">
        <f t="shared" si="92"/>
        <v>-2.0924107118796706E-2</v>
      </c>
      <c r="P1177" s="1138"/>
    </row>
    <row r="1178" spans="6:16" x14ac:dyDescent="0.2">
      <c r="F1178" s="1137">
        <f t="shared" si="91"/>
        <v>5.6225967821865322E-3</v>
      </c>
      <c r="G1178" s="1138"/>
      <c r="H1178" s="520">
        <v>7731.81</v>
      </c>
      <c r="I1178" s="512">
        <v>42464</v>
      </c>
      <c r="J1178" s="254">
        <f t="shared" si="88"/>
        <v>5.6540163416289868E-3</v>
      </c>
      <c r="L1178" s="251">
        <f t="shared" si="89"/>
        <v>42464</v>
      </c>
      <c r="M1178" s="513">
        <v>52.65</v>
      </c>
      <c r="N1178" s="254">
        <f t="shared" si="90"/>
        <v>9.5877277085330004E-3</v>
      </c>
      <c r="O1178" s="1137">
        <f t="shared" si="92"/>
        <v>9.5563081490905467E-3</v>
      </c>
      <c r="P1178" s="1138"/>
    </row>
    <row r="1179" spans="6:16" x14ac:dyDescent="0.2">
      <c r="F1179" s="1137">
        <f t="shared" si="91"/>
        <v>-1.5342854530990531E-2</v>
      </c>
      <c r="G1179" s="1138"/>
      <c r="H1179" s="520">
        <v>7688.34</v>
      </c>
      <c r="I1179" s="512">
        <v>42461</v>
      </c>
      <c r="J1179" s="254">
        <f t="shared" si="88"/>
        <v>-1.5311434971548077E-2</v>
      </c>
      <c r="L1179" s="251">
        <f t="shared" si="89"/>
        <v>42461</v>
      </c>
      <c r="M1179" s="513">
        <v>52.15</v>
      </c>
      <c r="N1179" s="254">
        <f t="shared" si="90"/>
        <v>-8.5551330798480096E-3</v>
      </c>
      <c r="O1179" s="1137">
        <f t="shared" si="92"/>
        <v>-8.5865526392904633E-3</v>
      </c>
      <c r="P1179" s="1138"/>
    </row>
    <row r="1180" spans="6:16" x14ac:dyDescent="0.2">
      <c r="F1180" s="1137">
        <f t="shared" si="91"/>
        <v>-4.77197032501779E-3</v>
      </c>
      <c r="G1180" s="1138"/>
      <c r="H1180" s="520">
        <v>7807.89</v>
      </c>
      <c r="I1180" s="512">
        <v>42460</v>
      </c>
      <c r="J1180" s="254">
        <f t="shared" si="88"/>
        <v>-4.7405507655753354E-3</v>
      </c>
      <c r="L1180" s="251">
        <f t="shared" si="89"/>
        <v>42460</v>
      </c>
      <c r="M1180" s="513">
        <v>52.6</v>
      </c>
      <c r="N1180" s="254">
        <f t="shared" si="90"/>
        <v>1.740812379110257E-2</v>
      </c>
      <c r="O1180" s="1137">
        <f t="shared" si="92"/>
        <v>1.7376704231660114E-2</v>
      </c>
      <c r="P1180" s="1138"/>
    </row>
    <row r="1181" spans="6:16" x14ac:dyDescent="0.2">
      <c r="F1181" s="1137">
        <f t="shared" si="91"/>
        <v>6.0511822500770177E-3</v>
      </c>
      <c r="G1181" s="1138"/>
      <c r="H1181" s="520">
        <v>7845.08</v>
      </c>
      <c r="I1181" s="512">
        <v>42459</v>
      </c>
      <c r="J1181" s="254">
        <f t="shared" ref="J1181:J1244" si="93">H1181/H1182-1</f>
        <v>6.0826018095194723E-3</v>
      </c>
      <c r="L1181" s="251">
        <f t="shared" ref="L1181:L1244" si="94">I1181</f>
        <v>42459</v>
      </c>
      <c r="M1181" s="513">
        <v>51.7</v>
      </c>
      <c r="N1181" s="254">
        <f t="shared" ref="N1181:N1244" si="95">M1181/M1182-1</f>
        <v>2.7833001988071704E-2</v>
      </c>
      <c r="O1181" s="1137">
        <f t="shared" si="92"/>
        <v>2.7801582428629248E-2</v>
      </c>
      <c r="P1181" s="1138"/>
    </row>
    <row r="1182" spans="6:16" x14ac:dyDescent="0.2">
      <c r="F1182" s="1137">
        <f t="shared" ref="F1182:F1245" si="96">J1182-$I$19</f>
        <v>2.8069539123755797E-3</v>
      </c>
      <c r="G1182" s="1138"/>
      <c r="H1182" s="520">
        <v>7797.65</v>
      </c>
      <c r="I1182" s="512">
        <v>42458</v>
      </c>
      <c r="J1182" s="254">
        <f t="shared" si="93"/>
        <v>2.8383734718180342E-3</v>
      </c>
      <c r="L1182" s="251">
        <f t="shared" si="94"/>
        <v>42458</v>
      </c>
      <c r="M1182" s="513">
        <v>50.3</v>
      </c>
      <c r="N1182" s="254">
        <f t="shared" si="95"/>
        <v>3.9920159680637557E-3</v>
      </c>
      <c r="O1182" s="1137">
        <f t="shared" ref="O1182:O1245" si="97">N1182-$I$19</f>
        <v>3.9605964086213011E-3</v>
      </c>
      <c r="P1182" s="1138"/>
    </row>
    <row r="1183" spans="6:16" x14ac:dyDescent="0.2">
      <c r="F1183" s="1137">
        <f t="shared" si="96"/>
        <v>-1.5077604430666898E-2</v>
      </c>
      <c r="G1183" s="1138"/>
      <c r="H1183" s="520">
        <v>7775.58</v>
      </c>
      <c r="I1183" s="512">
        <v>42453</v>
      </c>
      <c r="J1183" s="254">
        <f t="shared" si="93"/>
        <v>-1.5046184871224444E-2</v>
      </c>
      <c r="L1183" s="251">
        <f t="shared" si="94"/>
        <v>42453</v>
      </c>
      <c r="M1183" s="513">
        <v>50.1</v>
      </c>
      <c r="N1183" s="254">
        <f t="shared" si="95"/>
        <v>-3.9761431411530213E-3</v>
      </c>
      <c r="O1183" s="1137">
        <f t="shared" si="97"/>
        <v>-4.0075627005954758E-3</v>
      </c>
      <c r="P1183" s="1138"/>
    </row>
    <row r="1184" spans="6:16" x14ac:dyDescent="0.2">
      <c r="F1184" s="1137">
        <f t="shared" si="96"/>
        <v>5.2263968104612904E-3</v>
      </c>
      <c r="G1184" s="1138"/>
      <c r="H1184" s="520">
        <v>7894.36</v>
      </c>
      <c r="I1184" s="512">
        <v>42452</v>
      </c>
      <c r="J1184" s="254">
        <f t="shared" si="93"/>
        <v>5.257816369903745E-3</v>
      </c>
      <c r="L1184" s="251">
        <f t="shared" si="94"/>
        <v>42452</v>
      </c>
      <c r="M1184" s="513">
        <v>50.3</v>
      </c>
      <c r="N1184" s="254">
        <f t="shared" si="95"/>
        <v>8.0160320641282645E-3</v>
      </c>
      <c r="O1184" s="1137">
        <f t="shared" si="97"/>
        <v>7.9846125046858108E-3</v>
      </c>
      <c r="P1184" s="1138"/>
    </row>
    <row r="1185" spans="6:16" x14ac:dyDescent="0.2">
      <c r="F1185" s="1137">
        <f t="shared" si="96"/>
        <v>4.1446473740443344E-4</v>
      </c>
      <c r="G1185" s="1138"/>
      <c r="H1185" s="520">
        <v>7853.07</v>
      </c>
      <c r="I1185" s="512">
        <v>42451</v>
      </c>
      <c r="J1185" s="254">
        <f t="shared" si="93"/>
        <v>4.4588429684688791E-4</v>
      </c>
      <c r="L1185" s="251">
        <f t="shared" si="94"/>
        <v>42451</v>
      </c>
      <c r="M1185" s="513">
        <v>49.9</v>
      </c>
      <c r="N1185" s="254">
        <f t="shared" si="95"/>
        <v>1.0121457489878471E-2</v>
      </c>
      <c r="O1185" s="1137">
        <f t="shared" si="97"/>
        <v>1.0090037930436018E-2</v>
      </c>
      <c r="P1185" s="1138"/>
    </row>
    <row r="1186" spans="6:16" x14ac:dyDescent="0.2">
      <c r="F1186" s="1137">
        <f t="shared" si="96"/>
        <v>4.5618066796663951E-3</v>
      </c>
      <c r="G1186" s="1138"/>
      <c r="H1186" s="520">
        <v>7849.57</v>
      </c>
      <c r="I1186" s="512">
        <v>42450</v>
      </c>
      <c r="J1186" s="254">
        <f t="shared" si="93"/>
        <v>4.5932262391088496E-3</v>
      </c>
      <c r="L1186" s="251">
        <f t="shared" si="94"/>
        <v>42450</v>
      </c>
      <c r="M1186" s="513">
        <v>49.4</v>
      </c>
      <c r="N1186" s="254">
        <f t="shared" si="95"/>
        <v>-1.2000000000000011E-2</v>
      </c>
      <c r="O1186" s="1137">
        <f t="shared" si="97"/>
        <v>-1.2031419559442464E-2</v>
      </c>
      <c r="P1186" s="1138"/>
    </row>
    <row r="1187" spans="6:16" x14ac:dyDescent="0.2">
      <c r="F1187" s="1137">
        <f t="shared" si="96"/>
        <v>-6.1508910792871649E-3</v>
      </c>
      <c r="G1187" s="1138"/>
      <c r="H1187" s="520">
        <v>7813.68</v>
      </c>
      <c r="I1187" s="512">
        <v>42447</v>
      </c>
      <c r="J1187" s="254">
        <f t="shared" si="93"/>
        <v>-6.1194715198447103E-3</v>
      </c>
      <c r="L1187" s="251">
        <f t="shared" si="94"/>
        <v>42447</v>
      </c>
      <c r="M1187" s="513">
        <v>50</v>
      </c>
      <c r="N1187" s="254">
        <f t="shared" si="95"/>
        <v>1.7293997965412089E-2</v>
      </c>
      <c r="O1187" s="1137">
        <f t="shared" si="97"/>
        <v>1.7262578405969634E-2</v>
      </c>
      <c r="P1187" s="1138"/>
    </row>
    <row r="1188" spans="6:16" x14ac:dyDescent="0.2">
      <c r="F1188" s="1137">
        <f t="shared" si="96"/>
        <v>-6.9335206327798956E-3</v>
      </c>
      <c r="G1188" s="1138"/>
      <c r="H1188" s="520">
        <v>7861.79</v>
      </c>
      <c r="I1188" s="512">
        <v>42446</v>
      </c>
      <c r="J1188" s="254">
        <f t="shared" si="93"/>
        <v>-6.9021010733374411E-3</v>
      </c>
      <c r="L1188" s="251">
        <f t="shared" si="94"/>
        <v>42446</v>
      </c>
      <c r="M1188" s="513">
        <v>49.15</v>
      </c>
      <c r="N1188" s="254">
        <f t="shared" si="95"/>
        <v>-1.503006012024044E-2</v>
      </c>
      <c r="O1188" s="1137">
        <f t="shared" si="97"/>
        <v>-1.5061479679682894E-2</v>
      </c>
      <c r="P1188" s="1138"/>
    </row>
    <row r="1189" spans="6:16" x14ac:dyDescent="0.2">
      <c r="F1189" s="1137">
        <f t="shared" si="96"/>
        <v>-4.7460700529720476E-3</v>
      </c>
      <c r="G1189" s="1138"/>
      <c r="H1189" s="520">
        <v>7916.43</v>
      </c>
      <c r="I1189" s="512">
        <v>42445</v>
      </c>
      <c r="J1189" s="254">
        <f t="shared" si="93"/>
        <v>-4.714650493529593E-3</v>
      </c>
      <c r="L1189" s="251">
        <f t="shared" si="94"/>
        <v>42445</v>
      </c>
      <c r="M1189" s="513">
        <v>49.9</v>
      </c>
      <c r="N1189" s="254">
        <f t="shared" si="95"/>
        <v>7.0635721493441661E-3</v>
      </c>
      <c r="O1189" s="1137">
        <f t="shared" si="97"/>
        <v>7.0321525899017115E-3</v>
      </c>
      <c r="P1189" s="1138"/>
    </row>
    <row r="1190" spans="6:16" x14ac:dyDescent="0.2">
      <c r="F1190" s="1137">
        <f t="shared" si="96"/>
        <v>-8.0667285253655362E-3</v>
      </c>
      <c r="G1190" s="1138"/>
      <c r="H1190" s="520">
        <v>7953.93</v>
      </c>
      <c r="I1190" s="512">
        <v>42444</v>
      </c>
      <c r="J1190" s="254">
        <f t="shared" si="93"/>
        <v>-8.0353089659230825E-3</v>
      </c>
      <c r="L1190" s="251">
        <f t="shared" si="94"/>
        <v>42444</v>
      </c>
      <c r="M1190" s="513">
        <v>49.55</v>
      </c>
      <c r="N1190" s="254">
        <f t="shared" si="95"/>
        <v>-5.020080321285092E-3</v>
      </c>
      <c r="O1190" s="1137">
        <f t="shared" si="97"/>
        <v>-5.0514998807275465E-3</v>
      </c>
      <c r="P1190" s="1138"/>
    </row>
    <row r="1191" spans="6:16" x14ac:dyDescent="0.2">
      <c r="F1191" s="1137">
        <f t="shared" si="96"/>
        <v>2.4603194443370705E-3</v>
      </c>
      <c r="G1191" s="1138"/>
      <c r="H1191" s="520">
        <v>8018.36</v>
      </c>
      <c r="I1191" s="512">
        <v>42443</v>
      </c>
      <c r="J1191" s="254">
        <f t="shared" si="93"/>
        <v>2.4917390037795251E-3</v>
      </c>
      <c r="L1191" s="251">
        <f t="shared" si="94"/>
        <v>42443</v>
      </c>
      <c r="M1191" s="513">
        <v>49.8</v>
      </c>
      <c r="N1191" s="254">
        <f t="shared" si="95"/>
        <v>1.1167512690355208E-2</v>
      </c>
      <c r="O1191" s="1137">
        <f t="shared" si="97"/>
        <v>1.1136093130912754E-2</v>
      </c>
      <c r="P1191" s="1138"/>
    </row>
    <row r="1192" spans="6:16" x14ac:dyDescent="0.2">
      <c r="F1192" s="1137">
        <f t="shared" si="96"/>
        <v>1.3241257500375263E-2</v>
      </c>
      <c r="G1192" s="1138"/>
      <c r="H1192" s="520">
        <v>7998.43</v>
      </c>
      <c r="I1192" s="512">
        <v>42440</v>
      </c>
      <c r="J1192" s="254">
        <f t="shared" si="93"/>
        <v>1.3272677059817717E-2</v>
      </c>
      <c r="L1192" s="251">
        <f t="shared" si="94"/>
        <v>42440</v>
      </c>
      <c r="M1192" s="513">
        <v>49.25</v>
      </c>
      <c r="N1192" s="254">
        <f t="shared" si="95"/>
        <v>6.1287027579162157E-3</v>
      </c>
      <c r="O1192" s="1137">
        <f t="shared" si="97"/>
        <v>6.0972831984737611E-3</v>
      </c>
      <c r="P1192" s="1138"/>
    </row>
    <row r="1193" spans="6:16" x14ac:dyDescent="0.2">
      <c r="F1193" s="1137">
        <f t="shared" si="96"/>
        <v>-1.0331313864848464E-2</v>
      </c>
      <c r="G1193" s="1138"/>
      <c r="H1193" s="520">
        <v>7893.66</v>
      </c>
      <c r="I1193" s="512">
        <v>42439</v>
      </c>
      <c r="J1193" s="254">
        <f t="shared" si="93"/>
        <v>-1.029989430540601E-2</v>
      </c>
      <c r="L1193" s="251">
        <f t="shared" si="94"/>
        <v>42439</v>
      </c>
      <c r="M1193" s="513">
        <v>48.95</v>
      </c>
      <c r="N1193" s="254">
        <f t="shared" si="95"/>
        <v>-2.0387359836899765E-3</v>
      </c>
      <c r="O1193" s="1137">
        <f t="shared" si="97"/>
        <v>-2.0701555431324311E-3</v>
      </c>
      <c r="P1193" s="1138"/>
    </row>
    <row r="1194" spans="6:16" x14ac:dyDescent="0.2">
      <c r="F1194" s="1137">
        <f t="shared" si="96"/>
        <v>5.5318868403571406E-4</v>
      </c>
      <c r="G1194" s="1138"/>
      <c r="H1194" s="520">
        <v>7975.81</v>
      </c>
      <c r="I1194" s="512">
        <v>42438</v>
      </c>
      <c r="J1194" s="254">
        <f t="shared" si="93"/>
        <v>5.8460824347816853E-4</v>
      </c>
      <c r="L1194" s="251">
        <f t="shared" si="94"/>
        <v>42438</v>
      </c>
      <c r="M1194" s="513">
        <v>49.05</v>
      </c>
      <c r="N1194" s="254">
        <f t="shared" si="95"/>
        <v>2.4008350730688965E-2</v>
      </c>
      <c r="O1194" s="1137">
        <f t="shared" si="97"/>
        <v>2.397693117124651E-2</v>
      </c>
      <c r="P1194" s="1138"/>
    </row>
    <row r="1195" spans="6:16" x14ac:dyDescent="0.2">
      <c r="F1195" s="1137">
        <f t="shared" si="96"/>
        <v>-6.0146122499214324E-3</v>
      </c>
      <c r="G1195" s="1138"/>
      <c r="H1195" s="520">
        <v>7971.15</v>
      </c>
      <c r="I1195" s="512">
        <v>42437</v>
      </c>
      <c r="J1195" s="254">
        <f t="shared" si="93"/>
        <v>-5.9831926904789778E-3</v>
      </c>
      <c r="L1195" s="251">
        <f t="shared" si="94"/>
        <v>42437</v>
      </c>
      <c r="M1195" s="513">
        <v>47.9</v>
      </c>
      <c r="N1195" s="254">
        <f t="shared" si="95"/>
        <v>-9.3071354705274167E-3</v>
      </c>
      <c r="O1195" s="1137">
        <f t="shared" si="97"/>
        <v>-9.3385550299698705E-3</v>
      </c>
      <c r="P1195" s="1138"/>
    </row>
    <row r="1196" spans="6:16" x14ac:dyDescent="0.2">
      <c r="F1196" s="1137">
        <f t="shared" si="96"/>
        <v>4.5485590689943881E-3</v>
      </c>
      <c r="G1196" s="1138"/>
      <c r="H1196" s="520">
        <v>8019.13</v>
      </c>
      <c r="I1196" s="512">
        <v>42436</v>
      </c>
      <c r="J1196" s="254">
        <f t="shared" si="93"/>
        <v>4.5799786284368427E-3</v>
      </c>
      <c r="L1196" s="251">
        <f t="shared" si="94"/>
        <v>42436</v>
      </c>
      <c r="M1196" s="513">
        <v>48.35</v>
      </c>
      <c r="N1196" s="254">
        <f t="shared" si="95"/>
        <v>-8.2051282051281982E-3</v>
      </c>
      <c r="O1196" s="1137">
        <f t="shared" si="97"/>
        <v>-8.2365477645706519E-3</v>
      </c>
      <c r="P1196" s="1138"/>
    </row>
    <row r="1197" spans="6:16" x14ac:dyDescent="0.2">
      <c r="F1197" s="1137">
        <f t="shared" si="96"/>
        <v>3.9593537424979655E-3</v>
      </c>
      <c r="G1197" s="1138"/>
      <c r="H1197" s="520">
        <v>7982.57</v>
      </c>
      <c r="I1197" s="512">
        <v>42433</v>
      </c>
      <c r="J1197" s="254">
        <f t="shared" si="93"/>
        <v>3.9907733019404201E-3</v>
      </c>
      <c r="L1197" s="251">
        <f t="shared" si="94"/>
        <v>42433</v>
      </c>
      <c r="M1197" s="513">
        <v>48.75</v>
      </c>
      <c r="N1197" s="254">
        <f t="shared" si="95"/>
        <v>2.0554984583762703E-3</v>
      </c>
      <c r="O1197" s="1137">
        <f t="shared" si="97"/>
        <v>2.0240788989338157E-3</v>
      </c>
      <c r="P1197" s="1138"/>
    </row>
    <row r="1198" spans="6:16" x14ac:dyDescent="0.2">
      <c r="F1198" s="1137">
        <f t="shared" si="96"/>
        <v>-1.1107441743825648E-2</v>
      </c>
      <c r="G1198" s="1138"/>
      <c r="H1198" s="520">
        <v>7950.84</v>
      </c>
      <c r="I1198" s="512">
        <v>42432</v>
      </c>
      <c r="J1198" s="254">
        <f t="shared" si="93"/>
        <v>-1.1076022184383194E-2</v>
      </c>
      <c r="L1198" s="251">
        <f t="shared" si="94"/>
        <v>42432</v>
      </c>
      <c r="M1198" s="513">
        <v>48.65</v>
      </c>
      <c r="N1198" s="254">
        <f t="shared" si="95"/>
        <v>-1.7171717171717171E-2</v>
      </c>
      <c r="O1198" s="1137">
        <f t="shared" si="97"/>
        <v>-1.7203136731159627E-2</v>
      </c>
      <c r="P1198" s="1138"/>
    </row>
    <row r="1199" spans="6:16" x14ac:dyDescent="0.2">
      <c r="F1199" s="1137">
        <f t="shared" si="96"/>
        <v>9.7233975644250448E-3</v>
      </c>
      <c r="G1199" s="1138"/>
      <c r="H1199" s="520">
        <v>8039.89</v>
      </c>
      <c r="I1199" s="512">
        <v>42431</v>
      </c>
      <c r="J1199" s="254">
        <f t="shared" si="93"/>
        <v>9.7548171238674986E-3</v>
      </c>
      <c r="L1199" s="251">
        <f t="shared" si="94"/>
        <v>42431</v>
      </c>
      <c r="M1199" s="513">
        <v>49.5</v>
      </c>
      <c r="N1199" s="254">
        <f t="shared" si="95"/>
        <v>-1.0000000000000009E-2</v>
      </c>
      <c r="O1199" s="1137">
        <f t="shared" si="97"/>
        <v>-1.0031419559442463E-2</v>
      </c>
      <c r="P1199" s="1138"/>
    </row>
    <row r="1200" spans="6:16" x14ac:dyDescent="0.2">
      <c r="F1200" s="1137">
        <f t="shared" si="96"/>
        <v>1.5087855572097424E-2</v>
      </c>
      <c r="G1200" s="1138"/>
      <c r="H1200" s="520">
        <v>7962.22</v>
      </c>
      <c r="I1200" s="512">
        <v>42430</v>
      </c>
      <c r="J1200" s="254">
        <f t="shared" si="93"/>
        <v>1.5119275131539878E-2</v>
      </c>
      <c r="L1200" s="251">
        <f t="shared" si="94"/>
        <v>42430</v>
      </c>
      <c r="M1200" s="513">
        <v>50</v>
      </c>
      <c r="N1200" s="254">
        <f t="shared" si="95"/>
        <v>1.7293997965412089E-2</v>
      </c>
      <c r="O1200" s="1137">
        <f t="shared" si="97"/>
        <v>1.7262578405969634E-2</v>
      </c>
      <c r="P1200" s="1138"/>
    </row>
    <row r="1201" spans="6:16" x14ac:dyDescent="0.2">
      <c r="F1201" s="1137">
        <f t="shared" si="96"/>
        <v>-4.2715963773547879E-3</v>
      </c>
      <c r="G1201" s="1138"/>
      <c r="H1201" s="520">
        <v>7843.63</v>
      </c>
      <c r="I1201" s="512">
        <v>42429</v>
      </c>
      <c r="J1201" s="254">
        <f t="shared" si="93"/>
        <v>-4.2401768179123334E-3</v>
      </c>
      <c r="L1201" s="251">
        <f t="shared" si="94"/>
        <v>42429</v>
      </c>
      <c r="M1201" s="513">
        <v>49.15</v>
      </c>
      <c r="N1201" s="254">
        <f t="shared" si="95"/>
        <v>2.2892819979188461E-2</v>
      </c>
      <c r="O1201" s="1137">
        <f t="shared" si="97"/>
        <v>2.2861400419746006E-2</v>
      </c>
      <c r="P1201" s="1138"/>
    </row>
    <row r="1202" spans="6:16" x14ac:dyDescent="0.2">
      <c r="F1202" s="1137">
        <f t="shared" si="96"/>
        <v>1.0615163410900146E-2</v>
      </c>
      <c r="G1202" s="1138"/>
      <c r="H1202" s="520">
        <v>7877.03</v>
      </c>
      <c r="I1202" s="512">
        <v>42426</v>
      </c>
      <c r="J1202" s="254">
        <f t="shared" si="93"/>
        <v>1.06465829703426E-2</v>
      </c>
      <c r="L1202" s="251">
        <f t="shared" si="94"/>
        <v>42426</v>
      </c>
      <c r="M1202" s="513">
        <v>48.05</v>
      </c>
      <c r="N1202" s="254">
        <f t="shared" si="95"/>
        <v>-3.1120331950208469E-3</v>
      </c>
      <c r="O1202" s="1137">
        <f t="shared" si="97"/>
        <v>-3.1434527544633014E-3</v>
      </c>
      <c r="P1202" s="1138"/>
    </row>
    <row r="1203" spans="6:16" x14ac:dyDescent="0.2">
      <c r="F1203" s="1137">
        <f t="shared" si="96"/>
        <v>1.3557134271986198E-2</v>
      </c>
      <c r="G1203" s="1138"/>
      <c r="H1203" s="520">
        <v>7794.05</v>
      </c>
      <c r="I1203" s="512">
        <v>42425</v>
      </c>
      <c r="J1203" s="254">
        <f t="shared" si="93"/>
        <v>1.3588553831428651E-2</v>
      </c>
      <c r="L1203" s="251">
        <f t="shared" si="94"/>
        <v>42425</v>
      </c>
      <c r="M1203" s="513">
        <v>48.2</v>
      </c>
      <c r="N1203" s="254">
        <f t="shared" si="95"/>
        <v>2.5531914893617058E-2</v>
      </c>
      <c r="O1203" s="1137">
        <f t="shared" si="97"/>
        <v>2.5500495334174603E-2</v>
      </c>
      <c r="P1203" s="1138"/>
    </row>
    <row r="1204" spans="6:16" x14ac:dyDescent="0.2">
      <c r="F1204" s="1137">
        <f t="shared" si="96"/>
        <v>-1.507559139987817E-2</v>
      </c>
      <c r="G1204" s="1138"/>
      <c r="H1204" s="520">
        <v>7689.56</v>
      </c>
      <c r="I1204" s="512">
        <v>42424</v>
      </c>
      <c r="J1204" s="254">
        <f t="shared" si="93"/>
        <v>-1.5044171840435716E-2</v>
      </c>
      <c r="L1204" s="251">
        <f t="shared" si="94"/>
        <v>42424</v>
      </c>
      <c r="M1204" s="513">
        <v>47</v>
      </c>
      <c r="N1204" s="254">
        <f t="shared" si="95"/>
        <v>-1.9812304483837417E-2</v>
      </c>
      <c r="O1204" s="1137">
        <f t="shared" si="97"/>
        <v>-1.9843724043279873E-2</v>
      </c>
      <c r="P1204" s="1138"/>
    </row>
    <row r="1205" spans="6:16" x14ac:dyDescent="0.2">
      <c r="F1205" s="1137">
        <f t="shared" si="96"/>
        <v>-1.9434822691268214E-2</v>
      </c>
      <c r="G1205" s="1138"/>
      <c r="H1205" s="520">
        <v>7807.01</v>
      </c>
      <c r="I1205" s="512">
        <v>42423</v>
      </c>
      <c r="J1205" s="254">
        <f t="shared" si="93"/>
        <v>-1.9403403131825758E-2</v>
      </c>
      <c r="L1205" s="251">
        <f t="shared" si="94"/>
        <v>42423</v>
      </c>
      <c r="M1205" s="513">
        <v>47.95</v>
      </c>
      <c r="N1205" s="254">
        <f t="shared" si="95"/>
        <v>1.5889830508474478E-2</v>
      </c>
      <c r="O1205" s="1137">
        <f t="shared" si="97"/>
        <v>1.5858410949032023E-2</v>
      </c>
      <c r="P1205" s="1138"/>
    </row>
    <row r="1206" spans="6:16" x14ac:dyDescent="0.2">
      <c r="F1206" s="1137">
        <f t="shared" si="96"/>
        <v>1.2447978560445177E-2</v>
      </c>
      <c r="G1206" s="1138"/>
      <c r="H1206" s="520">
        <v>7961.49</v>
      </c>
      <c r="I1206" s="512">
        <v>42422</v>
      </c>
      <c r="J1206" s="254">
        <f t="shared" si="93"/>
        <v>1.247939811988763E-2</v>
      </c>
      <c r="L1206" s="251">
        <f t="shared" si="94"/>
        <v>42422</v>
      </c>
      <c r="M1206" s="513">
        <v>47.2</v>
      </c>
      <c r="N1206" s="254">
        <f t="shared" si="95"/>
        <v>9.6256684491979883E-3</v>
      </c>
      <c r="O1206" s="1137">
        <f t="shared" si="97"/>
        <v>9.5942488897555345E-3</v>
      </c>
      <c r="P1206" s="1138"/>
    </row>
    <row r="1207" spans="6:16" x14ac:dyDescent="0.2">
      <c r="F1207" s="1137">
        <f t="shared" si="96"/>
        <v>-6.7577834955211821E-3</v>
      </c>
      <c r="G1207" s="1138"/>
      <c r="H1207" s="520">
        <v>7863.36</v>
      </c>
      <c r="I1207" s="512">
        <v>42419</v>
      </c>
      <c r="J1207" s="254">
        <f t="shared" si="93"/>
        <v>-6.7263639360787275E-3</v>
      </c>
      <c r="L1207" s="251">
        <f t="shared" si="94"/>
        <v>42419</v>
      </c>
      <c r="M1207" s="513">
        <v>46.75</v>
      </c>
      <c r="N1207" s="254">
        <f t="shared" si="95"/>
        <v>2.1857923497267784E-2</v>
      </c>
      <c r="O1207" s="1137">
        <f t="shared" si="97"/>
        <v>2.1826503937825328E-2</v>
      </c>
      <c r="P1207" s="1138"/>
    </row>
    <row r="1208" spans="6:16" x14ac:dyDescent="0.2">
      <c r="F1208" s="1137">
        <f t="shared" si="96"/>
        <v>-3.7539582855489603E-3</v>
      </c>
      <c r="G1208" s="1138"/>
      <c r="H1208" s="520">
        <v>7916.61</v>
      </c>
      <c r="I1208" s="512">
        <v>42418</v>
      </c>
      <c r="J1208" s="254">
        <f t="shared" si="93"/>
        <v>-3.7225387261065057E-3</v>
      </c>
      <c r="L1208" s="251">
        <f t="shared" si="94"/>
        <v>42418</v>
      </c>
      <c r="M1208" s="513">
        <v>45.75</v>
      </c>
      <c r="N1208" s="254">
        <f t="shared" si="95"/>
        <v>2.2346368715083775E-2</v>
      </c>
      <c r="O1208" s="1137">
        <f t="shared" si="97"/>
        <v>2.231494915564132E-2</v>
      </c>
      <c r="P1208" s="1138"/>
    </row>
    <row r="1209" spans="6:16" x14ac:dyDescent="0.2">
      <c r="F1209" s="1137">
        <f t="shared" si="96"/>
        <v>1.6912982580875993E-2</v>
      </c>
      <c r="G1209" s="1138"/>
      <c r="H1209" s="520">
        <v>7946.19</v>
      </c>
      <c r="I1209" s="512">
        <v>42417</v>
      </c>
      <c r="J1209" s="254">
        <f t="shared" si="93"/>
        <v>1.6944402140318449E-2</v>
      </c>
      <c r="L1209" s="251">
        <f t="shared" si="94"/>
        <v>42417</v>
      </c>
      <c r="M1209" s="513">
        <v>44.75</v>
      </c>
      <c r="N1209" s="254">
        <f t="shared" si="95"/>
        <v>3.3632286995515237E-3</v>
      </c>
      <c r="O1209" s="1137">
        <f t="shared" si="97"/>
        <v>3.3318091401090691E-3</v>
      </c>
      <c r="P1209" s="1138"/>
    </row>
    <row r="1210" spans="6:16" x14ac:dyDescent="0.2">
      <c r="F1210" s="1137">
        <f t="shared" si="96"/>
        <v>-4.4323558095746137E-3</v>
      </c>
      <c r="G1210" s="1138"/>
      <c r="H1210" s="520">
        <v>7813.79</v>
      </c>
      <c r="I1210" s="512">
        <v>42416</v>
      </c>
      <c r="J1210" s="254">
        <f t="shared" si="93"/>
        <v>-4.4009362501321592E-3</v>
      </c>
      <c r="L1210" s="251">
        <f t="shared" si="94"/>
        <v>42416</v>
      </c>
      <c r="M1210" s="513">
        <v>44.6</v>
      </c>
      <c r="N1210" s="254">
        <f t="shared" si="95"/>
        <v>3.3745781777276829E-3</v>
      </c>
      <c r="O1210" s="1137">
        <f t="shared" si="97"/>
        <v>3.3431586182852283E-3</v>
      </c>
      <c r="P1210" s="1138"/>
    </row>
    <row r="1211" spans="6:16" x14ac:dyDescent="0.2">
      <c r="F1211" s="1137">
        <f t="shared" si="96"/>
        <v>2.5009721416969957E-2</v>
      </c>
      <c r="G1211" s="1138"/>
      <c r="H1211" s="520">
        <v>7848.33</v>
      </c>
      <c r="I1211" s="512">
        <v>42415</v>
      </c>
      <c r="J1211" s="254">
        <f t="shared" si="93"/>
        <v>2.5041140976412413E-2</v>
      </c>
      <c r="L1211" s="251">
        <f t="shared" si="94"/>
        <v>42415</v>
      </c>
      <c r="M1211" s="513">
        <v>44.45</v>
      </c>
      <c r="N1211" s="254">
        <f t="shared" si="95"/>
        <v>4.7114252061248418E-2</v>
      </c>
      <c r="O1211" s="1137">
        <f t="shared" si="97"/>
        <v>4.7082832501805963E-2</v>
      </c>
      <c r="P1211" s="1138"/>
    </row>
    <row r="1212" spans="6:16" x14ac:dyDescent="0.2">
      <c r="F1212" s="1137">
        <f t="shared" si="96"/>
        <v>2.1308864461889912E-2</v>
      </c>
      <c r="G1212" s="1138"/>
      <c r="H1212" s="520">
        <v>7656.6</v>
      </c>
      <c r="I1212" s="512">
        <v>42412</v>
      </c>
      <c r="J1212" s="254">
        <f t="shared" si="93"/>
        <v>2.1340284021332367E-2</v>
      </c>
      <c r="L1212" s="251">
        <f t="shared" si="94"/>
        <v>42412</v>
      </c>
      <c r="M1212" s="513">
        <v>42.45</v>
      </c>
      <c r="N1212" s="254">
        <f t="shared" si="95"/>
        <v>8.3135391923991886E-3</v>
      </c>
      <c r="O1212" s="1137">
        <f t="shared" si="97"/>
        <v>8.2821196329567349E-3</v>
      </c>
      <c r="P1212" s="1138"/>
    </row>
    <row r="1213" spans="6:16" x14ac:dyDescent="0.2">
      <c r="F1213" s="1137">
        <f t="shared" si="96"/>
        <v>-3.0464959438877545E-2</v>
      </c>
      <c r="G1213" s="1138"/>
      <c r="H1213" s="520">
        <v>7496.62</v>
      </c>
      <c r="I1213" s="512">
        <v>42411</v>
      </c>
      <c r="J1213" s="254">
        <f t="shared" si="93"/>
        <v>-3.043353987943509E-2</v>
      </c>
      <c r="L1213" s="251">
        <f t="shared" si="94"/>
        <v>42411</v>
      </c>
      <c r="M1213" s="513">
        <v>42.1</v>
      </c>
      <c r="N1213" s="254">
        <f t="shared" si="95"/>
        <v>-4.5351473922902508E-2</v>
      </c>
      <c r="O1213" s="1137">
        <f t="shared" si="97"/>
        <v>-4.5382893482344963E-2</v>
      </c>
      <c r="P1213" s="1138"/>
    </row>
    <row r="1214" spans="6:16" x14ac:dyDescent="0.2">
      <c r="F1214" s="1137">
        <f t="shared" si="96"/>
        <v>1.9572260647117548E-2</v>
      </c>
      <c r="G1214" s="1138"/>
      <c r="H1214" s="520">
        <v>7731.93</v>
      </c>
      <c r="I1214" s="512">
        <v>42410</v>
      </c>
      <c r="J1214" s="254">
        <f t="shared" si="93"/>
        <v>1.9603680206560004E-2</v>
      </c>
      <c r="L1214" s="251">
        <f t="shared" si="94"/>
        <v>42410</v>
      </c>
      <c r="M1214" s="513">
        <v>44.1</v>
      </c>
      <c r="N1214" s="254">
        <f t="shared" si="95"/>
        <v>5.1251489868891609E-2</v>
      </c>
      <c r="O1214" s="1137">
        <f t="shared" si="97"/>
        <v>5.1220070309449153E-2</v>
      </c>
      <c r="P1214" s="1138"/>
    </row>
    <row r="1215" spans="6:16" x14ac:dyDescent="0.2">
      <c r="F1215" s="1137">
        <f t="shared" si="96"/>
        <v>-2.2706408379180518E-2</v>
      </c>
      <c r="G1215" s="1138"/>
      <c r="H1215" s="520">
        <v>7583.27</v>
      </c>
      <c r="I1215" s="512">
        <v>42409</v>
      </c>
      <c r="J1215" s="254">
        <f t="shared" si="93"/>
        <v>-2.2674988819738062E-2</v>
      </c>
      <c r="L1215" s="251">
        <f t="shared" si="94"/>
        <v>42409</v>
      </c>
      <c r="M1215" s="513">
        <v>41.95</v>
      </c>
      <c r="N1215" s="254">
        <f t="shared" si="95"/>
        <v>-3.2295271049596286E-2</v>
      </c>
      <c r="O1215" s="1137">
        <f t="shared" si="97"/>
        <v>-3.2326690609038741E-2</v>
      </c>
      <c r="P1215" s="1138"/>
    </row>
    <row r="1216" spans="6:16" x14ac:dyDescent="0.2">
      <c r="F1216" s="1137">
        <f t="shared" si="96"/>
        <v>-2.5272213365573767E-2</v>
      </c>
      <c r="G1216" s="1138"/>
      <c r="H1216" s="520">
        <v>7759.21</v>
      </c>
      <c r="I1216" s="512">
        <v>42408</v>
      </c>
      <c r="J1216" s="254">
        <f t="shared" si="93"/>
        <v>-2.5240793806131312E-2</v>
      </c>
      <c r="L1216" s="251">
        <f t="shared" si="94"/>
        <v>42408</v>
      </c>
      <c r="M1216" s="513">
        <v>43.35</v>
      </c>
      <c r="N1216" s="254">
        <f t="shared" si="95"/>
        <v>-7.7659574468085024E-2</v>
      </c>
      <c r="O1216" s="1137">
        <f t="shared" si="97"/>
        <v>-7.769099402752748E-2</v>
      </c>
      <c r="P1216" s="1138"/>
    </row>
    <row r="1217" spans="6:16" x14ac:dyDescent="0.2">
      <c r="F1217" s="1137">
        <f t="shared" si="96"/>
        <v>-5.4378718172328052E-3</v>
      </c>
      <c r="G1217" s="1138"/>
      <c r="H1217" s="520">
        <v>7960.13</v>
      </c>
      <c r="I1217" s="512">
        <v>42405</v>
      </c>
      <c r="J1217" s="254">
        <f t="shared" si="93"/>
        <v>-5.4064522577903507E-3</v>
      </c>
      <c r="L1217" s="251">
        <f t="shared" si="94"/>
        <v>42405</v>
      </c>
      <c r="M1217" s="513">
        <v>47</v>
      </c>
      <c r="N1217" s="254">
        <f t="shared" si="95"/>
        <v>-1.5706806282722474E-2</v>
      </c>
      <c r="O1217" s="1137">
        <f t="shared" si="97"/>
        <v>-1.573822584216493E-2</v>
      </c>
      <c r="P1217" s="1138"/>
    </row>
    <row r="1218" spans="6:16" x14ac:dyDescent="0.2">
      <c r="F1218" s="1137">
        <f t="shared" si="96"/>
        <v>-1.4844793695000731E-2</v>
      </c>
      <c r="G1218" s="1138"/>
      <c r="H1218" s="520">
        <v>8003.4</v>
      </c>
      <c r="I1218" s="512">
        <v>42404</v>
      </c>
      <c r="J1218" s="254">
        <f t="shared" si="93"/>
        <v>-1.4813374135558277E-2</v>
      </c>
      <c r="L1218" s="251">
        <f t="shared" si="94"/>
        <v>42404</v>
      </c>
      <c r="M1218" s="513">
        <v>47.75</v>
      </c>
      <c r="N1218" s="254">
        <f t="shared" si="95"/>
        <v>-2.1516393442622905E-2</v>
      </c>
      <c r="O1218" s="1137">
        <f t="shared" si="97"/>
        <v>-2.1547813002065361E-2</v>
      </c>
      <c r="P1218" s="1138"/>
    </row>
    <row r="1219" spans="6:16" x14ac:dyDescent="0.2">
      <c r="F1219" s="1137">
        <f t="shared" si="96"/>
        <v>-8.9676266305746388E-3</v>
      </c>
      <c r="G1219" s="1138"/>
      <c r="H1219" s="520">
        <v>8123.74</v>
      </c>
      <c r="I1219" s="512">
        <v>42403</v>
      </c>
      <c r="J1219" s="254">
        <f t="shared" si="93"/>
        <v>-8.936207071132185E-3</v>
      </c>
      <c r="L1219" s="251">
        <f t="shared" si="94"/>
        <v>42403</v>
      </c>
      <c r="M1219" s="513">
        <v>48.8</v>
      </c>
      <c r="N1219" s="254">
        <f t="shared" si="95"/>
        <v>-1.4141414141414232E-2</v>
      </c>
      <c r="O1219" s="1137">
        <f t="shared" si="97"/>
        <v>-1.4172833700856686E-2</v>
      </c>
      <c r="P1219" s="1138"/>
    </row>
    <row r="1220" spans="6:16" x14ac:dyDescent="0.2">
      <c r="F1220" s="1137">
        <f t="shared" si="96"/>
        <v>-1.3748196983070655E-2</v>
      </c>
      <c r="G1220" s="1138"/>
      <c r="H1220" s="520">
        <v>8196.99</v>
      </c>
      <c r="I1220" s="512">
        <v>42402</v>
      </c>
      <c r="J1220" s="254">
        <f t="shared" si="93"/>
        <v>-1.3716777423628201E-2</v>
      </c>
      <c r="L1220" s="251">
        <f t="shared" si="94"/>
        <v>42402</v>
      </c>
      <c r="M1220" s="513">
        <v>49.5</v>
      </c>
      <c r="N1220" s="254">
        <f t="shared" si="95"/>
        <v>1.1235955056179803E-2</v>
      </c>
      <c r="O1220" s="1137">
        <f t="shared" si="97"/>
        <v>1.1204535496737349E-2</v>
      </c>
      <c r="P1220" s="1138"/>
    </row>
    <row r="1221" spans="6:16" x14ac:dyDescent="0.2">
      <c r="F1221" s="1137">
        <f t="shared" si="96"/>
        <v>-1.0915399227680441E-3</v>
      </c>
      <c r="G1221" s="1138"/>
      <c r="H1221" s="520">
        <v>8310.99</v>
      </c>
      <c r="I1221" s="512">
        <v>42401</v>
      </c>
      <c r="J1221" s="254">
        <f t="shared" si="93"/>
        <v>-1.0601203633255896E-3</v>
      </c>
      <c r="L1221" s="251">
        <f t="shared" si="94"/>
        <v>42401</v>
      </c>
      <c r="M1221" s="513">
        <v>48.95</v>
      </c>
      <c r="N1221" s="254">
        <f t="shared" si="95"/>
        <v>-1.310483870967738E-2</v>
      </c>
      <c r="O1221" s="1137">
        <f t="shared" si="97"/>
        <v>-1.3136258269119834E-2</v>
      </c>
      <c r="P1221" s="1138"/>
    </row>
    <row r="1222" spans="6:16" x14ac:dyDescent="0.2">
      <c r="F1222" s="1137">
        <f t="shared" si="96"/>
        <v>2.0394740741884479E-2</v>
      </c>
      <c r="G1222" s="1138"/>
      <c r="H1222" s="520">
        <v>8319.81</v>
      </c>
      <c r="I1222" s="512">
        <v>42398</v>
      </c>
      <c r="J1222" s="254">
        <f t="shared" si="93"/>
        <v>2.0426160301326934E-2</v>
      </c>
      <c r="L1222" s="251">
        <f t="shared" si="94"/>
        <v>42398</v>
      </c>
      <c r="M1222" s="513">
        <v>49.6</v>
      </c>
      <c r="N1222" s="254">
        <f t="shared" si="95"/>
        <v>3.1185031185031242E-2</v>
      </c>
      <c r="O1222" s="1137">
        <f t="shared" si="97"/>
        <v>3.1153611625588787E-2</v>
      </c>
      <c r="P1222" s="1138"/>
    </row>
    <row r="1223" spans="6:16" x14ac:dyDescent="0.2">
      <c r="F1223" s="1137">
        <f t="shared" si="96"/>
        <v>-2.0386641675395431E-2</v>
      </c>
      <c r="G1223" s="1138"/>
      <c r="H1223" s="520">
        <v>8153.27</v>
      </c>
      <c r="I1223" s="512">
        <v>42397</v>
      </c>
      <c r="J1223" s="254">
        <f t="shared" si="93"/>
        <v>-2.0355222115952976E-2</v>
      </c>
      <c r="L1223" s="251">
        <f t="shared" si="94"/>
        <v>42397</v>
      </c>
      <c r="M1223" s="513">
        <v>48.1</v>
      </c>
      <c r="N1223" s="254">
        <f t="shared" si="95"/>
        <v>-8.2474226804123418E-3</v>
      </c>
      <c r="O1223" s="1137">
        <f t="shared" si="97"/>
        <v>-8.2788422398547955E-3</v>
      </c>
      <c r="P1223" s="1138"/>
    </row>
    <row r="1224" spans="6:16" x14ac:dyDescent="0.2">
      <c r="F1224" s="1137">
        <f t="shared" si="96"/>
        <v>9.5601559878173801E-4</v>
      </c>
      <c r="G1224" s="1138"/>
      <c r="H1224" s="520">
        <v>8322.68</v>
      </c>
      <c r="I1224" s="512">
        <v>42396</v>
      </c>
      <c r="J1224" s="254">
        <f t="shared" si="93"/>
        <v>9.8743515822419248E-4</v>
      </c>
      <c r="L1224" s="251">
        <f t="shared" si="94"/>
        <v>42396</v>
      </c>
      <c r="M1224" s="513">
        <v>48.5</v>
      </c>
      <c r="N1224" s="254">
        <f t="shared" si="95"/>
        <v>1.4644351464435212E-2</v>
      </c>
      <c r="O1224" s="1137">
        <f t="shared" si="97"/>
        <v>1.4612931904992759E-2</v>
      </c>
      <c r="P1224" s="1138"/>
    </row>
    <row r="1225" spans="6:16" x14ac:dyDescent="0.2">
      <c r="F1225" s="1137">
        <f t="shared" si="96"/>
        <v>7.375278819637913E-3</v>
      </c>
      <c r="G1225" s="1138"/>
      <c r="H1225" s="520">
        <v>8314.4699999999993</v>
      </c>
      <c r="I1225" s="512">
        <v>42395</v>
      </c>
      <c r="J1225" s="254">
        <f t="shared" si="93"/>
        <v>7.4066983790803675E-3</v>
      </c>
      <c r="L1225" s="251">
        <f t="shared" si="94"/>
        <v>42395</v>
      </c>
      <c r="M1225" s="513">
        <v>47.8</v>
      </c>
      <c r="N1225" s="254">
        <f t="shared" si="95"/>
        <v>6.3157894736840525E-3</v>
      </c>
      <c r="O1225" s="1137">
        <f t="shared" si="97"/>
        <v>6.2843699142415979E-3</v>
      </c>
      <c r="P1225" s="1138"/>
    </row>
    <row r="1226" spans="6:16" x14ac:dyDescent="0.2">
      <c r="F1226" s="1137">
        <f t="shared" si="96"/>
        <v>-2.1798615460682366E-3</v>
      </c>
      <c r="G1226" s="1138"/>
      <c r="H1226" s="520">
        <v>8253.34</v>
      </c>
      <c r="I1226" s="512">
        <v>42394</v>
      </c>
      <c r="J1226" s="254">
        <f t="shared" si="93"/>
        <v>-2.148441986625782E-3</v>
      </c>
      <c r="L1226" s="251">
        <f t="shared" si="94"/>
        <v>42394</v>
      </c>
      <c r="M1226" s="513">
        <v>47.5</v>
      </c>
      <c r="N1226" s="254">
        <f t="shared" si="95"/>
        <v>-1.051524710830698E-3</v>
      </c>
      <c r="O1226" s="1137">
        <f t="shared" si="97"/>
        <v>-1.0829442702731526E-3</v>
      </c>
      <c r="P1226" s="1138"/>
    </row>
    <row r="1227" spans="6:16" x14ac:dyDescent="0.2">
      <c r="F1227" s="1137">
        <f t="shared" si="96"/>
        <v>2.9346083533253922E-2</v>
      </c>
      <c r="G1227" s="1138"/>
      <c r="H1227" s="520">
        <v>8271.11</v>
      </c>
      <c r="I1227" s="512">
        <v>42391</v>
      </c>
      <c r="J1227" s="254">
        <f t="shared" si="93"/>
        <v>2.9377503092696378E-2</v>
      </c>
      <c r="L1227" s="251">
        <f t="shared" si="94"/>
        <v>42391</v>
      </c>
      <c r="M1227" s="513">
        <v>47.55</v>
      </c>
      <c r="N1227" s="254">
        <f t="shared" si="95"/>
        <v>2.4784482758620552E-2</v>
      </c>
      <c r="O1227" s="1137">
        <f t="shared" si="97"/>
        <v>2.4753063199178096E-2</v>
      </c>
      <c r="P1227" s="1138"/>
    </row>
    <row r="1228" spans="6:16" x14ac:dyDescent="0.2">
      <c r="F1228" s="1137">
        <f t="shared" si="96"/>
        <v>8.5948755773456887E-3</v>
      </c>
      <c r="G1228" s="1138"/>
      <c r="H1228" s="520">
        <v>8035.06</v>
      </c>
      <c r="I1228" s="512">
        <v>42390</v>
      </c>
      <c r="J1228" s="254">
        <f t="shared" si="93"/>
        <v>8.6262951367881424E-3</v>
      </c>
      <c r="L1228" s="251">
        <f t="shared" si="94"/>
        <v>42390</v>
      </c>
      <c r="M1228" s="513">
        <v>46.4</v>
      </c>
      <c r="N1228" s="254">
        <f t="shared" si="95"/>
        <v>-1.7989417989418E-2</v>
      </c>
      <c r="O1228" s="1137">
        <f t="shared" si="97"/>
        <v>-1.8020837548860455E-2</v>
      </c>
      <c r="P1228" s="1138"/>
    </row>
    <row r="1229" spans="6:16" x14ac:dyDescent="0.2">
      <c r="F1229" s="1137">
        <f t="shared" si="96"/>
        <v>-3.1333403080362296E-2</v>
      </c>
      <c r="G1229" s="1138"/>
      <c r="H1229" s="520">
        <v>7966.34</v>
      </c>
      <c r="I1229" s="512">
        <v>42389</v>
      </c>
      <c r="J1229" s="254">
        <f t="shared" si="93"/>
        <v>-3.130198352091984E-2</v>
      </c>
      <c r="L1229" s="251">
        <f t="shared" si="94"/>
        <v>42389</v>
      </c>
      <c r="M1229" s="513">
        <v>47.25</v>
      </c>
      <c r="N1229" s="254">
        <f t="shared" si="95"/>
        <v>-2.1739130434782594E-2</v>
      </c>
      <c r="O1229" s="1137">
        <f t="shared" si="97"/>
        <v>-2.177054999422505E-2</v>
      </c>
      <c r="P1229" s="1138"/>
    </row>
    <row r="1230" spans="6:16" x14ac:dyDescent="0.2">
      <c r="F1230" s="1137">
        <f t="shared" si="96"/>
        <v>1.5362921526211841E-2</v>
      </c>
      <c r="G1230" s="1138"/>
      <c r="H1230" s="520">
        <v>8223.76</v>
      </c>
      <c r="I1230" s="512">
        <v>42388</v>
      </c>
      <c r="J1230" s="254">
        <f t="shared" si="93"/>
        <v>1.5394341085654295E-2</v>
      </c>
      <c r="L1230" s="251">
        <f t="shared" si="94"/>
        <v>42388</v>
      </c>
      <c r="M1230" s="513">
        <v>48.3</v>
      </c>
      <c r="N1230" s="254">
        <f t="shared" si="95"/>
        <v>5.573770491803276E-2</v>
      </c>
      <c r="O1230" s="1137">
        <f t="shared" si="97"/>
        <v>5.5706285358590305E-2</v>
      </c>
      <c r="P1230" s="1138"/>
    </row>
    <row r="1231" spans="6:16" x14ac:dyDescent="0.2">
      <c r="F1231" s="1137">
        <f t="shared" si="96"/>
        <v>-1.0243726760201096E-3</v>
      </c>
      <c r="G1231" s="1138"/>
      <c r="H1231" s="520">
        <v>8099.08</v>
      </c>
      <c r="I1231" s="512">
        <v>42387</v>
      </c>
      <c r="J1231" s="254">
        <f t="shared" si="93"/>
        <v>-9.9295311657765506E-4</v>
      </c>
      <c r="L1231" s="251">
        <f t="shared" si="94"/>
        <v>42387</v>
      </c>
      <c r="M1231" s="513">
        <v>45.75</v>
      </c>
      <c r="N1231" s="254">
        <f t="shared" si="95"/>
        <v>3.3898305084745672E-2</v>
      </c>
      <c r="O1231" s="1137">
        <f t="shared" si="97"/>
        <v>3.3866885525303217E-2</v>
      </c>
      <c r="P1231" s="1138"/>
    </row>
    <row r="1232" spans="6:16" x14ac:dyDescent="0.2">
      <c r="F1232" s="1137">
        <f t="shared" si="96"/>
        <v>-2.3912066891863024E-2</v>
      </c>
      <c r="G1232" s="1138"/>
      <c r="H1232" s="520">
        <v>8107.13</v>
      </c>
      <c r="I1232" s="512">
        <v>42384</v>
      </c>
      <c r="J1232" s="254">
        <f t="shared" si="93"/>
        <v>-2.3880647332420568E-2</v>
      </c>
      <c r="L1232" s="251">
        <f t="shared" si="94"/>
        <v>42384</v>
      </c>
      <c r="M1232" s="513">
        <v>44.25</v>
      </c>
      <c r="N1232" s="254">
        <f t="shared" si="95"/>
        <v>-4.4276457883369313E-2</v>
      </c>
      <c r="O1232" s="1137">
        <f t="shared" si="97"/>
        <v>-4.4307877442811769E-2</v>
      </c>
      <c r="P1232" s="1138"/>
    </row>
    <row r="1233" spans="6:16" x14ac:dyDescent="0.2">
      <c r="F1233" s="1137">
        <f t="shared" si="96"/>
        <v>-1.3027522867530767E-2</v>
      </c>
      <c r="G1233" s="1138"/>
      <c r="H1233" s="520">
        <v>8305.4699999999993</v>
      </c>
      <c r="I1233" s="512">
        <v>42383</v>
      </c>
      <c r="J1233" s="254">
        <f t="shared" si="93"/>
        <v>-1.2996103308088314E-2</v>
      </c>
      <c r="L1233" s="251">
        <f t="shared" si="94"/>
        <v>42383</v>
      </c>
      <c r="M1233" s="513">
        <v>46.3</v>
      </c>
      <c r="N1233" s="254">
        <f t="shared" si="95"/>
        <v>-1.8027571580063628E-2</v>
      </c>
      <c r="O1233" s="1137">
        <f t="shared" si="97"/>
        <v>-1.8058991139506084E-2</v>
      </c>
      <c r="P1233" s="1138"/>
    </row>
    <row r="1234" spans="6:16" x14ac:dyDescent="0.2">
      <c r="F1234" s="1137">
        <f t="shared" si="96"/>
        <v>9.9049225608544723E-3</v>
      </c>
      <c r="G1234" s="1138"/>
      <c r="H1234" s="520">
        <v>8414.83</v>
      </c>
      <c r="I1234" s="512">
        <v>42382</v>
      </c>
      <c r="J1234" s="254">
        <f t="shared" si="93"/>
        <v>9.936342120296926E-3</v>
      </c>
      <c r="L1234" s="251">
        <f t="shared" si="94"/>
        <v>42382</v>
      </c>
      <c r="M1234" s="513">
        <v>47.15</v>
      </c>
      <c r="N1234" s="254">
        <f t="shared" si="95"/>
        <v>2.1253985122211549E-3</v>
      </c>
      <c r="O1234" s="1137">
        <f t="shared" si="97"/>
        <v>2.0939789527787004E-3</v>
      </c>
      <c r="P1234" s="1138"/>
    </row>
    <row r="1235" spans="6:16" x14ac:dyDescent="0.2">
      <c r="F1235" s="1137">
        <f t="shared" si="96"/>
        <v>1.4398447294233079E-2</v>
      </c>
      <c r="G1235" s="1138"/>
      <c r="H1235" s="520">
        <v>8332.0400000000009</v>
      </c>
      <c r="I1235" s="512">
        <v>42381</v>
      </c>
      <c r="J1235" s="254">
        <f t="shared" si="93"/>
        <v>1.4429866853675533E-2</v>
      </c>
      <c r="L1235" s="251">
        <f t="shared" si="94"/>
        <v>42381</v>
      </c>
      <c r="M1235" s="513">
        <v>47.05</v>
      </c>
      <c r="N1235" s="254">
        <f t="shared" si="95"/>
        <v>5.3418803418803229E-3</v>
      </c>
      <c r="O1235" s="1137">
        <f t="shared" si="97"/>
        <v>5.3104607824378683E-3</v>
      </c>
      <c r="P1235" s="1138"/>
    </row>
    <row r="1236" spans="6:16" x14ac:dyDescent="0.2">
      <c r="F1236" s="1137">
        <f t="shared" si="96"/>
        <v>-5.3309855182085827E-3</v>
      </c>
      <c r="G1236" s="1138"/>
      <c r="H1236" s="520">
        <v>8213.52</v>
      </c>
      <c r="I1236" s="512">
        <v>42380</v>
      </c>
      <c r="J1236" s="254">
        <f t="shared" si="93"/>
        <v>-5.2995659587661281E-3</v>
      </c>
      <c r="L1236" s="251">
        <f t="shared" si="94"/>
        <v>42380</v>
      </c>
      <c r="M1236" s="513">
        <v>46.8</v>
      </c>
      <c r="N1236" s="254">
        <f t="shared" si="95"/>
        <v>3.215434083601254E-3</v>
      </c>
      <c r="O1236" s="1137">
        <f t="shared" si="97"/>
        <v>3.1840145241587995E-3</v>
      </c>
      <c r="P1236" s="1138"/>
    </row>
    <row r="1237" spans="6:16" x14ac:dyDescent="0.2">
      <c r="F1237" s="1137">
        <f t="shared" si="96"/>
        <v>-2.282232970469926E-2</v>
      </c>
      <c r="G1237" s="1138"/>
      <c r="H1237" s="520">
        <v>8257.2800000000007</v>
      </c>
      <c r="I1237" s="512">
        <v>42377</v>
      </c>
      <c r="J1237" s="254">
        <f t="shared" si="93"/>
        <v>-2.2790910145256804E-2</v>
      </c>
      <c r="L1237" s="251">
        <f t="shared" si="94"/>
        <v>42377</v>
      </c>
      <c r="M1237" s="513">
        <v>46.65</v>
      </c>
      <c r="N1237" s="254">
        <f t="shared" si="95"/>
        <v>-1.1652542372881491E-2</v>
      </c>
      <c r="O1237" s="1137">
        <f t="shared" si="97"/>
        <v>-1.1683961932323945E-2</v>
      </c>
      <c r="P1237" s="1138"/>
    </row>
    <row r="1238" spans="6:16" x14ac:dyDescent="0.2">
      <c r="F1238" s="1137">
        <f t="shared" si="96"/>
        <v>-1.9020392580611653E-2</v>
      </c>
      <c r="G1238" s="1138"/>
      <c r="H1238" s="520">
        <v>8449.86</v>
      </c>
      <c r="I1238" s="512">
        <v>42376</v>
      </c>
      <c r="J1238" s="254">
        <f t="shared" si="93"/>
        <v>-1.8988973021169198E-2</v>
      </c>
      <c r="L1238" s="251">
        <f t="shared" si="94"/>
        <v>42376</v>
      </c>
      <c r="M1238" s="513">
        <v>47.2</v>
      </c>
      <c r="N1238" s="254">
        <f t="shared" si="95"/>
        <v>-5.5999999999999939E-2</v>
      </c>
      <c r="O1238" s="1137">
        <f t="shared" si="97"/>
        <v>-5.6031419559442394E-2</v>
      </c>
      <c r="P1238" s="1138"/>
    </row>
    <row r="1239" spans="6:16" x14ac:dyDescent="0.2">
      <c r="F1239" s="1137">
        <f t="shared" si="96"/>
        <v>-1.0149261852574738E-2</v>
      </c>
      <c r="G1239" s="1138"/>
      <c r="H1239" s="520">
        <v>8613.42</v>
      </c>
      <c r="I1239" s="512">
        <v>42375</v>
      </c>
      <c r="J1239" s="254">
        <f t="shared" si="93"/>
        <v>-1.0117842293132284E-2</v>
      </c>
      <c r="L1239" s="251">
        <f t="shared" si="94"/>
        <v>42375</v>
      </c>
      <c r="M1239" s="513">
        <v>50</v>
      </c>
      <c r="N1239" s="254">
        <f t="shared" si="95"/>
        <v>-7.9365079365079083E-3</v>
      </c>
      <c r="O1239" s="1137">
        <f t="shared" si="97"/>
        <v>-7.967927495950362E-3</v>
      </c>
      <c r="P1239" s="1138"/>
    </row>
    <row r="1240" spans="6:16" x14ac:dyDescent="0.2">
      <c r="F1240" s="1137">
        <f t="shared" si="96"/>
        <v>5.1844287639192946E-3</v>
      </c>
      <c r="G1240" s="1138"/>
      <c r="H1240" s="520">
        <v>8701.4599999999991</v>
      </c>
      <c r="I1240" s="512">
        <v>42374</v>
      </c>
      <c r="J1240" s="254">
        <f t="shared" si="93"/>
        <v>5.2158483233617492E-3</v>
      </c>
      <c r="L1240" s="251">
        <f t="shared" si="94"/>
        <v>42374</v>
      </c>
      <c r="M1240" s="513">
        <v>50.4</v>
      </c>
      <c r="N1240" s="254">
        <f t="shared" si="95"/>
        <v>-9.8231827111984193E-3</v>
      </c>
      <c r="O1240" s="1137">
        <f t="shared" si="97"/>
        <v>-9.8546022706408731E-3</v>
      </c>
      <c r="P1240" s="1138"/>
    </row>
    <row r="1241" spans="6:16" x14ac:dyDescent="0.2">
      <c r="F1241" s="1137">
        <f t="shared" si="96"/>
        <v>-1.8377796155734913E-2</v>
      </c>
      <c r="G1241" s="1138"/>
      <c r="H1241" s="520">
        <v>8656.31</v>
      </c>
      <c r="I1241" s="512">
        <v>42373</v>
      </c>
      <c r="J1241" s="254">
        <f t="shared" si="93"/>
        <v>-1.8346376596292457E-2</v>
      </c>
      <c r="L1241" s="251">
        <f t="shared" si="94"/>
        <v>42373</v>
      </c>
      <c r="M1241" s="513">
        <v>50.9</v>
      </c>
      <c r="N1241" s="254">
        <f t="shared" si="95"/>
        <v>-2.0211742059672799E-2</v>
      </c>
      <c r="O1241" s="1137">
        <f t="shared" si="97"/>
        <v>-2.0243161619115255E-2</v>
      </c>
      <c r="P1241" s="1138"/>
    </row>
    <row r="1242" spans="6:16" x14ac:dyDescent="0.2">
      <c r="F1242" s="1137">
        <f t="shared" si="96"/>
        <v>-7.3397531085435527E-3</v>
      </c>
      <c r="G1242" s="1138"/>
      <c r="H1242" s="520">
        <v>8818.09</v>
      </c>
      <c r="I1242" s="512">
        <v>42368</v>
      </c>
      <c r="J1242" s="254">
        <f t="shared" si="93"/>
        <v>-7.3083335491010981E-3</v>
      </c>
      <c r="L1242" s="251">
        <f t="shared" si="94"/>
        <v>42368</v>
      </c>
      <c r="M1242" s="513">
        <v>51.95</v>
      </c>
      <c r="N1242" s="254">
        <f t="shared" si="95"/>
        <v>0</v>
      </c>
      <c r="O1242" s="1137">
        <f t="shared" si="97"/>
        <v>-3.1419559442454485E-5</v>
      </c>
      <c r="P1242" s="1138"/>
    </row>
    <row r="1243" spans="6:16" x14ac:dyDescent="0.2">
      <c r="F1243" s="1137">
        <f t="shared" si="96"/>
        <v>1.6405710848276203E-2</v>
      </c>
      <c r="G1243" s="1138"/>
      <c r="H1243" s="520">
        <v>8883.01</v>
      </c>
      <c r="I1243" s="512">
        <v>42367</v>
      </c>
      <c r="J1243" s="254">
        <f t="shared" si="93"/>
        <v>1.6437130407718659E-2</v>
      </c>
      <c r="L1243" s="251">
        <f t="shared" si="94"/>
        <v>42367</v>
      </c>
      <c r="M1243" s="513">
        <v>51.95</v>
      </c>
      <c r="N1243" s="254">
        <f t="shared" si="95"/>
        <v>1.6634050880626194E-2</v>
      </c>
      <c r="O1243" s="1137">
        <f t="shared" si="97"/>
        <v>1.6602631321183739E-2</v>
      </c>
      <c r="P1243" s="1138"/>
    </row>
    <row r="1244" spans="6:16" x14ac:dyDescent="0.2">
      <c r="F1244" s="1137">
        <f t="shared" si="96"/>
        <v>3.8304003432884795E-3</v>
      </c>
      <c r="G1244" s="1138"/>
      <c r="H1244" s="520">
        <v>8739.36</v>
      </c>
      <c r="I1244" s="512">
        <v>42366</v>
      </c>
      <c r="J1244" s="254">
        <f t="shared" si="93"/>
        <v>3.8618199027309341E-3</v>
      </c>
      <c r="L1244" s="251">
        <f t="shared" si="94"/>
        <v>42366</v>
      </c>
      <c r="M1244" s="513">
        <v>51.1</v>
      </c>
      <c r="N1244" s="254">
        <f t="shared" si="95"/>
        <v>6.8965517241379448E-3</v>
      </c>
      <c r="O1244" s="1137">
        <f t="shared" si="97"/>
        <v>6.8651321646954902E-3</v>
      </c>
      <c r="P1244" s="1138"/>
    </row>
    <row r="1245" spans="6:16" x14ac:dyDescent="0.2">
      <c r="F1245" s="1137">
        <f t="shared" si="96"/>
        <v>2.2270601854819508E-2</v>
      </c>
      <c r="G1245" s="1138"/>
      <c r="H1245" s="520">
        <v>8705.74</v>
      </c>
      <c r="I1245" s="512">
        <v>42361</v>
      </c>
      <c r="J1245" s="254">
        <f t="shared" ref="J1245:J1308" si="98">H1245/H1246-1</f>
        <v>2.2302021414261963E-2</v>
      </c>
      <c r="L1245" s="251">
        <f t="shared" ref="L1245:L1308" si="99">I1245</f>
        <v>42361</v>
      </c>
      <c r="M1245" s="513">
        <v>50.75</v>
      </c>
      <c r="N1245" s="254">
        <f t="shared" ref="N1245:N1308" si="100">M1245/M1246-1</f>
        <v>3.9564787339267937E-3</v>
      </c>
      <c r="O1245" s="1137">
        <f t="shared" si="97"/>
        <v>3.9250591744843391E-3</v>
      </c>
      <c r="P1245" s="1138"/>
    </row>
    <row r="1246" spans="6:16" x14ac:dyDescent="0.2">
      <c r="F1246" s="1137">
        <f t="shared" ref="F1246:F1309" si="101">J1246-$I$19</f>
        <v>-3.3704681705130487E-3</v>
      </c>
      <c r="G1246" s="1138"/>
      <c r="H1246" s="520">
        <v>8515.82</v>
      </c>
      <c r="I1246" s="512">
        <v>42360</v>
      </c>
      <c r="J1246" s="254">
        <f t="shared" si="98"/>
        <v>-3.3390486110705941E-3</v>
      </c>
      <c r="L1246" s="251">
        <f t="shared" si="99"/>
        <v>42360</v>
      </c>
      <c r="M1246" s="513">
        <v>50.55</v>
      </c>
      <c r="N1246" s="254">
        <f t="shared" si="100"/>
        <v>9.9009900990099098E-4</v>
      </c>
      <c r="O1246" s="1137">
        <f t="shared" ref="O1246:O1309" si="102">N1246-$I$19</f>
        <v>9.5867945045853651E-4</v>
      </c>
      <c r="P1246" s="1138"/>
    </row>
    <row r="1247" spans="6:16" x14ac:dyDescent="0.2">
      <c r="F1247" s="1137">
        <f t="shared" si="101"/>
        <v>-7.5306267761516129E-3</v>
      </c>
      <c r="G1247" s="1138"/>
      <c r="H1247" s="520">
        <v>8544.35</v>
      </c>
      <c r="I1247" s="512">
        <v>42359</v>
      </c>
      <c r="J1247" s="254">
        <f t="shared" si="98"/>
        <v>-7.4992072167091584E-3</v>
      </c>
      <c r="L1247" s="251">
        <f t="shared" si="99"/>
        <v>42359</v>
      </c>
      <c r="M1247" s="513">
        <v>50.5</v>
      </c>
      <c r="N1247" s="254">
        <f t="shared" si="100"/>
        <v>5.9760956175298752E-3</v>
      </c>
      <c r="O1247" s="1137">
        <f t="shared" si="102"/>
        <v>5.9446760580874206E-3</v>
      </c>
      <c r="P1247" s="1138"/>
    </row>
    <row r="1248" spans="6:16" x14ac:dyDescent="0.2">
      <c r="F1248" s="1137">
        <f t="shared" si="101"/>
        <v>-5.5060449767684724E-3</v>
      </c>
      <c r="G1248" s="1138"/>
      <c r="H1248" s="520">
        <v>8608.91</v>
      </c>
      <c r="I1248" s="512">
        <v>42356</v>
      </c>
      <c r="J1248" s="254">
        <f t="shared" si="98"/>
        <v>-5.4746254173260178E-3</v>
      </c>
      <c r="L1248" s="251">
        <f t="shared" si="99"/>
        <v>42356</v>
      </c>
      <c r="M1248" s="513">
        <v>50.2</v>
      </c>
      <c r="N1248" s="254">
        <f t="shared" si="100"/>
        <v>1.4141414141414232E-2</v>
      </c>
      <c r="O1248" s="1137">
        <f t="shared" si="102"/>
        <v>1.4109994581971779E-2</v>
      </c>
      <c r="P1248" s="1138"/>
    </row>
    <row r="1249" spans="6:16" x14ac:dyDescent="0.2">
      <c r="F1249" s="1137">
        <f t="shared" si="101"/>
        <v>6.0377941159301543E-3</v>
      </c>
      <c r="G1249" s="1138"/>
      <c r="H1249" s="520">
        <v>8656.2999999999993</v>
      </c>
      <c r="I1249" s="512">
        <v>42355</v>
      </c>
      <c r="J1249" s="254">
        <f t="shared" si="98"/>
        <v>6.0692136753726089E-3</v>
      </c>
      <c r="L1249" s="251">
        <f t="shared" si="99"/>
        <v>42355</v>
      </c>
      <c r="M1249" s="513">
        <v>49.5</v>
      </c>
      <c r="N1249" s="254">
        <f t="shared" si="100"/>
        <v>-7.0210631895687436E-3</v>
      </c>
      <c r="O1249" s="1137">
        <f t="shared" si="102"/>
        <v>-7.0524827490111982E-3</v>
      </c>
      <c r="P1249" s="1138"/>
    </row>
    <row r="1250" spans="6:16" x14ac:dyDescent="0.2">
      <c r="F1250" s="1137">
        <f t="shared" si="101"/>
        <v>2.5928119322677504E-3</v>
      </c>
      <c r="G1250" s="1138"/>
      <c r="H1250" s="520">
        <v>8604.08</v>
      </c>
      <c r="I1250" s="512">
        <v>42354</v>
      </c>
      <c r="J1250" s="254">
        <f t="shared" si="98"/>
        <v>2.624231491710205E-3</v>
      </c>
      <c r="L1250" s="251">
        <f t="shared" si="99"/>
        <v>42354</v>
      </c>
      <c r="M1250" s="513">
        <v>49.85</v>
      </c>
      <c r="N1250" s="254">
        <f t="shared" si="100"/>
        <v>-6.9721115537848544E-3</v>
      </c>
      <c r="O1250" s="1137">
        <f t="shared" si="102"/>
        <v>-7.0035311132273089E-3</v>
      </c>
      <c r="P1250" s="1138"/>
    </row>
    <row r="1251" spans="6:16" x14ac:dyDescent="0.2">
      <c r="F1251" s="1137">
        <f t="shared" si="101"/>
        <v>2.4594534584344532E-2</v>
      </c>
      <c r="G1251" s="1138"/>
      <c r="H1251" s="520">
        <v>8581.56</v>
      </c>
      <c r="I1251" s="512">
        <v>42353</v>
      </c>
      <c r="J1251" s="254">
        <f t="shared" si="98"/>
        <v>2.4625954143786988E-2</v>
      </c>
      <c r="L1251" s="251">
        <f t="shared" si="99"/>
        <v>42353</v>
      </c>
      <c r="M1251" s="513">
        <v>50.2</v>
      </c>
      <c r="N1251" s="254">
        <f t="shared" si="100"/>
        <v>1.9289340101522834E-2</v>
      </c>
      <c r="O1251" s="1137">
        <f t="shared" si="102"/>
        <v>1.9257920542080378E-2</v>
      </c>
      <c r="P1251" s="1138"/>
    </row>
    <row r="1252" spans="6:16" x14ac:dyDescent="0.2">
      <c r="F1252" s="1137">
        <f t="shared" si="101"/>
        <v>-1.4939571230919753E-2</v>
      </c>
      <c r="G1252" s="1138"/>
      <c r="H1252" s="520">
        <v>8375.31</v>
      </c>
      <c r="I1252" s="512">
        <v>42352</v>
      </c>
      <c r="J1252" s="254">
        <f t="shared" si="98"/>
        <v>-1.4908151671477299E-2</v>
      </c>
      <c r="L1252" s="251">
        <f t="shared" si="99"/>
        <v>42352</v>
      </c>
      <c r="M1252" s="513">
        <v>49.25</v>
      </c>
      <c r="N1252" s="254">
        <f t="shared" si="100"/>
        <v>-6.0544904137234123E-3</v>
      </c>
      <c r="O1252" s="1137">
        <f t="shared" si="102"/>
        <v>-6.0859099731658669E-3</v>
      </c>
      <c r="P1252" s="1138"/>
    </row>
    <row r="1253" spans="6:16" x14ac:dyDescent="0.2">
      <c r="F1253" s="1137">
        <f t="shared" si="101"/>
        <v>-1.515658998838469E-2</v>
      </c>
      <c r="G1253" s="1138"/>
      <c r="H1253" s="520">
        <v>8502.06</v>
      </c>
      <c r="I1253" s="512">
        <v>42349</v>
      </c>
      <c r="J1253" s="254">
        <f t="shared" si="98"/>
        <v>-1.5125170428942236E-2</v>
      </c>
      <c r="L1253" s="251">
        <f t="shared" si="99"/>
        <v>42349</v>
      </c>
      <c r="M1253" s="513">
        <v>49.55</v>
      </c>
      <c r="N1253" s="254">
        <f t="shared" si="100"/>
        <v>-1.0080645161291146E-3</v>
      </c>
      <c r="O1253" s="1137">
        <f t="shared" si="102"/>
        <v>-1.0394840755715692E-3</v>
      </c>
      <c r="P1253" s="1138"/>
    </row>
    <row r="1254" spans="6:16" x14ac:dyDescent="0.2">
      <c r="F1254" s="1137">
        <f t="shared" si="101"/>
        <v>8.5902038513681431E-4</v>
      </c>
      <c r="G1254" s="1138"/>
      <c r="H1254" s="520">
        <v>8632.6299999999992</v>
      </c>
      <c r="I1254" s="512">
        <v>42348</v>
      </c>
      <c r="J1254" s="254">
        <f t="shared" si="98"/>
        <v>8.9043994457926878E-4</v>
      </c>
      <c r="L1254" s="251">
        <f t="shared" si="99"/>
        <v>42348</v>
      </c>
      <c r="M1254" s="513">
        <v>49.6</v>
      </c>
      <c r="N1254" s="254">
        <f t="shared" si="100"/>
        <v>7.1065989847716171E-3</v>
      </c>
      <c r="O1254" s="1137">
        <f t="shared" si="102"/>
        <v>7.0751794253291625E-3</v>
      </c>
      <c r="P1254" s="1138"/>
    </row>
    <row r="1255" spans="6:16" x14ac:dyDescent="0.2">
      <c r="F1255" s="1137">
        <f t="shared" si="101"/>
        <v>-8.7945786639337786E-3</v>
      </c>
      <c r="G1255" s="1138"/>
      <c r="H1255" s="520">
        <v>8624.9500000000007</v>
      </c>
      <c r="I1255" s="512">
        <v>42347</v>
      </c>
      <c r="J1255" s="254">
        <f t="shared" si="98"/>
        <v>-8.7631591044913248E-3</v>
      </c>
      <c r="L1255" s="251">
        <f t="shared" si="99"/>
        <v>42347</v>
      </c>
      <c r="M1255" s="513">
        <v>49.25</v>
      </c>
      <c r="N1255" s="254">
        <f t="shared" si="100"/>
        <v>-1.8924302788844716E-2</v>
      </c>
      <c r="O1255" s="1137">
        <f t="shared" si="102"/>
        <v>-1.8955722348287171E-2</v>
      </c>
      <c r="P1255" s="1138"/>
    </row>
    <row r="1256" spans="6:16" x14ac:dyDescent="0.2">
      <c r="F1256" s="1137">
        <f t="shared" si="101"/>
        <v>-1.4091030132704669E-2</v>
      </c>
      <c r="G1256" s="1138"/>
      <c r="H1256" s="520">
        <v>8701.2000000000007</v>
      </c>
      <c r="I1256" s="512">
        <v>42346</v>
      </c>
      <c r="J1256" s="254">
        <f t="shared" si="98"/>
        <v>-1.4059610573262216E-2</v>
      </c>
      <c r="L1256" s="251">
        <f t="shared" si="99"/>
        <v>42346</v>
      </c>
      <c r="M1256" s="513">
        <v>50.2</v>
      </c>
      <c r="N1256" s="254">
        <f t="shared" si="100"/>
        <v>-2.9013539651837505E-2</v>
      </c>
      <c r="O1256" s="1137">
        <f t="shared" si="102"/>
        <v>-2.9044959211279961E-2</v>
      </c>
      <c r="P1256" s="1138"/>
    </row>
    <row r="1257" spans="6:16" x14ac:dyDescent="0.2">
      <c r="F1257" s="1137">
        <f t="shared" si="101"/>
        <v>2.5120633194759137E-3</v>
      </c>
      <c r="G1257" s="1138"/>
      <c r="H1257" s="520">
        <v>8825.2800000000007</v>
      </c>
      <c r="I1257" s="512">
        <v>42345</v>
      </c>
      <c r="J1257" s="254">
        <f t="shared" si="98"/>
        <v>2.5434828789183683E-3</v>
      </c>
      <c r="L1257" s="251">
        <f t="shared" si="99"/>
        <v>42345</v>
      </c>
      <c r="M1257" s="513">
        <v>51.7</v>
      </c>
      <c r="N1257" s="254">
        <f t="shared" si="100"/>
        <v>-2.8929604628736838E-3</v>
      </c>
      <c r="O1257" s="1137">
        <f t="shared" si="102"/>
        <v>-2.9243800223161384E-3</v>
      </c>
      <c r="P1257" s="1138"/>
    </row>
    <row r="1258" spans="6:16" x14ac:dyDescent="0.2">
      <c r="F1258" s="1137">
        <f t="shared" si="101"/>
        <v>-5.5950459819798367E-3</v>
      </c>
      <c r="G1258" s="1138"/>
      <c r="H1258" s="520">
        <v>8802.89</v>
      </c>
      <c r="I1258" s="512">
        <v>42342</v>
      </c>
      <c r="J1258" s="254">
        <f t="shared" si="98"/>
        <v>-5.5636264225373822E-3</v>
      </c>
      <c r="L1258" s="251">
        <f t="shared" si="99"/>
        <v>42342</v>
      </c>
      <c r="M1258" s="513">
        <v>51.85</v>
      </c>
      <c r="N1258" s="254">
        <f t="shared" si="100"/>
        <v>1.9323671497584183E-3</v>
      </c>
      <c r="O1258" s="1137">
        <f t="shared" si="102"/>
        <v>1.9009475903159637E-3</v>
      </c>
      <c r="P1258" s="1138"/>
    </row>
    <row r="1259" spans="6:16" x14ac:dyDescent="0.2">
      <c r="F1259" s="1137">
        <f t="shared" si="101"/>
        <v>-1.8266755430328893E-2</v>
      </c>
      <c r="G1259" s="1138"/>
      <c r="H1259" s="520">
        <v>8852.14</v>
      </c>
      <c r="I1259" s="512">
        <v>42341</v>
      </c>
      <c r="J1259" s="254">
        <f t="shared" si="98"/>
        <v>-1.8235335870886438E-2</v>
      </c>
      <c r="L1259" s="251">
        <f t="shared" si="99"/>
        <v>42341</v>
      </c>
      <c r="M1259" s="513">
        <v>51.75</v>
      </c>
      <c r="N1259" s="254">
        <f t="shared" si="100"/>
        <v>6.809338521400754E-3</v>
      </c>
      <c r="O1259" s="1137">
        <f t="shared" si="102"/>
        <v>6.7779189619582994E-3</v>
      </c>
      <c r="P1259" s="1138"/>
    </row>
    <row r="1260" spans="6:16" x14ac:dyDescent="0.2">
      <c r="F1260" s="1137">
        <f t="shared" si="101"/>
        <v>2.5616392269349345E-3</v>
      </c>
      <c r="G1260" s="1138"/>
      <c r="H1260" s="520">
        <v>9016.56</v>
      </c>
      <c r="I1260" s="512">
        <v>42340</v>
      </c>
      <c r="J1260" s="254">
        <f t="shared" si="98"/>
        <v>2.5930587863773891E-3</v>
      </c>
      <c r="L1260" s="251">
        <f t="shared" si="99"/>
        <v>42340</v>
      </c>
      <c r="M1260" s="513">
        <v>51.4</v>
      </c>
      <c r="N1260" s="254">
        <f t="shared" si="100"/>
        <v>7.8431372549019329E-3</v>
      </c>
      <c r="O1260" s="1137">
        <f t="shared" si="102"/>
        <v>7.8117176954594783E-3</v>
      </c>
      <c r="P1260" s="1138"/>
    </row>
    <row r="1261" spans="6:16" x14ac:dyDescent="0.2">
      <c r="F1261" s="1137">
        <f t="shared" si="101"/>
        <v>-1.5852068810758439E-5</v>
      </c>
      <c r="G1261" s="1138"/>
      <c r="H1261" s="520">
        <v>8993.24</v>
      </c>
      <c r="I1261" s="512">
        <v>42339</v>
      </c>
      <c r="J1261" s="254">
        <f t="shared" si="98"/>
        <v>1.5567490631696046E-5</v>
      </c>
      <c r="L1261" s="251">
        <f t="shared" si="99"/>
        <v>42339</v>
      </c>
      <c r="M1261" s="513">
        <v>51</v>
      </c>
      <c r="N1261" s="254">
        <f t="shared" si="100"/>
        <v>2.0000000000000018E-2</v>
      </c>
      <c r="O1261" s="1137">
        <f t="shared" si="102"/>
        <v>1.9968580440557562E-2</v>
      </c>
      <c r="P1261" s="1138"/>
    </row>
    <row r="1262" spans="6:16" x14ac:dyDescent="0.2">
      <c r="F1262" s="1137">
        <f t="shared" si="101"/>
        <v>-1.126614917413434E-3</v>
      </c>
      <c r="G1262" s="1138"/>
      <c r="H1262" s="520">
        <v>8993.1</v>
      </c>
      <c r="I1262" s="512">
        <v>42338</v>
      </c>
      <c r="J1262" s="254">
        <f t="shared" si="98"/>
        <v>-1.0951953579709794E-3</v>
      </c>
      <c r="L1262" s="251">
        <f t="shared" si="99"/>
        <v>42338</v>
      </c>
      <c r="M1262" s="513">
        <v>50</v>
      </c>
      <c r="N1262" s="254">
        <f t="shared" si="100"/>
        <v>2.6694045174537884E-2</v>
      </c>
      <c r="O1262" s="1137">
        <f t="shared" si="102"/>
        <v>2.6662625615095428E-2</v>
      </c>
      <c r="P1262" s="1138"/>
    </row>
    <row r="1263" spans="6:16" x14ac:dyDescent="0.2">
      <c r="F1263" s="1137">
        <f t="shared" si="101"/>
        <v>3.8389007371592712E-3</v>
      </c>
      <c r="G1263" s="1138"/>
      <c r="H1263" s="520">
        <v>9002.9599999999991</v>
      </c>
      <c r="I1263" s="512">
        <v>42335</v>
      </c>
      <c r="J1263" s="254">
        <f t="shared" si="98"/>
        <v>3.8703202966017258E-3</v>
      </c>
      <c r="L1263" s="251">
        <f t="shared" si="99"/>
        <v>42335</v>
      </c>
      <c r="M1263" s="513">
        <v>48.7</v>
      </c>
      <c r="N1263" s="254">
        <f t="shared" si="100"/>
        <v>1.4583333333333393E-2</v>
      </c>
      <c r="O1263" s="1137">
        <f t="shared" si="102"/>
        <v>1.4551913773890939E-2</v>
      </c>
      <c r="P1263" s="1138"/>
    </row>
    <row r="1264" spans="6:16" x14ac:dyDescent="0.2">
      <c r="F1264" s="1137">
        <f t="shared" si="101"/>
        <v>3.748319160662165E-3</v>
      </c>
      <c r="G1264" s="1138"/>
      <c r="H1264" s="520">
        <v>8968.25</v>
      </c>
      <c r="I1264" s="512">
        <v>42334</v>
      </c>
      <c r="J1264" s="254">
        <f t="shared" si="98"/>
        <v>3.7797387201046195E-3</v>
      </c>
      <c r="L1264" s="251">
        <f t="shared" si="99"/>
        <v>42334</v>
      </c>
      <c r="M1264" s="513">
        <v>48</v>
      </c>
      <c r="N1264" s="254">
        <f t="shared" si="100"/>
        <v>2.0876826722338038E-3</v>
      </c>
      <c r="O1264" s="1137">
        <f t="shared" si="102"/>
        <v>2.0562631127913492E-3</v>
      </c>
      <c r="P1264" s="1138"/>
    </row>
    <row r="1265" spans="6:16" x14ac:dyDescent="0.2">
      <c r="F1265" s="1137">
        <f t="shared" si="101"/>
        <v>1.4267220508764127E-2</v>
      </c>
      <c r="G1265" s="1138"/>
      <c r="H1265" s="520">
        <v>8934.48</v>
      </c>
      <c r="I1265" s="512">
        <v>42333</v>
      </c>
      <c r="J1265" s="254">
        <f t="shared" si="98"/>
        <v>1.4298640068206581E-2</v>
      </c>
      <c r="L1265" s="251">
        <f t="shared" si="99"/>
        <v>42333</v>
      </c>
      <c r="M1265" s="513">
        <v>47.9</v>
      </c>
      <c r="N1265" s="254">
        <f t="shared" si="100"/>
        <v>1.9148936170212627E-2</v>
      </c>
      <c r="O1265" s="1137">
        <f t="shared" si="102"/>
        <v>1.9117516610770172E-2</v>
      </c>
      <c r="P1265" s="1138"/>
    </row>
    <row r="1266" spans="6:16" x14ac:dyDescent="0.2">
      <c r="F1266" s="1137">
        <f t="shared" si="101"/>
        <v>-1.3016031427341796E-2</v>
      </c>
      <c r="G1266" s="1138"/>
      <c r="H1266" s="520">
        <v>8808.5300000000007</v>
      </c>
      <c r="I1266" s="512">
        <v>42332</v>
      </c>
      <c r="J1266" s="254">
        <f t="shared" si="98"/>
        <v>-1.2984611867899343E-2</v>
      </c>
      <c r="L1266" s="251">
        <f t="shared" si="99"/>
        <v>42332</v>
      </c>
      <c r="M1266" s="513">
        <v>47</v>
      </c>
      <c r="N1266" s="254">
        <f t="shared" si="100"/>
        <v>6.4239828693790635E-3</v>
      </c>
      <c r="O1266" s="1137">
        <f t="shared" si="102"/>
        <v>6.3925633099366089E-3</v>
      </c>
      <c r="P1266" s="1138"/>
    </row>
    <row r="1267" spans="6:16" x14ac:dyDescent="0.2">
      <c r="F1267" s="1137">
        <f t="shared" si="101"/>
        <v>-1.0171362304591853E-2</v>
      </c>
      <c r="G1267" s="1138"/>
      <c r="H1267" s="520">
        <v>8924.41</v>
      </c>
      <c r="I1267" s="512">
        <v>42331</v>
      </c>
      <c r="J1267" s="254">
        <f t="shared" si="98"/>
        <v>-1.01399427451494E-2</v>
      </c>
      <c r="L1267" s="251">
        <f t="shared" si="99"/>
        <v>42331</v>
      </c>
      <c r="M1267" s="513">
        <v>46.7</v>
      </c>
      <c r="N1267" s="254">
        <f t="shared" si="100"/>
        <v>-1.684210526315788E-2</v>
      </c>
      <c r="O1267" s="1137">
        <f t="shared" si="102"/>
        <v>-1.6873524822600336E-2</v>
      </c>
      <c r="P1267" s="1138"/>
    </row>
    <row r="1268" spans="6:16" x14ac:dyDescent="0.2">
      <c r="F1268" s="1137">
        <f t="shared" si="101"/>
        <v>7.6559220147616556E-4</v>
      </c>
      <c r="G1268" s="1138"/>
      <c r="H1268" s="520">
        <v>9015.83</v>
      </c>
      <c r="I1268" s="512">
        <v>42328</v>
      </c>
      <c r="J1268" s="254">
        <f t="shared" si="98"/>
        <v>7.9701176091862003E-4</v>
      </c>
      <c r="L1268" s="251">
        <f t="shared" si="99"/>
        <v>42328</v>
      </c>
      <c r="M1268" s="513">
        <v>47.5</v>
      </c>
      <c r="N1268" s="254">
        <f t="shared" si="100"/>
        <v>-5.2356020942407877E-3</v>
      </c>
      <c r="O1268" s="1137">
        <f t="shared" si="102"/>
        <v>-5.2670216536832423E-3</v>
      </c>
      <c r="P1268" s="1138"/>
    </row>
    <row r="1269" spans="6:16" x14ac:dyDescent="0.2">
      <c r="F1269" s="1137">
        <f t="shared" si="101"/>
        <v>1.9361122725309468E-3</v>
      </c>
      <c r="G1269" s="1138"/>
      <c r="H1269" s="520">
        <v>9008.65</v>
      </c>
      <c r="I1269" s="512">
        <v>42327</v>
      </c>
      <c r="J1269" s="254">
        <f t="shared" si="98"/>
        <v>1.9675318319734014E-3</v>
      </c>
      <c r="L1269" s="251">
        <f t="shared" si="99"/>
        <v>42327</v>
      </c>
      <c r="M1269" s="513">
        <v>47.75</v>
      </c>
      <c r="N1269" s="254">
        <f t="shared" si="100"/>
        <v>-1.0460251046024993E-3</v>
      </c>
      <c r="O1269" s="1137">
        <f t="shared" si="102"/>
        <v>-1.0774446640449539E-3</v>
      </c>
      <c r="P1269" s="1138"/>
    </row>
    <row r="1270" spans="6:16" x14ac:dyDescent="0.2">
      <c r="F1270" s="1137">
        <f t="shared" si="101"/>
        <v>4.2556127820724968E-3</v>
      </c>
      <c r="G1270" s="1138"/>
      <c r="H1270" s="520">
        <v>8990.9599999999991</v>
      </c>
      <c r="I1270" s="512">
        <v>42326</v>
      </c>
      <c r="J1270" s="254">
        <f t="shared" si="98"/>
        <v>4.2870323415149514E-3</v>
      </c>
      <c r="L1270" s="251">
        <f t="shared" si="99"/>
        <v>42326</v>
      </c>
      <c r="M1270" s="513">
        <v>47.8</v>
      </c>
      <c r="N1270" s="254">
        <f t="shared" si="100"/>
        <v>-6.2370062370062929E-3</v>
      </c>
      <c r="O1270" s="1137">
        <f t="shared" si="102"/>
        <v>-6.2684257964487474E-3</v>
      </c>
      <c r="P1270" s="1138"/>
    </row>
    <row r="1271" spans="6:16" x14ac:dyDescent="0.2">
      <c r="F1271" s="1137">
        <f t="shared" si="101"/>
        <v>2.5806517255692898E-2</v>
      </c>
      <c r="G1271" s="1138"/>
      <c r="H1271" s="520">
        <v>8952.58</v>
      </c>
      <c r="I1271" s="512">
        <v>42325</v>
      </c>
      <c r="J1271" s="254">
        <f t="shared" si="98"/>
        <v>2.5837936815135354E-2</v>
      </c>
      <c r="L1271" s="251">
        <f t="shared" si="99"/>
        <v>42325</v>
      </c>
      <c r="M1271" s="513">
        <v>48.1</v>
      </c>
      <c r="N1271" s="254">
        <f t="shared" si="100"/>
        <v>1.9067796610169552E-2</v>
      </c>
      <c r="O1271" s="1137">
        <f t="shared" si="102"/>
        <v>1.9036377050727096E-2</v>
      </c>
      <c r="P1271" s="1138"/>
    </row>
    <row r="1272" spans="6:16" x14ac:dyDescent="0.2">
      <c r="F1272" s="1137">
        <f t="shared" si="101"/>
        <v>-2.6314671031690126E-3</v>
      </c>
      <c r="G1272" s="1138"/>
      <c r="H1272" s="520">
        <v>8727.09</v>
      </c>
      <c r="I1272" s="512">
        <v>42324</v>
      </c>
      <c r="J1272" s="254">
        <f t="shared" si="98"/>
        <v>-2.600047543726558E-3</v>
      </c>
      <c r="L1272" s="251">
        <f t="shared" si="99"/>
        <v>42324</v>
      </c>
      <c r="M1272" s="513">
        <v>47.2</v>
      </c>
      <c r="N1272" s="254">
        <f t="shared" si="100"/>
        <v>-1.0582010582009804E-3</v>
      </c>
      <c r="O1272" s="1137">
        <f t="shared" si="102"/>
        <v>-1.089620617643435E-3</v>
      </c>
      <c r="P1272" s="1138"/>
    </row>
    <row r="1273" spans="6:16" x14ac:dyDescent="0.2">
      <c r="F1273" s="1137">
        <f t="shared" si="101"/>
        <v>-7.6417696355460104E-3</v>
      </c>
      <c r="G1273" s="1138"/>
      <c r="H1273" s="520">
        <v>8749.84</v>
      </c>
      <c r="I1273" s="512">
        <v>42321</v>
      </c>
      <c r="J1273" s="254">
        <f t="shared" si="98"/>
        <v>-7.6103500761035558E-3</v>
      </c>
      <c r="L1273" s="251">
        <f t="shared" si="99"/>
        <v>42321</v>
      </c>
      <c r="M1273" s="513">
        <v>47.25</v>
      </c>
      <c r="N1273" s="254">
        <f t="shared" si="100"/>
        <v>-1.8691588785046731E-2</v>
      </c>
      <c r="O1273" s="1137">
        <f t="shared" si="102"/>
        <v>-1.8723008344489186E-2</v>
      </c>
      <c r="P1273" s="1138"/>
    </row>
    <row r="1274" spans="6:16" x14ac:dyDescent="0.2">
      <c r="F1274" s="1137">
        <f t="shared" si="101"/>
        <v>-7.6412591123740511E-3</v>
      </c>
      <c r="G1274" s="1138"/>
      <c r="H1274" s="520">
        <v>8816.94</v>
      </c>
      <c r="I1274" s="512">
        <v>42320</v>
      </c>
      <c r="J1274" s="254">
        <f t="shared" si="98"/>
        <v>-7.6098395529315965E-3</v>
      </c>
      <c r="L1274" s="251">
        <f t="shared" si="99"/>
        <v>42320</v>
      </c>
      <c r="M1274" s="513">
        <v>48.15</v>
      </c>
      <c r="N1274" s="254">
        <f t="shared" si="100"/>
        <v>1.7970401691332016E-2</v>
      </c>
      <c r="O1274" s="1137">
        <f t="shared" si="102"/>
        <v>1.7938982131889561E-2</v>
      </c>
      <c r="P1274" s="1138"/>
    </row>
    <row r="1275" spans="6:16" x14ac:dyDescent="0.2">
      <c r="F1275" s="1137">
        <f t="shared" si="101"/>
        <v>3.8986260801616305E-3</v>
      </c>
      <c r="G1275" s="1138"/>
      <c r="H1275" s="520">
        <v>8884.5499999999993</v>
      </c>
      <c r="I1275" s="512">
        <v>42319</v>
      </c>
      <c r="J1275" s="254">
        <f t="shared" si="98"/>
        <v>3.930045639604085E-3</v>
      </c>
      <c r="L1275" s="251">
        <f t="shared" si="99"/>
        <v>42319</v>
      </c>
      <c r="M1275" s="513">
        <v>47.3</v>
      </c>
      <c r="N1275" s="254">
        <f t="shared" si="100"/>
        <v>1.1764705882352899E-2</v>
      </c>
      <c r="O1275" s="1137">
        <f t="shared" si="102"/>
        <v>1.1733286322910446E-2</v>
      </c>
      <c r="P1275" s="1138"/>
    </row>
    <row r="1276" spans="6:16" x14ac:dyDescent="0.2">
      <c r="F1276" s="1137">
        <f t="shared" si="101"/>
        <v>-3.0618352446036131E-3</v>
      </c>
      <c r="G1276" s="1138"/>
      <c r="H1276" s="520">
        <v>8849.77</v>
      </c>
      <c r="I1276" s="512">
        <v>42318</v>
      </c>
      <c r="J1276" s="254">
        <f t="shared" si="98"/>
        <v>-3.0304156851611586E-3</v>
      </c>
      <c r="L1276" s="251">
        <f t="shared" si="99"/>
        <v>42318</v>
      </c>
      <c r="M1276" s="513">
        <v>46.75</v>
      </c>
      <c r="N1276" s="254">
        <f t="shared" si="100"/>
        <v>-7.4309978768577478E-3</v>
      </c>
      <c r="O1276" s="1137">
        <f t="shared" si="102"/>
        <v>-7.4624174363002024E-3</v>
      </c>
      <c r="P1276" s="1138"/>
    </row>
    <row r="1277" spans="6:16" x14ac:dyDescent="0.2">
      <c r="F1277" s="1137">
        <f t="shared" si="101"/>
        <v>-1.0465888087145698E-2</v>
      </c>
      <c r="G1277" s="1138"/>
      <c r="H1277" s="520">
        <v>8876.67</v>
      </c>
      <c r="I1277" s="512">
        <v>42317</v>
      </c>
      <c r="J1277" s="254">
        <f t="shared" si="98"/>
        <v>-1.0434468527703245E-2</v>
      </c>
      <c r="L1277" s="251">
        <f t="shared" si="99"/>
        <v>42317</v>
      </c>
      <c r="M1277" s="513">
        <v>47.1</v>
      </c>
      <c r="N1277" s="254">
        <f t="shared" si="100"/>
        <v>-1.2578616352201255E-2</v>
      </c>
      <c r="O1277" s="1137">
        <f t="shared" si="102"/>
        <v>-1.2610035911643709E-2</v>
      </c>
      <c r="P1277" s="1138"/>
    </row>
    <row r="1278" spans="6:16" x14ac:dyDescent="0.2">
      <c r="F1278" s="1137">
        <f t="shared" si="101"/>
        <v>-2.2438384707855049E-3</v>
      </c>
      <c r="G1278" s="1138"/>
      <c r="H1278" s="520">
        <v>8970.27</v>
      </c>
      <c r="I1278" s="512">
        <v>42314</v>
      </c>
      <c r="J1278" s="254">
        <f t="shared" si="98"/>
        <v>-2.2124189113430504E-3</v>
      </c>
      <c r="L1278" s="251">
        <f t="shared" si="99"/>
        <v>42314</v>
      </c>
      <c r="M1278" s="513">
        <v>47.7</v>
      </c>
      <c r="N1278" s="254">
        <f t="shared" si="100"/>
        <v>1.0493179433368471E-3</v>
      </c>
      <c r="O1278" s="1137">
        <f t="shared" si="102"/>
        <v>1.0178983838943926E-3</v>
      </c>
      <c r="P1278" s="1138"/>
    </row>
    <row r="1279" spans="6:16" x14ac:dyDescent="0.2">
      <c r="F1279" s="1137">
        <f t="shared" si="101"/>
        <v>4.2582396807515225E-3</v>
      </c>
      <c r="G1279" s="1138"/>
      <c r="H1279" s="520">
        <v>8990.16</v>
      </c>
      <c r="I1279" s="512">
        <v>42313</v>
      </c>
      <c r="J1279" s="254">
        <f t="shared" si="98"/>
        <v>4.289659240193977E-3</v>
      </c>
      <c r="L1279" s="251">
        <f t="shared" si="99"/>
        <v>42313</v>
      </c>
      <c r="M1279" s="513">
        <v>47.65</v>
      </c>
      <c r="N1279" s="254">
        <f t="shared" si="100"/>
        <v>1.0604453870625585E-2</v>
      </c>
      <c r="O1279" s="1137">
        <f t="shared" si="102"/>
        <v>1.0573034311183132E-2</v>
      </c>
      <c r="P1279" s="1138"/>
    </row>
    <row r="1280" spans="6:16" x14ac:dyDescent="0.2">
      <c r="F1280" s="1137">
        <f t="shared" si="101"/>
        <v>1.7882883472219594E-3</v>
      </c>
      <c r="G1280" s="1138"/>
      <c r="H1280" s="520">
        <v>8951.76</v>
      </c>
      <c r="I1280" s="512">
        <v>42312</v>
      </c>
      <c r="J1280" s="254">
        <f t="shared" si="98"/>
        <v>1.819707906664414E-3</v>
      </c>
      <c r="L1280" s="251">
        <f t="shared" si="99"/>
        <v>42312</v>
      </c>
      <c r="M1280" s="513">
        <v>47.15</v>
      </c>
      <c r="N1280" s="254">
        <f t="shared" si="100"/>
        <v>8.5561497326203106E-3</v>
      </c>
      <c r="O1280" s="1137">
        <f t="shared" si="102"/>
        <v>8.5247301731778569E-3</v>
      </c>
      <c r="P1280" s="1138"/>
    </row>
    <row r="1281" spans="6:16" x14ac:dyDescent="0.2">
      <c r="F1281" s="1137">
        <f t="shared" si="101"/>
        <v>-9.6324976582891778E-5</v>
      </c>
      <c r="G1281" s="1138"/>
      <c r="H1281" s="520">
        <v>8935.5</v>
      </c>
      <c r="I1281" s="512">
        <v>42311</v>
      </c>
      <c r="J1281" s="254">
        <f t="shared" si="98"/>
        <v>-6.4905417140437294E-5</v>
      </c>
      <c r="L1281" s="251">
        <f t="shared" si="99"/>
        <v>42311</v>
      </c>
      <c r="M1281" s="513">
        <v>46.75</v>
      </c>
      <c r="N1281" s="254">
        <f t="shared" si="100"/>
        <v>2.1436227224009841E-3</v>
      </c>
      <c r="O1281" s="1137">
        <f t="shared" si="102"/>
        <v>2.1122031629585295E-3</v>
      </c>
      <c r="P1281" s="1138"/>
    </row>
    <row r="1282" spans="6:16" x14ac:dyDescent="0.2">
      <c r="F1282" s="1137">
        <f t="shared" si="101"/>
        <v>-3.1893501199957333E-4</v>
      </c>
      <c r="G1282" s="1138"/>
      <c r="H1282" s="520">
        <v>8936.08</v>
      </c>
      <c r="I1282" s="512">
        <v>42310</v>
      </c>
      <c r="J1282" s="254">
        <f t="shared" si="98"/>
        <v>-2.8751545255711886E-4</v>
      </c>
      <c r="L1282" s="251">
        <f t="shared" si="99"/>
        <v>42310</v>
      </c>
      <c r="M1282" s="513">
        <v>46.65</v>
      </c>
      <c r="N1282" s="254">
        <f t="shared" si="100"/>
        <v>8.6486486486485603E-3</v>
      </c>
      <c r="O1282" s="1137">
        <f t="shared" si="102"/>
        <v>8.6172290892061066E-3</v>
      </c>
      <c r="P1282" s="1138"/>
    </row>
    <row r="1283" spans="6:16" x14ac:dyDescent="0.2">
      <c r="F1283" s="1137">
        <f t="shared" si="101"/>
        <v>-2.1101779311339238E-3</v>
      </c>
      <c r="G1283" s="1138"/>
      <c r="H1283" s="520">
        <v>8938.65</v>
      </c>
      <c r="I1283" s="512">
        <v>42307</v>
      </c>
      <c r="J1283" s="254">
        <f t="shared" si="98"/>
        <v>-2.0787583716914693E-3</v>
      </c>
      <c r="L1283" s="251">
        <f t="shared" si="99"/>
        <v>42307</v>
      </c>
      <c r="M1283" s="513">
        <v>46.25</v>
      </c>
      <c r="N1283" s="254">
        <f t="shared" si="100"/>
        <v>0</v>
      </c>
      <c r="O1283" s="1137">
        <f t="shared" si="102"/>
        <v>-3.1419559442454485E-5</v>
      </c>
      <c r="P1283" s="1138"/>
    </row>
    <row r="1284" spans="6:16" x14ac:dyDescent="0.2">
      <c r="F1284" s="1137">
        <f t="shared" si="101"/>
        <v>2.7258839924750458E-3</v>
      </c>
      <c r="G1284" s="1138"/>
      <c r="H1284" s="520">
        <v>8957.27</v>
      </c>
      <c r="I1284" s="512">
        <v>42306</v>
      </c>
      <c r="J1284" s="254">
        <f t="shared" si="98"/>
        <v>2.7573035519175004E-3</v>
      </c>
      <c r="L1284" s="251">
        <f t="shared" si="99"/>
        <v>42306</v>
      </c>
      <c r="M1284" s="513">
        <v>46.25</v>
      </c>
      <c r="N1284" s="254">
        <f t="shared" si="100"/>
        <v>5.4347826086955653E-3</v>
      </c>
      <c r="O1284" s="1137">
        <f t="shared" si="102"/>
        <v>5.4033630492531107E-3</v>
      </c>
      <c r="P1284" s="1138"/>
    </row>
    <row r="1285" spans="6:16" x14ac:dyDescent="0.2">
      <c r="F1285" s="1137">
        <f t="shared" si="101"/>
        <v>9.3155575883733955E-3</v>
      </c>
      <c r="G1285" s="1138"/>
      <c r="H1285" s="520">
        <v>8932.64</v>
      </c>
      <c r="I1285" s="512">
        <v>42305</v>
      </c>
      <c r="J1285" s="254">
        <f t="shared" si="98"/>
        <v>9.3469771478158492E-3</v>
      </c>
      <c r="L1285" s="251">
        <f t="shared" si="99"/>
        <v>42305</v>
      </c>
      <c r="M1285" s="513">
        <v>46</v>
      </c>
      <c r="N1285" s="254">
        <f t="shared" si="100"/>
        <v>-3.25027085590468E-3</v>
      </c>
      <c r="O1285" s="1137">
        <f t="shared" si="102"/>
        <v>-3.2816904153471346E-3</v>
      </c>
      <c r="P1285" s="1138"/>
    </row>
    <row r="1286" spans="6:16" x14ac:dyDescent="0.2">
      <c r="F1286" s="1137">
        <f t="shared" si="101"/>
        <v>-6.5357876119264543E-3</v>
      </c>
      <c r="G1286" s="1138"/>
      <c r="H1286" s="520">
        <v>8849.92</v>
      </c>
      <c r="I1286" s="512">
        <v>42304</v>
      </c>
      <c r="J1286" s="254">
        <f t="shared" si="98"/>
        <v>-6.5043680524839997E-3</v>
      </c>
      <c r="L1286" s="251">
        <f t="shared" si="99"/>
        <v>42304</v>
      </c>
      <c r="M1286" s="513">
        <v>46.15</v>
      </c>
      <c r="N1286" s="254">
        <f t="shared" si="100"/>
        <v>4.3525571273121955E-3</v>
      </c>
      <c r="O1286" s="1137">
        <f t="shared" si="102"/>
        <v>4.3211375678697409E-3</v>
      </c>
      <c r="P1286" s="1138"/>
    </row>
    <row r="1287" spans="6:16" x14ac:dyDescent="0.2">
      <c r="F1287" s="1137">
        <f t="shared" si="101"/>
        <v>-3.2994310240068339E-4</v>
      </c>
      <c r="G1287" s="1138"/>
      <c r="H1287" s="520">
        <v>8907.86</v>
      </c>
      <c r="I1287" s="512">
        <v>42303</v>
      </c>
      <c r="J1287" s="254">
        <f t="shared" si="98"/>
        <v>-2.9852354295822892E-4</v>
      </c>
      <c r="L1287" s="251">
        <f t="shared" si="99"/>
        <v>42303</v>
      </c>
      <c r="M1287" s="513">
        <v>45.95</v>
      </c>
      <c r="N1287" s="254">
        <f t="shared" si="100"/>
        <v>-7.5593952483800075E-3</v>
      </c>
      <c r="O1287" s="1137">
        <f t="shared" si="102"/>
        <v>-7.5908148078224621E-3</v>
      </c>
      <c r="P1287" s="1138"/>
    </row>
    <row r="1288" spans="6:16" x14ac:dyDescent="0.2">
      <c r="F1288" s="1137">
        <f t="shared" si="101"/>
        <v>1.3804182539564018E-2</v>
      </c>
      <c r="G1288" s="1138"/>
      <c r="H1288" s="520">
        <v>8910.52</v>
      </c>
      <c r="I1288" s="512">
        <v>42300</v>
      </c>
      <c r="J1288" s="254">
        <f t="shared" si="98"/>
        <v>1.3835602099006472E-2</v>
      </c>
      <c r="L1288" s="251">
        <f t="shared" si="99"/>
        <v>42300</v>
      </c>
      <c r="M1288" s="513">
        <v>46.3</v>
      </c>
      <c r="N1288" s="254">
        <f t="shared" si="100"/>
        <v>1.4238773274917849E-2</v>
      </c>
      <c r="O1288" s="1137">
        <f t="shared" si="102"/>
        <v>1.4207353715475395E-2</v>
      </c>
      <c r="P1288" s="1138"/>
    </row>
    <row r="1289" spans="6:16" x14ac:dyDescent="0.2">
      <c r="F1289" s="1137">
        <f t="shared" si="101"/>
        <v>2.1684157530856132E-2</v>
      </c>
      <c r="G1289" s="1138"/>
      <c r="H1289" s="520">
        <v>8788.92</v>
      </c>
      <c r="I1289" s="512">
        <v>42299</v>
      </c>
      <c r="J1289" s="254">
        <f t="shared" si="98"/>
        <v>2.1715577090298588E-2</v>
      </c>
      <c r="L1289" s="251">
        <f t="shared" si="99"/>
        <v>42299</v>
      </c>
      <c r="M1289" s="513">
        <v>45.65</v>
      </c>
      <c r="N1289" s="254">
        <f t="shared" si="100"/>
        <v>3.296703296703285E-3</v>
      </c>
      <c r="O1289" s="1137">
        <f t="shared" si="102"/>
        <v>3.2652837372608304E-3</v>
      </c>
      <c r="P1289" s="1138"/>
    </row>
    <row r="1290" spans="6:16" x14ac:dyDescent="0.2">
      <c r="F1290" s="1137">
        <f t="shared" si="101"/>
        <v>-5.5689790101719891E-3</v>
      </c>
      <c r="G1290" s="1138"/>
      <c r="H1290" s="520">
        <v>8602.1200000000008</v>
      </c>
      <c r="I1290" s="512">
        <v>42298</v>
      </c>
      <c r="J1290" s="254">
        <f t="shared" si="98"/>
        <v>-5.5375594507295345E-3</v>
      </c>
      <c r="L1290" s="251">
        <f t="shared" si="99"/>
        <v>42298</v>
      </c>
      <c r="M1290" s="513">
        <v>45.5</v>
      </c>
      <c r="N1290" s="254">
        <f t="shared" si="100"/>
        <v>8.591885441527447E-2</v>
      </c>
      <c r="O1290" s="1137">
        <f t="shared" si="102"/>
        <v>8.5887434855832015E-2</v>
      </c>
      <c r="P1290" s="1138"/>
    </row>
    <row r="1291" spans="6:16" x14ac:dyDescent="0.2">
      <c r="F1291" s="1137">
        <f t="shared" si="101"/>
        <v>-6.4226638763580776E-3</v>
      </c>
      <c r="G1291" s="1138"/>
      <c r="H1291" s="520">
        <v>8650.02</v>
      </c>
      <c r="I1291" s="512">
        <v>42297</v>
      </c>
      <c r="J1291" s="254">
        <f t="shared" si="98"/>
        <v>-6.391244316915623E-3</v>
      </c>
      <c r="L1291" s="251">
        <f t="shared" si="99"/>
        <v>42297</v>
      </c>
      <c r="M1291" s="513">
        <v>41.9</v>
      </c>
      <c r="N1291" s="254">
        <f t="shared" si="100"/>
        <v>-4.7505938242280443E-3</v>
      </c>
      <c r="O1291" s="1137">
        <f t="shared" si="102"/>
        <v>-4.7820133836704989E-3</v>
      </c>
      <c r="P1291" s="1138"/>
    </row>
    <row r="1292" spans="6:16" x14ac:dyDescent="0.2">
      <c r="F1292" s="1137">
        <f t="shared" si="101"/>
        <v>-1.1868018395268373E-3</v>
      </c>
      <c r="G1292" s="1138"/>
      <c r="H1292" s="520">
        <v>8705.66</v>
      </c>
      <c r="I1292" s="512">
        <v>42296</v>
      </c>
      <c r="J1292" s="254">
        <f t="shared" si="98"/>
        <v>-1.1553822800843827E-3</v>
      </c>
      <c r="L1292" s="251">
        <f t="shared" si="99"/>
        <v>42296</v>
      </c>
      <c r="M1292" s="513">
        <v>42.1</v>
      </c>
      <c r="N1292" s="254">
        <f t="shared" si="100"/>
        <v>-4.7281323877067516E-3</v>
      </c>
      <c r="O1292" s="1137">
        <f t="shared" si="102"/>
        <v>-4.7595519471492062E-3</v>
      </c>
      <c r="P1292" s="1138"/>
    </row>
    <row r="1293" spans="6:16" x14ac:dyDescent="0.2">
      <c r="F1293" s="1137">
        <f t="shared" si="101"/>
        <v>7.1773492988608948E-3</v>
      </c>
      <c r="G1293" s="1138"/>
      <c r="H1293" s="520">
        <v>8715.73</v>
      </c>
      <c r="I1293" s="512">
        <v>42293</v>
      </c>
      <c r="J1293" s="254">
        <f t="shared" si="98"/>
        <v>7.2087688583033493E-3</v>
      </c>
      <c r="L1293" s="251">
        <f t="shared" si="99"/>
        <v>42293</v>
      </c>
      <c r="M1293" s="513">
        <v>42.3</v>
      </c>
      <c r="N1293" s="254">
        <f t="shared" si="100"/>
        <v>7.1428571428571175E-3</v>
      </c>
      <c r="O1293" s="1137">
        <f t="shared" si="102"/>
        <v>7.1114375834146629E-3</v>
      </c>
      <c r="P1293" s="1138"/>
    </row>
    <row r="1294" spans="6:16" x14ac:dyDescent="0.2">
      <c r="F1294" s="1137">
        <f t="shared" si="101"/>
        <v>9.3045311993659886E-3</v>
      </c>
      <c r="G1294" s="1138"/>
      <c r="H1294" s="520">
        <v>8653.35</v>
      </c>
      <c r="I1294" s="512">
        <v>42292</v>
      </c>
      <c r="J1294" s="254">
        <f t="shared" si="98"/>
        <v>9.3359507588084423E-3</v>
      </c>
      <c r="L1294" s="251">
        <f t="shared" si="99"/>
        <v>42292</v>
      </c>
      <c r="M1294" s="513">
        <v>42</v>
      </c>
      <c r="N1294" s="254">
        <f t="shared" si="100"/>
        <v>-7.0921985815601829E-3</v>
      </c>
      <c r="O1294" s="1137">
        <f t="shared" si="102"/>
        <v>-7.1236181410026375E-3</v>
      </c>
      <c r="P1294" s="1138"/>
    </row>
    <row r="1295" spans="6:16" x14ac:dyDescent="0.2">
      <c r="F1295" s="1137">
        <f t="shared" si="101"/>
        <v>-9.4286908497561005E-3</v>
      </c>
      <c r="G1295" s="1138"/>
      <c r="H1295" s="520">
        <v>8573.31</v>
      </c>
      <c r="I1295" s="512">
        <v>42291</v>
      </c>
      <c r="J1295" s="254">
        <f t="shared" si="98"/>
        <v>-9.3972712903136468E-3</v>
      </c>
      <c r="L1295" s="251">
        <f t="shared" si="99"/>
        <v>42291</v>
      </c>
      <c r="M1295" s="513">
        <v>42.3</v>
      </c>
      <c r="N1295" s="254">
        <f t="shared" si="100"/>
        <v>7.1428571428571175E-3</v>
      </c>
      <c r="O1295" s="1137">
        <f t="shared" si="102"/>
        <v>7.1114375834146629E-3</v>
      </c>
      <c r="P1295" s="1138"/>
    </row>
    <row r="1296" spans="6:16" x14ac:dyDescent="0.2">
      <c r="F1296" s="1137">
        <f t="shared" si="101"/>
        <v>-5.9433595647951218E-3</v>
      </c>
      <c r="G1296" s="1138"/>
      <c r="H1296" s="520">
        <v>8654.64</v>
      </c>
      <c r="I1296" s="512">
        <v>42290</v>
      </c>
      <c r="J1296" s="254">
        <f t="shared" si="98"/>
        <v>-5.9119400053526672E-3</v>
      </c>
      <c r="L1296" s="251">
        <f t="shared" si="99"/>
        <v>42290</v>
      </c>
      <c r="M1296" s="513">
        <v>42</v>
      </c>
      <c r="N1296" s="254">
        <f t="shared" si="100"/>
        <v>1.5719467956469169E-2</v>
      </c>
      <c r="O1296" s="1137">
        <f t="shared" si="102"/>
        <v>1.5688048397026713E-2</v>
      </c>
      <c r="P1296" s="1138"/>
    </row>
    <row r="1297" spans="6:16" x14ac:dyDescent="0.2">
      <c r="F1297" s="1137">
        <f t="shared" si="101"/>
        <v>2.952379219619509E-3</v>
      </c>
      <c r="G1297" s="1138"/>
      <c r="H1297" s="520">
        <v>8706.11</v>
      </c>
      <c r="I1297" s="512">
        <v>42289</v>
      </c>
      <c r="J1297" s="254">
        <f t="shared" si="98"/>
        <v>2.9837987790619636E-3</v>
      </c>
      <c r="L1297" s="251">
        <f t="shared" si="99"/>
        <v>42289</v>
      </c>
      <c r="M1297" s="513">
        <v>41.35</v>
      </c>
      <c r="N1297" s="254">
        <f t="shared" si="100"/>
        <v>8.5365853658536661E-3</v>
      </c>
      <c r="O1297" s="1137">
        <f t="shared" si="102"/>
        <v>8.5051658064112124E-3</v>
      </c>
      <c r="P1297" s="1138"/>
    </row>
    <row r="1298" spans="6:16" x14ac:dyDescent="0.2">
      <c r="F1298" s="1137">
        <f t="shared" si="101"/>
        <v>6.6490066485554264E-4</v>
      </c>
      <c r="G1298" s="1138"/>
      <c r="H1298" s="520">
        <v>8680.2099999999991</v>
      </c>
      <c r="I1298" s="512">
        <v>42286</v>
      </c>
      <c r="J1298" s="254">
        <f t="shared" si="98"/>
        <v>6.9632022429799711E-4</v>
      </c>
      <c r="L1298" s="251">
        <f t="shared" si="99"/>
        <v>42286</v>
      </c>
      <c r="M1298" s="513">
        <v>41</v>
      </c>
      <c r="N1298" s="254">
        <f t="shared" si="100"/>
        <v>-6.0606060606060996E-3</v>
      </c>
      <c r="O1298" s="1137">
        <f t="shared" si="102"/>
        <v>-6.0920256200485542E-3</v>
      </c>
      <c r="P1298" s="1138"/>
    </row>
    <row r="1299" spans="6:16" x14ac:dyDescent="0.2">
      <c r="F1299" s="1137">
        <f t="shared" si="101"/>
        <v>4.036166732074035E-3</v>
      </c>
      <c r="G1299" s="1138"/>
      <c r="H1299" s="520">
        <v>8674.17</v>
      </c>
      <c r="I1299" s="512">
        <v>42285</v>
      </c>
      <c r="J1299" s="254">
        <f t="shared" si="98"/>
        <v>4.0675862915164895E-3</v>
      </c>
      <c r="L1299" s="251">
        <f t="shared" si="99"/>
        <v>42285</v>
      </c>
      <c r="M1299" s="513">
        <v>41.25</v>
      </c>
      <c r="N1299" s="254">
        <f t="shared" si="100"/>
        <v>6.0975609756097615E-3</v>
      </c>
      <c r="O1299" s="1137">
        <f t="shared" si="102"/>
        <v>6.0661414161673069E-3</v>
      </c>
      <c r="P1299" s="1138"/>
    </row>
    <row r="1300" spans="6:16" x14ac:dyDescent="0.2">
      <c r="F1300" s="1137">
        <f t="shared" si="101"/>
        <v>-1.4029876476380694E-2</v>
      </c>
      <c r="G1300" s="1138"/>
      <c r="H1300" s="520">
        <v>8639.0300000000007</v>
      </c>
      <c r="I1300" s="512">
        <v>42284</v>
      </c>
      <c r="J1300" s="254">
        <f t="shared" si="98"/>
        <v>-1.399845691693824E-2</v>
      </c>
      <c r="L1300" s="251">
        <f t="shared" si="99"/>
        <v>42284</v>
      </c>
      <c r="M1300" s="513">
        <v>41</v>
      </c>
      <c r="N1300" s="254">
        <f t="shared" si="100"/>
        <v>-2.0310633213859064E-2</v>
      </c>
      <c r="O1300" s="1137">
        <f t="shared" si="102"/>
        <v>-2.0342052773301519E-2</v>
      </c>
      <c r="P1300" s="1138"/>
    </row>
    <row r="1301" spans="6:16" x14ac:dyDescent="0.2">
      <c r="F1301" s="1137">
        <f t="shared" si="101"/>
        <v>2.3539374375475966E-3</v>
      </c>
      <c r="G1301" s="1138"/>
      <c r="H1301" s="520">
        <v>8761.68</v>
      </c>
      <c r="I1301" s="512">
        <v>42283</v>
      </c>
      <c r="J1301" s="254">
        <f t="shared" si="98"/>
        <v>2.3853569969900512E-3</v>
      </c>
      <c r="L1301" s="251">
        <f t="shared" si="99"/>
        <v>42283</v>
      </c>
      <c r="M1301" s="513">
        <v>41.85</v>
      </c>
      <c r="N1301" s="254">
        <f t="shared" si="100"/>
        <v>1.7010935601458055E-2</v>
      </c>
      <c r="O1301" s="1137">
        <f t="shared" si="102"/>
        <v>1.6979516042015599E-2</v>
      </c>
      <c r="P1301" s="1138"/>
    </row>
    <row r="1302" spans="6:16" x14ac:dyDescent="0.2">
      <c r="F1302" s="1137">
        <f t="shared" si="101"/>
        <v>2.6427328702554445E-2</v>
      </c>
      <c r="G1302" s="1138"/>
      <c r="H1302" s="520">
        <v>8740.83</v>
      </c>
      <c r="I1302" s="512">
        <v>42282</v>
      </c>
      <c r="J1302" s="254">
        <f t="shared" si="98"/>
        <v>2.6458748261996901E-2</v>
      </c>
      <c r="L1302" s="251">
        <f t="shared" si="99"/>
        <v>42282</v>
      </c>
      <c r="M1302" s="513">
        <v>41.15</v>
      </c>
      <c r="N1302" s="254">
        <f t="shared" si="100"/>
        <v>0</v>
      </c>
      <c r="O1302" s="1137">
        <f t="shared" si="102"/>
        <v>-3.1419559442454485E-5</v>
      </c>
      <c r="P1302" s="1138"/>
    </row>
    <row r="1303" spans="6:16" x14ac:dyDescent="0.2">
      <c r="F1303" s="1137">
        <f t="shared" si="101"/>
        <v>5.5138580236709187E-4</v>
      </c>
      <c r="G1303" s="1138"/>
      <c r="H1303" s="520">
        <v>8515.52</v>
      </c>
      <c r="I1303" s="512">
        <v>42279</v>
      </c>
      <c r="J1303" s="254">
        <f t="shared" si="98"/>
        <v>5.8280536180954634E-4</v>
      </c>
      <c r="L1303" s="251">
        <f t="shared" si="99"/>
        <v>42279</v>
      </c>
      <c r="M1303" s="513">
        <v>41.15</v>
      </c>
      <c r="N1303" s="254">
        <f t="shared" si="100"/>
        <v>9.8159509202453421E-3</v>
      </c>
      <c r="O1303" s="1137">
        <f t="shared" si="102"/>
        <v>9.7845313608028884E-3</v>
      </c>
      <c r="P1303" s="1138"/>
    </row>
    <row r="1304" spans="6:16" x14ac:dyDescent="0.2">
      <c r="F1304" s="1137">
        <f t="shared" si="101"/>
        <v>-3.6618553453353255E-4</v>
      </c>
      <c r="G1304" s="1138"/>
      <c r="H1304" s="520">
        <v>8510.56</v>
      </c>
      <c r="I1304" s="512">
        <v>42278</v>
      </c>
      <c r="J1304" s="254">
        <f t="shared" si="98"/>
        <v>-3.3476597509107808E-4</v>
      </c>
      <c r="L1304" s="251">
        <f t="shared" si="99"/>
        <v>42278</v>
      </c>
      <c r="M1304" s="513">
        <v>40.75</v>
      </c>
      <c r="N1304" s="254">
        <f t="shared" si="100"/>
        <v>1.8750000000000044E-2</v>
      </c>
      <c r="O1304" s="1137">
        <f t="shared" si="102"/>
        <v>1.8718580440557589E-2</v>
      </c>
      <c r="P1304" s="1138"/>
    </row>
    <row r="1305" spans="6:16" x14ac:dyDescent="0.2">
      <c r="F1305" s="1137">
        <f t="shared" si="101"/>
        <v>2.2787161130365122E-2</v>
      </c>
      <c r="G1305" s="1138"/>
      <c r="H1305" s="520">
        <v>8513.41</v>
      </c>
      <c r="I1305" s="512">
        <v>42277</v>
      </c>
      <c r="J1305" s="254">
        <f t="shared" si="98"/>
        <v>2.2818580689807577E-2</v>
      </c>
      <c r="L1305" s="251">
        <f t="shared" si="99"/>
        <v>42277</v>
      </c>
      <c r="M1305" s="513">
        <v>40</v>
      </c>
      <c r="N1305" s="254">
        <f t="shared" si="100"/>
        <v>1.7811704834605591E-2</v>
      </c>
      <c r="O1305" s="1137">
        <f t="shared" si="102"/>
        <v>1.7780285275163135E-2</v>
      </c>
      <c r="P1305" s="1138"/>
    </row>
    <row r="1306" spans="6:16" x14ac:dyDescent="0.2">
      <c r="F1306" s="1137">
        <f t="shared" si="101"/>
        <v>-6.9206313925645321E-3</v>
      </c>
      <c r="G1306" s="1138"/>
      <c r="H1306" s="520">
        <v>8323.48</v>
      </c>
      <c r="I1306" s="512">
        <v>42276</v>
      </c>
      <c r="J1306" s="254">
        <f t="shared" si="98"/>
        <v>-6.8892118331220775E-3</v>
      </c>
      <c r="L1306" s="251">
        <f t="shared" si="99"/>
        <v>42276</v>
      </c>
      <c r="M1306" s="513">
        <v>39.299999999999997</v>
      </c>
      <c r="N1306" s="254">
        <f t="shared" si="100"/>
        <v>-8.8272383354350836E-3</v>
      </c>
      <c r="O1306" s="1137">
        <f t="shared" si="102"/>
        <v>-8.8586578948775373E-3</v>
      </c>
      <c r="P1306" s="1138"/>
    </row>
    <row r="1307" spans="6:16" x14ac:dyDescent="0.2">
      <c r="F1307" s="1137">
        <f t="shared" si="101"/>
        <v>-1.4694114099963724E-2</v>
      </c>
      <c r="G1307" s="1138"/>
      <c r="H1307" s="520">
        <v>8381.2199999999993</v>
      </c>
      <c r="I1307" s="512">
        <v>42275</v>
      </c>
      <c r="J1307" s="254">
        <f t="shared" si="98"/>
        <v>-1.4662694540521271E-2</v>
      </c>
      <c r="L1307" s="251">
        <f t="shared" si="99"/>
        <v>42275</v>
      </c>
      <c r="M1307" s="513">
        <v>39.65</v>
      </c>
      <c r="N1307" s="254">
        <f t="shared" si="100"/>
        <v>-9.987515605493047E-3</v>
      </c>
      <c r="O1307" s="1137">
        <f t="shared" si="102"/>
        <v>-1.0018935164935501E-2</v>
      </c>
      <c r="P1307" s="1138"/>
    </row>
    <row r="1308" spans="6:16" x14ac:dyDescent="0.2">
      <c r="F1308" s="1137">
        <f t="shared" si="101"/>
        <v>2.7495528146967499E-2</v>
      </c>
      <c r="G1308" s="1138"/>
      <c r="H1308" s="520">
        <v>8505.94</v>
      </c>
      <c r="I1308" s="512">
        <v>42272</v>
      </c>
      <c r="J1308" s="254">
        <f t="shared" si="98"/>
        <v>2.7526947706409954E-2</v>
      </c>
      <c r="L1308" s="251">
        <f t="shared" si="99"/>
        <v>42272</v>
      </c>
      <c r="M1308" s="513">
        <v>40.049999999999997</v>
      </c>
      <c r="N1308" s="254">
        <f t="shared" si="100"/>
        <v>2.0382165605095537E-2</v>
      </c>
      <c r="O1308" s="1137">
        <f t="shared" si="102"/>
        <v>2.0350746045653081E-2</v>
      </c>
      <c r="P1308" s="1138"/>
    </row>
    <row r="1309" spans="6:16" x14ac:dyDescent="0.2">
      <c r="F1309" s="1137">
        <f t="shared" si="101"/>
        <v>-2.0109121366329183E-2</v>
      </c>
      <c r="G1309" s="1138"/>
      <c r="H1309" s="520">
        <v>8278.07</v>
      </c>
      <c r="I1309" s="512">
        <v>42271</v>
      </c>
      <c r="J1309" s="254">
        <f t="shared" ref="J1309:J1372" si="103">H1309/H1310-1</f>
        <v>-2.0077701806886727E-2</v>
      </c>
      <c r="L1309" s="251">
        <f t="shared" ref="L1309:L1372" si="104">I1309</f>
        <v>42271</v>
      </c>
      <c r="M1309" s="513">
        <v>39.25</v>
      </c>
      <c r="N1309" s="254">
        <f t="shared" ref="N1309:N1372" si="105">M1309/M1310-1</f>
        <v>-1.7521902377972576E-2</v>
      </c>
      <c r="O1309" s="1137">
        <f t="shared" si="102"/>
        <v>-1.7553321937415031E-2</v>
      </c>
      <c r="P1309" s="1138"/>
    </row>
    <row r="1310" spans="6:16" x14ac:dyDescent="0.2">
      <c r="F1310" s="1137">
        <f t="shared" ref="F1310:F1373" si="106">J1310-$I$19</f>
        <v>-3.3102937693681297E-3</v>
      </c>
      <c r="G1310" s="1138"/>
      <c r="H1310" s="520">
        <v>8447.68</v>
      </c>
      <c r="I1310" s="512">
        <v>42270</v>
      </c>
      <c r="J1310" s="254">
        <f t="shared" si="103"/>
        <v>-3.2788742099256751E-3</v>
      </c>
      <c r="L1310" s="251">
        <f t="shared" si="104"/>
        <v>42270</v>
      </c>
      <c r="M1310" s="513">
        <v>39.950000000000003</v>
      </c>
      <c r="N1310" s="254">
        <f t="shared" si="105"/>
        <v>3.7688442211056827E-3</v>
      </c>
      <c r="O1310" s="1137">
        <f t="shared" ref="O1310:O1373" si="107">N1310-$I$19</f>
        <v>3.7374246616632282E-3</v>
      </c>
      <c r="P1310" s="1138"/>
    </row>
    <row r="1311" spans="6:16" x14ac:dyDescent="0.2">
      <c r="F1311" s="1137">
        <f t="shared" si="106"/>
        <v>-3.4965440034786674E-2</v>
      </c>
      <c r="G1311" s="1138"/>
      <c r="H1311" s="520">
        <v>8475.4699999999993</v>
      </c>
      <c r="I1311" s="512">
        <v>42269</v>
      </c>
      <c r="J1311" s="254">
        <f t="shared" si="103"/>
        <v>-3.4934020475344219E-2</v>
      </c>
      <c r="L1311" s="251">
        <f t="shared" si="104"/>
        <v>42269</v>
      </c>
      <c r="M1311" s="513">
        <v>39.799999999999997</v>
      </c>
      <c r="N1311" s="254">
        <f t="shared" si="105"/>
        <v>-1.6069221260816002E-2</v>
      </c>
      <c r="O1311" s="1137">
        <f t="shared" si="107"/>
        <v>-1.6100640820258458E-2</v>
      </c>
      <c r="P1311" s="1138"/>
    </row>
    <row r="1312" spans="6:16" x14ac:dyDescent="0.2">
      <c r="F1312" s="1137">
        <f t="shared" si="106"/>
        <v>4.8946493574632691E-3</v>
      </c>
      <c r="G1312" s="1138"/>
      <c r="H1312" s="520">
        <v>8782.27</v>
      </c>
      <c r="I1312" s="512">
        <v>42268</v>
      </c>
      <c r="J1312" s="254">
        <f t="shared" si="103"/>
        <v>4.9260689169057237E-3</v>
      </c>
      <c r="L1312" s="251">
        <f t="shared" si="104"/>
        <v>42268</v>
      </c>
      <c r="M1312" s="513">
        <v>40.450000000000003</v>
      </c>
      <c r="N1312" s="254">
        <f t="shared" si="105"/>
        <v>4.1184041184041176E-2</v>
      </c>
      <c r="O1312" s="1137">
        <f t="shared" si="107"/>
        <v>4.115262162459872E-2</v>
      </c>
      <c r="P1312" s="1138"/>
    </row>
    <row r="1313" spans="6:16" x14ac:dyDescent="0.2">
      <c r="F1313" s="1137">
        <f t="shared" si="106"/>
        <v>-1.248532902027792E-2</v>
      </c>
      <c r="G1313" s="1138"/>
      <c r="H1313" s="520">
        <v>8739.2199999999993</v>
      </c>
      <c r="I1313" s="512">
        <v>42265</v>
      </c>
      <c r="J1313" s="254">
        <f t="shared" si="103"/>
        <v>-1.2453909460835466E-2</v>
      </c>
      <c r="L1313" s="251">
        <f t="shared" si="104"/>
        <v>42265</v>
      </c>
      <c r="M1313" s="513">
        <v>38.85</v>
      </c>
      <c r="N1313" s="254">
        <f t="shared" si="105"/>
        <v>-7.6628352490420992E-3</v>
      </c>
      <c r="O1313" s="1137">
        <f t="shared" si="107"/>
        <v>-7.6942548084845538E-3</v>
      </c>
      <c r="P1313" s="1138"/>
    </row>
    <row r="1314" spans="6:16" x14ac:dyDescent="0.2">
      <c r="F1314" s="1137">
        <f t="shared" si="106"/>
        <v>-2.4820545940545244E-3</v>
      </c>
      <c r="G1314" s="1138"/>
      <c r="H1314" s="520">
        <v>8849.43</v>
      </c>
      <c r="I1314" s="512">
        <v>42264</v>
      </c>
      <c r="J1314" s="254">
        <f t="shared" si="103"/>
        <v>-2.4506350346120698E-3</v>
      </c>
      <c r="L1314" s="251">
        <f t="shared" si="104"/>
        <v>42264</v>
      </c>
      <c r="M1314" s="513">
        <v>39.15</v>
      </c>
      <c r="N1314" s="254">
        <f t="shared" si="105"/>
        <v>1.0322580645161228E-2</v>
      </c>
      <c r="O1314" s="1137">
        <f t="shared" si="107"/>
        <v>1.0291161085718774E-2</v>
      </c>
      <c r="P1314" s="1138"/>
    </row>
    <row r="1315" spans="6:16" x14ac:dyDescent="0.2">
      <c r="F1315" s="1137">
        <f t="shared" si="106"/>
        <v>9.1524210674202734E-3</v>
      </c>
      <c r="G1315" s="1138"/>
      <c r="H1315" s="520">
        <v>8871.17</v>
      </c>
      <c r="I1315" s="512">
        <v>42263</v>
      </c>
      <c r="J1315" s="254">
        <f t="shared" si="103"/>
        <v>9.1838406268627271E-3</v>
      </c>
      <c r="L1315" s="251">
        <f t="shared" si="104"/>
        <v>42263</v>
      </c>
      <c r="M1315" s="513">
        <v>38.75</v>
      </c>
      <c r="N1315" s="254">
        <f t="shared" si="105"/>
        <v>5.188067444876765E-3</v>
      </c>
      <c r="O1315" s="1137">
        <f t="shared" si="107"/>
        <v>5.1566478854343104E-3</v>
      </c>
      <c r="P1315" s="1138"/>
    </row>
    <row r="1316" spans="6:16" x14ac:dyDescent="0.2">
      <c r="F1316" s="1137">
        <f t="shared" si="106"/>
        <v>1.1972720354927318E-2</v>
      </c>
      <c r="G1316" s="1138"/>
      <c r="H1316" s="520">
        <v>8790.44</v>
      </c>
      <c r="I1316" s="512">
        <v>42262</v>
      </c>
      <c r="J1316" s="254">
        <f t="shared" si="103"/>
        <v>1.2004139914369771E-2</v>
      </c>
      <c r="L1316" s="251">
        <f t="shared" si="104"/>
        <v>42262</v>
      </c>
      <c r="M1316" s="513">
        <v>38.549999999999997</v>
      </c>
      <c r="N1316" s="254">
        <f t="shared" si="105"/>
        <v>6.5274151436032213E-3</v>
      </c>
      <c r="O1316" s="1137">
        <f t="shared" si="107"/>
        <v>6.4959955841607667E-3</v>
      </c>
      <c r="P1316" s="1138"/>
    </row>
    <row r="1317" spans="6:16" x14ac:dyDescent="0.2">
      <c r="F1317" s="1137">
        <f t="shared" si="106"/>
        <v>-9.8656276019027222E-3</v>
      </c>
      <c r="G1317" s="1138"/>
      <c r="H1317" s="520">
        <v>8686.17</v>
      </c>
      <c r="I1317" s="512">
        <v>42261</v>
      </c>
      <c r="J1317" s="254">
        <f t="shared" si="103"/>
        <v>-9.8342080424602685E-3</v>
      </c>
      <c r="L1317" s="251">
        <f t="shared" si="104"/>
        <v>42261</v>
      </c>
      <c r="M1317" s="513">
        <v>38.299999999999997</v>
      </c>
      <c r="N1317" s="254">
        <f t="shared" si="105"/>
        <v>2.9569892473118031E-2</v>
      </c>
      <c r="O1317" s="1137">
        <f t="shared" si="107"/>
        <v>2.9538472913675576E-2</v>
      </c>
      <c r="P1317" s="1138"/>
    </row>
    <row r="1318" spans="6:16" x14ac:dyDescent="0.2">
      <c r="F1318" s="1137">
        <f t="shared" si="106"/>
        <v>-7.5133900136818601E-4</v>
      </c>
      <c r="G1318" s="1138"/>
      <c r="H1318" s="520">
        <v>8772.44</v>
      </c>
      <c r="I1318" s="512">
        <v>42258</v>
      </c>
      <c r="J1318" s="254">
        <f t="shared" si="103"/>
        <v>-7.1991944192573154E-4</v>
      </c>
      <c r="L1318" s="251">
        <f t="shared" si="104"/>
        <v>42258</v>
      </c>
      <c r="M1318" s="513">
        <v>37.200000000000003</v>
      </c>
      <c r="N1318" s="254">
        <f t="shared" si="105"/>
        <v>0.10714285714285721</v>
      </c>
      <c r="O1318" s="1137">
        <f t="shared" si="107"/>
        <v>0.10711143758341475</v>
      </c>
      <c r="P1318" s="1138"/>
    </row>
    <row r="1319" spans="6:16" x14ac:dyDescent="0.2">
      <c r="F1319" s="1137">
        <f t="shared" si="106"/>
        <v>-1.0531965100881098E-2</v>
      </c>
      <c r="G1319" s="1138"/>
      <c r="H1319" s="520">
        <v>8778.76</v>
      </c>
      <c r="I1319" s="512">
        <v>42257</v>
      </c>
      <c r="J1319" s="254">
        <f t="shared" si="103"/>
        <v>-1.0500545541438644E-2</v>
      </c>
      <c r="L1319" s="251">
        <f t="shared" si="104"/>
        <v>42257</v>
      </c>
      <c r="M1319" s="513">
        <v>33.6</v>
      </c>
      <c r="N1319" s="254">
        <f t="shared" si="105"/>
        <v>-7.3855243722303898E-3</v>
      </c>
      <c r="O1319" s="1137">
        <f t="shared" si="107"/>
        <v>-7.4169439316728444E-3</v>
      </c>
      <c r="P1319" s="1138"/>
    </row>
    <row r="1320" spans="6:16" x14ac:dyDescent="0.2">
      <c r="F1320" s="1137">
        <f t="shared" si="106"/>
        <v>1.2635015016716449E-2</v>
      </c>
      <c r="G1320" s="1138"/>
      <c r="H1320" s="520">
        <v>8871.92</v>
      </c>
      <c r="I1320" s="512">
        <v>42256</v>
      </c>
      <c r="J1320" s="254">
        <f t="shared" si="103"/>
        <v>1.2666434576158903E-2</v>
      </c>
      <c r="L1320" s="251">
        <f t="shared" si="104"/>
        <v>42256</v>
      </c>
      <c r="M1320" s="513">
        <v>33.85</v>
      </c>
      <c r="N1320" s="254">
        <f t="shared" si="105"/>
        <v>-2.9455081001472649E-3</v>
      </c>
      <c r="O1320" s="1137">
        <f t="shared" si="107"/>
        <v>-2.9769276595897195E-3</v>
      </c>
      <c r="P1320" s="1138"/>
    </row>
    <row r="1321" spans="6:16" x14ac:dyDescent="0.2">
      <c r="F1321" s="1137">
        <f t="shared" si="106"/>
        <v>6.334648905085242E-3</v>
      </c>
      <c r="G1321" s="1138"/>
      <c r="H1321" s="520">
        <v>8760.9500000000007</v>
      </c>
      <c r="I1321" s="512">
        <v>42255</v>
      </c>
      <c r="J1321" s="254">
        <f t="shared" si="103"/>
        <v>6.3660684645276966E-3</v>
      </c>
      <c r="L1321" s="251">
        <f t="shared" si="104"/>
        <v>42255</v>
      </c>
      <c r="M1321" s="513">
        <v>33.950000000000003</v>
      </c>
      <c r="N1321" s="254">
        <f t="shared" si="105"/>
        <v>1.7991004497751151E-2</v>
      </c>
      <c r="O1321" s="1137">
        <f t="shared" si="107"/>
        <v>1.7959584938308695E-2</v>
      </c>
      <c r="P1321" s="1138"/>
    </row>
    <row r="1322" spans="6:16" x14ac:dyDescent="0.2">
      <c r="F1322" s="1137">
        <f t="shared" si="106"/>
        <v>6.1148875132026196E-3</v>
      </c>
      <c r="G1322" s="1138"/>
      <c r="H1322" s="520">
        <v>8705.5300000000007</v>
      </c>
      <c r="I1322" s="512">
        <v>42254</v>
      </c>
      <c r="J1322" s="254">
        <f t="shared" si="103"/>
        <v>6.1463070726450741E-3</v>
      </c>
      <c r="L1322" s="251">
        <f t="shared" si="104"/>
        <v>42254</v>
      </c>
      <c r="M1322" s="513">
        <v>33.35</v>
      </c>
      <c r="N1322" s="254">
        <f t="shared" si="105"/>
        <v>-1.185185185185178E-2</v>
      </c>
      <c r="O1322" s="1137">
        <f t="shared" si="107"/>
        <v>-1.1883271411294234E-2</v>
      </c>
      <c r="P1322" s="1138"/>
    </row>
    <row r="1323" spans="6:16" x14ac:dyDescent="0.2">
      <c r="F1323" s="1137">
        <f t="shared" si="106"/>
        <v>-1.4080537344583961E-2</v>
      </c>
      <c r="G1323" s="1138"/>
      <c r="H1323" s="520">
        <v>8652.35</v>
      </c>
      <c r="I1323" s="512">
        <v>42251</v>
      </c>
      <c r="J1323" s="254">
        <f t="shared" si="103"/>
        <v>-1.4049117785141507E-2</v>
      </c>
      <c r="L1323" s="251">
        <f t="shared" si="104"/>
        <v>42251</v>
      </c>
      <c r="M1323" s="513">
        <v>33.75</v>
      </c>
      <c r="N1323" s="254">
        <f t="shared" si="105"/>
        <v>-1.4598540145985384E-2</v>
      </c>
      <c r="O1323" s="1137">
        <f t="shared" si="107"/>
        <v>-1.4629959705427837E-2</v>
      </c>
      <c r="P1323" s="1138"/>
    </row>
    <row r="1324" spans="6:16" x14ac:dyDescent="0.2">
      <c r="F1324" s="1137">
        <f t="shared" si="106"/>
        <v>1.7276036441596213E-2</v>
      </c>
      <c r="G1324" s="1138"/>
      <c r="H1324" s="520">
        <v>8775.64</v>
      </c>
      <c r="I1324" s="512">
        <v>42250</v>
      </c>
      <c r="J1324" s="254">
        <f t="shared" si="103"/>
        <v>1.7307456001038668E-2</v>
      </c>
      <c r="L1324" s="251">
        <f t="shared" si="104"/>
        <v>42250</v>
      </c>
      <c r="M1324" s="513">
        <v>34.25</v>
      </c>
      <c r="N1324" s="254">
        <f t="shared" si="105"/>
        <v>1.3313609467455745E-2</v>
      </c>
      <c r="O1324" s="1137">
        <f t="shared" si="107"/>
        <v>1.3282189908013291E-2</v>
      </c>
      <c r="P1324" s="1138"/>
    </row>
    <row r="1325" spans="6:16" x14ac:dyDescent="0.2">
      <c r="F1325" s="1137">
        <f t="shared" si="106"/>
        <v>5.5666085098434002E-4</v>
      </c>
      <c r="G1325" s="1138"/>
      <c r="H1325" s="520">
        <v>8626.34</v>
      </c>
      <c r="I1325" s="512">
        <v>42249</v>
      </c>
      <c r="J1325" s="254">
        <f t="shared" si="103"/>
        <v>5.8808041042679449E-4</v>
      </c>
      <c r="L1325" s="251">
        <f t="shared" si="104"/>
        <v>42249</v>
      </c>
      <c r="M1325" s="513">
        <v>33.799999999999997</v>
      </c>
      <c r="N1325" s="254">
        <f t="shared" si="105"/>
        <v>-7.342143906020504E-3</v>
      </c>
      <c r="O1325" s="1137">
        <f t="shared" si="107"/>
        <v>-7.3735634654629586E-3</v>
      </c>
      <c r="P1325" s="1138"/>
    </row>
    <row r="1326" spans="6:16" x14ac:dyDescent="0.2">
      <c r="F1326" s="1137">
        <f t="shared" si="106"/>
        <v>-2.3068262189556529E-2</v>
      </c>
      <c r="G1326" s="1138"/>
      <c r="H1326" s="520">
        <v>8621.27</v>
      </c>
      <c r="I1326" s="512">
        <v>42248</v>
      </c>
      <c r="J1326" s="254">
        <f t="shared" si="103"/>
        <v>-2.3036842630114074E-2</v>
      </c>
      <c r="L1326" s="251">
        <f t="shared" si="104"/>
        <v>42248</v>
      </c>
      <c r="M1326" s="513">
        <v>34.049999999999997</v>
      </c>
      <c r="N1326" s="254">
        <f t="shared" si="105"/>
        <v>-7.2886297376093534E-3</v>
      </c>
      <c r="O1326" s="1137">
        <f t="shared" si="107"/>
        <v>-7.320049297051808E-3</v>
      </c>
      <c r="P1326" s="1138"/>
    </row>
    <row r="1327" spans="6:16" x14ac:dyDescent="0.2">
      <c r="F1327" s="1137">
        <f t="shared" si="106"/>
        <v>4.4602766079317605E-3</v>
      </c>
      <c r="G1327" s="1138"/>
      <c r="H1327" s="520">
        <v>8824.56</v>
      </c>
      <c r="I1327" s="512">
        <v>42247</v>
      </c>
      <c r="J1327" s="254">
        <f t="shared" si="103"/>
        <v>4.4916961673742151E-3</v>
      </c>
      <c r="L1327" s="251">
        <f t="shared" si="104"/>
        <v>42247</v>
      </c>
      <c r="M1327" s="513">
        <v>34.299999999999997</v>
      </c>
      <c r="N1327" s="254">
        <f t="shared" si="105"/>
        <v>4.3923865300146137E-3</v>
      </c>
      <c r="O1327" s="1137">
        <f t="shared" si="107"/>
        <v>4.3609669705721591E-3</v>
      </c>
      <c r="P1327" s="1138"/>
    </row>
    <row r="1328" spans="6:16" x14ac:dyDescent="0.2">
      <c r="F1328" s="1137">
        <f t="shared" si="106"/>
        <v>-3.1496891240874588E-3</v>
      </c>
      <c r="G1328" s="1138"/>
      <c r="H1328" s="520">
        <v>8785.1</v>
      </c>
      <c r="I1328" s="512">
        <v>42244</v>
      </c>
      <c r="J1328" s="254">
        <f t="shared" si="103"/>
        <v>-3.1182695646450043E-3</v>
      </c>
      <c r="L1328" s="251">
        <f t="shared" si="104"/>
        <v>42244</v>
      </c>
      <c r="M1328" s="513">
        <v>34.15</v>
      </c>
      <c r="N1328" s="254">
        <f t="shared" si="105"/>
        <v>-4.3731778425655232E-3</v>
      </c>
      <c r="O1328" s="1137">
        <f t="shared" si="107"/>
        <v>-4.4045974020079778E-3</v>
      </c>
      <c r="P1328" s="1138"/>
    </row>
    <row r="1329" spans="6:16" x14ac:dyDescent="0.2">
      <c r="F1329" s="1137">
        <f t="shared" si="106"/>
        <v>3.0830402344344601E-2</v>
      </c>
      <c r="G1329" s="1138"/>
      <c r="H1329" s="520">
        <v>8812.58</v>
      </c>
      <c r="I1329" s="512">
        <v>42243</v>
      </c>
      <c r="J1329" s="254">
        <f t="shared" si="103"/>
        <v>3.0861821903787057E-2</v>
      </c>
      <c r="L1329" s="251">
        <f t="shared" si="104"/>
        <v>42243</v>
      </c>
      <c r="M1329" s="513">
        <v>34.299999999999997</v>
      </c>
      <c r="N1329" s="254">
        <f t="shared" si="105"/>
        <v>2.8485757121439192E-2</v>
      </c>
      <c r="O1329" s="1137">
        <f t="shared" si="107"/>
        <v>2.8454337561996737E-2</v>
      </c>
      <c r="P1329" s="1138"/>
    </row>
    <row r="1330" spans="6:16" x14ac:dyDescent="0.2">
      <c r="F1330" s="1137">
        <f t="shared" si="106"/>
        <v>-2.4011900881634338E-2</v>
      </c>
      <c r="G1330" s="1138"/>
      <c r="H1330" s="520">
        <v>8548.75</v>
      </c>
      <c r="I1330" s="512">
        <v>42242</v>
      </c>
      <c r="J1330" s="254">
        <f t="shared" si="103"/>
        <v>-2.3980481322191882E-2</v>
      </c>
      <c r="L1330" s="251">
        <f t="shared" si="104"/>
        <v>42242</v>
      </c>
      <c r="M1330" s="513">
        <v>33.35</v>
      </c>
      <c r="N1330" s="254">
        <f t="shared" si="105"/>
        <v>0</v>
      </c>
      <c r="O1330" s="1137">
        <f t="shared" si="107"/>
        <v>-3.1419559442454485E-5</v>
      </c>
      <c r="P1330" s="1138"/>
    </row>
    <row r="1331" spans="6:16" x14ac:dyDescent="0.2">
      <c r="F1331" s="1137">
        <f t="shared" si="106"/>
        <v>3.4199748869950544E-2</v>
      </c>
      <c r="G1331" s="1138"/>
      <c r="H1331" s="520">
        <v>8758.7900000000009</v>
      </c>
      <c r="I1331" s="512">
        <v>42241</v>
      </c>
      <c r="J1331" s="254">
        <f t="shared" si="103"/>
        <v>3.4231168429393E-2</v>
      </c>
      <c r="L1331" s="251">
        <f t="shared" si="104"/>
        <v>42241</v>
      </c>
      <c r="M1331" s="513">
        <v>33.35</v>
      </c>
      <c r="N1331" s="254">
        <f t="shared" si="105"/>
        <v>3.7325038880248851E-2</v>
      </c>
      <c r="O1331" s="1137">
        <f t="shared" si="107"/>
        <v>3.7293619320806395E-2</v>
      </c>
      <c r="P1331" s="1138"/>
    </row>
    <row r="1332" spans="6:16" x14ac:dyDescent="0.2">
      <c r="F1332" s="1137">
        <f t="shared" si="106"/>
        <v>-3.7501144753422852E-2</v>
      </c>
      <c r="G1332" s="1138"/>
      <c r="H1332" s="520">
        <v>8468.89</v>
      </c>
      <c r="I1332" s="512">
        <v>42240</v>
      </c>
      <c r="J1332" s="254">
        <f t="shared" si="103"/>
        <v>-3.7469725193980397E-2</v>
      </c>
      <c r="L1332" s="251">
        <f t="shared" si="104"/>
        <v>42240</v>
      </c>
      <c r="M1332" s="513">
        <v>32.15</v>
      </c>
      <c r="N1332" s="254">
        <f t="shared" si="105"/>
        <v>-3.8863976083707175E-2</v>
      </c>
      <c r="O1332" s="1137">
        <f t="shared" si="107"/>
        <v>-3.889539564314963E-2</v>
      </c>
      <c r="P1332" s="1138"/>
    </row>
    <row r="1333" spans="6:16" x14ac:dyDescent="0.2">
      <c r="F1333" s="1137">
        <f t="shared" si="106"/>
        <v>-3.3655774426318993E-2</v>
      </c>
      <c r="G1333" s="1138"/>
      <c r="H1333" s="520">
        <v>8798.57</v>
      </c>
      <c r="I1333" s="512">
        <v>42237</v>
      </c>
      <c r="J1333" s="254">
        <f t="shared" si="103"/>
        <v>-3.3624354866876538E-2</v>
      </c>
      <c r="L1333" s="251">
        <f t="shared" si="104"/>
        <v>42237</v>
      </c>
      <c r="M1333" s="513">
        <v>33.450000000000003</v>
      </c>
      <c r="N1333" s="254">
        <f t="shared" si="105"/>
        <v>-4.0172166427546618E-2</v>
      </c>
      <c r="O1333" s="1137">
        <f t="shared" si="107"/>
        <v>-4.0203585986989074E-2</v>
      </c>
      <c r="P1333" s="1138"/>
    </row>
    <row r="1334" spans="6:16" x14ac:dyDescent="0.2">
      <c r="F1334" s="1137">
        <f t="shared" si="106"/>
        <v>-1.5908673223673661E-2</v>
      </c>
      <c r="G1334" s="1138"/>
      <c r="H1334" s="520">
        <v>9104.7099999999991</v>
      </c>
      <c r="I1334" s="512">
        <v>42236</v>
      </c>
      <c r="J1334" s="254">
        <f t="shared" si="103"/>
        <v>-1.5877253664231206E-2</v>
      </c>
      <c r="L1334" s="251">
        <f t="shared" si="104"/>
        <v>42236</v>
      </c>
      <c r="M1334" s="513">
        <v>34.85</v>
      </c>
      <c r="N1334" s="254">
        <f t="shared" si="105"/>
        <v>-8.5348506401137225E-3</v>
      </c>
      <c r="O1334" s="1137">
        <f t="shared" si="107"/>
        <v>-8.5662701995561762E-3</v>
      </c>
      <c r="P1334" s="1138"/>
    </row>
    <row r="1335" spans="6:16" x14ac:dyDescent="0.2">
      <c r="F1335" s="1137">
        <f t="shared" si="106"/>
        <v>-1.4098515343576463E-2</v>
      </c>
      <c r="G1335" s="1138"/>
      <c r="H1335" s="520">
        <v>9251.6</v>
      </c>
      <c r="I1335" s="512">
        <v>42235</v>
      </c>
      <c r="J1335" s="254">
        <f t="shared" si="103"/>
        <v>-1.4067095784134009E-2</v>
      </c>
      <c r="L1335" s="251">
        <f t="shared" si="104"/>
        <v>42235</v>
      </c>
      <c r="M1335" s="513">
        <v>35.15</v>
      </c>
      <c r="N1335" s="254">
        <f t="shared" si="105"/>
        <v>-7.0621468926553854E-3</v>
      </c>
      <c r="O1335" s="1137">
        <f t="shared" si="107"/>
        <v>-7.09356645209784E-3</v>
      </c>
      <c r="P1335" s="1138"/>
    </row>
    <row r="1336" spans="6:16" x14ac:dyDescent="0.2">
      <c r="F1336" s="1137">
        <f t="shared" si="106"/>
        <v>-7.6194820234158536E-4</v>
      </c>
      <c r="G1336" s="1138"/>
      <c r="H1336" s="520">
        <v>9383.6</v>
      </c>
      <c r="I1336" s="512">
        <v>42234</v>
      </c>
      <c r="J1336" s="254">
        <f t="shared" si="103"/>
        <v>-7.3052864289913089E-4</v>
      </c>
      <c r="L1336" s="251">
        <f t="shared" si="104"/>
        <v>42234</v>
      </c>
      <c r="M1336" s="513">
        <v>35.4</v>
      </c>
      <c r="N1336" s="254">
        <f t="shared" si="105"/>
        <v>-2.8169014084507005E-3</v>
      </c>
      <c r="O1336" s="1137">
        <f t="shared" si="107"/>
        <v>-2.8483209678931551E-3</v>
      </c>
      <c r="P1336" s="1138"/>
    </row>
    <row r="1337" spans="6:16" x14ac:dyDescent="0.2">
      <c r="F1337" s="1137">
        <f t="shared" si="106"/>
        <v>4.6654956692619579E-3</v>
      </c>
      <c r="G1337" s="1138"/>
      <c r="H1337" s="520">
        <v>9390.4599999999991</v>
      </c>
      <c r="I1337" s="512">
        <v>42233</v>
      </c>
      <c r="J1337" s="254">
        <f t="shared" si="103"/>
        <v>4.6969152287044125E-3</v>
      </c>
      <c r="L1337" s="251">
        <f t="shared" si="104"/>
        <v>42233</v>
      </c>
      <c r="M1337" s="513">
        <v>35.5</v>
      </c>
      <c r="N1337" s="254">
        <f t="shared" si="105"/>
        <v>4.2432814710042788E-3</v>
      </c>
      <c r="O1337" s="1137">
        <f t="shared" si="107"/>
        <v>4.2118619115618242E-3</v>
      </c>
      <c r="P1337" s="1138"/>
    </row>
    <row r="1338" spans="6:16" x14ac:dyDescent="0.2">
      <c r="F1338" s="1137">
        <f t="shared" si="106"/>
        <v>2.2580731168619509E-3</v>
      </c>
      <c r="G1338" s="1138"/>
      <c r="H1338" s="520">
        <v>9346.56</v>
      </c>
      <c r="I1338" s="512">
        <v>42230</v>
      </c>
      <c r="J1338" s="254">
        <f t="shared" si="103"/>
        <v>2.2894926763044054E-3</v>
      </c>
      <c r="L1338" s="251">
        <f t="shared" si="104"/>
        <v>42230</v>
      </c>
      <c r="M1338" s="513">
        <v>35.35</v>
      </c>
      <c r="N1338" s="254">
        <f t="shared" si="105"/>
        <v>1.4164305949009304E-3</v>
      </c>
      <c r="O1338" s="1137">
        <f t="shared" si="107"/>
        <v>1.3850110354584758E-3</v>
      </c>
      <c r="P1338" s="1138"/>
    </row>
    <row r="1339" spans="6:16" x14ac:dyDescent="0.2">
      <c r="F1339" s="1137">
        <f t="shared" si="106"/>
        <v>1.535750102749907E-2</v>
      </c>
      <c r="G1339" s="1138"/>
      <c r="H1339" s="520">
        <v>9325.2099999999991</v>
      </c>
      <c r="I1339" s="512">
        <v>42229</v>
      </c>
      <c r="J1339" s="254">
        <f t="shared" si="103"/>
        <v>1.5388920586941524E-2</v>
      </c>
      <c r="L1339" s="251">
        <f t="shared" si="104"/>
        <v>42229</v>
      </c>
      <c r="M1339" s="513">
        <v>35.299999999999997</v>
      </c>
      <c r="N1339" s="254">
        <f t="shared" si="105"/>
        <v>5.6980056980056037E-3</v>
      </c>
      <c r="O1339" s="1137">
        <f t="shared" si="107"/>
        <v>5.6665861385631492E-3</v>
      </c>
      <c r="P1339" s="1138"/>
    </row>
    <row r="1340" spans="6:16" x14ac:dyDescent="0.2">
      <c r="F1340" s="1137">
        <f t="shared" si="106"/>
        <v>-2.5553441627667525E-2</v>
      </c>
      <c r="G1340" s="1138"/>
      <c r="H1340" s="520">
        <v>9183.8799999999992</v>
      </c>
      <c r="I1340" s="512">
        <v>42228</v>
      </c>
      <c r="J1340" s="254">
        <f t="shared" si="103"/>
        <v>-2.552202206822507E-2</v>
      </c>
      <c r="L1340" s="251">
        <f t="shared" si="104"/>
        <v>42228</v>
      </c>
      <c r="M1340" s="513">
        <v>35.1</v>
      </c>
      <c r="N1340" s="254">
        <f t="shared" si="105"/>
        <v>-1.1267605633802802E-2</v>
      </c>
      <c r="O1340" s="1137">
        <f t="shared" si="107"/>
        <v>-1.1299025193245256E-2</v>
      </c>
      <c r="P1340" s="1138"/>
    </row>
    <row r="1341" spans="6:16" x14ac:dyDescent="0.2">
      <c r="F1341" s="1137">
        <f t="shared" si="106"/>
        <v>-9.112693650526511E-3</v>
      </c>
      <c r="G1341" s="1138"/>
      <c r="H1341" s="520">
        <v>9424.41</v>
      </c>
      <c r="I1341" s="512">
        <v>42227</v>
      </c>
      <c r="J1341" s="254">
        <f t="shared" si="103"/>
        <v>-9.0812740910840573E-3</v>
      </c>
      <c r="L1341" s="251">
        <f t="shared" si="104"/>
        <v>42227</v>
      </c>
      <c r="M1341" s="513">
        <v>35.5</v>
      </c>
      <c r="N1341" s="254">
        <f t="shared" si="105"/>
        <v>0</v>
      </c>
      <c r="O1341" s="1137">
        <f t="shared" si="107"/>
        <v>-3.1419559442454485E-5</v>
      </c>
      <c r="P1341" s="1138"/>
    </row>
    <row r="1342" spans="6:16" x14ac:dyDescent="0.2">
      <c r="F1342" s="1137">
        <f t="shared" si="106"/>
        <v>1.0864313662499474E-2</v>
      </c>
      <c r="G1342" s="1138"/>
      <c r="H1342" s="520">
        <v>9510.7800000000007</v>
      </c>
      <c r="I1342" s="512">
        <v>42226</v>
      </c>
      <c r="J1342" s="254">
        <f t="shared" si="103"/>
        <v>1.0895733221941928E-2</v>
      </c>
      <c r="L1342" s="251">
        <f t="shared" si="104"/>
        <v>42226</v>
      </c>
      <c r="M1342" s="513">
        <v>35.5</v>
      </c>
      <c r="N1342" s="254">
        <f t="shared" si="105"/>
        <v>1.4285714285714235E-2</v>
      </c>
      <c r="O1342" s="1137">
        <f t="shared" si="107"/>
        <v>1.4254294726271781E-2</v>
      </c>
      <c r="P1342" s="1138"/>
    </row>
    <row r="1343" spans="6:16" x14ac:dyDescent="0.2">
      <c r="F1343" s="1137">
        <f t="shared" si="106"/>
        <v>-5.2883504718244509E-3</v>
      </c>
      <c r="G1343" s="1138"/>
      <c r="H1343" s="520">
        <v>9408.27</v>
      </c>
      <c r="I1343" s="512">
        <v>42223</v>
      </c>
      <c r="J1343" s="254">
        <f t="shared" si="103"/>
        <v>-5.2569309123819963E-3</v>
      </c>
      <c r="L1343" s="251">
        <f t="shared" si="104"/>
        <v>42223</v>
      </c>
      <c r="M1343" s="513">
        <v>35</v>
      </c>
      <c r="N1343" s="254">
        <f t="shared" si="105"/>
        <v>-2.8490028490029129E-3</v>
      </c>
      <c r="O1343" s="1137">
        <f t="shared" si="107"/>
        <v>-2.8804224084453675E-3</v>
      </c>
      <c r="P1343" s="1138"/>
    </row>
    <row r="1344" spans="6:16" x14ac:dyDescent="0.2">
      <c r="F1344" s="1137">
        <f t="shared" si="106"/>
        <v>-7.2531595159232428E-3</v>
      </c>
      <c r="G1344" s="1138"/>
      <c r="H1344" s="520">
        <v>9457.99</v>
      </c>
      <c r="I1344" s="512">
        <v>42222</v>
      </c>
      <c r="J1344" s="254">
        <f t="shared" si="103"/>
        <v>-7.2217399564807883E-3</v>
      </c>
      <c r="L1344" s="251">
        <f t="shared" si="104"/>
        <v>42222</v>
      </c>
      <c r="M1344" s="513">
        <v>35.1</v>
      </c>
      <c r="N1344" s="254">
        <f t="shared" si="105"/>
        <v>-2.8409090909091717E-3</v>
      </c>
      <c r="O1344" s="1137">
        <f t="shared" si="107"/>
        <v>-2.8723286503516262E-3</v>
      </c>
      <c r="P1344" s="1138"/>
    </row>
    <row r="1345" spans="6:16" x14ac:dyDescent="0.2">
      <c r="F1345" s="1137">
        <f t="shared" si="106"/>
        <v>4.8830337221339041E-3</v>
      </c>
      <c r="G1345" s="1138"/>
      <c r="H1345" s="520">
        <v>9526.7900000000009</v>
      </c>
      <c r="I1345" s="512">
        <v>42221</v>
      </c>
      <c r="J1345" s="254">
        <f t="shared" si="103"/>
        <v>4.9144532815763586E-3</v>
      </c>
      <c r="L1345" s="251">
        <f t="shared" si="104"/>
        <v>42221</v>
      </c>
      <c r="M1345" s="513">
        <v>35.200000000000003</v>
      </c>
      <c r="N1345" s="254">
        <f t="shared" si="105"/>
        <v>5.7142857142857828E-3</v>
      </c>
      <c r="O1345" s="1137">
        <f t="shared" si="107"/>
        <v>5.6828661548433282E-3</v>
      </c>
      <c r="P1345" s="1138"/>
    </row>
    <row r="1346" spans="6:16" x14ac:dyDescent="0.2">
      <c r="F1346" s="1137">
        <f t="shared" si="106"/>
        <v>1.1545594857970834E-3</v>
      </c>
      <c r="G1346" s="1138"/>
      <c r="H1346" s="520">
        <v>9480.2000000000007</v>
      </c>
      <c r="I1346" s="512">
        <v>42220</v>
      </c>
      <c r="J1346" s="254">
        <f t="shared" si="103"/>
        <v>1.185979045239538E-3</v>
      </c>
      <c r="L1346" s="251">
        <f t="shared" si="104"/>
        <v>42220</v>
      </c>
      <c r="M1346" s="513">
        <v>35</v>
      </c>
      <c r="N1346" s="254">
        <f t="shared" si="105"/>
        <v>-7.0921985815602939E-3</v>
      </c>
      <c r="O1346" s="1137">
        <f t="shared" si="107"/>
        <v>-7.1236181410027485E-3</v>
      </c>
      <c r="P1346" s="1138"/>
    </row>
    <row r="1347" spans="6:16" x14ac:dyDescent="0.2">
      <c r="F1347" s="1137">
        <f t="shared" si="106"/>
        <v>4.2960374125890636E-3</v>
      </c>
      <c r="G1347" s="1138"/>
      <c r="H1347" s="520">
        <v>9468.9699999999993</v>
      </c>
      <c r="I1347" s="512">
        <v>42219</v>
      </c>
      <c r="J1347" s="254">
        <f t="shared" si="103"/>
        <v>4.3274569720315181E-3</v>
      </c>
      <c r="L1347" s="251">
        <f t="shared" si="104"/>
        <v>42219</v>
      </c>
      <c r="M1347" s="513">
        <v>35.25</v>
      </c>
      <c r="N1347" s="254">
        <f t="shared" si="105"/>
        <v>-5.6417489421721756E-3</v>
      </c>
      <c r="O1347" s="1137">
        <f t="shared" si="107"/>
        <v>-5.6731685016146302E-3</v>
      </c>
      <c r="P1347" s="1138"/>
    </row>
    <row r="1348" spans="6:16" x14ac:dyDescent="0.2">
      <c r="F1348" s="1137">
        <f t="shared" si="106"/>
        <v>3.2119306681134977E-3</v>
      </c>
      <c r="G1348" s="1138"/>
      <c r="H1348" s="520">
        <v>9428.17</v>
      </c>
      <c r="I1348" s="512">
        <v>42216</v>
      </c>
      <c r="J1348" s="254">
        <f t="shared" si="103"/>
        <v>3.2433502275559523E-3</v>
      </c>
      <c r="L1348" s="251">
        <f t="shared" si="104"/>
        <v>42216</v>
      </c>
      <c r="M1348" s="513">
        <v>35.450000000000003</v>
      </c>
      <c r="N1348" s="254">
        <f t="shared" si="105"/>
        <v>8.5348506401139446E-3</v>
      </c>
      <c r="O1348" s="1137">
        <f t="shared" si="107"/>
        <v>8.5034310806714909E-3</v>
      </c>
      <c r="P1348" s="1138"/>
    </row>
    <row r="1349" spans="6:16" x14ac:dyDescent="0.2">
      <c r="F1349" s="1137">
        <f t="shared" si="106"/>
        <v>1.0039480439904694E-3</v>
      </c>
      <c r="G1349" s="1138"/>
      <c r="H1349" s="520">
        <v>9397.69</v>
      </c>
      <c r="I1349" s="512">
        <v>42215</v>
      </c>
      <c r="J1349" s="254">
        <f t="shared" si="103"/>
        <v>1.035367603432924E-3</v>
      </c>
      <c r="L1349" s="251">
        <f t="shared" si="104"/>
        <v>42215</v>
      </c>
      <c r="M1349" s="513">
        <v>35.15</v>
      </c>
      <c r="N1349" s="254">
        <f t="shared" si="105"/>
        <v>-7.0621468926553854E-3</v>
      </c>
      <c r="O1349" s="1137">
        <f t="shared" si="107"/>
        <v>-7.09356645209784E-3</v>
      </c>
      <c r="P1349" s="1138"/>
    </row>
    <row r="1350" spans="6:16" x14ac:dyDescent="0.2">
      <c r="F1350" s="1137">
        <f t="shared" si="106"/>
        <v>1.2070066901985936E-2</v>
      </c>
      <c r="G1350" s="1138"/>
      <c r="H1350" s="520">
        <v>9387.9699999999993</v>
      </c>
      <c r="I1350" s="512">
        <v>42214</v>
      </c>
      <c r="J1350" s="254">
        <f t="shared" si="103"/>
        <v>1.210148646142839E-2</v>
      </c>
      <c r="L1350" s="251">
        <f t="shared" si="104"/>
        <v>42214</v>
      </c>
      <c r="M1350" s="513">
        <v>35.4</v>
      </c>
      <c r="N1350" s="254">
        <f t="shared" si="105"/>
        <v>1.7241379310344973E-2</v>
      </c>
      <c r="O1350" s="1137">
        <f t="shared" si="107"/>
        <v>1.7209959750902518E-2</v>
      </c>
      <c r="P1350" s="1138"/>
    </row>
    <row r="1351" spans="6:16" x14ac:dyDescent="0.2">
      <c r="F1351" s="1137">
        <f t="shared" si="106"/>
        <v>8.8043166649007399E-3</v>
      </c>
      <c r="G1351" s="1138"/>
      <c r="H1351" s="520">
        <v>9275.7199999999993</v>
      </c>
      <c r="I1351" s="512">
        <v>42213</v>
      </c>
      <c r="J1351" s="254">
        <f t="shared" si="103"/>
        <v>8.8357362243431936E-3</v>
      </c>
      <c r="L1351" s="251">
        <f t="shared" si="104"/>
        <v>42213</v>
      </c>
      <c r="M1351" s="513">
        <v>34.799999999999997</v>
      </c>
      <c r="N1351" s="254">
        <f t="shared" si="105"/>
        <v>-4.2918454935624295E-3</v>
      </c>
      <c r="O1351" s="1137">
        <f t="shared" si="107"/>
        <v>-4.3232650530048841E-3</v>
      </c>
      <c r="P1351" s="1138"/>
    </row>
    <row r="1352" spans="6:16" x14ac:dyDescent="0.2">
      <c r="F1352" s="1137">
        <f t="shared" si="106"/>
        <v>-1.3813508314420781E-2</v>
      </c>
      <c r="G1352" s="1138"/>
      <c r="H1352" s="520">
        <v>9194.48</v>
      </c>
      <c r="I1352" s="512">
        <v>42212</v>
      </c>
      <c r="J1352" s="254">
        <f t="shared" si="103"/>
        <v>-1.3782088754978328E-2</v>
      </c>
      <c r="L1352" s="251">
        <f t="shared" si="104"/>
        <v>42212</v>
      </c>
      <c r="M1352" s="513">
        <v>34.950000000000003</v>
      </c>
      <c r="N1352" s="254">
        <f t="shared" si="105"/>
        <v>-5.6899004267424447E-3</v>
      </c>
      <c r="O1352" s="1137">
        <f t="shared" si="107"/>
        <v>-5.7213199861848993E-3</v>
      </c>
      <c r="P1352" s="1138"/>
    </row>
    <row r="1353" spans="6:16" x14ac:dyDescent="0.2">
      <c r="F1353" s="1137">
        <f t="shared" si="106"/>
        <v>-6.277708826590774E-3</v>
      </c>
      <c r="G1353" s="1138"/>
      <c r="H1353" s="520">
        <v>9322.9699999999993</v>
      </c>
      <c r="I1353" s="512">
        <v>42209</v>
      </c>
      <c r="J1353" s="254">
        <f t="shared" si="103"/>
        <v>-6.2462892671483194E-3</v>
      </c>
      <c r="L1353" s="251">
        <f t="shared" si="104"/>
        <v>42209</v>
      </c>
      <c r="M1353" s="513">
        <v>35.15</v>
      </c>
      <c r="N1353" s="254">
        <f t="shared" si="105"/>
        <v>-8.4626234132582079E-3</v>
      </c>
      <c r="O1353" s="1137">
        <f t="shared" si="107"/>
        <v>-8.4940429727006616E-3</v>
      </c>
      <c r="P1353" s="1138"/>
    </row>
    <row r="1354" spans="6:16" x14ac:dyDescent="0.2">
      <c r="F1354" s="1137">
        <f t="shared" si="106"/>
        <v>9.9058628505665648E-3</v>
      </c>
      <c r="G1354" s="1138"/>
      <c r="H1354" s="520">
        <v>9381.57</v>
      </c>
      <c r="I1354" s="512">
        <v>42208</v>
      </c>
      <c r="J1354" s="254">
        <f t="shared" si="103"/>
        <v>9.9372824100090185E-3</v>
      </c>
      <c r="L1354" s="251">
        <f t="shared" si="104"/>
        <v>42208</v>
      </c>
      <c r="M1354" s="513">
        <v>35.450000000000003</v>
      </c>
      <c r="N1354" s="254">
        <f t="shared" si="105"/>
        <v>8.5348506401139446E-3</v>
      </c>
      <c r="O1354" s="1137">
        <f t="shared" si="107"/>
        <v>8.5034310806714909E-3</v>
      </c>
      <c r="P1354" s="1138"/>
    </row>
    <row r="1355" spans="6:16" x14ac:dyDescent="0.2">
      <c r="F1355" s="1137">
        <f t="shared" si="106"/>
        <v>-1.028026218286497E-2</v>
      </c>
      <c r="G1355" s="1138"/>
      <c r="H1355" s="520">
        <v>9289.26</v>
      </c>
      <c r="I1355" s="512">
        <v>42207</v>
      </c>
      <c r="J1355" s="254">
        <f t="shared" si="103"/>
        <v>-1.0248842623422516E-2</v>
      </c>
      <c r="L1355" s="251">
        <f t="shared" si="104"/>
        <v>42207</v>
      </c>
      <c r="M1355" s="513">
        <v>35.15</v>
      </c>
      <c r="N1355" s="254">
        <f t="shared" si="105"/>
        <v>0.10361067503924648</v>
      </c>
      <c r="O1355" s="1137">
        <f t="shared" si="107"/>
        <v>0.10357925547980402</v>
      </c>
      <c r="P1355" s="1138"/>
    </row>
    <row r="1356" spans="6:16" x14ac:dyDescent="0.2">
      <c r="F1356" s="1137">
        <f t="shared" si="106"/>
        <v>-1.0278587536225276E-2</v>
      </c>
      <c r="G1356" s="1138"/>
      <c r="H1356" s="520">
        <v>9385.4500000000007</v>
      </c>
      <c r="I1356" s="512">
        <v>42206</v>
      </c>
      <c r="J1356" s="254">
        <f t="shared" si="103"/>
        <v>-1.0247167976782823E-2</v>
      </c>
      <c r="L1356" s="251">
        <f t="shared" si="104"/>
        <v>42206</v>
      </c>
      <c r="M1356" s="513">
        <v>31.85</v>
      </c>
      <c r="N1356" s="254">
        <f t="shared" si="105"/>
        <v>-1.5673981191222097E-3</v>
      </c>
      <c r="O1356" s="1137">
        <f t="shared" si="107"/>
        <v>-1.5988176785646643E-3</v>
      </c>
      <c r="P1356" s="1138"/>
    </row>
    <row r="1357" spans="6:16" x14ac:dyDescent="0.2">
      <c r="F1357" s="1137">
        <f t="shared" si="106"/>
        <v>3.8272871968409597E-3</v>
      </c>
      <c r="G1357" s="1138"/>
      <c r="H1357" s="520">
        <v>9482.6200000000008</v>
      </c>
      <c r="I1357" s="512">
        <v>42205</v>
      </c>
      <c r="J1357" s="254">
        <f t="shared" si="103"/>
        <v>3.8587067562834143E-3</v>
      </c>
      <c r="L1357" s="251">
        <f t="shared" si="104"/>
        <v>42205</v>
      </c>
      <c r="M1357" s="513">
        <v>31.9</v>
      </c>
      <c r="N1357" s="254">
        <f t="shared" si="105"/>
        <v>1.4308426073131875E-2</v>
      </c>
      <c r="O1357" s="1137">
        <f t="shared" si="107"/>
        <v>1.4277006513689421E-2</v>
      </c>
      <c r="P1357" s="1138"/>
    </row>
    <row r="1358" spans="6:16" x14ac:dyDescent="0.2">
      <c r="F1358" s="1137">
        <f t="shared" si="106"/>
        <v>-1.3835766676233837E-3</v>
      </c>
      <c r="G1358" s="1138"/>
      <c r="H1358" s="520">
        <v>9446.17</v>
      </c>
      <c r="I1358" s="512">
        <v>42202</v>
      </c>
      <c r="J1358" s="254">
        <f t="shared" si="103"/>
        <v>-1.3521571081809292E-3</v>
      </c>
      <c r="L1358" s="251">
        <f t="shared" si="104"/>
        <v>42202</v>
      </c>
      <c r="M1358" s="513">
        <v>31.45</v>
      </c>
      <c r="N1358" s="254">
        <f t="shared" si="105"/>
        <v>1.2882447665056418E-2</v>
      </c>
      <c r="O1358" s="1137">
        <f t="shared" si="107"/>
        <v>1.2851028105613964E-2</v>
      </c>
      <c r="P1358" s="1138"/>
    </row>
    <row r="1359" spans="6:16" x14ac:dyDescent="0.2">
      <c r="F1359" s="1137">
        <f t="shared" si="106"/>
        <v>1.4960130189732595E-2</v>
      </c>
      <c r="G1359" s="1138"/>
      <c r="H1359" s="520">
        <v>9458.9599999999991</v>
      </c>
      <c r="I1359" s="512">
        <v>42201</v>
      </c>
      <c r="J1359" s="254">
        <f t="shared" si="103"/>
        <v>1.4991549749175048E-2</v>
      </c>
      <c r="L1359" s="251">
        <f t="shared" si="104"/>
        <v>42201</v>
      </c>
      <c r="M1359" s="513">
        <v>31.05</v>
      </c>
      <c r="N1359" s="254">
        <f t="shared" si="105"/>
        <v>1.3050570962479746E-2</v>
      </c>
      <c r="O1359" s="1137">
        <f t="shared" si="107"/>
        <v>1.3019151403037292E-2</v>
      </c>
      <c r="P1359" s="1138"/>
    </row>
    <row r="1360" spans="6:16" x14ac:dyDescent="0.2">
      <c r="F1360" s="1137">
        <f t="shared" si="106"/>
        <v>8.4710460587907141E-4</v>
      </c>
      <c r="G1360" s="1138"/>
      <c r="H1360" s="520">
        <v>9319.25</v>
      </c>
      <c r="I1360" s="512">
        <v>42200</v>
      </c>
      <c r="J1360" s="254">
        <f t="shared" si="103"/>
        <v>8.7852416532152589E-4</v>
      </c>
      <c r="L1360" s="251">
        <f t="shared" si="104"/>
        <v>42200</v>
      </c>
      <c r="M1360" s="513">
        <v>30.65</v>
      </c>
      <c r="N1360" s="254">
        <f t="shared" si="105"/>
        <v>-1.1290322580645218E-2</v>
      </c>
      <c r="O1360" s="1137">
        <f t="shared" si="107"/>
        <v>-1.1321742140087672E-2</v>
      </c>
      <c r="P1360" s="1138"/>
    </row>
    <row r="1361" spans="6:16" x14ac:dyDescent="0.2">
      <c r="F1361" s="1137">
        <f t="shared" si="106"/>
        <v>6.5598605348266706E-3</v>
      </c>
      <c r="G1361" s="1138"/>
      <c r="H1361" s="520">
        <v>9311.07</v>
      </c>
      <c r="I1361" s="512">
        <v>42199</v>
      </c>
      <c r="J1361" s="254">
        <f t="shared" si="103"/>
        <v>6.5912800942691252E-3</v>
      </c>
      <c r="L1361" s="251">
        <f t="shared" si="104"/>
        <v>42199</v>
      </c>
      <c r="M1361" s="513">
        <v>31</v>
      </c>
      <c r="N1361" s="254">
        <f t="shared" si="105"/>
        <v>-3.2154340836013651E-3</v>
      </c>
      <c r="O1361" s="1137">
        <f t="shared" si="107"/>
        <v>-3.2468536430438196E-3</v>
      </c>
      <c r="P1361" s="1138"/>
    </row>
    <row r="1362" spans="6:16" x14ac:dyDescent="0.2">
      <c r="F1362" s="1137">
        <f t="shared" si="106"/>
        <v>1.265937479757691E-2</v>
      </c>
      <c r="G1362" s="1138"/>
      <c r="H1362" s="520">
        <v>9250.1</v>
      </c>
      <c r="I1362" s="512">
        <v>42198</v>
      </c>
      <c r="J1362" s="254">
        <f t="shared" si="103"/>
        <v>1.2690794357019364E-2</v>
      </c>
      <c r="L1362" s="251">
        <f t="shared" si="104"/>
        <v>42198</v>
      </c>
      <c r="M1362" s="513">
        <v>31.1</v>
      </c>
      <c r="N1362" s="254">
        <f t="shared" si="105"/>
        <v>2.4711696869851751E-2</v>
      </c>
      <c r="O1362" s="1137">
        <f t="shared" si="107"/>
        <v>2.4680277310409296E-2</v>
      </c>
      <c r="P1362" s="1138"/>
    </row>
    <row r="1363" spans="6:16" x14ac:dyDescent="0.2">
      <c r="F1363" s="1137">
        <f t="shared" si="106"/>
        <v>1.6562756563641659E-2</v>
      </c>
      <c r="G1363" s="1138"/>
      <c r="H1363" s="520">
        <v>9134.18</v>
      </c>
      <c r="I1363" s="512">
        <v>42195</v>
      </c>
      <c r="J1363" s="254">
        <f t="shared" si="103"/>
        <v>1.6594176123084114E-2</v>
      </c>
      <c r="L1363" s="251">
        <f t="shared" si="104"/>
        <v>42195</v>
      </c>
      <c r="M1363" s="513">
        <v>30.35</v>
      </c>
      <c r="N1363" s="254">
        <f t="shared" si="105"/>
        <v>1.1666666666666714E-2</v>
      </c>
      <c r="O1363" s="1137">
        <f t="shared" si="107"/>
        <v>1.163524710722426E-2</v>
      </c>
      <c r="P1363" s="1138"/>
    </row>
    <row r="1364" spans="6:16" x14ac:dyDescent="0.2">
      <c r="F1364" s="1137">
        <f t="shared" si="106"/>
        <v>1.4953166593738092E-2</v>
      </c>
      <c r="G1364" s="1138"/>
      <c r="H1364" s="520">
        <v>8985.08</v>
      </c>
      <c r="I1364" s="512">
        <v>42194</v>
      </c>
      <c r="J1364" s="254">
        <f t="shared" si="103"/>
        <v>1.4984586153180546E-2</v>
      </c>
      <c r="L1364" s="251">
        <f t="shared" si="104"/>
        <v>42194</v>
      </c>
      <c r="M1364" s="513">
        <v>30</v>
      </c>
      <c r="N1364" s="254">
        <f t="shared" si="105"/>
        <v>2.3890784982935065E-2</v>
      </c>
      <c r="O1364" s="1137">
        <f t="shared" si="107"/>
        <v>2.3859365423492609E-2</v>
      </c>
      <c r="P1364" s="1138"/>
    </row>
    <row r="1365" spans="6:16" x14ac:dyDescent="0.2">
      <c r="F1365" s="1137">
        <f t="shared" si="106"/>
        <v>1.004604409630812E-2</v>
      </c>
      <c r="G1365" s="1138"/>
      <c r="H1365" s="520">
        <v>8852.43</v>
      </c>
      <c r="I1365" s="512">
        <v>42193</v>
      </c>
      <c r="J1365" s="254">
        <f t="shared" si="103"/>
        <v>1.0077463655750574E-2</v>
      </c>
      <c r="L1365" s="251">
        <f t="shared" si="104"/>
        <v>42193</v>
      </c>
      <c r="M1365" s="513">
        <v>29.3</v>
      </c>
      <c r="N1365" s="254">
        <f t="shared" si="105"/>
        <v>0</v>
      </c>
      <c r="O1365" s="1137">
        <f t="shared" si="107"/>
        <v>-3.1419559442454485E-5</v>
      </c>
      <c r="P1365" s="1138"/>
    </row>
    <row r="1366" spans="6:16" x14ac:dyDescent="0.2">
      <c r="F1366" s="1137">
        <f t="shared" si="106"/>
        <v>-1.1164495185826002E-2</v>
      </c>
      <c r="G1366" s="1138"/>
      <c r="H1366" s="520">
        <v>8764.11</v>
      </c>
      <c r="I1366" s="512">
        <v>42192</v>
      </c>
      <c r="J1366" s="254">
        <f t="shared" si="103"/>
        <v>-1.1133075626383548E-2</v>
      </c>
      <c r="L1366" s="251">
        <f t="shared" si="104"/>
        <v>42192</v>
      </c>
      <c r="M1366" s="513">
        <v>29.3</v>
      </c>
      <c r="N1366" s="254">
        <f t="shared" si="105"/>
        <v>-2.0066889632106899E-2</v>
      </c>
      <c r="O1366" s="1137">
        <f t="shared" si="107"/>
        <v>-2.0098309191549354E-2</v>
      </c>
      <c r="P1366" s="1138"/>
    </row>
    <row r="1367" spans="6:16" x14ac:dyDescent="0.2">
      <c r="F1367" s="1137">
        <f t="shared" si="106"/>
        <v>-5.648035587554597E-3</v>
      </c>
      <c r="G1367" s="1138"/>
      <c r="H1367" s="520">
        <v>8862.7800000000007</v>
      </c>
      <c r="I1367" s="512">
        <v>42191</v>
      </c>
      <c r="J1367" s="254">
        <f t="shared" si="103"/>
        <v>-5.6166160281121424E-3</v>
      </c>
      <c r="L1367" s="251">
        <f t="shared" si="104"/>
        <v>42191</v>
      </c>
      <c r="M1367" s="513">
        <v>29.9</v>
      </c>
      <c r="N1367" s="254">
        <f t="shared" si="105"/>
        <v>-9.9337748344371368E-3</v>
      </c>
      <c r="O1367" s="1137">
        <f t="shared" si="107"/>
        <v>-9.9651943938795905E-3</v>
      </c>
      <c r="P1367" s="1138"/>
    </row>
    <row r="1368" spans="6:16" x14ac:dyDescent="0.2">
      <c r="F1368" s="1137">
        <f t="shared" si="106"/>
        <v>-5.4590944524287996E-3</v>
      </c>
      <c r="G1368" s="1138"/>
      <c r="H1368" s="520">
        <v>8912.84</v>
      </c>
      <c r="I1368" s="512">
        <v>42188</v>
      </c>
      <c r="J1368" s="254">
        <f t="shared" si="103"/>
        <v>-5.427674892986345E-3</v>
      </c>
      <c r="L1368" s="251">
        <f t="shared" si="104"/>
        <v>42188</v>
      </c>
      <c r="M1368" s="513">
        <v>30.2</v>
      </c>
      <c r="N1368" s="254">
        <f t="shared" si="105"/>
        <v>-2.5806451612903292E-2</v>
      </c>
      <c r="O1368" s="1137">
        <f t="shared" si="107"/>
        <v>-2.5837871172345747E-2</v>
      </c>
      <c r="P1368" s="1138"/>
    </row>
    <row r="1369" spans="6:16" x14ac:dyDescent="0.2">
      <c r="F1369" s="1137">
        <f t="shared" si="106"/>
        <v>5.8603818681044065E-3</v>
      </c>
      <c r="G1369" s="1138"/>
      <c r="H1369" s="520">
        <v>8961.48</v>
      </c>
      <c r="I1369" s="512">
        <v>42187</v>
      </c>
      <c r="J1369" s="254">
        <f t="shared" si="103"/>
        <v>5.8918014275468611E-3</v>
      </c>
      <c r="L1369" s="251">
        <f t="shared" si="104"/>
        <v>42187</v>
      </c>
      <c r="M1369" s="513">
        <v>31</v>
      </c>
      <c r="N1369" s="254">
        <f t="shared" si="105"/>
        <v>0</v>
      </c>
      <c r="O1369" s="1137">
        <f t="shared" si="107"/>
        <v>-3.1419559442454485E-5</v>
      </c>
      <c r="P1369" s="1138"/>
    </row>
    <row r="1370" spans="6:16" x14ac:dyDescent="0.2">
      <c r="F1370" s="1137">
        <f t="shared" si="106"/>
        <v>1.4554767976929077E-2</v>
      </c>
      <c r="G1370" s="1138"/>
      <c r="H1370" s="520">
        <v>8908.99</v>
      </c>
      <c r="I1370" s="512">
        <v>42186</v>
      </c>
      <c r="J1370" s="254">
        <f t="shared" si="103"/>
        <v>1.4586187536371531E-2</v>
      </c>
      <c r="L1370" s="251">
        <f t="shared" si="104"/>
        <v>42186</v>
      </c>
      <c r="M1370" s="513">
        <v>31</v>
      </c>
      <c r="N1370" s="254">
        <f t="shared" si="105"/>
        <v>1.615508885298933E-3</v>
      </c>
      <c r="O1370" s="1137">
        <f t="shared" si="107"/>
        <v>1.5840893258564784E-3</v>
      </c>
      <c r="P1370" s="1138"/>
    </row>
    <row r="1371" spans="6:16" x14ac:dyDescent="0.2">
      <c r="F1371" s="1137">
        <f t="shared" si="106"/>
        <v>-9.8956677487980604E-3</v>
      </c>
      <c r="G1371" s="1138"/>
      <c r="H1371" s="520">
        <v>8780.91</v>
      </c>
      <c r="I1371" s="512">
        <v>42185</v>
      </c>
      <c r="J1371" s="254">
        <f t="shared" si="103"/>
        <v>-9.8642481893556067E-3</v>
      </c>
      <c r="L1371" s="251">
        <f t="shared" si="104"/>
        <v>42185</v>
      </c>
      <c r="M1371" s="513">
        <v>30.95</v>
      </c>
      <c r="N1371" s="254">
        <f t="shared" si="105"/>
        <v>-3.2206119162641045E-3</v>
      </c>
      <c r="O1371" s="1137">
        <f t="shared" si="107"/>
        <v>-3.2520314757065591E-3</v>
      </c>
      <c r="P1371" s="1138"/>
    </row>
    <row r="1372" spans="6:16" x14ac:dyDescent="0.2">
      <c r="F1372" s="1137">
        <f t="shared" si="106"/>
        <v>-1.5475216395412534E-2</v>
      </c>
      <c r="G1372" s="1138"/>
      <c r="H1372" s="520">
        <v>8868.39</v>
      </c>
      <c r="I1372" s="512">
        <v>42184</v>
      </c>
      <c r="J1372" s="254">
        <f t="shared" si="103"/>
        <v>-1.5443796835970081E-2</v>
      </c>
      <c r="L1372" s="251">
        <f t="shared" si="104"/>
        <v>42184</v>
      </c>
      <c r="M1372" s="513">
        <v>31.05</v>
      </c>
      <c r="N1372" s="254">
        <f t="shared" si="105"/>
        <v>-2.3584905660377409E-2</v>
      </c>
      <c r="O1372" s="1137">
        <f t="shared" si="107"/>
        <v>-2.3616325219819864E-2</v>
      </c>
      <c r="P1372" s="1138"/>
    </row>
    <row r="1373" spans="6:16" x14ac:dyDescent="0.2">
      <c r="F1373" s="1137">
        <f t="shared" si="106"/>
        <v>-4.2125872793240945E-3</v>
      </c>
      <c r="G1373" s="1138"/>
      <c r="H1373" s="520">
        <v>9007.5</v>
      </c>
      <c r="I1373" s="512">
        <v>42181</v>
      </c>
      <c r="J1373" s="254">
        <f t="shared" ref="J1373:J1436" si="108">H1373/H1374-1</f>
        <v>-4.1811677198816399E-3</v>
      </c>
      <c r="L1373" s="251">
        <f t="shared" ref="L1373:L1436" si="109">I1373</f>
        <v>42181</v>
      </c>
      <c r="M1373" s="513">
        <v>31.8</v>
      </c>
      <c r="N1373" s="254">
        <f t="shared" ref="N1373:N1436" si="110">M1373/M1374-1</f>
        <v>-1.2422360248447228E-2</v>
      </c>
      <c r="O1373" s="1137">
        <f t="shared" si="107"/>
        <v>-1.2453779807889682E-2</v>
      </c>
      <c r="P1373" s="1138"/>
    </row>
    <row r="1374" spans="6:16" x14ac:dyDescent="0.2">
      <c r="F1374" s="1137">
        <f t="shared" ref="F1374:F1437" si="111">J1374-$I$19</f>
        <v>-4.0493410971094565E-3</v>
      </c>
      <c r="G1374" s="1138"/>
      <c r="H1374" s="520">
        <v>9045.32</v>
      </c>
      <c r="I1374" s="512">
        <v>42180</v>
      </c>
      <c r="J1374" s="254">
        <f t="shared" si="108"/>
        <v>-4.0179215376670019E-3</v>
      </c>
      <c r="L1374" s="251">
        <f t="shared" si="109"/>
        <v>42180</v>
      </c>
      <c r="M1374" s="513">
        <v>32.200000000000003</v>
      </c>
      <c r="N1374" s="254">
        <f t="shared" si="110"/>
        <v>-9.2307692307691536E-3</v>
      </c>
      <c r="O1374" s="1137">
        <f t="shared" ref="O1374:O1437" si="112">N1374-$I$19</f>
        <v>-9.2621887902116073E-3</v>
      </c>
      <c r="P1374" s="1138"/>
    </row>
    <row r="1375" spans="6:16" x14ac:dyDescent="0.2">
      <c r="F1375" s="1137">
        <f t="shared" si="111"/>
        <v>-6.1075927960444884E-3</v>
      </c>
      <c r="G1375" s="1138"/>
      <c r="H1375" s="520">
        <v>9081.81</v>
      </c>
      <c r="I1375" s="512">
        <v>42179</v>
      </c>
      <c r="J1375" s="254">
        <f t="shared" si="108"/>
        <v>-6.0761732366020338E-3</v>
      </c>
      <c r="L1375" s="251">
        <f t="shared" si="109"/>
        <v>42179</v>
      </c>
      <c r="M1375" s="513">
        <v>32.5</v>
      </c>
      <c r="N1375" s="254">
        <f t="shared" si="110"/>
        <v>-1.812688821752273E-2</v>
      </c>
      <c r="O1375" s="1137">
        <f t="shared" si="112"/>
        <v>-1.8158307776965185E-2</v>
      </c>
      <c r="P1375" s="1138"/>
    </row>
    <row r="1376" spans="6:16" x14ac:dyDescent="0.2">
      <c r="F1376" s="1137">
        <f t="shared" si="111"/>
        <v>1.2822503957717184E-2</v>
      </c>
      <c r="G1376" s="1138"/>
      <c r="H1376" s="520">
        <v>9137.33</v>
      </c>
      <c r="I1376" s="512">
        <v>42178</v>
      </c>
      <c r="J1376" s="254">
        <f t="shared" si="108"/>
        <v>1.2853923517159638E-2</v>
      </c>
      <c r="L1376" s="251">
        <f t="shared" si="109"/>
        <v>42178</v>
      </c>
      <c r="M1376" s="513">
        <v>33.1</v>
      </c>
      <c r="N1376" s="254">
        <f t="shared" si="110"/>
        <v>1.8461538461538529E-2</v>
      </c>
      <c r="O1376" s="1137">
        <f t="shared" si="112"/>
        <v>1.8430118902096074E-2</v>
      </c>
      <c r="P1376" s="1138"/>
    </row>
    <row r="1377" spans="6:16" x14ac:dyDescent="0.2">
      <c r="F1377" s="1137">
        <f t="shared" si="111"/>
        <v>1.7341360491351002E-2</v>
      </c>
      <c r="G1377" s="1138"/>
      <c r="H1377" s="520">
        <v>9021.3700000000008</v>
      </c>
      <c r="I1377" s="512">
        <v>42177</v>
      </c>
      <c r="J1377" s="254">
        <f t="shared" si="108"/>
        <v>1.7372780050793457E-2</v>
      </c>
      <c r="L1377" s="251">
        <f t="shared" si="109"/>
        <v>42177</v>
      </c>
      <c r="M1377" s="513">
        <v>32.5</v>
      </c>
      <c r="N1377" s="254">
        <f t="shared" si="110"/>
        <v>1.2461059190031154E-2</v>
      </c>
      <c r="O1377" s="1137">
        <f t="shared" si="112"/>
        <v>1.24296396305887E-2</v>
      </c>
      <c r="P1377" s="1138"/>
    </row>
    <row r="1378" spans="6:16" x14ac:dyDescent="0.2">
      <c r="F1378" s="1137">
        <f t="shared" si="111"/>
        <v>-1.4919574472818517E-3</v>
      </c>
      <c r="G1378" s="1138"/>
      <c r="H1378" s="520">
        <v>8867.32</v>
      </c>
      <c r="I1378" s="512">
        <v>42174</v>
      </c>
      <c r="J1378" s="254">
        <f t="shared" si="108"/>
        <v>-1.4605378878393971E-3</v>
      </c>
      <c r="L1378" s="251">
        <f t="shared" si="109"/>
        <v>42174</v>
      </c>
      <c r="M1378" s="513">
        <v>32.1</v>
      </c>
      <c r="N1378" s="254">
        <f t="shared" si="110"/>
        <v>-7.7279752704790816E-3</v>
      </c>
      <c r="O1378" s="1137">
        <f t="shared" si="112"/>
        <v>-7.7593948299215362E-3</v>
      </c>
      <c r="P1378" s="1138"/>
    </row>
    <row r="1379" spans="6:16" x14ac:dyDescent="0.2">
      <c r="F1379" s="1137">
        <f t="shared" si="111"/>
        <v>-2.9954836505919199E-3</v>
      </c>
      <c r="G1379" s="1138"/>
      <c r="H1379" s="520">
        <v>8880.2900000000009</v>
      </c>
      <c r="I1379" s="512">
        <v>42173</v>
      </c>
      <c r="J1379" s="254">
        <f t="shared" si="108"/>
        <v>-2.9640640911494653E-3</v>
      </c>
      <c r="L1379" s="251">
        <f t="shared" si="109"/>
        <v>42173</v>
      </c>
      <c r="M1379" s="513">
        <v>32.35</v>
      </c>
      <c r="N1379" s="254">
        <f t="shared" si="110"/>
        <v>-4.6153846153845768E-3</v>
      </c>
      <c r="O1379" s="1137">
        <f t="shared" si="112"/>
        <v>-4.6468041748270314E-3</v>
      </c>
      <c r="P1379" s="1138"/>
    </row>
    <row r="1380" spans="6:16" x14ac:dyDescent="0.2">
      <c r="F1380" s="1137">
        <f t="shared" si="111"/>
        <v>-6.5799282707101189E-3</v>
      </c>
      <c r="G1380" s="1138"/>
      <c r="H1380" s="520">
        <v>8906.69</v>
      </c>
      <c r="I1380" s="512">
        <v>42172</v>
      </c>
      <c r="J1380" s="254">
        <f t="shared" si="108"/>
        <v>-6.5485087112676643E-3</v>
      </c>
      <c r="L1380" s="251">
        <f t="shared" si="109"/>
        <v>42172</v>
      </c>
      <c r="M1380" s="513">
        <v>32.5</v>
      </c>
      <c r="N1380" s="254">
        <f t="shared" si="110"/>
        <v>-1.5151515151515138E-2</v>
      </c>
      <c r="O1380" s="1137">
        <f t="shared" si="112"/>
        <v>-1.5182934710957592E-2</v>
      </c>
      <c r="P1380" s="1138"/>
    </row>
    <row r="1381" spans="6:16" x14ac:dyDescent="0.2">
      <c r="F1381" s="1137">
        <f t="shared" si="111"/>
        <v>4.5323346185832262E-3</v>
      </c>
      <c r="G1381" s="1138"/>
      <c r="H1381" s="520">
        <v>8965.4</v>
      </c>
      <c r="I1381" s="512">
        <v>42171</v>
      </c>
      <c r="J1381" s="254">
        <f t="shared" si="108"/>
        <v>4.5637541780256807E-3</v>
      </c>
      <c r="L1381" s="251">
        <f t="shared" si="109"/>
        <v>42171</v>
      </c>
      <c r="M1381" s="513">
        <v>33</v>
      </c>
      <c r="N1381" s="254">
        <f t="shared" si="110"/>
        <v>-4.5248868778280382E-3</v>
      </c>
      <c r="O1381" s="1137">
        <f t="shared" si="112"/>
        <v>-4.5563064372704928E-3</v>
      </c>
      <c r="P1381" s="1138"/>
    </row>
    <row r="1382" spans="6:16" x14ac:dyDescent="0.2">
      <c r="F1382" s="1137">
        <f t="shared" si="111"/>
        <v>-1.13049795383046E-2</v>
      </c>
      <c r="G1382" s="1138"/>
      <c r="H1382" s="520">
        <v>8924.67</v>
      </c>
      <c r="I1382" s="512">
        <v>42170</v>
      </c>
      <c r="J1382" s="254">
        <f t="shared" si="108"/>
        <v>-1.1273559978862147E-2</v>
      </c>
      <c r="L1382" s="251">
        <f t="shared" si="109"/>
        <v>42170</v>
      </c>
      <c r="M1382" s="513">
        <v>33.15</v>
      </c>
      <c r="N1382" s="254">
        <f t="shared" si="110"/>
        <v>-1.5060240963856719E-3</v>
      </c>
      <c r="O1382" s="1137">
        <f t="shared" si="112"/>
        <v>-1.5374436558281265E-3</v>
      </c>
      <c r="P1382" s="1138"/>
    </row>
    <row r="1383" spans="6:16" x14ac:dyDescent="0.2">
      <c r="F1383" s="1137">
        <f t="shared" si="111"/>
        <v>-1.3137265639277902E-2</v>
      </c>
      <c r="G1383" s="1138"/>
      <c r="H1383" s="520">
        <v>9026.43</v>
      </c>
      <c r="I1383" s="512">
        <v>42167</v>
      </c>
      <c r="J1383" s="254">
        <f t="shared" si="108"/>
        <v>-1.3105846079835448E-2</v>
      </c>
      <c r="L1383" s="251">
        <f t="shared" si="109"/>
        <v>42167</v>
      </c>
      <c r="M1383" s="513">
        <v>33.200000000000003</v>
      </c>
      <c r="N1383" s="254">
        <f t="shared" si="110"/>
        <v>-1.4836795252225476E-2</v>
      </c>
      <c r="O1383" s="1137">
        <f t="shared" si="112"/>
        <v>-1.486821481166793E-2</v>
      </c>
      <c r="P1383" s="1138"/>
    </row>
    <row r="1384" spans="6:16" x14ac:dyDescent="0.2">
      <c r="F1384" s="1137">
        <f t="shared" si="111"/>
        <v>4.7583680859812497E-3</v>
      </c>
      <c r="G1384" s="1138"/>
      <c r="H1384" s="520">
        <v>9146.2999999999993</v>
      </c>
      <c r="I1384" s="512">
        <v>42166</v>
      </c>
      <c r="J1384" s="254">
        <f t="shared" si="108"/>
        <v>4.7897876454237043E-3</v>
      </c>
      <c r="L1384" s="251">
        <f t="shared" si="109"/>
        <v>42166</v>
      </c>
      <c r="M1384" s="513">
        <v>33.700000000000003</v>
      </c>
      <c r="N1384" s="254">
        <f t="shared" si="110"/>
        <v>5.9701492537314049E-3</v>
      </c>
      <c r="O1384" s="1137">
        <f t="shared" si="112"/>
        <v>5.9387296942889503E-3</v>
      </c>
      <c r="P1384" s="1138"/>
    </row>
    <row r="1385" spans="6:16" x14ac:dyDescent="0.2">
      <c r="F1385" s="1137">
        <f t="shared" si="111"/>
        <v>1.3607444521838557E-2</v>
      </c>
      <c r="G1385" s="1138"/>
      <c r="H1385" s="520">
        <v>9102.7000000000007</v>
      </c>
      <c r="I1385" s="512">
        <v>42165</v>
      </c>
      <c r="J1385" s="254">
        <f t="shared" si="108"/>
        <v>1.363886408128101E-2</v>
      </c>
      <c r="L1385" s="251">
        <f t="shared" si="109"/>
        <v>42165</v>
      </c>
      <c r="M1385" s="513">
        <v>33.5</v>
      </c>
      <c r="N1385" s="254">
        <f t="shared" si="110"/>
        <v>0</v>
      </c>
      <c r="O1385" s="1137">
        <f t="shared" si="112"/>
        <v>-3.1419559442454485E-5</v>
      </c>
      <c r="P1385" s="1138"/>
    </row>
    <row r="1386" spans="6:16" x14ac:dyDescent="0.2">
      <c r="F1386" s="1137">
        <f t="shared" si="111"/>
        <v>-8.8907638112434694E-3</v>
      </c>
      <c r="G1386" s="1138"/>
      <c r="H1386" s="520">
        <v>8980.2199999999993</v>
      </c>
      <c r="I1386" s="512">
        <v>42164</v>
      </c>
      <c r="J1386" s="254">
        <f t="shared" si="108"/>
        <v>-8.8593442518010157E-3</v>
      </c>
      <c r="L1386" s="251">
        <f t="shared" si="109"/>
        <v>42164</v>
      </c>
      <c r="M1386" s="513">
        <v>33.5</v>
      </c>
      <c r="N1386" s="254">
        <f t="shared" si="110"/>
        <v>-5.9347181008903016E-3</v>
      </c>
      <c r="O1386" s="1137">
        <f t="shared" si="112"/>
        <v>-5.9661376603327562E-3</v>
      </c>
      <c r="P1386" s="1138"/>
    </row>
    <row r="1387" spans="6:16" x14ac:dyDescent="0.2">
      <c r="F1387" s="1137">
        <f t="shared" si="111"/>
        <v>-4.9221282014883369E-3</v>
      </c>
      <c r="G1387" s="1138"/>
      <c r="H1387" s="520">
        <v>9060.49</v>
      </c>
      <c r="I1387" s="512">
        <v>42163</v>
      </c>
      <c r="J1387" s="254">
        <f t="shared" si="108"/>
        <v>-4.8907086420458823E-3</v>
      </c>
      <c r="L1387" s="251">
        <f t="shared" si="109"/>
        <v>42163</v>
      </c>
      <c r="M1387" s="513">
        <v>33.700000000000003</v>
      </c>
      <c r="N1387" s="254">
        <f t="shared" si="110"/>
        <v>-5.8997050147491237E-3</v>
      </c>
      <c r="O1387" s="1137">
        <f t="shared" si="112"/>
        <v>-5.9311245741915783E-3</v>
      </c>
      <c r="P1387" s="1138"/>
    </row>
    <row r="1388" spans="6:16" x14ac:dyDescent="0.2">
      <c r="F1388" s="1137">
        <f t="shared" si="111"/>
        <v>-1.3961988727647796E-2</v>
      </c>
      <c r="G1388" s="1138"/>
      <c r="H1388" s="520">
        <v>9105.02</v>
      </c>
      <c r="I1388" s="512">
        <v>42160</v>
      </c>
      <c r="J1388" s="254">
        <f t="shared" si="108"/>
        <v>-1.3930569168205342E-2</v>
      </c>
      <c r="L1388" s="251">
        <f t="shared" si="109"/>
        <v>42160</v>
      </c>
      <c r="M1388" s="513">
        <v>33.9</v>
      </c>
      <c r="N1388" s="254">
        <f t="shared" si="110"/>
        <v>-7.3206442166910968E-3</v>
      </c>
      <c r="O1388" s="1137">
        <f t="shared" si="112"/>
        <v>-7.3520637761335514E-3</v>
      </c>
      <c r="P1388" s="1138"/>
    </row>
    <row r="1389" spans="6:16" x14ac:dyDescent="0.2">
      <c r="F1389" s="1137">
        <f t="shared" si="111"/>
        <v>-2.1549862869882216E-3</v>
      </c>
      <c r="G1389" s="1138"/>
      <c r="H1389" s="520">
        <v>9233.65</v>
      </c>
      <c r="I1389" s="512">
        <v>42159</v>
      </c>
      <c r="J1389" s="254">
        <f t="shared" si="108"/>
        <v>-2.123566727545767E-3</v>
      </c>
      <c r="L1389" s="251">
        <f t="shared" si="109"/>
        <v>42159</v>
      </c>
      <c r="M1389" s="513">
        <v>34.15</v>
      </c>
      <c r="N1389" s="254">
        <f t="shared" si="110"/>
        <v>-2.9197080291971655E-3</v>
      </c>
      <c r="O1389" s="1137">
        <f t="shared" si="112"/>
        <v>-2.9511275886396201E-3</v>
      </c>
      <c r="P1389" s="1138"/>
    </row>
    <row r="1390" spans="6:16" x14ac:dyDescent="0.2">
      <c r="F1390" s="1137">
        <f t="shared" si="111"/>
        <v>5.3151166000257747E-3</v>
      </c>
      <c r="G1390" s="1138"/>
      <c r="H1390" s="520">
        <v>9253.2999999999993</v>
      </c>
      <c r="I1390" s="512">
        <v>42158</v>
      </c>
      <c r="J1390" s="254">
        <f t="shared" si="108"/>
        <v>5.3465361594682292E-3</v>
      </c>
      <c r="L1390" s="251">
        <f t="shared" si="109"/>
        <v>42158</v>
      </c>
      <c r="M1390" s="513">
        <v>34.25</v>
      </c>
      <c r="N1390" s="254">
        <f t="shared" si="110"/>
        <v>1.3313609467455745E-2</v>
      </c>
      <c r="O1390" s="1137">
        <f t="shared" si="112"/>
        <v>1.3282189908013291E-2</v>
      </c>
      <c r="P1390" s="1138"/>
    </row>
    <row r="1391" spans="6:16" x14ac:dyDescent="0.2">
      <c r="F1391" s="1137">
        <f t="shared" si="111"/>
        <v>-6.8671800283530001E-3</v>
      </c>
      <c r="G1391" s="1138"/>
      <c r="H1391" s="520">
        <v>9204.09</v>
      </c>
      <c r="I1391" s="512">
        <v>42157</v>
      </c>
      <c r="J1391" s="254">
        <f t="shared" si="108"/>
        <v>-6.8357604689105456E-3</v>
      </c>
      <c r="L1391" s="251">
        <f t="shared" si="109"/>
        <v>42157</v>
      </c>
      <c r="M1391" s="513">
        <v>33.799999999999997</v>
      </c>
      <c r="N1391" s="254">
        <f t="shared" si="110"/>
        <v>-1.1695906432748648E-2</v>
      </c>
      <c r="O1391" s="1137">
        <f t="shared" si="112"/>
        <v>-1.1727325992191102E-2</v>
      </c>
      <c r="P1391" s="1138"/>
    </row>
    <row r="1392" spans="6:16" x14ac:dyDescent="0.2">
      <c r="F1392" s="1137">
        <f t="shared" si="111"/>
        <v>3.1782225735785411E-3</v>
      </c>
      <c r="G1392" s="1138"/>
      <c r="H1392" s="520">
        <v>9267.44</v>
      </c>
      <c r="I1392" s="512">
        <v>42156</v>
      </c>
      <c r="J1392" s="254">
        <f t="shared" si="108"/>
        <v>3.2096421330209957E-3</v>
      </c>
      <c r="L1392" s="251">
        <f t="shared" si="109"/>
        <v>42156</v>
      </c>
      <c r="M1392" s="513">
        <v>34.200000000000003</v>
      </c>
      <c r="N1392" s="254">
        <f t="shared" si="110"/>
        <v>-2.9154518950436081E-3</v>
      </c>
      <c r="O1392" s="1137">
        <f t="shared" si="112"/>
        <v>-2.9468714544860627E-3</v>
      </c>
      <c r="P1392" s="1138"/>
    </row>
    <row r="1393" spans="6:16" x14ac:dyDescent="0.2">
      <c r="F1393" s="1137">
        <f t="shared" si="111"/>
        <v>-1.6686288229107268E-2</v>
      </c>
      <c r="G1393" s="1138"/>
      <c r="H1393" s="520">
        <v>9237.7900000000009</v>
      </c>
      <c r="I1393" s="512">
        <v>42153</v>
      </c>
      <c r="J1393" s="254">
        <f t="shared" si="108"/>
        <v>-1.6654868669664813E-2</v>
      </c>
      <c r="L1393" s="251">
        <f t="shared" si="109"/>
        <v>42153</v>
      </c>
      <c r="M1393" s="513">
        <v>34.299999999999997</v>
      </c>
      <c r="N1393" s="254">
        <f t="shared" si="110"/>
        <v>1.4598540145984717E-3</v>
      </c>
      <c r="O1393" s="1137">
        <f t="shared" si="112"/>
        <v>1.4284344551560172E-3</v>
      </c>
      <c r="P1393" s="1138"/>
    </row>
    <row r="1394" spans="6:16" x14ac:dyDescent="0.2">
      <c r="F1394" s="1137">
        <f t="shared" si="111"/>
        <v>-2.4320640183898747E-4</v>
      </c>
      <c r="G1394" s="1138"/>
      <c r="H1394" s="520">
        <v>9394.25</v>
      </c>
      <c r="I1394" s="512">
        <v>42152</v>
      </c>
      <c r="J1394" s="254">
        <f t="shared" si="108"/>
        <v>-2.11786842396533E-4</v>
      </c>
      <c r="L1394" s="251">
        <f t="shared" si="109"/>
        <v>42152</v>
      </c>
      <c r="M1394" s="513">
        <v>34.25</v>
      </c>
      <c r="N1394" s="254">
        <f t="shared" si="110"/>
        <v>4.3988269794721369E-3</v>
      </c>
      <c r="O1394" s="1137">
        <f t="shared" si="112"/>
        <v>4.3674074200296823E-3</v>
      </c>
      <c r="P1394" s="1138"/>
    </row>
    <row r="1395" spans="6:16" x14ac:dyDescent="0.2">
      <c r="F1395" s="1137">
        <f t="shared" si="111"/>
        <v>1.3293746411991951E-2</v>
      </c>
      <c r="G1395" s="1138"/>
      <c r="H1395" s="520">
        <v>9396.24</v>
      </c>
      <c r="I1395" s="512">
        <v>42151</v>
      </c>
      <c r="J1395" s="254">
        <f t="shared" si="108"/>
        <v>1.3325165971434405E-2</v>
      </c>
      <c r="L1395" s="251">
        <f t="shared" si="109"/>
        <v>42151</v>
      </c>
      <c r="M1395" s="513">
        <v>34.1</v>
      </c>
      <c r="N1395" s="254">
        <f t="shared" si="110"/>
        <v>1.3372956909361244E-2</v>
      </c>
      <c r="O1395" s="1137">
        <f t="shared" si="112"/>
        <v>1.3341537349918791E-2</v>
      </c>
      <c r="P1395" s="1138"/>
    </row>
    <row r="1396" spans="6:16" x14ac:dyDescent="0.2">
      <c r="F1396" s="1137">
        <f t="shared" si="111"/>
        <v>-8.6508373050508246E-3</v>
      </c>
      <c r="G1396" s="1138"/>
      <c r="H1396" s="520">
        <v>9272.68</v>
      </c>
      <c r="I1396" s="512">
        <v>42150</v>
      </c>
      <c r="J1396" s="254">
        <f t="shared" si="108"/>
        <v>-8.6194177456083709E-3</v>
      </c>
      <c r="L1396" s="251">
        <f t="shared" si="109"/>
        <v>42150</v>
      </c>
      <c r="M1396" s="513">
        <v>33.65</v>
      </c>
      <c r="N1396" s="254">
        <f t="shared" si="110"/>
        <v>-1.1747430249632873E-2</v>
      </c>
      <c r="O1396" s="1137">
        <f t="shared" si="112"/>
        <v>-1.1778849809075327E-2</v>
      </c>
      <c r="P1396" s="1138"/>
    </row>
    <row r="1397" spans="6:16" x14ac:dyDescent="0.2">
      <c r="F1397" s="1137">
        <f t="shared" si="111"/>
        <v>-1.3180772924690628E-3</v>
      </c>
      <c r="G1397" s="1138"/>
      <c r="H1397" s="520">
        <v>9353.2999999999993</v>
      </c>
      <c r="I1397" s="512">
        <v>42146</v>
      </c>
      <c r="J1397" s="254">
        <f t="shared" si="108"/>
        <v>-1.2866577330266082E-3</v>
      </c>
      <c r="L1397" s="251">
        <f t="shared" si="109"/>
        <v>42146</v>
      </c>
      <c r="M1397" s="513">
        <v>34.049999999999997</v>
      </c>
      <c r="N1397" s="254">
        <f t="shared" si="110"/>
        <v>4.4247787610618428E-3</v>
      </c>
      <c r="O1397" s="1137">
        <f t="shared" si="112"/>
        <v>4.3933592016193882E-3</v>
      </c>
      <c r="P1397" s="1138"/>
    </row>
    <row r="1398" spans="6:16" x14ac:dyDescent="0.2">
      <c r="F1398" s="1137">
        <f t="shared" si="111"/>
        <v>4.8452422073148186E-3</v>
      </c>
      <c r="G1398" s="1138"/>
      <c r="H1398" s="520">
        <v>9365.35</v>
      </c>
      <c r="I1398" s="512">
        <v>42145</v>
      </c>
      <c r="J1398" s="254">
        <f t="shared" si="108"/>
        <v>4.8766617667572731E-3</v>
      </c>
      <c r="L1398" s="251">
        <f t="shared" si="109"/>
        <v>42145</v>
      </c>
      <c r="M1398" s="513">
        <v>33.9</v>
      </c>
      <c r="N1398" s="254">
        <f t="shared" si="110"/>
        <v>-7.3206442166910968E-3</v>
      </c>
      <c r="O1398" s="1137">
        <f t="shared" si="112"/>
        <v>-7.3520637761335514E-3</v>
      </c>
      <c r="P1398" s="1138"/>
    </row>
    <row r="1399" spans="6:16" x14ac:dyDescent="0.2">
      <c r="F1399" s="1137">
        <f t="shared" si="111"/>
        <v>2.5805632883932486E-3</v>
      </c>
      <c r="G1399" s="1138"/>
      <c r="H1399" s="520">
        <v>9319.9</v>
      </c>
      <c r="I1399" s="512">
        <v>42144</v>
      </c>
      <c r="J1399" s="254">
        <f t="shared" si="108"/>
        <v>2.6119828478357032E-3</v>
      </c>
      <c r="L1399" s="251">
        <f t="shared" si="109"/>
        <v>42144</v>
      </c>
      <c r="M1399" s="513">
        <v>34.15</v>
      </c>
      <c r="N1399" s="254">
        <f t="shared" si="110"/>
        <v>-5.8224163027656983E-3</v>
      </c>
      <c r="O1399" s="1137">
        <f t="shared" si="112"/>
        <v>-5.8538358622081529E-3</v>
      </c>
      <c r="P1399" s="1138"/>
    </row>
    <row r="1400" spans="6:16" x14ac:dyDescent="0.2">
      <c r="F1400" s="1137">
        <f t="shared" si="111"/>
        <v>1.0741098395660358E-2</v>
      </c>
      <c r="G1400" s="1138"/>
      <c r="H1400" s="520">
        <v>9295.6200000000008</v>
      </c>
      <c r="I1400" s="512">
        <v>42143</v>
      </c>
      <c r="J1400" s="254">
        <f t="shared" si="108"/>
        <v>1.0772517955102812E-2</v>
      </c>
      <c r="L1400" s="251">
        <f t="shared" si="109"/>
        <v>42143</v>
      </c>
      <c r="M1400" s="513">
        <v>34.35</v>
      </c>
      <c r="N1400" s="254">
        <f t="shared" si="110"/>
        <v>2.9197080291971655E-3</v>
      </c>
      <c r="O1400" s="1137">
        <f t="shared" si="112"/>
        <v>2.888288469754711E-3</v>
      </c>
      <c r="P1400" s="1138"/>
    </row>
    <row r="1401" spans="6:16" x14ac:dyDescent="0.2">
      <c r="F1401" s="1137">
        <f t="shared" si="111"/>
        <v>9.4779943541813561E-3</v>
      </c>
      <c r="G1401" s="1138"/>
      <c r="H1401" s="520">
        <v>9196.5499999999993</v>
      </c>
      <c r="I1401" s="512">
        <v>42142</v>
      </c>
      <c r="J1401" s="254">
        <f t="shared" si="108"/>
        <v>9.5094139136238098E-3</v>
      </c>
      <c r="L1401" s="251">
        <f t="shared" si="109"/>
        <v>42142</v>
      </c>
      <c r="M1401" s="513">
        <v>34.25</v>
      </c>
      <c r="N1401" s="254">
        <f t="shared" si="110"/>
        <v>-2.9112081513829047E-3</v>
      </c>
      <c r="O1401" s="1137">
        <f t="shared" si="112"/>
        <v>-2.9426277108253593E-3</v>
      </c>
      <c r="P1401" s="1138"/>
    </row>
    <row r="1402" spans="6:16" x14ac:dyDescent="0.2">
      <c r="F1402" s="1137">
        <f t="shared" si="111"/>
        <v>6.5161692351869008E-3</v>
      </c>
      <c r="G1402" s="1138"/>
      <c r="H1402" s="520">
        <v>9109.92</v>
      </c>
      <c r="I1402" s="512">
        <v>42139</v>
      </c>
      <c r="J1402" s="254">
        <f t="shared" si="108"/>
        <v>6.5475887946293554E-3</v>
      </c>
      <c r="L1402" s="251">
        <f t="shared" si="109"/>
        <v>42139</v>
      </c>
      <c r="M1402" s="513">
        <v>34.35</v>
      </c>
      <c r="N1402" s="254">
        <f t="shared" si="110"/>
        <v>-1.4534883720929148E-3</v>
      </c>
      <c r="O1402" s="1137">
        <f t="shared" si="112"/>
        <v>-1.4849079315353694E-3</v>
      </c>
      <c r="P1402" s="1138"/>
    </row>
    <row r="1403" spans="6:16" x14ac:dyDescent="0.2">
      <c r="F1403" s="1137">
        <f t="shared" si="111"/>
        <v>5.965530839464199E-4</v>
      </c>
      <c r="G1403" s="1138"/>
      <c r="H1403" s="520">
        <v>9050.66</v>
      </c>
      <c r="I1403" s="512">
        <v>42137</v>
      </c>
      <c r="J1403" s="254">
        <f t="shared" si="108"/>
        <v>6.2797264338887437E-4</v>
      </c>
      <c r="L1403" s="251">
        <f t="shared" si="109"/>
        <v>42137</v>
      </c>
      <c r="M1403" s="513">
        <v>34.4</v>
      </c>
      <c r="N1403" s="254">
        <f t="shared" si="110"/>
        <v>-5.7803468208093012E-3</v>
      </c>
      <c r="O1403" s="1137">
        <f t="shared" si="112"/>
        <v>-5.8117663802517558E-3</v>
      </c>
      <c r="P1403" s="1138"/>
    </row>
    <row r="1404" spans="6:16" x14ac:dyDescent="0.2">
      <c r="F1404" s="1137">
        <f t="shared" si="111"/>
        <v>-7.9668567981954607E-3</v>
      </c>
      <c r="G1404" s="1138"/>
      <c r="H1404" s="520">
        <v>9044.98</v>
      </c>
      <c r="I1404" s="512">
        <v>42136</v>
      </c>
      <c r="J1404" s="254">
        <f t="shared" si="108"/>
        <v>-7.935437238753007E-3</v>
      </c>
      <c r="L1404" s="251">
        <f t="shared" si="109"/>
        <v>42136</v>
      </c>
      <c r="M1404" s="513">
        <v>34.6</v>
      </c>
      <c r="N1404" s="254">
        <f t="shared" si="110"/>
        <v>-1.1428571428571344E-2</v>
      </c>
      <c r="O1404" s="1137">
        <f t="shared" si="112"/>
        <v>-1.1459990988013797E-2</v>
      </c>
      <c r="P1404" s="1138"/>
    </row>
    <row r="1405" spans="6:16" x14ac:dyDescent="0.2">
      <c r="F1405" s="1137">
        <f t="shared" si="111"/>
        <v>2.6078775957251868E-3</v>
      </c>
      <c r="G1405" s="1138"/>
      <c r="H1405" s="520">
        <v>9117.33</v>
      </c>
      <c r="I1405" s="512">
        <v>42135</v>
      </c>
      <c r="J1405" s="254">
        <f t="shared" si="108"/>
        <v>2.6392971551676414E-3</v>
      </c>
      <c r="L1405" s="251">
        <f t="shared" si="109"/>
        <v>42135</v>
      </c>
      <c r="M1405" s="513">
        <v>35</v>
      </c>
      <c r="N1405" s="254">
        <f t="shared" si="110"/>
        <v>1.4306151645206988E-3</v>
      </c>
      <c r="O1405" s="1137">
        <f t="shared" si="112"/>
        <v>1.3991956050782442E-3</v>
      </c>
      <c r="P1405" s="1138"/>
    </row>
    <row r="1406" spans="6:16" x14ac:dyDescent="0.2">
      <c r="F1406" s="1137">
        <f t="shared" si="111"/>
        <v>2.4736570703755636E-2</v>
      </c>
      <c r="G1406" s="1138"/>
      <c r="H1406" s="520">
        <v>9093.33</v>
      </c>
      <c r="I1406" s="512">
        <v>42132</v>
      </c>
      <c r="J1406" s="254">
        <f t="shared" si="108"/>
        <v>2.4767990263198092E-2</v>
      </c>
      <c r="L1406" s="251">
        <f t="shared" si="109"/>
        <v>42132</v>
      </c>
      <c r="M1406" s="513">
        <v>34.950000000000003</v>
      </c>
      <c r="N1406" s="254">
        <f t="shared" si="110"/>
        <v>1.7467248908296984E-2</v>
      </c>
      <c r="O1406" s="1137">
        <f t="shared" si="112"/>
        <v>1.7435829348854529E-2</v>
      </c>
      <c r="P1406" s="1138"/>
    </row>
    <row r="1407" spans="6:16" x14ac:dyDescent="0.2">
      <c r="F1407" s="1137">
        <f t="shared" si="111"/>
        <v>-1.7605385075262622E-3</v>
      </c>
      <c r="G1407" s="1138"/>
      <c r="H1407" s="520">
        <v>8873.5499999999993</v>
      </c>
      <c r="I1407" s="512">
        <v>42131</v>
      </c>
      <c r="J1407" s="254">
        <f t="shared" si="108"/>
        <v>-1.7291189480838076E-3</v>
      </c>
      <c r="L1407" s="251">
        <f t="shared" si="109"/>
        <v>42131</v>
      </c>
      <c r="M1407" s="513">
        <v>34.35</v>
      </c>
      <c r="N1407" s="254">
        <f t="shared" si="110"/>
        <v>5.8565153733529662E-3</v>
      </c>
      <c r="O1407" s="1137">
        <f t="shared" si="112"/>
        <v>5.8250958139105117E-3</v>
      </c>
      <c r="P1407" s="1138"/>
    </row>
    <row r="1408" spans="6:16" x14ac:dyDescent="0.2">
      <c r="F1408" s="1137">
        <f t="shared" si="111"/>
        <v>-1.5041869030763362E-2</v>
      </c>
      <c r="G1408" s="1138"/>
      <c r="H1408" s="520">
        <v>8888.92</v>
      </c>
      <c r="I1408" s="512">
        <v>42130</v>
      </c>
      <c r="J1408" s="254">
        <f t="shared" si="108"/>
        <v>-1.5010449471320908E-2</v>
      </c>
      <c r="L1408" s="251">
        <f t="shared" si="109"/>
        <v>42130</v>
      </c>
      <c r="M1408" s="513">
        <v>34.15</v>
      </c>
      <c r="N1408" s="254">
        <f t="shared" si="110"/>
        <v>-2.1489971346704828E-2</v>
      </c>
      <c r="O1408" s="1137">
        <f t="shared" si="112"/>
        <v>-2.1521390906147284E-2</v>
      </c>
      <c r="P1408" s="1138"/>
    </row>
    <row r="1409" spans="6:16" x14ac:dyDescent="0.2">
      <c r="F1409" s="1137">
        <f t="shared" si="111"/>
        <v>-7.8855767437315104E-3</v>
      </c>
      <c r="G1409" s="1138"/>
      <c r="H1409" s="520">
        <v>9024.3799999999992</v>
      </c>
      <c r="I1409" s="512">
        <v>42129</v>
      </c>
      <c r="J1409" s="254">
        <f t="shared" si="108"/>
        <v>-7.8541571842890567E-3</v>
      </c>
      <c r="L1409" s="251">
        <f t="shared" si="109"/>
        <v>42129</v>
      </c>
      <c r="M1409" s="513">
        <v>34.9</v>
      </c>
      <c r="N1409" s="254">
        <f t="shared" si="110"/>
        <v>1.4534883720930258E-2</v>
      </c>
      <c r="O1409" s="1137">
        <f t="shared" si="112"/>
        <v>1.4503464161487805E-2</v>
      </c>
      <c r="P1409" s="1138"/>
    </row>
    <row r="1410" spans="6:16" x14ac:dyDescent="0.2">
      <c r="F1410" s="1137">
        <f t="shared" si="111"/>
        <v>2.0287052378499962E-3</v>
      </c>
      <c r="G1410" s="1138"/>
      <c r="H1410" s="520">
        <v>9095.82</v>
      </c>
      <c r="I1410" s="512">
        <v>42128</v>
      </c>
      <c r="J1410" s="254">
        <f t="shared" si="108"/>
        <v>2.0601247972924508E-3</v>
      </c>
      <c r="L1410" s="251">
        <f t="shared" si="109"/>
        <v>42128</v>
      </c>
      <c r="M1410" s="513">
        <v>34.4</v>
      </c>
      <c r="N1410" s="254">
        <f t="shared" si="110"/>
        <v>8.7976539589442737E-3</v>
      </c>
      <c r="O1410" s="1137">
        <f t="shared" si="112"/>
        <v>8.76623439950182E-3</v>
      </c>
      <c r="P1410" s="1138"/>
    </row>
    <row r="1411" spans="6:16" x14ac:dyDescent="0.2">
      <c r="F1411" s="1137">
        <f t="shared" si="111"/>
        <v>-3.0989480189235604E-3</v>
      </c>
      <c r="G1411" s="1138"/>
      <c r="H1411" s="520">
        <v>9077.1200000000008</v>
      </c>
      <c r="I1411" s="512">
        <v>42124</v>
      </c>
      <c r="J1411" s="254">
        <f t="shared" si="108"/>
        <v>-3.0675284594811059E-3</v>
      </c>
      <c r="L1411" s="251">
        <f t="shared" si="109"/>
        <v>42124</v>
      </c>
      <c r="M1411" s="513">
        <v>34.1</v>
      </c>
      <c r="N1411" s="254">
        <f t="shared" si="110"/>
        <v>-1.4641288433381305E-3</v>
      </c>
      <c r="O1411" s="1137">
        <f t="shared" si="112"/>
        <v>-1.4955484027805851E-3</v>
      </c>
      <c r="P1411" s="1138"/>
    </row>
    <row r="1412" spans="6:16" x14ac:dyDescent="0.2">
      <c r="F1412" s="1137">
        <f t="shared" si="111"/>
        <v>-1.6744505465092804E-2</v>
      </c>
      <c r="G1412" s="1138"/>
      <c r="H1412" s="520">
        <v>9105.0499999999993</v>
      </c>
      <c r="I1412" s="512">
        <v>42123</v>
      </c>
      <c r="J1412" s="254">
        <f t="shared" si="108"/>
        <v>-1.6713085905650349E-2</v>
      </c>
      <c r="L1412" s="251">
        <f t="shared" si="109"/>
        <v>42123</v>
      </c>
      <c r="M1412" s="513">
        <v>34.15</v>
      </c>
      <c r="N1412" s="254">
        <f t="shared" si="110"/>
        <v>5.8910162002945299E-3</v>
      </c>
      <c r="O1412" s="1137">
        <f t="shared" si="112"/>
        <v>5.8595966408520753E-3</v>
      </c>
      <c r="P1412" s="1138"/>
    </row>
    <row r="1413" spans="6:16" x14ac:dyDescent="0.2">
      <c r="F1413" s="1137">
        <f t="shared" si="111"/>
        <v>-9.5905466700554731E-3</v>
      </c>
      <c r="G1413" s="1138"/>
      <c r="H1413" s="520">
        <v>9259.81</v>
      </c>
      <c r="I1413" s="512">
        <v>42122</v>
      </c>
      <c r="J1413" s="254">
        <f t="shared" si="108"/>
        <v>-9.5591271106130193E-3</v>
      </c>
      <c r="L1413" s="251">
        <f t="shared" si="109"/>
        <v>42122</v>
      </c>
      <c r="M1413" s="513">
        <v>33.950000000000003</v>
      </c>
      <c r="N1413" s="254">
        <f t="shared" si="110"/>
        <v>-4.3988269794721369E-3</v>
      </c>
      <c r="O1413" s="1137">
        <f t="shared" si="112"/>
        <v>-4.4302465389145914E-3</v>
      </c>
      <c r="P1413" s="1138"/>
    </row>
    <row r="1414" spans="6:16" x14ac:dyDescent="0.2">
      <c r="F1414" s="1137">
        <f t="shared" si="111"/>
        <v>5.0276422458234863E-3</v>
      </c>
      <c r="G1414" s="1138"/>
      <c r="H1414" s="520">
        <v>9349.18</v>
      </c>
      <c r="I1414" s="512">
        <v>42121</v>
      </c>
      <c r="J1414" s="254">
        <f t="shared" si="108"/>
        <v>5.0590618052659408E-3</v>
      </c>
      <c r="L1414" s="251">
        <f t="shared" si="109"/>
        <v>42121</v>
      </c>
      <c r="M1414" s="513">
        <v>34.1</v>
      </c>
      <c r="N1414" s="254">
        <f t="shared" si="110"/>
        <v>0</v>
      </c>
      <c r="O1414" s="1137">
        <f t="shared" si="112"/>
        <v>-3.1419559442454485E-5</v>
      </c>
      <c r="P1414" s="1138"/>
    </row>
    <row r="1415" spans="6:16" x14ac:dyDescent="0.2">
      <c r="F1415" s="1137">
        <f t="shared" si="111"/>
        <v>-3.900452836555309E-3</v>
      </c>
      <c r="G1415" s="1138"/>
      <c r="H1415" s="520">
        <v>9302.1200000000008</v>
      </c>
      <c r="I1415" s="512">
        <v>42118</v>
      </c>
      <c r="J1415" s="254">
        <f t="shared" si="108"/>
        <v>-3.8690332771128544E-3</v>
      </c>
      <c r="L1415" s="251">
        <f t="shared" si="109"/>
        <v>42118</v>
      </c>
      <c r="M1415" s="513">
        <v>34.1</v>
      </c>
      <c r="N1415" s="254">
        <f t="shared" si="110"/>
        <v>0</v>
      </c>
      <c r="O1415" s="1137">
        <f t="shared" si="112"/>
        <v>-3.1419559442454485E-5</v>
      </c>
      <c r="P1415" s="1138"/>
    </row>
    <row r="1416" spans="6:16" x14ac:dyDescent="0.2">
      <c r="F1416" s="1137">
        <f t="shared" si="111"/>
        <v>-2.1515103044556358E-3</v>
      </c>
      <c r="G1416" s="1138"/>
      <c r="H1416" s="520">
        <v>9338.25</v>
      </c>
      <c r="I1416" s="512">
        <v>42117</v>
      </c>
      <c r="J1416" s="254">
        <f t="shared" si="108"/>
        <v>-2.1200907450131812E-3</v>
      </c>
      <c r="L1416" s="251">
        <f t="shared" si="109"/>
        <v>42117</v>
      </c>
      <c r="M1416" s="513">
        <v>34.1</v>
      </c>
      <c r="N1416" s="254">
        <f t="shared" si="110"/>
        <v>1.7910447761193993E-2</v>
      </c>
      <c r="O1416" s="1137">
        <f t="shared" si="112"/>
        <v>1.7879028201751537E-2</v>
      </c>
      <c r="P1416" s="1138"/>
    </row>
    <row r="1417" spans="6:16" x14ac:dyDescent="0.2">
      <c r="F1417" s="1137">
        <f t="shared" si="111"/>
        <v>6.276493936330855E-3</v>
      </c>
      <c r="G1417" s="1138"/>
      <c r="H1417" s="520">
        <v>9358.09</v>
      </c>
      <c r="I1417" s="512">
        <v>42116</v>
      </c>
      <c r="J1417" s="254">
        <f t="shared" si="108"/>
        <v>6.3079134957733096E-3</v>
      </c>
      <c r="L1417" s="251">
        <f t="shared" si="109"/>
        <v>42116</v>
      </c>
      <c r="M1417" s="513">
        <v>33.5</v>
      </c>
      <c r="N1417" s="254">
        <f t="shared" si="110"/>
        <v>-4.9645390070921946E-2</v>
      </c>
      <c r="O1417" s="1137">
        <f t="shared" si="112"/>
        <v>-4.9676809630364402E-2</v>
      </c>
      <c r="P1417" s="1138"/>
    </row>
    <row r="1418" spans="6:16" x14ac:dyDescent="0.2">
      <c r="F1418" s="1137">
        <f t="shared" si="111"/>
        <v>5.9964631846074071E-3</v>
      </c>
      <c r="G1418" s="1138"/>
      <c r="H1418" s="520">
        <v>9299.43</v>
      </c>
      <c r="I1418" s="512">
        <v>42115</v>
      </c>
      <c r="J1418" s="254">
        <f t="shared" si="108"/>
        <v>6.0278827440498617E-3</v>
      </c>
      <c r="L1418" s="251">
        <f t="shared" si="109"/>
        <v>42115</v>
      </c>
      <c r="M1418" s="513">
        <v>35.25</v>
      </c>
      <c r="N1418" s="254">
        <f t="shared" si="110"/>
        <v>7.1428571428571175E-3</v>
      </c>
      <c r="O1418" s="1137">
        <f t="shared" si="112"/>
        <v>7.1114375834146629E-3</v>
      </c>
      <c r="P1418" s="1138"/>
    </row>
    <row r="1419" spans="6:16" x14ac:dyDescent="0.2">
      <c r="F1419" s="1137">
        <f t="shared" si="111"/>
        <v>-2.7044390747936367E-4</v>
      </c>
      <c r="G1419" s="1138"/>
      <c r="H1419" s="520">
        <v>9243.7099999999991</v>
      </c>
      <c r="I1419" s="512">
        <v>42114</v>
      </c>
      <c r="J1419" s="254">
        <f t="shared" si="108"/>
        <v>-2.390243480369092E-4</v>
      </c>
      <c r="L1419" s="251">
        <f t="shared" si="109"/>
        <v>42114</v>
      </c>
      <c r="M1419" s="513">
        <v>35</v>
      </c>
      <c r="N1419" s="254">
        <f t="shared" si="110"/>
        <v>4.3041606886655703E-3</v>
      </c>
      <c r="O1419" s="1137">
        <f t="shared" si="112"/>
        <v>4.2727411292231158E-3</v>
      </c>
      <c r="P1419" s="1138"/>
    </row>
    <row r="1420" spans="6:16" x14ac:dyDescent="0.2">
      <c r="F1420" s="1137">
        <f t="shared" si="111"/>
        <v>-1.627639221494441E-2</v>
      </c>
      <c r="G1420" s="1138"/>
      <c r="H1420" s="520">
        <v>9245.92</v>
      </c>
      <c r="I1420" s="512">
        <v>42111</v>
      </c>
      <c r="J1420" s="254">
        <f t="shared" si="108"/>
        <v>-1.6244972655501955E-2</v>
      </c>
      <c r="L1420" s="251">
        <f t="shared" si="109"/>
        <v>42111</v>
      </c>
      <c r="M1420" s="513">
        <v>34.85</v>
      </c>
      <c r="N1420" s="254">
        <f t="shared" si="110"/>
        <v>-1.2747875354107485E-2</v>
      </c>
      <c r="O1420" s="1137">
        <f t="shared" si="112"/>
        <v>-1.2779294913549939E-2</v>
      </c>
      <c r="P1420" s="1138"/>
    </row>
    <row r="1421" spans="6:16" x14ac:dyDescent="0.2">
      <c r="F1421" s="1137">
        <f t="shared" si="111"/>
        <v>-3.2079419303265152E-3</v>
      </c>
      <c r="G1421" s="1138"/>
      <c r="H1421" s="520">
        <v>9398.6</v>
      </c>
      <c r="I1421" s="512">
        <v>42110</v>
      </c>
      <c r="J1421" s="254">
        <f t="shared" si="108"/>
        <v>-3.1765223708840606E-3</v>
      </c>
      <c r="L1421" s="251">
        <f t="shared" si="109"/>
        <v>42110</v>
      </c>
      <c r="M1421" s="513">
        <v>35.299999999999997</v>
      </c>
      <c r="N1421" s="254">
        <f t="shared" si="110"/>
        <v>-2.216066481994472E-2</v>
      </c>
      <c r="O1421" s="1137">
        <f t="shared" si="112"/>
        <v>-2.2192084379387175E-2</v>
      </c>
      <c r="P1421" s="1138"/>
    </row>
    <row r="1422" spans="6:16" x14ac:dyDescent="0.2">
      <c r="F1422" s="1137">
        <f t="shared" si="111"/>
        <v>1.3418304230332226E-3</v>
      </c>
      <c r="G1422" s="1138"/>
      <c r="H1422" s="520">
        <v>9428.5499999999993</v>
      </c>
      <c r="I1422" s="512">
        <v>42109</v>
      </c>
      <c r="J1422" s="254">
        <f t="shared" si="108"/>
        <v>1.3732499824756772E-3</v>
      </c>
      <c r="L1422" s="251">
        <f t="shared" si="109"/>
        <v>42109</v>
      </c>
      <c r="M1422" s="513">
        <v>36.1</v>
      </c>
      <c r="N1422" s="254">
        <f t="shared" si="110"/>
        <v>1.5471167369901728E-2</v>
      </c>
      <c r="O1422" s="1137">
        <f t="shared" si="112"/>
        <v>1.5439747810459275E-2</v>
      </c>
      <c r="P1422" s="1138"/>
    </row>
    <row r="1423" spans="6:16" x14ac:dyDescent="0.2">
      <c r="F1423" s="1137">
        <f t="shared" si="111"/>
        <v>-1.5828100315931478E-3</v>
      </c>
      <c r="G1423" s="1138"/>
      <c r="H1423" s="520">
        <v>9415.6200000000008</v>
      </c>
      <c r="I1423" s="512">
        <v>42108</v>
      </c>
      <c r="J1423" s="254">
        <f t="shared" si="108"/>
        <v>-1.5513904721506933E-3</v>
      </c>
      <c r="L1423" s="251">
        <f t="shared" si="109"/>
        <v>42108</v>
      </c>
      <c r="M1423" s="513">
        <v>35.549999999999997</v>
      </c>
      <c r="N1423" s="254">
        <f t="shared" si="110"/>
        <v>1.4265335235378096E-2</v>
      </c>
      <c r="O1423" s="1137">
        <f t="shared" si="112"/>
        <v>1.4233915675935642E-2</v>
      </c>
      <c r="P1423" s="1138"/>
    </row>
    <row r="1424" spans="6:16" x14ac:dyDescent="0.2">
      <c r="F1424" s="1137">
        <f t="shared" si="111"/>
        <v>-4.3823855140047571E-3</v>
      </c>
      <c r="G1424" s="1138"/>
      <c r="H1424" s="520">
        <v>9430.25</v>
      </c>
      <c r="I1424" s="512">
        <v>42107</v>
      </c>
      <c r="J1424" s="254">
        <f t="shared" si="108"/>
        <v>-4.3509659545623025E-3</v>
      </c>
      <c r="L1424" s="251">
        <f t="shared" si="109"/>
        <v>42107</v>
      </c>
      <c r="M1424" s="513">
        <v>35.049999999999997</v>
      </c>
      <c r="N1424" s="254">
        <f t="shared" si="110"/>
        <v>1.0086455331411948E-2</v>
      </c>
      <c r="O1424" s="1137">
        <f t="shared" si="112"/>
        <v>1.0055035771969494E-2</v>
      </c>
      <c r="P1424" s="1138"/>
    </row>
    <row r="1425" spans="6:16" x14ac:dyDescent="0.2">
      <c r="F1425" s="1137">
        <f t="shared" si="111"/>
        <v>8.2808173563428556E-3</v>
      </c>
      <c r="G1425" s="1138"/>
      <c r="H1425" s="520">
        <v>9471.4599999999991</v>
      </c>
      <c r="I1425" s="512">
        <v>42104</v>
      </c>
      <c r="J1425" s="254">
        <f t="shared" si="108"/>
        <v>8.3122369157853093E-3</v>
      </c>
      <c r="L1425" s="251">
        <f t="shared" si="109"/>
        <v>42104</v>
      </c>
      <c r="M1425" s="513">
        <v>34.700000000000003</v>
      </c>
      <c r="N1425" s="254">
        <f t="shared" si="110"/>
        <v>1.1661807580175099E-2</v>
      </c>
      <c r="O1425" s="1137">
        <f t="shared" si="112"/>
        <v>1.1630388020732645E-2</v>
      </c>
      <c r="P1425" s="1138"/>
    </row>
    <row r="1426" spans="6:16" x14ac:dyDescent="0.2">
      <c r="F1426" s="1137">
        <f t="shared" si="111"/>
        <v>1.5708506174406181E-2</v>
      </c>
      <c r="G1426" s="1138"/>
      <c r="H1426" s="520">
        <v>9393.3799999999992</v>
      </c>
      <c r="I1426" s="512">
        <v>42103</v>
      </c>
      <c r="J1426" s="254">
        <f t="shared" si="108"/>
        <v>1.5739925733848636E-2</v>
      </c>
      <c r="L1426" s="251">
        <f t="shared" si="109"/>
        <v>42103</v>
      </c>
      <c r="M1426" s="513">
        <v>34.299999999999997</v>
      </c>
      <c r="N1426" s="254">
        <f t="shared" si="110"/>
        <v>3.1578947368420929E-2</v>
      </c>
      <c r="O1426" s="1137">
        <f t="shared" si="112"/>
        <v>3.1547527808978473E-2</v>
      </c>
      <c r="P1426" s="1138"/>
    </row>
    <row r="1427" spans="6:16" x14ac:dyDescent="0.2">
      <c r="F1427" s="1137">
        <f t="shared" si="111"/>
        <v>-1.4276347687937471E-3</v>
      </c>
      <c r="G1427" s="1138"/>
      <c r="H1427" s="520">
        <v>9247.82</v>
      </c>
      <c r="I1427" s="512">
        <v>42102</v>
      </c>
      <c r="J1427" s="254">
        <f t="shared" si="108"/>
        <v>-1.3962152093512925E-3</v>
      </c>
      <c r="L1427" s="251">
        <f t="shared" si="109"/>
        <v>42102</v>
      </c>
      <c r="M1427" s="513">
        <v>33.25</v>
      </c>
      <c r="N1427" s="254">
        <f t="shared" si="110"/>
        <v>-1.5015015015014122E-3</v>
      </c>
      <c r="O1427" s="1137">
        <f t="shared" si="112"/>
        <v>-1.5329210609438667E-3</v>
      </c>
      <c r="P1427" s="1138"/>
    </row>
    <row r="1428" spans="6:16" x14ac:dyDescent="0.2">
      <c r="F1428" s="1137">
        <f t="shared" si="111"/>
        <v>1.4222846315746511E-2</v>
      </c>
      <c r="G1428" s="1138"/>
      <c r="H1428" s="520">
        <v>9260.75</v>
      </c>
      <c r="I1428" s="512">
        <v>42101</v>
      </c>
      <c r="J1428" s="254">
        <f t="shared" si="108"/>
        <v>1.4254265875188965E-2</v>
      </c>
      <c r="L1428" s="251">
        <f t="shared" si="109"/>
        <v>42101</v>
      </c>
      <c r="M1428" s="513">
        <v>33.299999999999997</v>
      </c>
      <c r="N1428" s="254">
        <f t="shared" si="110"/>
        <v>1.5037593984961184E-3</v>
      </c>
      <c r="O1428" s="1137">
        <f t="shared" si="112"/>
        <v>1.4723398390536638E-3</v>
      </c>
      <c r="P1428" s="1138"/>
    </row>
    <row r="1429" spans="6:16" x14ac:dyDescent="0.2">
      <c r="F1429" s="1137">
        <f t="shared" si="111"/>
        <v>-7.6030327294078395E-4</v>
      </c>
      <c r="G1429" s="1138"/>
      <c r="H1429" s="520">
        <v>9130.6</v>
      </c>
      <c r="I1429" s="512">
        <v>42096</v>
      </c>
      <c r="J1429" s="254">
        <f t="shared" si="108"/>
        <v>-7.2888371349832948E-4</v>
      </c>
      <c r="L1429" s="251">
        <f t="shared" si="109"/>
        <v>42096</v>
      </c>
      <c r="M1429" s="513">
        <v>33.25</v>
      </c>
      <c r="N1429" s="254">
        <f t="shared" si="110"/>
        <v>1.0638297872340496E-2</v>
      </c>
      <c r="O1429" s="1137">
        <f t="shared" si="112"/>
        <v>1.0606878312898043E-2</v>
      </c>
      <c r="P1429" s="1138"/>
    </row>
    <row r="1430" spans="6:16" x14ac:dyDescent="0.2">
      <c r="F1430" s="1137">
        <f t="shared" si="111"/>
        <v>8.7558209901224357E-4</v>
      </c>
      <c r="G1430" s="1138"/>
      <c r="H1430" s="520">
        <v>9137.26</v>
      </c>
      <c r="I1430" s="512">
        <v>42095</v>
      </c>
      <c r="J1430" s="254">
        <f t="shared" si="108"/>
        <v>9.0700165845469805E-4</v>
      </c>
      <c r="L1430" s="251">
        <f t="shared" si="109"/>
        <v>42095</v>
      </c>
      <c r="M1430" s="513">
        <v>32.9</v>
      </c>
      <c r="N1430" s="254">
        <f t="shared" si="110"/>
        <v>-1.7910447761194104E-2</v>
      </c>
      <c r="O1430" s="1137">
        <f t="shared" si="112"/>
        <v>-1.7941867320636559E-2</v>
      </c>
      <c r="P1430" s="1138"/>
    </row>
    <row r="1431" spans="6:16" x14ac:dyDescent="0.2">
      <c r="F1431" s="1137">
        <f t="shared" si="111"/>
        <v>-7.9860563954965835E-3</v>
      </c>
      <c r="G1431" s="1138"/>
      <c r="H1431" s="520">
        <v>9128.98</v>
      </c>
      <c r="I1431" s="512">
        <v>42094</v>
      </c>
      <c r="J1431" s="254">
        <f t="shared" si="108"/>
        <v>-7.9546368360541297E-3</v>
      </c>
      <c r="L1431" s="251">
        <f t="shared" si="109"/>
        <v>42094</v>
      </c>
      <c r="M1431" s="513">
        <v>33.5</v>
      </c>
      <c r="N1431" s="254">
        <f t="shared" si="110"/>
        <v>-1.1799410029498469E-2</v>
      </c>
      <c r="O1431" s="1137">
        <f t="shared" si="112"/>
        <v>-1.1830829588940923E-2</v>
      </c>
      <c r="P1431" s="1138"/>
    </row>
    <row r="1432" spans="6:16" x14ac:dyDescent="0.2">
      <c r="F1432" s="1137">
        <f t="shared" si="111"/>
        <v>1.3031798223971785E-2</v>
      </c>
      <c r="G1432" s="1138"/>
      <c r="H1432" s="520">
        <v>9202.18</v>
      </c>
      <c r="I1432" s="512">
        <v>42093</v>
      </c>
      <c r="J1432" s="254">
        <f t="shared" si="108"/>
        <v>1.3063217783414238E-2</v>
      </c>
      <c r="L1432" s="251">
        <f t="shared" si="109"/>
        <v>42093</v>
      </c>
      <c r="M1432" s="513">
        <v>33.9</v>
      </c>
      <c r="N1432" s="254">
        <f t="shared" si="110"/>
        <v>2.5718608169440271E-2</v>
      </c>
      <c r="O1432" s="1137">
        <f t="shared" si="112"/>
        <v>2.5687188609997816E-2</v>
      </c>
      <c r="P1432" s="1138"/>
    </row>
    <row r="1433" spans="6:16" x14ac:dyDescent="0.2">
      <c r="F1433" s="1137">
        <f t="shared" si="111"/>
        <v>7.9783180769247693E-5</v>
      </c>
      <c r="G1433" s="1138"/>
      <c r="H1433" s="520">
        <v>9083.52</v>
      </c>
      <c r="I1433" s="512">
        <v>42090</v>
      </c>
      <c r="J1433" s="254">
        <f t="shared" si="108"/>
        <v>1.1120274021170218E-4</v>
      </c>
      <c r="L1433" s="251">
        <f t="shared" si="109"/>
        <v>42090</v>
      </c>
      <c r="M1433" s="513">
        <v>33.049999999999997</v>
      </c>
      <c r="N1433" s="254">
        <f t="shared" si="110"/>
        <v>-1.7830609212481474E-2</v>
      </c>
      <c r="O1433" s="1137">
        <f t="shared" si="112"/>
        <v>-1.786202877192393E-2</v>
      </c>
      <c r="P1433" s="1138"/>
    </row>
    <row r="1434" spans="6:16" x14ac:dyDescent="0.2">
      <c r="F1434" s="1137">
        <f t="shared" si="111"/>
        <v>-1.1539595762745587E-2</v>
      </c>
      <c r="G1434" s="1138"/>
      <c r="H1434" s="520">
        <v>9082.51</v>
      </c>
      <c r="I1434" s="512">
        <v>42089</v>
      </c>
      <c r="J1434" s="254">
        <f t="shared" si="108"/>
        <v>-1.1508176203303133E-2</v>
      </c>
      <c r="L1434" s="251">
        <f t="shared" si="109"/>
        <v>42089</v>
      </c>
      <c r="M1434" s="513">
        <v>33.65</v>
      </c>
      <c r="N1434" s="254">
        <f t="shared" si="110"/>
        <v>-5.9084194977844229E-3</v>
      </c>
      <c r="O1434" s="1137">
        <f t="shared" si="112"/>
        <v>-5.9398390572268775E-3</v>
      </c>
      <c r="P1434" s="1138"/>
    </row>
    <row r="1435" spans="6:16" x14ac:dyDescent="0.2">
      <c r="F1435" s="1137">
        <f t="shared" si="111"/>
        <v>-1.1269297114679539E-2</v>
      </c>
      <c r="G1435" s="1138"/>
      <c r="H1435" s="520">
        <v>9188.25</v>
      </c>
      <c r="I1435" s="512">
        <v>42088</v>
      </c>
      <c r="J1435" s="254">
        <f t="shared" si="108"/>
        <v>-1.1237877555237086E-2</v>
      </c>
      <c r="L1435" s="251">
        <f t="shared" si="109"/>
        <v>42088</v>
      </c>
      <c r="M1435" s="513">
        <v>33.85</v>
      </c>
      <c r="N1435" s="254">
        <f t="shared" si="110"/>
        <v>-3.4236804564907186E-2</v>
      </c>
      <c r="O1435" s="1137">
        <f t="shared" si="112"/>
        <v>-3.4268224124349642E-2</v>
      </c>
      <c r="P1435" s="1138"/>
    </row>
    <row r="1436" spans="6:16" x14ac:dyDescent="0.2">
      <c r="F1436" s="1137">
        <f t="shared" si="111"/>
        <v>-7.8809209580887173E-3</v>
      </c>
      <c r="G1436" s="1138"/>
      <c r="H1436" s="520">
        <v>9292.68</v>
      </c>
      <c r="I1436" s="512">
        <v>42087</v>
      </c>
      <c r="J1436" s="254">
        <f t="shared" si="108"/>
        <v>-7.8495013986462636E-3</v>
      </c>
      <c r="L1436" s="251">
        <f t="shared" si="109"/>
        <v>42087</v>
      </c>
      <c r="M1436" s="513">
        <v>35.049999999999997</v>
      </c>
      <c r="N1436" s="254">
        <f t="shared" si="110"/>
        <v>-2.6388888888889017E-2</v>
      </c>
      <c r="O1436" s="1137">
        <f t="shared" si="112"/>
        <v>-2.6420308448331473E-2</v>
      </c>
      <c r="P1436" s="1138"/>
    </row>
    <row r="1437" spans="6:16" x14ac:dyDescent="0.2">
      <c r="F1437" s="1137">
        <f t="shared" si="111"/>
        <v>-3.2337472866625213E-3</v>
      </c>
      <c r="G1437" s="1138"/>
      <c r="H1437" s="520">
        <v>9366.2000000000007</v>
      </c>
      <c r="I1437" s="512">
        <v>42086</v>
      </c>
      <c r="J1437" s="254">
        <f t="shared" ref="J1437:J1500" si="113">H1437/H1438-1</f>
        <v>-3.2023277272200668E-3</v>
      </c>
      <c r="L1437" s="251">
        <f t="shared" ref="L1437:L1500" si="114">I1437</f>
        <v>42086</v>
      </c>
      <c r="M1437" s="513">
        <v>36</v>
      </c>
      <c r="N1437" s="254">
        <f t="shared" ref="N1437:N1500" si="115">M1437/M1438-1</f>
        <v>1.5514809590973178E-2</v>
      </c>
      <c r="O1437" s="1137">
        <f t="shared" si="112"/>
        <v>1.5483390031530724E-2</v>
      </c>
      <c r="P1437" s="1138"/>
    </row>
    <row r="1438" spans="6:16" x14ac:dyDescent="0.2">
      <c r="F1438" s="1137">
        <f t="shared" ref="F1438:F1501" si="116">J1438-$I$19</f>
        <v>7.2377175347037729E-3</v>
      </c>
      <c r="G1438" s="1138"/>
      <c r="H1438" s="520">
        <v>9396.2900000000009</v>
      </c>
      <c r="I1438" s="512">
        <v>42083</v>
      </c>
      <c r="J1438" s="254">
        <f t="shared" si="113"/>
        <v>7.2691370941462274E-3</v>
      </c>
      <c r="L1438" s="251">
        <f t="shared" si="114"/>
        <v>42083</v>
      </c>
      <c r="M1438" s="513">
        <v>35.450000000000003</v>
      </c>
      <c r="N1438" s="254">
        <f t="shared" si="115"/>
        <v>8.5348506401139446E-3</v>
      </c>
      <c r="O1438" s="1137">
        <f t="shared" ref="O1438:O1501" si="117">N1438-$I$19</f>
        <v>8.5034310806714909E-3</v>
      </c>
      <c r="P1438" s="1138"/>
    </row>
    <row r="1439" spans="6:16" x14ac:dyDescent="0.2">
      <c r="F1439" s="1137">
        <f t="shared" si="116"/>
        <v>7.7730453204655917E-3</v>
      </c>
      <c r="G1439" s="1138"/>
      <c r="H1439" s="520">
        <v>9328.48</v>
      </c>
      <c r="I1439" s="512">
        <v>42082</v>
      </c>
      <c r="J1439" s="254">
        <f t="shared" si="113"/>
        <v>7.8044648799080463E-3</v>
      </c>
      <c r="L1439" s="251">
        <f t="shared" si="114"/>
        <v>42082</v>
      </c>
      <c r="M1439" s="513">
        <v>35.15</v>
      </c>
      <c r="N1439" s="254">
        <f t="shared" si="115"/>
        <v>1.4430014430014459E-2</v>
      </c>
      <c r="O1439" s="1137">
        <f t="shared" si="117"/>
        <v>1.4398594870572006E-2</v>
      </c>
      <c r="P1439" s="1138"/>
    </row>
    <row r="1440" spans="6:16" x14ac:dyDescent="0.2">
      <c r="F1440" s="1137">
        <f t="shared" si="116"/>
        <v>6.2445968823507539E-3</v>
      </c>
      <c r="G1440" s="1138"/>
      <c r="H1440" s="520">
        <v>9256.24</v>
      </c>
      <c r="I1440" s="512">
        <v>42081</v>
      </c>
      <c r="J1440" s="254">
        <f t="shared" si="113"/>
        <v>6.2760164417932085E-3</v>
      </c>
      <c r="L1440" s="251">
        <f t="shared" si="114"/>
        <v>42081</v>
      </c>
      <c r="M1440" s="513">
        <v>34.65</v>
      </c>
      <c r="N1440" s="254">
        <f t="shared" si="115"/>
        <v>-2.1186440677966156E-2</v>
      </c>
      <c r="O1440" s="1137">
        <f t="shared" si="117"/>
        <v>-2.1217860237408612E-2</v>
      </c>
      <c r="P1440" s="1138"/>
    </row>
    <row r="1441" spans="6:16" x14ac:dyDescent="0.2">
      <c r="F1441" s="1137">
        <f t="shared" si="116"/>
        <v>-4.2069815335727253E-3</v>
      </c>
      <c r="G1441" s="1138"/>
      <c r="H1441" s="520">
        <v>9198.51</v>
      </c>
      <c r="I1441" s="512">
        <v>42080</v>
      </c>
      <c r="J1441" s="254">
        <f t="shared" si="113"/>
        <v>-4.1755619741302707E-3</v>
      </c>
      <c r="L1441" s="251">
        <f t="shared" si="114"/>
        <v>42080</v>
      </c>
      <c r="M1441" s="513">
        <v>35.4</v>
      </c>
      <c r="N1441" s="254">
        <f t="shared" si="115"/>
        <v>-4.2194092827003704E-3</v>
      </c>
      <c r="O1441" s="1137">
        <f t="shared" si="117"/>
        <v>-4.250828842142825E-3</v>
      </c>
      <c r="P1441" s="1138"/>
    </row>
    <row r="1442" spans="6:16" x14ac:dyDescent="0.2">
      <c r="F1442" s="1137">
        <f t="shared" si="116"/>
        <v>8.8217721111742576E-3</v>
      </c>
      <c r="G1442" s="1138"/>
      <c r="H1442" s="520">
        <v>9237.08</v>
      </c>
      <c r="I1442" s="512">
        <v>42079</v>
      </c>
      <c r="J1442" s="254">
        <f t="shared" si="113"/>
        <v>8.8531916706167113E-3</v>
      </c>
      <c r="L1442" s="251">
        <f t="shared" si="114"/>
        <v>42079</v>
      </c>
      <c r="M1442" s="513">
        <v>35.549999999999997</v>
      </c>
      <c r="N1442" s="254">
        <f t="shared" si="115"/>
        <v>2.0086083213773254E-2</v>
      </c>
      <c r="O1442" s="1137">
        <f t="shared" si="117"/>
        <v>2.0054663654330798E-2</v>
      </c>
      <c r="P1442" s="1138"/>
    </row>
    <row r="1443" spans="6:16" x14ac:dyDescent="0.2">
      <c r="F1443" s="1137">
        <f t="shared" si="116"/>
        <v>3.939057895680124E-3</v>
      </c>
      <c r="G1443" s="1138"/>
      <c r="H1443" s="520">
        <v>9156.02</v>
      </c>
      <c r="I1443" s="512">
        <v>42076</v>
      </c>
      <c r="J1443" s="254">
        <f t="shared" si="113"/>
        <v>3.9704774551225785E-3</v>
      </c>
      <c r="L1443" s="251">
        <f t="shared" si="114"/>
        <v>42076</v>
      </c>
      <c r="M1443" s="513">
        <v>34.85</v>
      </c>
      <c r="N1443" s="254">
        <f t="shared" si="115"/>
        <v>1.0144927536231974E-2</v>
      </c>
      <c r="O1443" s="1137">
        <f t="shared" si="117"/>
        <v>1.011350797678952E-2</v>
      </c>
      <c r="P1443" s="1138"/>
    </row>
    <row r="1444" spans="6:16" x14ac:dyDescent="0.2">
      <c r="F1444" s="1137">
        <f t="shared" si="116"/>
        <v>1.4598671750238471E-3</v>
      </c>
      <c r="G1444" s="1138"/>
      <c r="H1444" s="520">
        <v>9119.81</v>
      </c>
      <c r="I1444" s="512">
        <v>42075</v>
      </c>
      <c r="J1444" s="254">
        <f t="shared" si="113"/>
        <v>1.4912867344663017E-3</v>
      </c>
      <c r="L1444" s="251">
        <f t="shared" si="114"/>
        <v>42075</v>
      </c>
      <c r="M1444" s="513">
        <v>34.5</v>
      </c>
      <c r="N1444" s="254">
        <f t="shared" si="115"/>
        <v>-1.0043041606886738E-2</v>
      </c>
      <c r="O1444" s="1137">
        <f t="shared" si="117"/>
        <v>-1.0074461166329192E-2</v>
      </c>
      <c r="P1444" s="1138"/>
    </row>
    <row r="1445" spans="6:16" x14ac:dyDescent="0.2">
      <c r="F1445" s="1137">
        <f t="shared" si="116"/>
        <v>9.1133778686664658E-3</v>
      </c>
      <c r="G1445" s="1138"/>
      <c r="H1445" s="520">
        <v>9106.23</v>
      </c>
      <c r="I1445" s="512">
        <v>42074</v>
      </c>
      <c r="J1445" s="254">
        <f t="shared" si="113"/>
        <v>9.1447974281089195E-3</v>
      </c>
      <c r="L1445" s="251">
        <f t="shared" si="114"/>
        <v>42074</v>
      </c>
      <c r="M1445" s="513">
        <v>34.85</v>
      </c>
      <c r="N1445" s="254">
        <f t="shared" si="115"/>
        <v>4.3227665706051521E-3</v>
      </c>
      <c r="O1445" s="1137">
        <f t="shared" si="117"/>
        <v>4.2913470111626975E-3</v>
      </c>
      <c r="P1445" s="1138"/>
    </row>
    <row r="1446" spans="6:16" x14ac:dyDescent="0.2">
      <c r="F1446" s="1137">
        <f t="shared" si="116"/>
        <v>-2.5925234980378872E-3</v>
      </c>
      <c r="G1446" s="1138"/>
      <c r="H1446" s="520">
        <v>9023.7099999999991</v>
      </c>
      <c r="I1446" s="512">
        <v>42073</v>
      </c>
      <c r="J1446" s="254">
        <f t="shared" si="113"/>
        <v>-2.5611039385954326E-3</v>
      </c>
      <c r="L1446" s="251">
        <f t="shared" si="114"/>
        <v>42073</v>
      </c>
      <c r="M1446" s="513">
        <v>34.700000000000003</v>
      </c>
      <c r="N1446" s="254">
        <f t="shared" si="115"/>
        <v>-1.2802275960170584E-2</v>
      </c>
      <c r="O1446" s="1137">
        <f t="shared" si="117"/>
        <v>-1.2833695519613037E-2</v>
      </c>
      <c r="P1446" s="1138"/>
    </row>
    <row r="1447" spans="6:16" x14ac:dyDescent="0.2">
      <c r="F1447" s="1137">
        <f t="shared" si="116"/>
        <v>-3.6822885543688474E-3</v>
      </c>
      <c r="G1447" s="1138"/>
      <c r="H1447" s="520">
        <v>9046.8799999999992</v>
      </c>
      <c r="I1447" s="512">
        <v>42072</v>
      </c>
      <c r="J1447" s="254">
        <f t="shared" si="113"/>
        <v>-3.6508689949263928E-3</v>
      </c>
      <c r="L1447" s="251">
        <f t="shared" si="114"/>
        <v>42072</v>
      </c>
      <c r="M1447" s="513">
        <v>35.15</v>
      </c>
      <c r="N1447" s="254">
        <f t="shared" si="115"/>
        <v>4.2857142857142261E-3</v>
      </c>
      <c r="O1447" s="1137">
        <f t="shared" si="117"/>
        <v>4.2542947262717715E-3</v>
      </c>
      <c r="P1447" s="1138"/>
    </row>
    <row r="1448" spans="6:16" x14ac:dyDescent="0.2">
      <c r="F1448" s="1137">
        <f t="shared" si="116"/>
        <v>4.9970266362939367E-3</v>
      </c>
      <c r="G1448" s="1138"/>
      <c r="H1448" s="520">
        <v>9080.0300000000007</v>
      </c>
      <c r="I1448" s="512">
        <v>42069</v>
      </c>
      <c r="J1448" s="254">
        <f t="shared" si="113"/>
        <v>5.0284461957363913E-3</v>
      </c>
      <c r="L1448" s="251">
        <f t="shared" si="114"/>
        <v>42069</v>
      </c>
      <c r="M1448" s="513">
        <v>35</v>
      </c>
      <c r="N1448" s="254">
        <f t="shared" si="115"/>
        <v>1.8922852983988214E-2</v>
      </c>
      <c r="O1448" s="1137">
        <f t="shared" si="117"/>
        <v>1.8891433424545759E-2</v>
      </c>
      <c r="P1448" s="1138"/>
    </row>
    <row r="1449" spans="6:16" x14ac:dyDescent="0.2">
      <c r="F1449" s="1137">
        <f t="shared" si="116"/>
        <v>4.6502596176496028E-3</v>
      </c>
      <c r="G1449" s="1138"/>
      <c r="H1449" s="520">
        <v>9034.6</v>
      </c>
      <c r="I1449" s="512">
        <v>42068</v>
      </c>
      <c r="J1449" s="254">
        <f t="shared" si="113"/>
        <v>4.6816791770920574E-3</v>
      </c>
      <c r="L1449" s="251">
        <f t="shared" si="114"/>
        <v>42068</v>
      </c>
      <c r="M1449" s="513">
        <v>34.35</v>
      </c>
      <c r="N1449" s="254">
        <f t="shared" si="115"/>
        <v>1.7777777777777892E-2</v>
      </c>
      <c r="O1449" s="1137">
        <f t="shared" si="117"/>
        <v>1.7746358218335437E-2</v>
      </c>
      <c r="P1449" s="1138"/>
    </row>
    <row r="1450" spans="6:16" x14ac:dyDescent="0.2">
      <c r="F1450" s="1137">
        <f t="shared" si="116"/>
        <v>4.1920702805071245E-3</v>
      </c>
      <c r="G1450" s="1138"/>
      <c r="H1450" s="520">
        <v>8992.5</v>
      </c>
      <c r="I1450" s="512">
        <v>42067</v>
      </c>
      <c r="J1450" s="254">
        <f t="shared" si="113"/>
        <v>4.223489839949579E-3</v>
      </c>
      <c r="L1450" s="251">
        <f t="shared" si="114"/>
        <v>42067</v>
      </c>
      <c r="M1450" s="513">
        <v>33.75</v>
      </c>
      <c r="N1450" s="254">
        <f t="shared" si="115"/>
        <v>3.8461538461538547E-2</v>
      </c>
      <c r="O1450" s="1137">
        <f t="shared" si="117"/>
        <v>3.8430118902096091E-2</v>
      </c>
      <c r="P1450" s="1138"/>
    </row>
    <row r="1451" spans="6:16" x14ac:dyDescent="0.2">
      <c r="F1451" s="1137">
        <f t="shared" si="116"/>
        <v>-1.1185732483140183E-2</v>
      </c>
      <c r="G1451" s="1138"/>
      <c r="H1451" s="520">
        <v>8954.68</v>
      </c>
      <c r="I1451" s="512">
        <v>42066</v>
      </c>
      <c r="J1451" s="254">
        <f t="shared" si="113"/>
        <v>-1.1154312923697729E-2</v>
      </c>
      <c r="L1451" s="251">
        <f t="shared" si="114"/>
        <v>42066</v>
      </c>
      <c r="M1451" s="513">
        <v>32.5</v>
      </c>
      <c r="N1451" s="254">
        <f t="shared" si="115"/>
        <v>0</v>
      </c>
      <c r="O1451" s="1137">
        <f t="shared" si="117"/>
        <v>-3.1419559442454485E-5</v>
      </c>
      <c r="P1451" s="1138"/>
    </row>
    <row r="1452" spans="6:16" x14ac:dyDescent="0.2">
      <c r="F1452" s="1137">
        <f t="shared" si="116"/>
        <v>4.534542282162061E-3</v>
      </c>
      <c r="G1452" s="1138"/>
      <c r="H1452" s="520">
        <v>9055.69</v>
      </c>
      <c r="I1452" s="512">
        <v>42065</v>
      </c>
      <c r="J1452" s="254">
        <f t="shared" si="113"/>
        <v>4.5659618416045156E-3</v>
      </c>
      <c r="L1452" s="251">
        <f t="shared" si="114"/>
        <v>42065</v>
      </c>
      <c r="M1452" s="513">
        <v>32.5</v>
      </c>
      <c r="N1452" s="254">
        <f t="shared" si="115"/>
        <v>-7.6335877862595547E-3</v>
      </c>
      <c r="O1452" s="1137">
        <f t="shared" si="117"/>
        <v>-7.6650073457020093E-3</v>
      </c>
      <c r="P1452" s="1138"/>
    </row>
    <row r="1453" spans="6:16" x14ac:dyDescent="0.2">
      <c r="F1453" s="1137">
        <f t="shared" si="116"/>
        <v>-3.8946206901138555E-3</v>
      </c>
      <c r="G1453" s="1138"/>
      <c r="H1453" s="520">
        <v>9014.5300000000007</v>
      </c>
      <c r="I1453" s="512">
        <v>42062</v>
      </c>
      <c r="J1453" s="254">
        <f t="shared" si="113"/>
        <v>-3.8632011306714009E-3</v>
      </c>
      <c r="L1453" s="251">
        <f t="shared" si="114"/>
        <v>42062</v>
      </c>
      <c r="M1453" s="513">
        <v>32.75</v>
      </c>
      <c r="N1453" s="254">
        <f t="shared" si="115"/>
        <v>-1.5243902439023849E-3</v>
      </c>
      <c r="O1453" s="1137">
        <f t="shared" si="117"/>
        <v>-1.5558098033448394E-3</v>
      </c>
      <c r="P1453" s="1138"/>
    </row>
    <row r="1454" spans="6:16" x14ac:dyDescent="0.2">
      <c r="F1454" s="1137">
        <f t="shared" si="116"/>
        <v>7.9740429127938706E-3</v>
      </c>
      <c r="G1454" s="1138"/>
      <c r="H1454" s="520">
        <v>9049.49</v>
      </c>
      <c r="I1454" s="512">
        <v>42061</v>
      </c>
      <c r="J1454" s="254">
        <f t="shared" si="113"/>
        <v>8.0054624722363243E-3</v>
      </c>
      <c r="L1454" s="251">
        <f t="shared" si="114"/>
        <v>42061</v>
      </c>
      <c r="M1454" s="513">
        <v>32.799999999999997</v>
      </c>
      <c r="N1454" s="254">
        <f t="shared" si="115"/>
        <v>1.5267175572517555E-3</v>
      </c>
      <c r="O1454" s="1137">
        <f t="shared" si="117"/>
        <v>1.4952979978093009E-3</v>
      </c>
      <c r="P1454" s="1138"/>
    </row>
    <row r="1455" spans="6:16" x14ac:dyDescent="0.2">
      <c r="F1455" s="1137">
        <f t="shared" si="116"/>
        <v>-8.0941660105020199E-4</v>
      </c>
      <c r="G1455" s="1138"/>
      <c r="H1455" s="520">
        <v>8977.6200000000008</v>
      </c>
      <c r="I1455" s="512">
        <v>42060</v>
      </c>
      <c r="J1455" s="254">
        <f t="shared" si="113"/>
        <v>-7.7799704160774752E-4</v>
      </c>
      <c r="L1455" s="251">
        <f t="shared" si="114"/>
        <v>42060</v>
      </c>
      <c r="M1455" s="513">
        <v>32.75</v>
      </c>
      <c r="N1455" s="254">
        <f t="shared" si="115"/>
        <v>7.692307692307665E-3</v>
      </c>
      <c r="O1455" s="1137">
        <f t="shared" si="117"/>
        <v>7.6608881328652104E-3</v>
      </c>
      <c r="P1455" s="1138"/>
    </row>
    <row r="1456" spans="6:16" x14ac:dyDescent="0.2">
      <c r="F1456" s="1137">
        <f t="shared" si="116"/>
        <v>7.3938005604885879E-4</v>
      </c>
      <c r="G1456" s="1138"/>
      <c r="H1456" s="520">
        <v>8984.61</v>
      </c>
      <c r="I1456" s="512">
        <v>42059</v>
      </c>
      <c r="J1456" s="254">
        <f t="shared" si="113"/>
        <v>7.7079961549131326E-4</v>
      </c>
      <c r="L1456" s="251">
        <f t="shared" si="114"/>
        <v>42059</v>
      </c>
      <c r="M1456" s="513">
        <v>32.5</v>
      </c>
      <c r="N1456" s="254">
        <f t="shared" si="115"/>
        <v>-9.1463414634145312E-3</v>
      </c>
      <c r="O1456" s="1137">
        <f t="shared" si="117"/>
        <v>-9.177761022856985E-3</v>
      </c>
      <c r="P1456" s="1138"/>
    </row>
    <row r="1457" spans="6:16" x14ac:dyDescent="0.2">
      <c r="F1457" s="1137">
        <f t="shared" si="116"/>
        <v>9.5860303993415431E-3</v>
      </c>
      <c r="G1457" s="1138"/>
      <c r="H1457" s="520">
        <v>8977.69</v>
      </c>
      <c r="I1457" s="512">
        <v>42058</v>
      </c>
      <c r="J1457" s="254">
        <f t="shared" si="113"/>
        <v>9.6174499587839968E-3</v>
      </c>
      <c r="L1457" s="251">
        <f t="shared" si="114"/>
        <v>42058</v>
      </c>
      <c r="M1457" s="513">
        <v>32.799999999999997</v>
      </c>
      <c r="N1457" s="254">
        <f t="shared" si="115"/>
        <v>2.1806853582554409E-2</v>
      </c>
      <c r="O1457" s="1137">
        <f t="shared" si="117"/>
        <v>2.1775434023111953E-2</v>
      </c>
      <c r="P1457" s="1138"/>
    </row>
    <row r="1458" spans="6:16" x14ac:dyDescent="0.2">
      <c r="F1458" s="1137">
        <f t="shared" si="116"/>
        <v>-9.3140135756346234E-4</v>
      </c>
      <c r="G1458" s="1138"/>
      <c r="H1458" s="520">
        <v>8892.17</v>
      </c>
      <c r="I1458" s="512">
        <v>42055</v>
      </c>
      <c r="J1458" s="254">
        <f t="shared" si="113"/>
        <v>-8.9998179812100787E-4</v>
      </c>
      <c r="L1458" s="251">
        <f t="shared" si="114"/>
        <v>42055</v>
      </c>
      <c r="M1458" s="513">
        <v>32.1</v>
      </c>
      <c r="N1458" s="254">
        <f t="shared" si="115"/>
        <v>-7.7279752704790816E-3</v>
      </c>
      <c r="O1458" s="1137">
        <f t="shared" si="117"/>
        <v>-7.7593948299215362E-3</v>
      </c>
      <c r="P1458" s="1138"/>
    </row>
    <row r="1459" spans="6:16" x14ac:dyDescent="0.2">
      <c r="F1459" s="1137">
        <f t="shared" si="116"/>
        <v>1.1271077625443842E-2</v>
      </c>
      <c r="G1459" s="1138"/>
      <c r="H1459" s="520">
        <v>8900.18</v>
      </c>
      <c r="I1459" s="512">
        <v>42054</v>
      </c>
      <c r="J1459" s="254">
        <f t="shared" si="113"/>
        <v>1.1302497184886295E-2</v>
      </c>
      <c r="L1459" s="251">
        <f t="shared" si="114"/>
        <v>42054</v>
      </c>
      <c r="M1459" s="513">
        <v>32.35</v>
      </c>
      <c r="N1459" s="254">
        <f t="shared" si="115"/>
        <v>-1.6717325227963431E-2</v>
      </c>
      <c r="O1459" s="1137">
        <f t="shared" si="117"/>
        <v>-1.6748744787405886E-2</v>
      </c>
      <c r="P1459" s="1138"/>
    </row>
    <row r="1460" spans="6:16" x14ac:dyDescent="0.2">
      <c r="F1460" s="1137">
        <f t="shared" si="116"/>
        <v>6.0135081540590588E-3</v>
      </c>
      <c r="G1460" s="1138"/>
      <c r="H1460" s="520">
        <v>8800.7099999999991</v>
      </c>
      <c r="I1460" s="512">
        <v>42053</v>
      </c>
      <c r="J1460" s="254">
        <f t="shared" si="113"/>
        <v>6.0449277135015134E-3</v>
      </c>
      <c r="L1460" s="251">
        <f t="shared" si="114"/>
        <v>42053</v>
      </c>
      <c r="M1460" s="513">
        <v>32.9</v>
      </c>
      <c r="N1460" s="254">
        <f t="shared" si="115"/>
        <v>1.2307692307692353E-2</v>
      </c>
      <c r="O1460" s="1137">
        <f t="shared" si="117"/>
        <v>1.2276272748249899E-2</v>
      </c>
      <c r="P1460" s="1138"/>
    </row>
    <row r="1461" spans="6:16" x14ac:dyDescent="0.2">
      <c r="F1461" s="1137">
        <f t="shared" si="116"/>
        <v>4.001777994929249E-3</v>
      </c>
      <c r="G1461" s="1138"/>
      <c r="H1461" s="520">
        <v>8747.83</v>
      </c>
      <c r="I1461" s="512">
        <v>42052</v>
      </c>
      <c r="J1461" s="254">
        <f t="shared" si="113"/>
        <v>4.0331975543717036E-3</v>
      </c>
      <c r="L1461" s="251">
        <f t="shared" si="114"/>
        <v>42052</v>
      </c>
      <c r="M1461" s="513">
        <v>32.5</v>
      </c>
      <c r="N1461" s="254">
        <f t="shared" si="115"/>
        <v>-1.2158054711246202E-2</v>
      </c>
      <c r="O1461" s="1137">
        <f t="shared" si="117"/>
        <v>-1.2189474270688656E-2</v>
      </c>
      <c r="P1461" s="1138"/>
    </row>
    <row r="1462" spans="6:16" x14ac:dyDescent="0.2">
      <c r="F1462" s="1137">
        <f t="shared" si="116"/>
        <v>6.9854713718819498E-3</v>
      </c>
      <c r="G1462" s="1138"/>
      <c r="H1462" s="520">
        <v>8712.69</v>
      </c>
      <c r="I1462" s="512">
        <v>42051</v>
      </c>
      <c r="J1462" s="254">
        <f t="shared" si="113"/>
        <v>7.0168909313244043E-3</v>
      </c>
      <c r="L1462" s="251">
        <f t="shared" si="114"/>
        <v>42051</v>
      </c>
      <c r="M1462" s="513">
        <v>32.9</v>
      </c>
      <c r="N1462" s="254">
        <f t="shared" si="115"/>
        <v>3.296703296703285E-2</v>
      </c>
      <c r="O1462" s="1137">
        <f t="shared" si="117"/>
        <v>3.2935613407590394E-2</v>
      </c>
      <c r="P1462" s="1138"/>
    </row>
    <row r="1463" spans="6:16" x14ac:dyDescent="0.2">
      <c r="F1463" s="1137">
        <f t="shared" si="116"/>
        <v>4.7241091055371812E-3</v>
      </c>
      <c r="G1463" s="1138"/>
      <c r="H1463" s="520">
        <v>8651.98</v>
      </c>
      <c r="I1463" s="512">
        <v>42048</v>
      </c>
      <c r="J1463" s="254">
        <f t="shared" si="113"/>
        <v>4.7555286649796358E-3</v>
      </c>
      <c r="L1463" s="251">
        <f t="shared" si="114"/>
        <v>42048</v>
      </c>
      <c r="M1463" s="513">
        <v>31.85</v>
      </c>
      <c r="N1463" s="254">
        <f t="shared" si="115"/>
        <v>1.7571884984025621E-2</v>
      </c>
      <c r="O1463" s="1137">
        <f t="shared" si="117"/>
        <v>1.7540465424583165E-2</v>
      </c>
      <c r="P1463" s="1138"/>
    </row>
    <row r="1464" spans="6:16" x14ac:dyDescent="0.2">
      <c r="F1464" s="1137">
        <f t="shared" si="116"/>
        <v>3.8472154221844282E-3</v>
      </c>
      <c r="G1464" s="1138"/>
      <c r="H1464" s="520">
        <v>8611.0300000000007</v>
      </c>
      <c r="I1464" s="512">
        <v>42047</v>
      </c>
      <c r="J1464" s="254">
        <f t="shared" si="113"/>
        <v>3.8786349816268828E-3</v>
      </c>
      <c r="L1464" s="251">
        <f t="shared" si="114"/>
        <v>42047</v>
      </c>
      <c r="M1464" s="513">
        <v>31.3</v>
      </c>
      <c r="N1464" s="254">
        <f t="shared" si="115"/>
        <v>3.3003300330032959E-2</v>
      </c>
      <c r="O1464" s="1137">
        <f t="shared" si="117"/>
        <v>3.2971880770590503E-2</v>
      </c>
      <c r="P1464" s="1138"/>
    </row>
    <row r="1465" spans="6:16" x14ac:dyDescent="0.2">
      <c r="F1465" s="1137">
        <f t="shared" si="116"/>
        <v>-4.980134355241291E-3</v>
      </c>
      <c r="G1465" s="1138"/>
      <c r="H1465" s="520">
        <v>8577.76</v>
      </c>
      <c r="I1465" s="512">
        <v>42046</v>
      </c>
      <c r="J1465" s="254">
        <f t="shared" si="113"/>
        <v>-4.9487147957988364E-3</v>
      </c>
      <c r="L1465" s="251">
        <f t="shared" si="114"/>
        <v>42046</v>
      </c>
      <c r="M1465" s="513">
        <v>30.3</v>
      </c>
      <c r="N1465" s="254">
        <f t="shared" si="115"/>
        <v>6.6445182724252927E-3</v>
      </c>
      <c r="O1465" s="1137">
        <f t="shared" si="117"/>
        <v>6.6130987129828381E-3</v>
      </c>
      <c r="P1465" s="1138"/>
    </row>
    <row r="1466" spans="6:16" x14ac:dyDescent="0.2">
      <c r="F1466" s="1137">
        <f t="shared" si="116"/>
        <v>-1.389136185910452E-3</v>
      </c>
      <c r="G1466" s="1138"/>
      <c r="H1466" s="520">
        <v>8620.42</v>
      </c>
      <c r="I1466" s="512">
        <v>42045</v>
      </c>
      <c r="J1466" s="254">
        <f t="shared" si="113"/>
        <v>-1.3577166264679974E-3</v>
      </c>
      <c r="L1466" s="251">
        <f t="shared" si="114"/>
        <v>42045</v>
      </c>
      <c r="M1466" s="513">
        <v>30.1</v>
      </c>
      <c r="N1466" s="254">
        <f t="shared" si="115"/>
        <v>-3.3112582781456013E-3</v>
      </c>
      <c r="O1466" s="1137">
        <f t="shared" si="117"/>
        <v>-3.3426778375880558E-3</v>
      </c>
      <c r="P1466" s="1138"/>
    </row>
    <row r="1467" spans="6:16" x14ac:dyDescent="0.2">
      <c r="F1467" s="1137">
        <f t="shared" si="116"/>
        <v>5.1094806977771282E-3</v>
      </c>
      <c r="G1467" s="1138"/>
      <c r="H1467" s="520">
        <v>8632.14</v>
      </c>
      <c r="I1467" s="512">
        <v>42044</v>
      </c>
      <c r="J1467" s="254">
        <f t="shared" si="113"/>
        <v>5.1409002572195828E-3</v>
      </c>
      <c r="L1467" s="251">
        <f t="shared" si="114"/>
        <v>42044</v>
      </c>
      <c r="M1467" s="513">
        <v>30.2</v>
      </c>
      <c r="N1467" s="254">
        <f t="shared" si="115"/>
        <v>-4.9423393739703725E-3</v>
      </c>
      <c r="O1467" s="1137">
        <f t="shared" si="117"/>
        <v>-4.9737589334128271E-3</v>
      </c>
      <c r="P1467" s="1138"/>
    </row>
    <row r="1468" spans="6:16" x14ac:dyDescent="0.2">
      <c r="F1468" s="1137">
        <f t="shared" si="116"/>
        <v>5.0795781559988687E-3</v>
      </c>
      <c r="G1468" s="1138"/>
      <c r="H1468" s="520">
        <v>8587.99</v>
      </c>
      <c r="I1468" s="512">
        <v>42041</v>
      </c>
      <c r="J1468" s="254">
        <f t="shared" si="113"/>
        <v>5.1109977154413233E-3</v>
      </c>
      <c r="L1468" s="251">
        <f t="shared" si="114"/>
        <v>42041</v>
      </c>
      <c r="M1468" s="513">
        <v>30.35</v>
      </c>
      <c r="N1468" s="254">
        <f t="shared" si="115"/>
        <v>-6.5466448445171688E-3</v>
      </c>
      <c r="O1468" s="1137">
        <f t="shared" si="117"/>
        <v>-6.5780644039596234E-3</v>
      </c>
      <c r="P1468" s="1138"/>
    </row>
    <row r="1469" spans="6:16" x14ac:dyDescent="0.2">
      <c r="F1469" s="1137">
        <f t="shared" si="116"/>
        <v>-7.4568630879685979E-3</v>
      </c>
      <c r="G1469" s="1138"/>
      <c r="H1469" s="520">
        <v>8544.32</v>
      </c>
      <c r="I1469" s="512">
        <v>42040</v>
      </c>
      <c r="J1469" s="254">
        <f t="shared" si="113"/>
        <v>-7.4254435285261433E-3</v>
      </c>
      <c r="L1469" s="251">
        <f t="shared" si="114"/>
        <v>42040</v>
      </c>
      <c r="M1469" s="513">
        <v>30.55</v>
      </c>
      <c r="N1469" s="254">
        <f t="shared" si="115"/>
        <v>9.917355371900749E-3</v>
      </c>
      <c r="O1469" s="1137">
        <f t="shared" si="117"/>
        <v>9.8859358124582953E-3</v>
      </c>
      <c r="P1469" s="1138"/>
    </row>
    <row r="1470" spans="6:16" x14ac:dyDescent="0.2">
      <c r="F1470" s="1137">
        <f t="shared" si="116"/>
        <v>1.8438480927180437E-2</v>
      </c>
      <c r="G1470" s="1138"/>
      <c r="H1470" s="520">
        <v>8608.24</v>
      </c>
      <c r="I1470" s="512">
        <v>42039</v>
      </c>
      <c r="J1470" s="254">
        <f t="shared" si="113"/>
        <v>1.8469900486622892E-2</v>
      </c>
      <c r="L1470" s="251">
        <f t="shared" si="114"/>
        <v>42039</v>
      </c>
      <c r="M1470" s="513">
        <v>30.25</v>
      </c>
      <c r="N1470" s="254">
        <f t="shared" si="115"/>
        <v>2.5423728813559254E-2</v>
      </c>
      <c r="O1470" s="1137">
        <f t="shared" si="117"/>
        <v>2.5392309254116799E-2</v>
      </c>
      <c r="P1470" s="1138"/>
    </row>
    <row r="1471" spans="6:16" x14ac:dyDescent="0.2">
      <c r="F1471" s="1137">
        <f t="shared" si="116"/>
        <v>2.6888860448852228E-3</v>
      </c>
      <c r="G1471" s="1138"/>
      <c r="H1471" s="520">
        <v>8452.1299999999992</v>
      </c>
      <c r="I1471" s="512">
        <v>42038</v>
      </c>
      <c r="J1471" s="254">
        <f t="shared" si="113"/>
        <v>2.7203056043276774E-3</v>
      </c>
      <c r="L1471" s="251">
        <f t="shared" si="114"/>
        <v>42038</v>
      </c>
      <c r="M1471" s="513">
        <v>29.5</v>
      </c>
      <c r="N1471" s="254">
        <f t="shared" si="115"/>
        <v>-1.6920473773266442E-3</v>
      </c>
      <c r="O1471" s="1137">
        <f t="shared" si="117"/>
        <v>-1.7234669367690988E-3</v>
      </c>
      <c r="P1471" s="1138"/>
    </row>
    <row r="1472" spans="6:16" x14ac:dyDescent="0.2">
      <c r="F1472" s="1137">
        <f t="shared" si="116"/>
        <v>5.2243129098216859E-3</v>
      </c>
      <c r="G1472" s="1138"/>
      <c r="H1472" s="520">
        <v>8429.2000000000007</v>
      </c>
      <c r="I1472" s="512">
        <v>42037</v>
      </c>
      <c r="J1472" s="254">
        <f t="shared" si="113"/>
        <v>5.2557324692641405E-3</v>
      </c>
      <c r="L1472" s="251">
        <f t="shared" si="114"/>
        <v>42037</v>
      </c>
      <c r="M1472" s="513">
        <v>29.55</v>
      </c>
      <c r="N1472" s="254">
        <f t="shared" si="115"/>
        <v>5.3475935828876997E-2</v>
      </c>
      <c r="O1472" s="1137">
        <f t="shared" si="117"/>
        <v>5.3444516269434542E-2</v>
      </c>
      <c r="P1472" s="1138"/>
    </row>
    <row r="1473" spans="6:16" x14ac:dyDescent="0.2">
      <c r="F1473" s="1137">
        <f t="shared" si="116"/>
        <v>-5.9837581729424291E-3</v>
      </c>
      <c r="G1473" s="1138"/>
      <c r="H1473" s="520">
        <v>8385.1299999999992</v>
      </c>
      <c r="I1473" s="512">
        <v>42034</v>
      </c>
      <c r="J1473" s="254">
        <f t="shared" si="113"/>
        <v>-5.9523386134999745E-3</v>
      </c>
      <c r="L1473" s="251">
        <f t="shared" si="114"/>
        <v>42034</v>
      </c>
      <c r="M1473" s="513">
        <v>28.05</v>
      </c>
      <c r="N1473" s="254">
        <f t="shared" si="115"/>
        <v>3.8888888888888973E-2</v>
      </c>
      <c r="O1473" s="1137">
        <f t="shared" si="117"/>
        <v>3.8857469329446517E-2</v>
      </c>
      <c r="P1473" s="1138"/>
    </row>
    <row r="1474" spans="6:16" x14ac:dyDescent="0.2">
      <c r="F1474" s="1137">
        <f t="shared" si="116"/>
        <v>1.4862312656570302E-2</v>
      </c>
      <c r="G1474" s="1138"/>
      <c r="H1474" s="520">
        <v>8435.34</v>
      </c>
      <c r="I1474" s="512">
        <v>42033</v>
      </c>
      <c r="J1474" s="254">
        <f t="shared" si="113"/>
        <v>1.4893732216012756E-2</v>
      </c>
      <c r="L1474" s="251">
        <f t="shared" si="114"/>
        <v>42033</v>
      </c>
      <c r="M1474" s="513">
        <v>27</v>
      </c>
      <c r="N1474" s="254">
        <f t="shared" si="115"/>
        <v>0</v>
      </c>
      <c r="O1474" s="1137">
        <f t="shared" si="117"/>
        <v>-3.1419559442454485E-5</v>
      </c>
      <c r="P1474" s="1138"/>
    </row>
    <row r="1475" spans="6:16" x14ac:dyDescent="0.2">
      <c r="F1475" s="1137">
        <f t="shared" si="116"/>
        <v>-1.0893249278513024E-2</v>
      </c>
      <c r="G1475" s="1138"/>
      <c r="H1475" s="520">
        <v>8311.5499999999993</v>
      </c>
      <c r="I1475" s="512">
        <v>42032</v>
      </c>
      <c r="J1475" s="254">
        <f t="shared" si="113"/>
        <v>-1.086182971907057E-2</v>
      </c>
      <c r="L1475" s="251">
        <f t="shared" si="114"/>
        <v>42032</v>
      </c>
      <c r="M1475" s="513">
        <v>27</v>
      </c>
      <c r="N1475" s="254">
        <f t="shared" si="115"/>
        <v>-7.3529411764705621E-3</v>
      </c>
      <c r="O1475" s="1137">
        <f t="shared" si="117"/>
        <v>-7.3843607359130167E-3</v>
      </c>
      <c r="P1475" s="1138"/>
    </row>
    <row r="1476" spans="6:16" x14ac:dyDescent="0.2">
      <c r="F1476" s="1137">
        <f t="shared" si="116"/>
        <v>1.2789726834496933E-2</v>
      </c>
      <c r="G1476" s="1138"/>
      <c r="H1476" s="520">
        <v>8402.82</v>
      </c>
      <c r="I1476" s="512">
        <v>42031</v>
      </c>
      <c r="J1476" s="254">
        <f t="shared" si="113"/>
        <v>1.2821146393939387E-2</v>
      </c>
      <c r="L1476" s="251">
        <f t="shared" si="114"/>
        <v>42031</v>
      </c>
      <c r="M1476" s="513">
        <v>27.2</v>
      </c>
      <c r="N1476" s="254">
        <f t="shared" si="115"/>
        <v>-1.6274864376130127E-2</v>
      </c>
      <c r="O1476" s="1137">
        <f t="shared" si="117"/>
        <v>-1.6306283935572582E-2</v>
      </c>
      <c r="P1476" s="1138"/>
    </row>
    <row r="1477" spans="6:16" x14ac:dyDescent="0.2">
      <c r="F1477" s="1137">
        <f t="shared" si="116"/>
        <v>1.6545880726301435E-2</v>
      </c>
      <c r="G1477" s="1138"/>
      <c r="H1477" s="520">
        <v>8296.4500000000007</v>
      </c>
      <c r="I1477" s="512">
        <v>42030</v>
      </c>
      <c r="J1477" s="254">
        <f t="shared" si="113"/>
        <v>1.657730028574389E-2</v>
      </c>
      <c r="L1477" s="251">
        <f t="shared" si="114"/>
        <v>42030</v>
      </c>
      <c r="M1477" s="513">
        <v>27.65</v>
      </c>
      <c r="N1477" s="254">
        <f t="shared" si="115"/>
        <v>3.6297640653357721E-3</v>
      </c>
      <c r="O1477" s="1137">
        <f t="shared" si="117"/>
        <v>3.5983445058933175E-3</v>
      </c>
      <c r="P1477" s="1138"/>
    </row>
    <row r="1478" spans="6:16" x14ac:dyDescent="0.2">
      <c r="F1478" s="1137">
        <f t="shared" si="116"/>
        <v>2.01798941759503E-2</v>
      </c>
      <c r="G1478" s="1138"/>
      <c r="H1478" s="520">
        <v>8161.16</v>
      </c>
      <c r="I1478" s="512">
        <v>42027</v>
      </c>
      <c r="J1478" s="254">
        <f t="shared" si="113"/>
        <v>2.0211313735392755E-2</v>
      </c>
      <c r="L1478" s="251">
        <f t="shared" si="114"/>
        <v>42027</v>
      </c>
      <c r="M1478" s="513">
        <v>27.55</v>
      </c>
      <c r="N1478" s="254">
        <f t="shared" si="115"/>
        <v>3.183520599250933E-2</v>
      </c>
      <c r="O1478" s="1137">
        <f t="shared" si="117"/>
        <v>3.1803786433066875E-2</v>
      </c>
      <c r="P1478" s="1138"/>
    </row>
    <row r="1479" spans="6:16" x14ac:dyDescent="0.2">
      <c r="F1479" s="1137">
        <f t="shared" si="116"/>
        <v>-1.1639591577468486E-3</v>
      </c>
      <c r="G1479" s="1138"/>
      <c r="H1479" s="520">
        <v>7999.48</v>
      </c>
      <c r="I1479" s="512">
        <v>42026</v>
      </c>
      <c r="J1479" s="254">
        <f t="shared" si="113"/>
        <v>-1.132539598304394E-3</v>
      </c>
      <c r="L1479" s="251">
        <f t="shared" si="114"/>
        <v>42026</v>
      </c>
      <c r="M1479" s="513">
        <v>26.7</v>
      </c>
      <c r="N1479" s="254">
        <f t="shared" si="115"/>
        <v>-5.5865921787709993E-3</v>
      </c>
      <c r="O1479" s="1137">
        <f t="shared" si="117"/>
        <v>-5.6180117382134539E-3</v>
      </c>
      <c r="P1479" s="1138"/>
    </row>
    <row r="1480" spans="6:16" x14ac:dyDescent="0.2">
      <c r="F1480" s="1137">
        <f t="shared" si="116"/>
        <v>-2.0859403762697057E-2</v>
      </c>
      <c r="G1480" s="1138"/>
      <c r="H1480" s="520">
        <v>8008.55</v>
      </c>
      <c r="I1480" s="512">
        <v>42025</v>
      </c>
      <c r="J1480" s="254">
        <f t="shared" si="113"/>
        <v>-2.0827984203254601E-2</v>
      </c>
      <c r="L1480" s="251">
        <f t="shared" si="114"/>
        <v>42025</v>
      </c>
      <c r="M1480" s="513">
        <v>26.85</v>
      </c>
      <c r="N1480" s="254">
        <f t="shared" si="115"/>
        <v>-9.2250922509224953E-3</v>
      </c>
      <c r="O1480" s="1137">
        <f t="shared" si="117"/>
        <v>-9.256511810364949E-3</v>
      </c>
      <c r="P1480" s="1138"/>
    </row>
    <row r="1481" spans="6:16" x14ac:dyDescent="0.2">
      <c r="F1481" s="1137">
        <f t="shared" si="116"/>
        <v>3.1723955809146035E-3</v>
      </c>
      <c r="G1481" s="1138"/>
      <c r="H1481" s="520">
        <v>8178.9</v>
      </c>
      <c r="I1481" s="512">
        <v>42024</v>
      </c>
      <c r="J1481" s="254">
        <f t="shared" si="113"/>
        <v>3.2038151403570581E-3</v>
      </c>
      <c r="L1481" s="251">
        <f t="shared" si="114"/>
        <v>42024</v>
      </c>
      <c r="M1481" s="513">
        <v>27.1</v>
      </c>
      <c r="N1481" s="254">
        <f t="shared" si="115"/>
        <v>-2.3423423423423406E-2</v>
      </c>
      <c r="O1481" s="1137">
        <f t="shared" si="117"/>
        <v>-2.3454842982865862E-2</v>
      </c>
      <c r="P1481" s="1138"/>
    </row>
    <row r="1482" spans="6:16" x14ac:dyDescent="0.2">
      <c r="F1482" s="1137">
        <f t="shared" si="116"/>
        <v>3.2019610937076906E-2</v>
      </c>
      <c r="G1482" s="1138"/>
      <c r="H1482" s="520">
        <v>8152.78</v>
      </c>
      <c r="I1482" s="512">
        <v>42023</v>
      </c>
      <c r="J1482" s="254">
        <f t="shared" si="113"/>
        <v>3.2051030496519362E-2</v>
      </c>
      <c r="L1482" s="251">
        <f t="shared" si="114"/>
        <v>42023</v>
      </c>
      <c r="M1482" s="513">
        <v>27.75</v>
      </c>
      <c r="N1482" s="254">
        <f t="shared" si="115"/>
        <v>1.2773722627737349E-2</v>
      </c>
      <c r="O1482" s="1137">
        <f t="shared" si="117"/>
        <v>1.2742303068294896E-2</v>
      </c>
      <c r="P1482" s="1138"/>
    </row>
    <row r="1483" spans="6:16" x14ac:dyDescent="0.2">
      <c r="F1483" s="1137">
        <f t="shared" si="116"/>
        <v>-5.9672326588812982E-2</v>
      </c>
      <c r="G1483" s="1138"/>
      <c r="H1483" s="520">
        <v>7899.59</v>
      </c>
      <c r="I1483" s="512">
        <v>42020</v>
      </c>
      <c r="J1483" s="254">
        <f t="shared" si="113"/>
        <v>-5.9640907029370527E-2</v>
      </c>
      <c r="L1483" s="251">
        <f t="shared" si="114"/>
        <v>42020</v>
      </c>
      <c r="M1483" s="513">
        <v>27.4</v>
      </c>
      <c r="N1483" s="254">
        <f t="shared" si="115"/>
        <v>-4.5296167247386832E-2</v>
      </c>
      <c r="O1483" s="1137">
        <f t="shared" si="117"/>
        <v>-4.5327586806829287E-2</v>
      </c>
      <c r="P1483" s="1138"/>
    </row>
    <row r="1484" spans="6:16" x14ac:dyDescent="0.2">
      <c r="F1484" s="1137">
        <f t="shared" si="116"/>
        <v>-8.6742950076282674E-2</v>
      </c>
      <c r="G1484" s="1138"/>
      <c r="H1484" s="520">
        <v>8400.61</v>
      </c>
      <c r="I1484" s="512">
        <v>42019</v>
      </c>
      <c r="J1484" s="254">
        <f t="shared" si="113"/>
        <v>-8.6711530516840218E-2</v>
      </c>
      <c r="L1484" s="251">
        <f t="shared" si="114"/>
        <v>42019</v>
      </c>
      <c r="M1484" s="513">
        <v>28.7</v>
      </c>
      <c r="N1484" s="254">
        <f t="shared" si="115"/>
        <v>-9.033280507131547E-2</v>
      </c>
      <c r="O1484" s="1137">
        <f t="shared" si="117"/>
        <v>-9.0364224630757925E-2</v>
      </c>
      <c r="P1484" s="1138"/>
    </row>
    <row r="1485" spans="6:16" x14ac:dyDescent="0.2">
      <c r="F1485" s="1137">
        <f t="shared" si="116"/>
        <v>-9.4470434858748131E-3</v>
      </c>
      <c r="G1485" s="1138"/>
      <c r="H1485" s="520">
        <v>9198.2000000000007</v>
      </c>
      <c r="I1485" s="512">
        <v>42018</v>
      </c>
      <c r="J1485" s="254">
        <f t="shared" si="113"/>
        <v>-9.4156239264323593E-3</v>
      </c>
      <c r="L1485" s="251">
        <f t="shared" si="114"/>
        <v>42018</v>
      </c>
      <c r="M1485" s="513">
        <v>31.55</v>
      </c>
      <c r="N1485" s="254">
        <f t="shared" si="115"/>
        <v>-1.097178683385569E-2</v>
      </c>
      <c r="O1485" s="1137">
        <f t="shared" si="117"/>
        <v>-1.1003206393298144E-2</v>
      </c>
      <c r="P1485" s="1138"/>
    </row>
    <row r="1486" spans="6:16" x14ac:dyDescent="0.2">
      <c r="F1486" s="1137">
        <f t="shared" si="116"/>
        <v>1.4462236598067073E-2</v>
      </c>
      <c r="G1486" s="1138"/>
      <c r="H1486" s="520">
        <v>9285.6299999999992</v>
      </c>
      <c r="I1486" s="512">
        <v>42017</v>
      </c>
      <c r="J1486" s="254">
        <f t="shared" si="113"/>
        <v>1.4493656157509527E-2</v>
      </c>
      <c r="L1486" s="251">
        <f t="shared" si="114"/>
        <v>42017</v>
      </c>
      <c r="M1486" s="513">
        <v>31.9</v>
      </c>
      <c r="N1486" s="254">
        <f t="shared" si="115"/>
        <v>-0.1355013550135501</v>
      </c>
      <c r="O1486" s="1137">
        <f t="shared" si="117"/>
        <v>-0.13553277457299254</v>
      </c>
      <c r="P1486" s="1138"/>
    </row>
    <row r="1487" spans="6:16" x14ac:dyDescent="0.2">
      <c r="F1487" s="1137">
        <f t="shared" si="116"/>
        <v>5.1598342705760506E-3</v>
      </c>
      <c r="G1487" s="1138"/>
      <c r="H1487" s="520">
        <v>9152.9699999999993</v>
      </c>
      <c r="I1487" s="512">
        <v>42016</v>
      </c>
      <c r="J1487" s="254">
        <f t="shared" si="113"/>
        <v>5.1912538300185052E-3</v>
      </c>
      <c r="L1487" s="251">
        <f t="shared" si="114"/>
        <v>42016</v>
      </c>
      <c r="M1487" s="513">
        <v>36.9</v>
      </c>
      <c r="N1487" s="254">
        <f t="shared" si="115"/>
        <v>2.7855153203342642E-2</v>
      </c>
      <c r="O1487" s="1137">
        <f t="shared" si="117"/>
        <v>2.7823733643900186E-2</v>
      </c>
      <c r="P1487" s="1138"/>
    </row>
    <row r="1488" spans="6:16" x14ac:dyDescent="0.2">
      <c r="F1488" s="1137">
        <f t="shared" si="116"/>
        <v>-3.7503640750660558E-3</v>
      </c>
      <c r="G1488" s="1138"/>
      <c r="H1488" s="520">
        <v>9105.7000000000007</v>
      </c>
      <c r="I1488" s="512">
        <v>42013</v>
      </c>
      <c r="J1488" s="254">
        <f t="shared" si="113"/>
        <v>-3.7189445156236012E-3</v>
      </c>
      <c r="L1488" s="251">
        <f t="shared" si="114"/>
        <v>42013</v>
      </c>
      <c r="M1488" s="513">
        <v>35.9</v>
      </c>
      <c r="N1488" s="254">
        <f t="shared" si="115"/>
        <v>-5.5401662049862077E-3</v>
      </c>
      <c r="O1488" s="1137">
        <f t="shared" si="117"/>
        <v>-5.5715857644286623E-3</v>
      </c>
      <c r="P1488" s="1138"/>
    </row>
    <row r="1489" spans="6:16" x14ac:dyDescent="0.2">
      <c r="F1489" s="1137">
        <f t="shared" si="116"/>
        <v>2.6804280032618213E-2</v>
      </c>
      <c r="G1489" s="1138"/>
      <c r="H1489" s="520">
        <v>9139.69</v>
      </c>
      <c r="I1489" s="512">
        <v>42012</v>
      </c>
      <c r="J1489" s="254">
        <f t="shared" si="113"/>
        <v>2.6835699592060669E-2</v>
      </c>
      <c r="L1489" s="251">
        <f t="shared" si="114"/>
        <v>42012</v>
      </c>
      <c r="M1489" s="513">
        <v>36.1</v>
      </c>
      <c r="N1489" s="254">
        <f t="shared" si="115"/>
        <v>2.9957203994293913E-2</v>
      </c>
      <c r="O1489" s="1137">
        <f t="shared" si="117"/>
        <v>2.9925784434851457E-2</v>
      </c>
      <c r="P1489" s="1138"/>
    </row>
    <row r="1490" spans="6:16" x14ac:dyDescent="0.2">
      <c r="F1490" s="1137">
        <f t="shared" si="116"/>
        <v>2.9388986680122945E-3</v>
      </c>
      <c r="G1490" s="1138"/>
      <c r="H1490" s="520">
        <v>8900.83</v>
      </c>
      <c r="I1490" s="512">
        <v>42011</v>
      </c>
      <c r="J1490" s="254">
        <f t="shared" si="113"/>
        <v>2.970318227454749E-3</v>
      </c>
      <c r="L1490" s="251">
        <f t="shared" si="114"/>
        <v>42011</v>
      </c>
      <c r="M1490" s="513">
        <v>35.049999999999997</v>
      </c>
      <c r="N1490" s="254">
        <f t="shared" si="115"/>
        <v>-9.8870056497175618E-3</v>
      </c>
      <c r="O1490" s="1137">
        <f t="shared" si="117"/>
        <v>-9.9184252091600155E-3</v>
      </c>
      <c r="P1490" s="1138"/>
    </row>
    <row r="1491" spans="6:16" x14ac:dyDescent="0.2">
      <c r="F1491" s="1137">
        <f t="shared" si="116"/>
        <v>-7.2336883076596211E-3</v>
      </c>
      <c r="G1491" s="1138"/>
      <c r="H1491" s="520">
        <v>8874.4699999999993</v>
      </c>
      <c r="I1491" s="512">
        <v>42010</v>
      </c>
      <c r="J1491" s="254">
        <f t="shared" si="113"/>
        <v>-7.2022687482171666E-3</v>
      </c>
      <c r="L1491" s="251">
        <f t="shared" si="114"/>
        <v>42010</v>
      </c>
      <c r="M1491" s="513">
        <v>35.4</v>
      </c>
      <c r="N1491" s="254">
        <f t="shared" si="115"/>
        <v>-2.344827586206899E-2</v>
      </c>
      <c r="O1491" s="1137">
        <f t="shared" si="117"/>
        <v>-2.3479695421511446E-2</v>
      </c>
      <c r="P1491" s="1138"/>
    </row>
    <row r="1492" spans="6:16" x14ac:dyDescent="0.2">
      <c r="F1492" s="1137">
        <f t="shared" si="116"/>
        <v>-4.9872434874338864E-3</v>
      </c>
      <c r="G1492" s="1138"/>
      <c r="H1492" s="520">
        <v>8938.85</v>
      </c>
      <c r="I1492" s="512">
        <v>42009</v>
      </c>
      <c r="J1492" s="254">
        <f t="shared" si="113"/>
        <v>-4.9558239279914318E-3</v>
      </c>
      <c r="L1492" s="251">
        <f t="shared" si="114"/>
        <v>42009</v>
      </c>
      <c r="M1492" s="513">
        <v>36.25</v>
      </c>
      <c r="N1492" s="254">
        <f t="shared" si="115"/>
        <v>2.1126760563380254E-2</v>
      </c>
      <c r="O1492" s="1137">
        <f t="shared" si="117"/>
        <v>2.1095341003937798E-2</v>
      </c>
      <c r="P1492" s="1138"/>
    </row>
    <row r="1493" spans="6:16" x14ac:dyDescent="0.2">
      <c r="F1493" s="1137">
        <f t="shared" si="116"/>
        <v>-5.6963392289332412E-3</v>
      </c>
      <c r="G1493" s="1138"/>
      <c r="H1493" s="520">
        <v>8983.3700000000008</v>
      </c>
      <c r="I1493" s="512">
        <v>42003</v>
      </c>
      <c r="J1493" s="254">
        <f t="shared" si="113"/>
        <v>-5.6649196694907866E-3</v>
      </c>
      <c r="L1493" s="251">
        <f t="shared" si="114"/>
        <v>42003</v>
      </c>
      <c r="M1493" s="513">
        <v>35.5</v>
      </c>
      <c r="N1493" s="254">
        <f t="shared" si="115"/>
        <v>4.2432814710042788E-3</v>
      </c>
      <c r="O1493" s="1137">
        <f t="shared" si="117"/>
        <v>4.2118619115618242E-3</v>
      </c>
      <c r="P1493" s="1138"/>
    </row>
    <row r="1494" spans="6:16" x14ac:dyDescent="0.2">
      <c r="F1494" s="1137">
        <f t="shared" si="116"/>
        <v>1.396254030923764E-3</v>
      </c>
      <c r="G1494" s="1138"/>
      <c r="H1494" s="520">
        <v>9034.5499999999993</v>
      </c>
      <c r="I1494" s="512">
        <v>42002</v>
      </c>
      <c r="J1494" s="254">
        <f t="shared" si="113"/>
        <v>1.4276735903662185E-3</v>
      </c>
      <c r="L1494" s="251">
        <f t="shared" si="114"/>
        <v>42002</v>
      </c>
      <c r="M1494" s="513">
        <v>35.35</v>
      </c>
      <c r="N1494" s="254">
        <f t="shared" si="115"/>
        <v>-2.8208744710860323E-3</v>
      </c>
      <c r="O1494" s="1137">
        <f t="shared" si="117"/>
        <v>-2.8522940305284869E-3</v>
      </c>
      <c r="P1494" s="1138"/>
    </row>
    <row r="1495" spans="6:16" x14ac:dyDescent="0.2">
      <c r="F1495" s="1137">
        <f t="shared" si="116"/>
        <v>-1.3354617581595027E-3</v>
      </c>
      <c r="G1495" s="1138"/>
      <c r="H1495" s="520">
        <v>9021.67</v>
      </c>
      <c r="I1495" s="512">
        <v>41996</v>
      </c>
      <c r="J1495" s="254">
        <f t="shared" si="113"/>
        <v>-1.3040421987170481E-3</v>
      </c>
      <c r="L1495" s="251">
        <f t="shared" si="114"/>
        <v>41996</v>
      </c>
      <c r="M1495" s="513">
        <v>35.450000000000003</v>
      </c>
      <c r="N1495" s="254">
        <f t="shared" si="115"/>
        <v>1.4124293785311437E-3</v>
      </c>
      <c r="O1495" s="1137">
        <f t="shared" si="117"/>
        <v>1.3810098190886891E-3</v>
      </c>
      <c r="P1495" s="1138"/>
    </row>
    <row r="1496" spans="6:16" x14ac:dyDescent="0.2">
      <c r="F1496" s="1137">
        <f t="shared" si="116"/>
        <v>6.3420731279188606E-3</v>
      </c>
      <c r="G1496" s="1138"/>
      <c r="H1496" s="520">
        <v>9033.4500000000007</v>
      </c>
      <c r="I1496" s="512">
        <v>41995</v>
      </c>
      <c r="J1496" s="254">
        <f t="shared" si="113"/>
        <v>6.3734926873613151E-3</v>
      </c>
      <c r="L1496" s="251">
        <f t="shared" si="114"/>
        <v>41995</v>
      </c>
      <c r="M1496" s="513">
        <v>35.4</v>
      </c>
      <c r="N1496" s="254">
        <f t="shared" si="115"/>
        <v>3.8123167155425186E-2</v>
      </c>
      <c r="O1496" s="1137">
        <f t="shared" si="117"/>
        <v>3.8091747595982731E-2</v>
      </c>
      <c r="P1496" s="1138"/>
    </row>
    <row r="1497" spans="6:16" x14ac:dyDescent="0.2">
      <c r="F1497" s="1137">
        <f t="shared" si="116"/>
        <v>-4.1221274283135675E-3</v>
      </c>
      <c r="G1497" s="1138"/>
      <c r="H1497" s="520">
        <v>8976.24</v>
      </c>
      <c r="I1497" s="512">
        <v>41992</v>
      </c>
      <c r="J1497" s="254">
        <f t="shared" si="113"/>
        <v>-4.0907078688711129E-3</v>
      </c>
      <c r="L1497" s="251">
        <f t="shared" si="114"/>
        <v>41992</v>
      </c>
      <c r="M1497" s="513">
        <v>34.1</v>
      </c>
      <c r="N1497" s="254">
        <f t="shared" si="115"/>
        <v>1.4684287812043451E-3</v>
      </c>
      <c r="O1497" s="1137">
        <f t="shared" si="117"/>
        <v>1.4370092217618905E-3</v>
      </c>
      <c r="P1497" s="1138"/>
    </row>
    <row r="1498" spans="6:16" x14ac:dyDescent="0.2">
      <c r="F1498" s="1137">
        <f t="shared" si="116"/>
        <v>2.7000627369184696E-2</v>
      </c>
      <c r="G1498" s="1138"/>
      <c r="H1498" s="520">
        <v>9013.11</v>
      </c>
      <c r="I1498" s="512">
        <v>41991</v>
      </c>
      <c r="J1498" s="254">
        <f t="shared" si="113"/>
        <v>2.7032046928627151E-2</v>
      </c>
      <c r="L1498" s="251">
        <f t="shared" si="114"/>
        <v>41991</v>
      </c>
      <c r="M1498" s="513">
        <v>34.049999999999997</v>
      </c>
      <c r="N1498" s="254">
        <f t="shared" si="115"/>
        <v>2.2522522522522515E-2</v>
      </c>
      <c r="O1498" s="1137">
        <f t="shared" si="117"/>
        <v>2.2491102963080059E-2</v>
      </c>
      <c r="P1498" s="1138"/>
    </row>
    <row r="1499" spans="6:16" x14ac:dyDescent="0.2">
      <c r="F1499" s="1137">
        <f t="shared" si="116"/>
        <v>-2.2201308121470439E-3</v>
      </c>
      <c r="G1499" s="1138"/>
      <c r="H1499" s="520">
        <v>8775.8799999999992</v>
      </c>
      <c r="I1499" s="512">
        <v>41990</v>
      </c>
      <c r="J1499" s="254">
        <f t="shared" si="113"/>
        <v>-2.1887112527045893E-3</v>
      </c>
      <c r="L1499" s="251">
        <f t="shared" si="114"/>
        <v>41990</v>
      </c>
      <c r="M1499" s="513">
        <v>33.299999999999997</v>
      </c>
      <c r="N1499" s="254">
        <f t="shared" si="115"/>
        <v>-8.9285714285715079E-3</v>
      </c>
      <c r="O1499" s="1137">
        <f t="shared" si="117"/>
        <v>-8.9599909880139616E-3</v>
      </c>
      <c r="P1499" s="1138"/>
    </row>
    <row r="1500" spans="6:16" x14ac:dyDescent="0.2">
      <c r="F1500" s="1137">
        <f t="shared" si="116"/>
        <v>9.4155792308458653E-3</v>
      </c>
      <c r="G1500" s="1138"/>
      <c r="H1500" s="520">
        <v>8795.1299999999992</v>
      </c>
      <c r="I1500" s="512">
        <v>41989</v>
      </c>
      <c r="J1500" s="254">
        <f t="shared" si="113"/>
        <v>9.446998790288319E-3</v>
      </c>
      <c r="L1500" s="251">
        <f t="shared" si="114"/>
        <v>41989</v>
      </c>
      <c r="M1500" s="513">
        <v>33.6</v>
      </c>
      <c r="N1500" s="254">
        <f t="shared" si="115"/>
        <v>2.7522935779816571E-2</v>
      </c>
      <c r="O1500" s="1137">
        <f t="shared" si="117"/>
        <v>2.7491516220374115E-2</v>
      </c>
      <c r="P1500" s="1138"/>
    </row>
    <row r="1501" spans="6:16" x14ac:dyDescent="0.2">
      <c r="F1501" s="1137">
        <f t="shared" si="116"/>
        <v>-2.0551129295428169E-2</v>
      </c>
      <c r="G1501" s="1138"/>
      <c r="H1501" s="520">
        <v>8712.82</v>
      </c>
      <c r="I1501" s="512">
        <v>41988</v>
      </c>
      <c r="J1501" s="254">
        <f t="shared" ref="J1501:J1530" si="118">H1501/H1502-1</f>
        <v>-2.0519709735985714E-2</v>
      </c>
      <c r="L1501" s="251">
        <f t="shared" ref="L1501:L1531" si="119">I1501</f>
        <v>41988</v>
      </c>
      <c r="M1501" s="513">
        <v>32.700000000000003</v>
      </c>
      <c r="N1501" s="254">
        <f t="shared" ref="N1501:N1530" si="120">M1501/M1502-1</f>
        <v>-3.5398230088495408E-2</v>
      </c>
      <c r="O1501" s="1137">
        <f t="shared" si="117"/>
        <v>-3.5429649647937864E-2</v>
      </c>
      <c r="P1501" s="1138"/>
    </row>
    <row r="1502" spans="6:16" x14ac:dyDescent="0.2">
      <c r="F1502" s="1137">
        <f t="shared" ref="F1502:F1530" si="121">J1502-$I$19</f>
        <v>-1.8076816200505982E-2</v>
      </c>
      <c r="G1502" s="1138"/>
      <c r="H1502" s="520">
        <v>8895.35</v>
      </c>
      <c r="I1502" s="512">
        <v>41985</v>
      </c>
      <c r="J1502" s="254">
        <f t="shared" si="118"/>
        <v>-1.8045396641063527E-2</v>
      </c>
      <c r="L1502" s="251">
        <f t="shared" si="119"/>
        <v>41985</v>
      </c>
      <c r="M1502" s="513">
        <v>33.9</v>
      </c>
      <c r="N1502" s="254">
        <f t="shared" si="120"/>
        <v>-2.9411764705882248E-3</v>
      </c>
      <c r="O1502" s="1137">
        <f t="shared" ref="O1502:O1530" si="122">N1502-$I$19</f>
        <v>-2.9725960300306794E-3</v>
      </c>
      <c r="P1502" s="1138"/>
    </row>
    <row r="1503" spans="6:16" x14ac:dyDescent="0.2">
      <c r="F1503" s="1137">
        <f t="shared" si="121"/>
        <v>4.1799445833247831E-3</v>
      </c>
      <c r="G1503" s="1138"/>
      <c r="H1503" s="520">
        <v>9058.82</v>
      </c>
      <c r="I1503" s="512">
        <v>41984</v>
      </c>
      <c r="J1503" s="254">
        <f t="shared" si="118"/>
        <v>4.2113641427672377E-3</v>
      </c>
      <c r="L1503" s="251">
        <f t="shared" si="119"/>
        <v>41984</v>
      </c>
      <c r="M1503" s="513">
        <v>34</v>
      </c>
      <c r="N1503" s="254">
        <f t="shared" si="120"/>
        <v>-1.4492753623188359E-2</v>
      </c>
      <c r="O1503" s="1137">
        <f t="shared" si="122"/>
        <v>-1.4524173182630813E-2</v>
      </c>
      <c r="P1503" s="1138"/>
    </row>
    <row r="1504" spans="6:16" x14ac:dyDescent="0.2">
      <c r="F1504" s="1137">
        <f t="shared" si="121"/>
        <v>-3.4076965732491712E-3</v>
      </c>
      <c r="G1504" s="1138"/>
      <c r="H1504" s="520">
        <v>9020.83</v>
      </c>
      <c r="I1504" s="512">
        <v>41983</v>
      </c>
      <c r="J1504" s="254">
        <f t="shared" si="118"/>
        <v>-3.3762770138067166E-3</v>
      </c>
      <c r="L1504" s="251">
        <f t="shared" si="119"/>
        <v>41983</v>
      </c>
      <c r="M1504" s="513">
        <v>34.5</v>
      </c>
      <c r="N1504" s="254">
        <f t="shared" si="120"/>
        <v>1.024890190336758E-2</v>
      </c>
      <c r="O1504" s="1137">
        <f t="shared" si="122"/>
        <v>1.0217482343925126E-2</v>
      </c>
      <c r="P1504" s="1138"/>
    </row>
    <row r="1505" spans="6:16" x14ac:dyDescent="0.2">
      <c r="F1505" s="1137">
        <f t="shared" si="121"/>
        <v>-1.4174389354372137E-2</v>
      </c>
      <c r="G1505" s="1138"/>
      <c r="H1505" s="520">
        <v>9051.39</v>
      </c>
      <c r="I1505" s="512">
        <v>41982</v>
      </c>
      <c r="J1505" s="254">
        <f t="shared" si="118"/>
        <v>-1.4142969794929683E-2</v>
      </c>
      <c r="L1505" s="251">
        <f t="shared" si="119"/>
        <v>41982</v>
      </c>
      <c r="M1505" s="513">
        <v>34.15</v>
      </c>
      <c r="N1505" s="254">
        <f t="shared" si="120"/>
        <v>-2.2889842632332069E-2</v>
      </c>
      <c r="O1505" s="1137">
        <f t="shared" si="122"/>
        <v>-2.2921262191774525E-2</v>
      </c>
      <c r="P1505" s="1138"/>
    </row>
    <row r="1506" spans="6:16" x14ac:dyDescent="0.2">
      <c r="F1506" s="1137">
        <f t="shared" si="121"/>
        <v>-3.4624968048117396E-3</v>
      </c>
      <c r="G1506" s="1138"/>
      <c r="H1506" s="520">
        <v>9181.24</v>
      </c>
      <c r="I1506" s="512">
        <v>41981</v>
      </c>
      <c r="J1506" s="254">
        <f t="shared" si="118"/>
        <v>-3.431077245369285E-3</v>
      </c>
      <c r="L1506" s="251">
        <f t="shared" si="119"/>
        <v>41981</v>
      </c>
      <c r="M1506" s="513">
        <v>34.950000000000003</v>
      </c>
      <c r="N1506" s="254">
        <f t="shared" si="120"/>
        <v>-1.4285714285713347E-3</v>
      </c>
      <c r="O1506" s="1137">
        <f t="shared" si="122"/>
        <v>-1.4599909880137893E-3</v>
      </c>
      <c r="P1506" s="1138"/>
    </row>
    <row r="1507" spans="6:16" x14ac:dyDescent="0.2">
      <c r="F1507" s="1137">
        <f t="shared" si="121"/>
        <v>1.0352242951785233E-2</v>
      </c>
      <c r="G1507" s="1138"/>
      <c r="H1507" s="520">
        <v>9212.85</v>
      </c>
      <c r="I1507" s="512">
        <v>41978</v>
      </c>
      <c r="J1507" s="254">
        <f t="shared" si="118"/>
        <v>1.0383662511227687E-2</v>
      </c>
      <c r="L1507" s="251">
        <f t="shared" si="119"/>
        <v>41978</v>
      </c>
      <c r="M1507" s="513">
        <v>35</v>
      </c>
      <c r="N1507" s="254">
        <f t="shared" si="120"/>
        <v>2.0408163265306145E-2</v>
      </c>
      <c r="O1507" s="1137">
        <f t="shared" si="122"/>
        <v>2.037674370586369E-2</v>
      </c>
      <c r="P1507" s="1138"/>
    </row>
    <row r="1508" spans="6:16" x14ac:dyDescent="0.2">
      <c r="F1508" s="1137">
        <f t="shared" si="121"/>
        <v>-5.5067657769272546E-3</v>
      </c>
      <c r="G1508" s="1138"/>
      <c r="H1508" s="520">
        <v>9118.17</v>
      </c>
      <c r="I1508" s="512">
        <v>41977</v>
      </c>
      <c r="J1508" s="254">
        <f t="shared" si="118"/>
        <v>-5.4753462174848E-3</v>
      </c>
      <c r="L1508" s="251">
        <f t="shared" si="119"/>
        <v>41977</v>
      </c>
      <c r="M1508" s="513">
        <v>34.299999999999997</v>
      </c>
      <c r="N1508" s="254">
        <f t="shared" si="120"/>
        <v>1.4792899408283988E-2</v>
      </c>
      <c r="O1508" s="1137">
        <f t="shared" si="122"/>
        <v>1.4761479848841534E-2</v>
      </c>
      <c r="P1508" s="1138"/>
    </row>
    <row r="1509" spans="6:16" x14ac:dyDescent="0.2">
      <c r="F1509" s="1137">
        <f t="shared" si="121"/>
        <v>3.2305823314464225E-3</v>
      </c>
      <c r="G1509" s="1138"/>
      <c r="H1509" s="520">
        <v>9168.3700000000008</v>
      </c>
      <c r="I1509" s="512">
        <v>41976</v>
      </c>
      <c r="J1509" s="254">
        <f t="shared" si="118"/>
        <v>3.262001890888877E-3</v>
      </c>
      <c r="L1509" s="251">
        <f t="shared" si="119"/>
        <v>41976</v>
      </c>
      <c r="M1509" s="513">
        <v>33.799999999999997</v>
      </c>
      <c r="N1509" s="254">
        <f t="shared" si="120"/>
        <v>2.7355623100303816E-2</v>
      </c>
      <c r="O1509" s="1137">
        <f t="shared" si="122"/>
        <v>2.7324203540861361E-2</v>
      </c>
      <c r="P1509" s="1138"/>
    </row>
    <row r="1510" spans="6:16" x14ac:dyDescent="0.2">
      <c r="F1510" s="1137">
        <f t="shared" si="121"/>
        <v>-8.6455426704727569E-4</v>
      </c>
      <c r="G1510" s="1138"/>
      <c r="H1510" s="520">
        <v>9138.56</v>
      </c>
      <c r="I1510" s="512">
        <v>41975</v>
      </c>
      <c r="J1510" s="254">
        <f t="shared" si="118"/>
        <v>-8.3313470760482122E-4</v>
      </c>
      <c r="L1510" s="251">
        <f t="shared" si="119"/>
        <v>41975</v>
      </c>
      <c r="M1510" s="513">
        <v>32.9</v>
      </c>
      <c r="N1510" s="254">
        <f t="shared" si="120"/>
        <v>-1.2012012012011963E-2</v>
      </c>
      <c r="O1510" s="1137">
        <f t="shared" si="122"/>
        <v>-1.2043431571454417E-2</v>
      </c>
      <c r="P1510" s="1138"/>
    </row>
    <row r="1511" spans="6:16" x14ac:dyDescent="0.2">
      <c r="F1511" s="1137">
        <f t="shared" si="121"/>
        <v>-4.9915560768469438E-4</v>
      </c>
      <c r="G1511" s="1138"/>
      <c r="H1511" s="520">
        <v>9146.18</v>
      </c>
      <c r="I1511" s="512">
        <v>41974</v>
      </c>
      <c r="J1511" s="254">
        <f t="shared" si="118"/>
        <v>-4.6773604824223991E-4</v>
      </c>
      <c r="L1511" s="251">
        <f t="shared" si="119"/>
        <v>41974</v>
      </c>
      <c r="M1511" s="513">
        <v>33.299999999999997</v>
      </c>
      <c r="N1511" s="254">
        <f t="shared" si="120"/>
        <v>-2.3460410557184841E-2</v>
      </c>
      <c r="O1511" s="1137">
        <f t="shared" si="122"/>
        <v>-2.3491830116627296E-2</v>
      </c>
      <c r="P1511" s="1138"/>
    </row>
    <row r="1512" spans="6:16" x14ac:dyDescent="0.2">
      <c r="F1512" s="1137">
        <f t="shared" si="121"/>
        <v>2.3028612881721014E-3</v>
      </c>
      <c r="G1512" s="1138"/>
      <c r="H1512" s="520">
        <v>9150.4599999999991</v>
      </c>
      <c r="I1512" s="512">
        <v>41971</v>
      </c>
      <c r="J1512" s="254">
        <f t="shared" si="118"/>
        <v>2.334280847614556E-3</v>
      </c>
      <c r="L1512" s="251">
        <f t="shared" si="119"/>
        <v>41971</v>
      </c>
      <c r="M1512" s="513">
        <v>34.1</v>
      </c>
      <c r="N1512" s="254">
        <f t="shared" si="120"/>
        <v>-1.4641288433381305E-3</v>
      </c>
      <c r="O1512" s="1137">
        <f t="shared" si="122"/>
        <v>-1.4955484027805851E-3</v>
      </c>
      <c r="P1512" s="1138"/>
    </row>
    <row r="1513" spans="6:16" x14ac:dyDescent="0.2">
      <c r="F1513" s="1137">
        <f t="shared" si="121"/>
        <v>7.7189353385919849E-3</v>
      </c>
      <c r="G1513" s="1138"/>
      <c r="H1513" s="520">
        <v>9129.15</v>
      </c>
      <c r="I1513" s="512">
        <v>41970</v>
      </c>
      <c r="J1513" s="254">
        <f t="shared" si="118"/>
        <v>7.7503548980344394E-3</v>
      </c>
      <c r="L1513" s="251">
        <f t="shared" si="119"/>
        <v>41970</v>
      </c>
      <c r="M1513" s="513">
        <v>34.15</v>
      </c>
      <c r="N1513" s="254">
        <f t="shared" si="120"/>
        <v>1.636904761904745E-2</v>
      </c>
      <c r="O1513" s="1137">
        <f t="shared" si="122"/>
        <v>1.6337628059604994E-2</v>
      </c>
      <c r="P1513" s="1138"/>
    </row>
    <row r="1514" spans="6:16" x14ac:dyDescent="0.2">
      <c r="F1514" s="1137">
        <f t="shared" si="121"/>
        <v>1.760072842196884E-3</v>
      </c>
      <c r="G1514" s="1138"/>
      <c r="H1514" s="520">
        <v>9058.94</v>
      </c>
      <c r="I1514" s="512">
        <v>41969</v>
      </c>
      <c r="J1514" s="254">
        <f t="shared" si="118"/>
        <v>1.7914924016393385E-3</v>
      </c>
      <c r="L1514" s="251">
        <f t="shared" si="119"/>
        <v>41969</v>
      </c>
      <c r="M1514" s="513">
        <v>33.6</v>
      </c>
      <c r="N1514" s="254">
        <f t="shared" si="120"/>
        <v>-1.4858841010400026E-3</v>
      </c>
      <c r="O1514" s="1137">
        <f t="shared" si="122"/>
        <v>-1.5173036604824571E-3</v>
      </c>
      <c r="P1514" s="1138"/>
    </row>
    <row r="1515" spans="6:16" x14ac:dyDescent="0.2">
      <c r="F1515" s="1137">
        <f t="shared" si="121"/>
        <v>-1.7723239686664857E-3</v>
      </c>
      <c r="G1515" s="1138"/>
      <c r="H1515" s="520">
        <v>9042.74</v>
      </c>
      <c r="I1515" s="512">
        <v>41968</v>
      </c>
      <c r="J1515" s="254">
        <f t="shared" si="118"/>
        <v>-1.7409044092240311E-3</v>
      </c>
      <c r="L1515" s="251">
        <f t="shared" si="119"/>
        <v>41968</v>
      </c>
      <c r="M1515" s="513">
        <v>33.65</v>
      </c>
      <c r="N1515" s="254">
        <f t="shared" si="120"/>
        <v>-8.8365243004419058E-3</v>
      </c>
      <c r="O1515" s="1137">
        <f t="shared" si="122"/>
        <v>-8.8679438598843596E-3</v>
      </c>
      <c r="P1515" s="1138"/>
    </row>
    <row r="1516" spans="6:16" x14ac:dyDescent="0.2">
      <c r="F1516" s="1137">
        <f t="shared" si="121"/>
        <v>-2.4585853148206124E-3</v>
      </c>
      <c r="G1516" s="1138"/>
      <c r="H1516" s="520">
        <v>9058.51</v>
      </c>
      <c r="I1516" s="512">
        <v>41967</v>
      </c>
      <c r="J1516" s="254">
        <f t="shared" si="118"/>
        <v>-2.4271657553781578E-3</v>
      </c>
      <c r="L1516" s="251">
        <f t="shared" si="119"/>
        <v>41967</v>
      </c>
      <c r="M1516" s="513">
        <v>33.950000000000003</v>
      </c>
      <c r="N1516" s="254">
        <f t="shared" si="120"/>
        <v>1.3432835820895717E-2</v>
      </c>
      <c r="O1516" s="1137">
        <f t="shared" si="122"/>
        <v>1.3401416261453263E-2</v>
      </c>
      <c r="P1516" s="1138"/>
    </row>
    <row r="1517" spans="6:16" x14ac:dyDescent="0.2">
      <c r="F1517" s="1137">
        <f t="shared" si="121"/>
        <v>1.0047624349638089E-2</v>
      </c>
      <c r="G1517" s="1138"/>
      <c r="H1517" s="520">
        <v>9080.5499999999993</v>
      </c>
      <c r="I1517" s="512">
        <v>41964</v>
      </c>
      <c r="J1517" s="254">
        <f t="shared" si="118"/>
        <v>1.0079043909080543E-2</v>
      </c>
      <c r="L1517" s="251">
        <f t="shared" si="119"/>
        <v>41964</v>
      </c>
      <c r="M1517" s="513">
        <v>33.5</v>
      </c>
      <c r="N1517" s="254">
        <f t="shared" si="120"/>
        <v>1.0558069381598756E-2</v>
      </c>
      <c r="O1517" s="1137">
        <f t="shared" si="122"/>
        <v>1.0526649822156302E-2</v>
      </c>
      <c r="P1517" s="1138"/>
    </row>
    <row r="1518" spans="6:16" x14ac:dyDescent="0.2">
      <c r="F1518" s="1137">
        <f t="shared" si="121"/>
        <v>6.832223626549043E-4</v>
      </c>
      <c r="G1518" s="1138"/>
      <c r="H1518" s="520">
        <v>8989.94</v>
      </c>
      <c r="I1518" s="512">
        <v>41963</v>
      </c>
      <c r="J1518" s="254">
        <f t="shared" si="118"/>
        <v>7.1464192209735877E-4</v>
      </c>
      <c r="L1518" s="251">
        <f t="shared" si="119"/>
        <v>41963</v>
      </c>
      <c r="M1518" s="513">
        <v>33.15</v>
      </c>
      <c r="N1518" s="254">
        <f t="shared" si="120"/>
        <v>7.5987841945288626E-3</v>
      </c>
      <c r="O1518" s="1137">
        <f t="shared" si="122"/>
        <v>7.567364635086408E-3</v>
      </c>
      <c r="P1518" s="1138"/>
    </row>
    <row r="1519" spans="6:16" x14ac:dyDescent="0.2">
      <c r="F1519" s="1137">
        <f t="shared" si="121"/>
        <v>1.1923141881919489E-3</v>
      </c>
      <c r="G1519" s="1138"/>
      <c r="H1519" s="520">
        <v>8983.52</v>
      </c>
      <c r="I1519" s="512">
        <v>41962</v>
      </c>
      <c r="J1519" s="254">
        <f t="shared" si="118"/>
        <v>1.2237337476344035E-3</v>
      </c>
      <c r="L1519" s="251">
        <f t="shared" si="119"/>
        <v>41962</v>
      </c>
      <c r="M1519" s="513">
        <v>32.9</v>
      </c>
      <c r="N1519" s="254">
        <f t="shared" si="120"/>
        <v>0</v>
      </c>
      <c r="O1519" s="1137">
        <f t="shared" si="122"/>
        <v>-3.1419559442454485E-5</v>
      </c>
      <c r="P1519" s="1138"/>
    </row>
    <row r="1520" spans="6:16" x14ac:dyDescent="0.2">
      <c r="F1520" s="1137">
        <f t="shared" si="121"/>
        <v>5.0643287560707276E-3</v>
      </c>
      <c r="G1520" s="1138"/>
      <c r="H1520" s="520">
        <v>8972.5400000000009</v>
      </c>
      <c r="I1520" s="512">
        <v>41961</v>
      </c>
      <c r="J1520" s="254">
        <f t="shared" si="118"/>
        <v>5.0957483155131822E-3</v>
      </c>
      <c r="L1520" s="251">
        <f t="shared" si="119"/>
        <v>41961</v>
      </c>
      <c r="M1520" s="513">
        <v>32.9</v>
      </c>
      <c r="N1520" s="254">
        <f t="shared" si="120"/>
        <v>1.7001545595054068E-2</v>
      </c>
      <c r="O1520" s="1137">
        <f t="shared" si="122"/>
        <v>1.6970126035611613E-2</v>
      </c>
      <c r="P1520" s="1138"/>
    </row>
    <row r="1521" spans="6:17" x14ac:dyDescent="0.2">
      <c r="F1521" s="1137">
        <f t="shared" si="121"/>
        <v>1.2854163105384267E-3</v>
      </c>
      <c r="G1521" s="1138"/>
      <c r="H1521" s="520">
        <v>8927.0499999999993</v>
      </c>
      <c r="I1521" s="512">
        <v>41960</v>
      </c>
      <c r="J1521" s="254">
        <f t="shared" si="118"/>
        <v>1.3168358699808813E-3</v>
      </c>
      <c r="L1521" s="251">
        <f t="shared" si="119"/>
        <v>41960</v>
      </c>
      <c r="M1521" s="513">
        <v>32.35</v>
      </c>
      <c r="N1521" s="254">
        <f t="shared" si="120"/>
        <v>7.7881619937694158E-3</v>
      </c>
      <c r="O1521" s="1137">
        <f t="shared" si="122"/>
        <v>7.7567424343269612E-3</v>
      </c>
      <c r="P1521" s="1138"/>
    </row>
    <row r="1522" spans="6:17" x14ac:dyDescent="0.2">
      <c r="F1522" s="1137">
        <f t="shared" si="121"/>
        <v>-4.3968711809916758E-3</v>
      </c>
      <c r="G1522" s="1138"/>
      <c r="H1522" s="520">
        <v>8915.31</v>
      </c>
      <c r="I1522" s="512">
        <v>41957</v>
      </c>
      <c r="J1522" s="254">
        <f t="shared" si="118"/>
        <v>-4.3654516215492212E-3</v>
      </c>
      <c r="L1522" s="251">
        <f t="shared" si="119"/>
        <v>41957</v>
      </c>
      <c r="M1522" s="513">
        <v>32.1</v>
      </c>
      <c r="N1522" s="254">
        <f t="shared" si="120"/>
        <v>-3.1055900621118626E-3</v>
      </c>
      <c r="O1522" s="1137">
        <f t="shared" si="122"/>
        <v>-3.1370096215543172E-3</v>
      </c>
      <c r="P1522" s="1138"/>
    </row>
    <row r="1523" spans="6:17" x14ac:dyDescent="0.2">
      <c r="F1523" s="1137">
        <f t="shared" si="121"/>
        <v>9.7365268713440357E-3</v>
      </c>
      <c r="G1523" s="1138"/>
      <c r="H1523" s="520">
        <v>8954.4</v>
      </c>
      <c r="I1523" s="512">
        <v>41956</v>
      </c>
      <c r="J1523" s="254">
        <f t="shared" si="118"/>
        <v>9.7679464307864894E-3</v>
      </c>
      <c r="L1523" s="251">
        <f t="shared" si="119"/>
        <v>41956</v>
      </c>
      <c r="M1523" s="513">
        <v>32.200000000000003</v>
      </c>
      <c r="N1523" s="254">
        <f t="shared" si="120"/>
        <v>-3.0959752321979561E-3</v>
      </c>
      <c r="O1523" s="1137">
        <f t="shared" si="122"/>
        <v>-3.1273947916404107E-3</v>
      </c>
      <c r="P1523" s="1138"/>
    </row>
    <row r="1524" spans="6:17" x14ac:dyDescent="0.2">
      <c r="F1524" s="1137">
        <f t="shared" si="121"/>
        <v>-3.2204395287548778E-3</v>
      </c>
      <c r="G1524" s="1138"/>
      <c r="H1524" s="520">
        <v>8867.7800000000007</v>
      </c>
      <c r="I1524" s="512">
        <v>41955</v>
      </c>
      <c r="J1524" s="254">
        <f t="shared" si="118"/>
        <v>-3.1890199693124233E-3</v>
      </c>
      <c r="L1524" s="251">
        <f t="shared" si="119"/>
        <v>41955</v>
      </c>
      <c r="M1524" s="513">
        <v>32.299999999999997</v>
      </c>
      <c r="N1524" s="254">
        <f t="shared" si="120"/>
        <v>-1.6742770167427867E-2</v>
      </c>
      <c r="O1524" s="1137">
        <f t="shared" si="122"/>
        <v>-1.6774189726870323E-2</v>
      </c>
      <c r="P1524" s="1138"/>
    </row>
    <row r="1525" spans="6:17" x14ac:dyDescent="0.2">
      <c r="F1525" s="1137">
        <f t="shared" si="121"/>
        <v>3.1960857323353889E-3</v>
      </c>
      <c r="G1525" s="1138"/>
      <c r="H1525" s="520">
        <v>8896.15</v>
      </c>
      <c r="I1525" s="512">
        <v>41954</v>
      </c>
      <c r="J1525" s="254">
        <f t="shared" si="118"/>
        <v>3.2275052917778435E-3</v>
      </c>
      <c r="L1525" s="251">
        <f t="shared" si="119"/>
        <v>41954</v>
      </c>
      <c r="M1525" s="513">
        <v>32.85</v>
      </c>
      <c r="N1525" s="254">
        <f t="shared" si="120"/>
        <v>-4.5454545454545192E-3</v>
      </c>
      <c r="O1525" s="1137">
        <f t="shared" si="122"/>
        <v>-4.5768741048969738E-3</v>
      </c>
      <c r="P1525" s="1138"/>
    </row>
    <row r="1526" spans="6:17" x14ac:dyDescent="0.2">
      <c r="F1526" s="1137">
        <f t="shared" si="121"/>
        <v>5.708680157919325E-3</v>
      </c>
      <c r="G1526" s="1138"/>
      <c r="H1526" s="520">
        <v>8867.5300000000007</v>
      </c>
      <c r="I1526" s="512">
        <v>41953</v>
      </c>
      <c r="J1526" s="254">
        <f t="shared" si="118"/>
        <v>5.7400997173617796E-3</v>
      </c>
      <c r="L1526" s="251">
        <f t="shared" si="119"/>
        <v>41953</v>
      </c>
      <c r="M1526" s="513">
        <v>33</v>
      </c>
      <c r="N1526" s="254">
        <f t="shared" si="120"/>
        <v>-1.19760479041916E-2</v>
      </c>
      <c r="O1526" s="1137">
        <f t="shared" si="122"/>
        <v>-1.2007467463634054E-2</v>
      </c>
      <c r="P1526" s="1138"/>
    </row>
    <row r="1527" spans="6:17" x14ac:dyDescent="0.2">
      <c r="F1527" s="1137">
        <f t="shared" si="121"/>
        <v>-5.3293252170099467E-3</v>
      </c>
      <c r="G1527" s="1138"/>
      <c r="H1527" s="520">
        <v>8816.92</v>
      </c>
      <c r="I1527" s="512">
        <v>41950</v>
      </c>
      <c r="J1527" s="254">
        <f t="shared" si="118"/>
        <v>-5.2979056575674921E-3</v>
      </c>
      <c r="L1527" s="251">
        <f t="shared" si="119"/>
        <v>41950</v>
      </c>
      <c r="M1527" s="513">
        <v>33.4</v>
      </c>
      <c r="N1527" s="254">
        <f t="shared" si="120"/>
        <v>-1.6200294550810179E-2</v>
      </c>
      <c r="O1527" s="1137">
        <f t="shared" si="122"/>
        <v>-1.6231714110252635E-2</v>
      </c>
      <c r="P1527" s="1138"/>
    </row>
    <row r="1528" spans="6:17" x14ac:dyDescent="0.2">
      <c r="F1528" s="1137">
        <f t="shared" si="121"/>
        <v>2.310500815264808E-3</v>
      </c>
      <c r="G1528" s="1138"/>
      <c r="H1528" s="520">
        <v>8863.8799999999992</v>
      </c>
      <c r="I1528" s="512">
        <v>41949</v>
      </c>
      <c r="J1528" s="254">
        <f t="shared" si="118"/>
        <v>2.3419203747072626E-3</v>
      </c>
      <c r="L1528" s="251">
        <f t="shared" si="119"/>
        <v>41949</v>
      </c>
      <c r="M1528" s="513">
        <v>33.950000000000003</v>
      </c>
      <c r="N1528" s="254">
        <f t="shared" si="120"/>
        <v>2.9542097488921559E-3</v>
      </c>
      <c r="O1528" s="1137">
        <f t="shared" si="122"/>
        <v>2.9227901894497013E-3</v>
      </c>
      <c r="P1528" s="1138"/>
    </row>
    <row r="1529" spans="6:17" x14ac:dyDescent="0.2">
      <c r="F1529" s="1137">
        <f t="shared" si="121"/>
        <v>1.432390424114534E-2</v>
      </c>
      <c r="G1529" s="1138"/>
      <c r="H1529" s="520">
        <v>8843.17</v>
      </c>
      <c r="I1529" s="512">
        <v>41948</v>
      </c>
      <c r="J1529" s="254">
        <f t="shared" si="118"/>
        <v>1.4355323800587794E-2</v>
      </c>
      <c r="L1529" s="251">
        <f t="shared" si="119"/>
        <v>41948</v>
      </c>
      <c r="M1529" s="513">
        <v>33.85</v>
      </c>
      <c r="N1529" s="254">
        <f t="shared" si="120"/>
        <v>2.1116138763197734E-2</v>
      </c>
      <c r="O1529" s="1137">
        <f t="shared" si="122"/>
        <v>2.1084719203755278E-2</v>
      </c>
      <c r="P1529" s="1138"/>
    </row>
    <row r="1530" spans="6:17" x14ac:dyDescent="0.2">
      <c r="F1530" s="1137">
        <f t="shared" si="121"/>
        <v>-3.8764000031748366E-3</v>
      </c>
      <c r="G1530" s="1138"/>
      <c r="H1530" s="520">
        <v>8718.02</v>
      </c>
      <c r="I1530" s="512">
        <v>41947</v>
      </c>
      <c r="J1530" s="254">
        <f t="shared" si="118"/>
        <v>-3.844980443732382E-3</v>
      </c>
      <c r="L1530" s="251">
        <f t="shared" si="119"/>
        <v>41947</v>
      </c>
      <c r="M1530" s="513">
        <v>33.15</v>
      </c>
      <c r="N1530" s="254">
        <f t="shared" si="120"/>
        <v>-7.4850299401197917E-3</v>
      </c>
      <c r="O1530" s="1137">
        <f t="shared" si="122"/>
        <v>-7.5164494995622463E-3</v>
      </c>
      <c r="P1530" s="1138"/>
    </row>
    <row r="1531" spans="6:17" x14ac:dyDescent="0.2">
      <c r="F1531" s="1137"/>
      <c r="G1531" s="1138"/>
      <c r="H1531" s="521">
        <v>8751.67</v>
      </c>
      <c r="I1531" s="512">
        <v>41946</v>
      </c>
      <c r="J1531" s="254" t="s">
        <v>32</v>
      </c>
      <c r="L1531" s="251">
        <f t="shared" si="119"/>
        <v>41946</v>
      </c>
      <c r="M1531" s="513">
        <v>33.4</v>
      </c>
      <c r="N1531" s="254" t="s">
        <v>32</v>
      </c>
      <c r="O1531" s="1137" t="s">
        <v>32</v>
      </c>
      <c r="P1531" s="1138"/>
    </row>
    <row r="1532" spans="6:17" ht="17" thickBot="1" x14ac:dyDescent="0.25">
      <c r="F1532" s="1183"/>
      <c r="G1532" s="1184"/>
      <c r="H1532" s="530"/>
      <c r="I1532" s="402"/>
      <c r="J1532" s="531"/>
      <c r="K1532" s="438"/>
      <c r="L1532" s="508"/>
      <c r="M1532" s="438"/>
      <c r="N1532" s="509"/>
      <c r="O1532" s="511"/>
      <c r="P1532" s="511"/>
      <c r="Q1532" s="438"/>
    </row>
    <row r="1533" spans="6:17" x14ac:dyDescent="0.2">
      <c r="F1533" s="536"/>
      <c r="G1533" s="522"/>
      <c r="H1533" s="508"/>
      <c r="I1533" s="438"/>
      <c r="J1533" s="509"/>
      <c r="K1533" s="438"/>
      <c r="L1533" s="508"/>
      <c r="M1533" s="438"/>
      <c r="N1533" s="509"/>
      <c r="O1533" s="511"/>
      <c r="P1533" s="511"/>
    </row>
    <row r="1534" spans="6:17" x14ac:dyDescent="0.2">
      <c r="F1534" s="536"/>
      <c r="G1534" s="522"/>
      <c r="H1534" s="508"/>
      <c r="I1534" s="438"/>
      <c r="J1534" s="509"/>
      <c r="K1534" s="438"/>
      <c r="L1534" s="508"/>
      <c r="M1534" s="438"/>
      <c r="N1534" s="509"/>
      <c r="O1534" s="511"/>
      <c r="P1534" s="511"/>
    </row>
    <row r="1535" spans="6:17" x14ac:dyDescent="0.2">
      <c r="F1535" s="536"/>
      <c r="G1535" s="522"/>
      <c r="H1535" s="508"/>
      <c r="I1535" s="438"/>
      <c r="J1535" s="509"/>
      <c r="K1535" s="438"/>
      <c r="L1535" s="508"/>
      <c r="M1535" s="438"/>
      <c r="N1535" s="509"/>
      <c r="O1535" s="511"/>
      <c r="P1535" s="511"/>
    </row>
    <row r="1536" spans="6:17" x14ac:dyDescent="0.2">
      <c r="F1536" s="536"/>
      <c r="G1536" s="522"/>
      <c r="H1536" s="508"/>
      <c r="I1536" s="438"/>
      <c r="J1536" s="509"/>
      <c r="K1536" s="438"/>
      <c r="L1536" s="508"/>
      <c r="M1536" s="438"/>
      <c r="N1536" s="509"/>
      <c r="O1536" s="511"/>
      <c r="P1536" s="511"/>
    </row>
    <row r="1537" spans="6:16" x14ac:dyDescent="0.2">
      <c r="F1537" s="536"/>
      <c r="G1537" s="522"/>
      <c r="H1537" s="508"/>
      <c r="I1537" s="438"/>
      <c r="J1537" s="509"/>
      <c r="K1537" s="438"/>
      <c r="L1537" s="508"/>
      <c r="M1537" s="438"/>
      <c r="N1537" s="509"/>
      <c r="O1537" s="511"/>
      <c r="P1537" s="511"/>
    </row>
    <row r="1538" spans="6:16" x14ac:dyDescent="0.2">
      <c r="F1538" s="536"/>
      <c r="G1538" s="522"/>
      <c r="H1538" s="508"/>
      <c r="I1538" s="438"/>
      <c r="J1538" s="509"/>
      <c r="K1538" s="438"/>
      <c r="L1538" s="508"/>
      <c r="M1538" s="438"/>
      <c r="N1538" s="509"/>
      <c r="O1538" s="511"/>
      <c r="P1538" s="511"/>
    </row>
    <row r="1539" spans="6:16" x14ac:dyDescent="0.2">
      <c r="F1539" s="536"/>
      <c r="G1539" s="522"/>
      <c r="H1539" s="508"/>
      <c r="I1539" s="438"/>
      <c r="J1539" s="509"/>
      <c r="K1539" s="438"/>
      <c r="L1539" s="508"/>
      <c r="M1539" s="438"/>
      <c r="N1539" s="509"/>
      <c r="O1539" s="511"/>
      <c r="P1539" s="511"/>
    </row>
    <row r="1540" spans="6:16" x14ac:dyDescent="0.2">
      <c r="F1540" s="536"/>
      <c r="G1540" s="522"/>
      <c r="H1540" s="508"/>
      <c r="I1540" s="438"/>
      <c r="J1540" s="509"/>
      <c r="K1540" s="438"/>
      <c r="L1540" s="508"/>
      <c r="M1540" s="438"/>
      <c r="N1540" s="509"/>
      <c r="O1540" s="511"/>
      <c r="P1540" s="511"/>
    </row>
    <row r="1541" spans="6:16" x14ac:dyDescent="0.2">
      <c r="F1541" s="536"/>
      <c r="G1541" s="522"/>
      <c r="H1541" s="508"/>
      <c r="I1541" s="438"/>
      <c r="J1541" s="509"/>
      <c r="K1541" s="438"/>
      <c r="L1541" s="508"/>
      <c r="M1541" s="438"/>
      <c r="N1541" s="509"/>
      <c r="O1541" s="511"/>
      <c r="P1541" s="511"/>
    </row>
    <row r="1542" spans="6:16" x14ac:dyDescent="0.2">
      <c r="F1542" s="536"/>
      <c r="G1542" s="522"/>
      <c r="H1542" s="508"/>
      <c r="I1542" s="438"/>
      <c r="J1542" s="509"/>
      <c r="K1542" s="438"/>
      <c r="L1542" s="508"/>
      <c r="M1542" s="438"/>
      <c r="N1542" s="509"/>
      <c r="O1542" s="511"/>
      <c r="P1542" s="511"/>
    </row>
    <row r="1543" spans="6:16" x14ac:dyDescent="0.2">
      <c r="F1543" s="536"/>
      <c r="G1543" s="522"/>
      <c r="H1543" s="508"/>
      <c r="I1543" s="438"/>
      <c r="J1543" s="509"/>
      <c r="K1543" s="438"/>
      <c r="L1543" s="508"/>
      <c r="M1543" s="438"/>
      <c r="N1543" s="509"/>
      <c r="O1543" s="511"/>
      <c r="P1543" s="511"/>
    </row>
    <row r="1544" spans="6:16" x14ac:dyDescent="0.2">
      <c r="F1544" s="536"/>
      <c r="G1544" s="522"/>
      <c r="H1544" s="508"/>
      <c r="I1544" s="438"/>
      <c r="J1544" s="509"/>
      <c r="K1544" s="438"/>
      <c r="L1544" s="508"/>
      <c r="M1544" s="438"/>
      <c r="N1544" s="509"/>
      <c r="O1544" s="511"/>
      <c r="P1544" s="511"/>
    </row>
    <row r="1545" spans="6:16" x14ac:dyDescent="0.2">
      <c r="F1545" s="536"/>
      <c r="G1545" s="522"/>
      <c r="H1545" s="508"/>
      <c r="I1545" s="438"/>
      <c r="J1545" s="509"/>
      <c r="K1545" s="438"/>
      <c r="L1545" s="508"/>
      <c r="M1545" s="438"/>
      <c r="N1545" s="509"/>
      <c r="O1545" s="511"/>
      <c r="P1545" s="511"/>
    </row>
    <row r="1546" spans="6:16" x14ac:dyDescent="0.2">
      <c r="F1546" s="536"/>
      <c r="G1546" s="522"/>
      <c r="H1546" s="508"/>
      <c r="I1546" s="438"/>
      <c r="J1546" s="509"/>
      <c r="K1546" s="438"/>
      <c r="L1546" s="508"/>
      <c r="M1546" s="438"/>
      <c r="N1546" s="509"/>
      <c r="O1546" s="511"/>
      <c r="P1546" s="511"/>
    </row>
    <row r="1547" spans="6:16" x14ac:dyDescent="0.2">
      <c r="F1547" s="536"/>
      <c r="G1547" s="522"/>
      <c r="H1547" s="508"/>
      <c r="I1547" s="438"/>
      <c r="J1547" s="509"/>
      <c r="K1547" s="438"/>
      <c r="L1547" s="508"/>
      <c r="M1547" s="438"/>
      <c r="N1547" s="509"/>
      <c r="O1547" s="511"/>
      <c r="P1547" s="511"/>
    </row>
    <row r="1548" spans="6:16" x14ac:dyDescent="0.2">
      <c r="F1548" s="536"/>
      <c r="G1548" s="522"/>
      <c r="H1548" s="508"/>
      <c r="I1548" s="438"/>
      <c r="J1548" s="509"/>
      <c r="K1548" s="438"/>
      <c r="L1548" s="508"/>
      <c r="M1548" s="438"/>
      <c r="N1548" s="509"/>
      <c r="O1548" s="511"/>
      <c r="P1548" s="511"/>
    </row>
    <row r="1549" spans="6:16" x14ac:dyDescent="0.2">
      <c r="F1549" s="536"/>
      <c r="G1549" s="522"/>
      <c r="H1549" s="508"/>
      <c r="I1549" s="438"/>
      <c r="J1549" s="509"/>
      <c r="K1549" s="438"/>
      <c r="L1549" s="508"/>
      <c r="M1549" s="438"/>
      <c r="N1549" s="509"/>
      <c r="O1549" s="511"/>
      <c r="P1549" s="511"/>
    </row>
    <row r="1550" spans="6:16" x14ac:dyDescent="0.2">
      <c r="F1550" s="536"/>
      <c r="G1550" s="522"/>
      <c r="H1550" s="508"/>
      <c r="I1550" s="438"/>
      <c r="J1550" s="509"/>
      <c r="K1550" s="438"/>
      <c r="L1550" s="508"/>
      <c r="M1550" s="438"/>
      <c r="N1550" s="509"/>
      <c r="O1550" s="511"/>
      <c r="P1550" s="511"/>
    </row>
    <row r="1551" spans="6:16" x14ac:dyDescent="0.2">
      <c r="F1551" s="536"/>
      <c r="G1551" s="522"/>
      <c r="H1551" s="508"/>
      <c r="I1551" s="438"/>
      <c r="J1551" s="509"/>
      <c r="K1551" s="438"/>
      <c r="L1551" s="508"/>
      <c r="M1551" s="438"/>
      <c r="N1551" s="509"/>
      <c r="O1551" s="511"/>
      <c r="P1551" s="511"/>
    </row>
    <row r="1552" spans="6:16" x14ac:dyDescent="0.2">
      <c r="F1552" s="536"/>
      <c r="G1552" s="522"/>
      <c r="H1552" s="508"/>
      <c r="I1552" s="438"/>
      <c r="J1552" s="509"/>
      <c r="K1552" s="438"/>
      <c r="L1552" s="508"/>
      <c r="M1552" s="438"/>
      <c r="N1552" s="509"/>
      <c r="O1552" s="511"/>
      <c r="P1552" s="511"/>
    </row>
    <row r="1553" spans="6:16" x14ac:dyDescent="0.2">
      <c r="F1553" s="536"/>
      <c r="G1553" s="522"/>
      <c r="H1553" s="508"/>
      <c r="I1553" s="438"/>
      <c r="J1553" s="509"/>
      <c r="K1553" s="438"/>
      <c r="L1553" s="508"/>
      <c r="M1553" s="438"/>
      <c r="N1553" s="509"/>
      <c r="O1553" s="511"/>
      <c r="P1553" s="511"/>
    </row>
    <row r="1554" spans="6:16" x14ac:dyDescent="0.2">
      <c r="F1554" s="536"/>
      <c r="G1554" s="522"/>
      <c r="H1554" s="508"/>
      <c r="I1554" s="438"/>
      <c r="J1554" s="509"/>
      <c r="K1554" s="438"/>
      <c r="L1554" s="508"/>
      <c r="M1554" s="438"/>
      <c r="N1554" s="509"/>
      <c r="O1554" s="511"/>
      <c r="P1554" s="511"/>
    </row>
    <row r="1555" spans="6:16" x14ac:dyDescent="0.2">
      <c r="F1555" s="536"/>
      <c r="G1555" s="522"/>
      <c r="H1555" s="508"/>
      <c r="I1555" s="438"/>
      <c r="J1555" s="509"/>
      <c r="K1555" s="438"/>
      <c r="L1555" s="508"/>
      <c r="M1555" s="438"/>
      <c r="N1555" s="509"/>
      <c r="O1555" s="511"/>
      <c r="P1555" s="511"/>
    </row>
    <row r="1556" spans="6:16" x14ac:dyDescent="0.2">
      <c r="F1556" s="536"/>
      <c r="G1556" s="522"/>
      <c r="H1556" s="508"/>
      <c r="I1556" s="438"/>
      <c r="J1556" s="509"/>
      <c r="K1556" s="438"/>
      <c r="L1556" s="508"/>
      <c r="M1556" s="438"/>
      <c r="N1556" s="509"/>
      <c r="O1556" s="511"/>
      <c r="P1556" s="511"/>
    </row>
    <row r="1557" spans="6:16" x14ac:dyDescent="0.2">
      <c r="F1557" s="536"/>
      <c r="G1557" s="522"/>
      <c r="H1557" s="508"/>
      <c r="I1557" s="438"/>
      <c r="J1557" s="509"/>
      <c r="K1557" s="438"/>
      <c r="L1557" s="508"/>
      <c r="M1557" s="438"/>
      <c r="N1557" s="509"/>
      <c r="O1557" s="511"/>
      <c r="P1557" s="511"/>
    </row>
    <row r="1558" spans="6:16" x14ac:dyDescent="0.2">
      <c r="F1558" s="536"/>
      <c r="G1558" s="522"/>
      <c r="H1558" s="508"/>
      <c r="I1558" s="438"/>
      <c r="J1558" s="509"/>
      <c r="K1558" s="438"/>
      <c r="L1558" s="508"/>
      <c r="M1558" s="438"/>
      <c r="N1558" s="509"/>
      <c r="O1558" s="511"/>
      <c r="P1558" s="511"/>
    </row>
    <row r="1559" spans="6:16" x14ac:dyDescent="0.2">
      <c r="F1559" s="536"/>
      <c r="G1559" s="522"/>
      <c r="H1559" s="508"/>
      <c r="I1559" s="438"/>
      <c r="J1559" s="509"/>
      <c r="K1559" s="438"/>
      <c r="L1559" s="508"/>
      <c r="M1559" s="438"/>
      <c r="N1559" s="509"/>
      <c r="O1559" s="511"/>
      <c r="P1559" s="511"/>
    </row>
    <row r="1560" spans="6:16" x14ac:dyDescent="0.2">
      <c r="F1560" s="536"/>
      <c r="G1560" s="522"/>
      <c r="H1560" s="508"/>
      <c r="I1560" s="438"/>
      <c r="J1560" s="509"/>
      <c r="K1560" s="438"/>
      <c r="L1560" s="508"/>
      <c r="M1560" s="438"/>
      <c r="N1560" s="509"/>
      <c r="O1560" s="511"/>
      <c r="P1560" s="511"/>
    </row>
    <row r="1561" spans="6:16" x14ac:dyDescent="0.2">
      <c r="F1561" s="536"/>
      <c r="G1561" s="522"/>
      <c r="H1561" s="508"/>
      <c r="I1561" s="438"/>
      <c r="J1561" s="509"/>
      <c r="K1561" s="438"/>
      <c r="L1561" s="508"/>
      <c r="M1561" s="438"/>
      <c r="N1561" s="509"/>
      <c r="O1561" s="511"/>
      <c r="P1561" s="511"/>
    </row>
    <row r="1562" spans="6:16" x14ac:dyDescent="0.2">
      <c r="F1562" s="536"/>
      <c r="G1562" s="522"/>
      <c r="H1562" s="508"/>
      <c r="I1562" s="438"/>
      <c r="J1562" s="509"/>
      <c r="K1562" s="438"/>
      <c r="L1562" s="508"/>
      <c r="M1562" s="438"/>
      <c r="N1562" s="509"/>
      <c r="O1562" s="511"/>
      <c r="P1562" s="511"/>
    </row>
    <row r="1563" spans="6:16" x14ac:dyDescent="0.2">
      <c r="F1563" s="536"/>
      <c r="G1563" s="522"/>
      <c r="H1563" s="508"/>
      <c r="I1563" s="438"/>
      <c r="J1563" s="509"/>
      <c r="K1563" s="438"/>
      <c r="L1563" s="508"/>
      <c r="M1563" s="438"/>
      <c r="N1563" s="509"/>
      <c r="O1563" s="511"/>
      <c r="P1563" s="511"/>
    </row>
    <row r="1564" spans="6:16" x14ac:dyDescent="0.2">
      <c r="F1564" s="536"/>
      <c r="G1564" s="522"/>
      <c r="H1564" s="508"/>
      <c r="I1564" s="438"/>
      <c r="J1564" s="509"/>
      <c r="K1564" s="438"/>
      <c r="L1564" s="508"/>
      <c r="M1564" s="438"/>
      <c r="N1564" s="509"/>
      <c r="O1564" s="511"/>
      <c r="P1564" s="511"/>
    </row>
    <row r="1565" spans="6:16" x14ac:dyDescent="0.2">
      <c r="F1565" s="536"/>
      <c r="G1565" s="522"/>
      <c r="H1565" s="508"/>
      <c r="I1565" s="438"/>
      <c r="J1565" s="509"/>
      <c r="K1565" s="438"/>
      <c r="L1565" s="508"/>
      <c r="M1565" s="438"/>
      <c r="N1565" s="509"/>
      <c r="O1565" s="511"/>
      <c r="P1565" s="511"/>
    </row>
    <row r="1566" spans="6:16" x14ac:dyDescent="0.2">
      <c r="F1566" s="536"/>
      <c r="G1566" s="522"/>
      <c r="H1566" s="508"/>
      <c r="I1566" s="438"/>
      <c r="J1566" s="509"/>
      <c r="K1566" s="438"/>
      <c r="L1566" s="508"/>
      <c r="M1566" s="438"/>
      <c r="N1566" s="509"/>
      <c r="O1566" s="511"/>
      <c r="P1566" s="511"/>
    </row>
    <row r="1567" spans="6:16" x14ac:dyDescent="0.2">
      <c r="F1567" s="536"/>
      <c r="G1567" s="522"/>
      <c r="H1567" s="508"/>
      <c r="I1567" s="438"/>
      <c r="J1567" s="509"/>
      <c r="K1567" s="438"/>
      <c r="L1567" s="508"/>
      <c r="M1567" s="438"/>
      <c r="N1567" s="509"/>
      <c r="O1567" s="511"/>
      <c r="P1567" s="511"/>
    </row>
    <row r="1568" spans="6:16" x14ac:dyDescent="0.2">
      <c r="F1568" s="536"/>
      <c r="G1568" s="522"/>
      <c r="H1568" s="508"/>
      <c r="I1568" s="438"/>
      <c r="J1568" s="509"/>
      <c r="K1568" s="438"/>
      <c r="L1568" s="508"/>
      <c r="M1568" s="438"/>
      <c r="N1568" s="509"/>
      <c r="O1568" s="511"/>
      <c r="P1568" s="511"/>
    </row>
    <row r="1569" spans="6:16" x14ac:dyDescent="0.2">
      <c r="F1569" s="536"/>
      <c r="G1569" s="522"/>
      <c r="H1569" s="508"/>
      <c r="I1569" s="438"/>
      <c r="J1569" s="509"/>
      <c r="K1569" s="438"/>
      <c r="L1569" s="508"/>
      <c r="M1569" s="438"/>
      <c r="N1569" s="509"/>
      <c r="O1569" s="511"/>
      <c r="P1569" s="511"/>
    </row>
    <row r="1570" spans="6:16" x14ac:dyDescent="0.2">
      <c r="F1570" s="536"/>
      <c r="G1570" s="522"/>
      <c r="H1570" s="508"/>
      <c r="I1570" s="438"/>
      <c r="J1570" s="509"/>
      <c r="K1570" s="438"/>
      <c r="L1570" s="508"/>
      <c r="M1570" s="438"/>
      <c r="N1570" s="509"/>
      <c r="O1570" s="511"/>
      <c r="P1570" s="511"/>
    </row>
    <row r="1571" spans="6:16" x14ac:dyDescent="0.2">
      <c r="F1571" s="536"/>
      <c r="G1571" s="522"/>
      <c r="H1571" s="508"/>
      <c r="I1571" s="438"/>
      <c r="J1571" s="509"/>
      <c r="K1571" s="438"/>
      <c r="L1571" s="508"/>
      <c r="M1571" s="438"/>
      <c r="N1571" s="509"/>
      <c r="O1571" s="511"/>
      <c r="P1571" s="511"/>
    </row>
    <row r="1572" spans="6:16" x14ac:dyDescent="0.2">
      <c r="F1572" s="536"/>
      <c r="G1572" s="522"/>
      <c r="H1572" s="508"/>
      <c r="I1572" s="438"/>
      <c r="J1572" s="509"/>
      <c r="K1572" s="438"/>
      <c r="L1572" s="508"/>
      <c r="M1572" s="438"/>
      <c r="N1572" s="509"/>
      <c r="O1572" s="511"/>
      <c r="P1572" s="511"/>
    </row>
    <row r="1573" spans="6:16" x14ac:dyDescent="0.2">
      <c r="F1573" s="536"/>
      <c r="G1573" s="522"/>
      <c r="H1573" s="508"/>
      <c r="I1573" s="438"/>
      <c r="J1573" s="509"/>
      <c r="K1573" s="438"/>
      <c r="L1573" s="508"/>
      <c r="M1573" s="438"/>
      <c r="N1573" s="509"/>
      <c r="O1573" s="511"/>
      <c r="P1573" s="511"/>
    </row>
    <row r="1574" spans="6:16" x14ac:dyDescent="0.2">
      <c r="F1574" s="536"/>
      <c r="G1574" s="522"/>
      <c r="H1574" s="508"/>
      <c r="I1574" s="438"/>
      <c r="J1574" s="509"/>
      <c r="K1574" s="438"/>
      <c r="L1574" s="508"/>
      <c r="M1574" s="438"/>
      <c r="N1574" s="509"/>
      <c r="O1574" s="511"/>
      <c r="P1574" s="511"/>
    </row>
    <row r="1575" spans="6:16" x14ac:dyDescent="0.2">
      <c r="F1575" s="536"/>
      <c r="G1575" s="522"/>
      <c r="H1575" s="508"/>
      <c r="I1575" s="438"/>
      <c r="J1575" s="509"/>
      <c r="K1575" s="438"/>
      <c r="L1575" s="508"/>
      <c r="M1575" s="438"/>
      <c r="N1575" s="509"/>
      <c r="O1575" s="511"/>
      <c r="P1575" s="511"/>
    </row>
    <row r="1576" spans="6:16" x14ac:dyDescent="0.2">
      <c r="F1576" s="536"/>
      <c r="G1576" s="522"/>
      <c r="H1576" s="508"/>
      <c r="I1576" s="438"/>
      <c r="J1576" s="509"/>
      <c r="K1576" s="438"/>
      <c r="L1576" s="508"/>
      <c r="M1576" s="438"/>
      <c r="N1576" s="509"/>
      <c r="O1576" s="511"/>
      <c r="P1576" s="511"/>
    </row>
    <row r="1577" spans="6:16" x14ac:dyDescent="0.2">
      <c r="F1577" s="536"/>
      <c r="G1577" s="522"/>
      <c r="H1577" s="508"/>
      <c r="I1577" s="438"/>
      <c r="J1577" s="509"/>
      <c r="K1577" s="438"/>
      <c r="L1577" s="508"/>
      <c r="M1577" s="438"/>
      <c r="N1577" s="509"/>
      <c r="O1577" s="511"/>
      <c r="P1577" s="511"/>
    </row>
    <row r="1578" spans="6:16" x14ac:dyDescent="0.2">
      <c r="F1578" s="536"/>
      <c r="G1578" s="522"/>
      <c r="H1578" s="508"/>
      <c r="I1578" s="438"/>
      <c r="J1578" s="509"/>
      <c r="K1578" s="438"/>
      <c r="L1578" s="508"/>
      <c r="M1578" s="438"/>
      <c r="N1578" s="509"/>
      <c r="O1578" s="511"/>
      <c r="P1578" s="511"/>
    </row>
    <row r="1579" spans="6:16" x14ac:dyDescent="0.2">
      <c r="F1579" s="536"/>
      <c r="G1579" s="522"/>
      <c r="H1579" s="508"/>
      <c r="I1579" s="438"/>
      <c r="J1579" s="509"/>
      <c r="K1579" s="438"/>
      <c r="L1579" s="508"/>
      <c r="M1579" s="438"/>
      <c r="N1579" s="509"/>
      <c r="O1579" s="511"/>
      <c r="P1579" s="511"/>
    </row>
    <row r="1580" spans="6:16" x14ac:dyDescent="0.2">
      <c r="F1580" s="536"/>
      <c r="G1580" s="522"/>
      <c r="H1580" s="508"/>
      <c r="I1580" s="438"/>
      <c r="J1580" s="509"/>
      <c r="K1580" s="438"/>
      <c r="L1580" s="508"/>
      <c r="M1580" s="438"/>
      <c r="N1580" s="509"/>
      <c r="O1580" s="511"/>
      <c r="P1580" s="511"/>
    </row>
    <row r="1581" spans="6:16" x14ac:dyDescent="0.2">
      <c r="F1581" s="536"/>
      <c r="G1581" s="522"/>
      <c r="H1581" s="508"/>
      <c r="I1581" s="438"/>
      <c r="J1581" s="509"/>
      <c r="K1581" s="438"/>
      <c r="L1581" s="508"/>
      <c r="M1581" s="438"/>
      <c r="N1581" s="509"/>
      <c r="O1581" s="511"/>
      <c r="P1581" s="511"/>
    </row>
    <row r="1582" spans="6:16" x14ac:dyDescent="0.2">
      <c r="F1582" s="536"/>
      <c r="G1582" s="522"/>
      <c r="H1582" s="508"/>
      <c r="I1582" s="438"/>
      <c r="J1582" s="509"/>
      <c r="K1582" s="438"/>
      <c r="L1582" s="508"/>
      <c r="M1582" s="438"/>
      <c r="N1582" s="509"/>
      <c r="O1582" s="511"/>
      <c r="P1582" s="511"/>
    </row>
    <row r="1583" spans="6:16" x14ac:dyDescent="0.2">
      <c r="F1583" s="536"/>
      <c r="G1583" s="522"/>
      <c r="H1583" s="508"/>
      <c r="I1583" s="438"/>
      <c r="J1583" s="509"/>
      <c r="K1583" s="438"/>
      <c r="L1583" s="508"/>
      <c r="M1583" s="438"/>
      <c r="N1583" s="509"/>
      <c r="O1583" s="511"/>
      <c r="P1583" s="511"/>
    </row>
    <row r="1584" spans="6:16" x14ac:dyDescent="0.2">
      <c r="F1584" s="536"/>
      <c r="G1584" s="522"/>
      <c r="H1584" s="508"/>
      <c r="I1584" s="438"/>
      <c r="J1584" s="509"/>
      <c r="K1584" s="438"/>
      <c r="L1584" s="508"/>
      <c r="M1584" s="438"/>
      <c r="N1584" s="509"/>
      <c r="O1584" s="511"/>
      <c r="P1584" s="511"/>
    </row>
    <row r="1585" spans="6:16" x14ac:dyDescent="0.2">
      <c r="F1585" s="536"/>
      <c r="G1585" s="522"/>
      <c r="H1585" s="508"/>
      <c r="I1585" s="438"/>
      <c r="J1585" s="509"/>
      <c r="K1585" s="438"/>
      <c r="L1585" s="508"/>
      <c r="M1585" s="438"/>
      <c r="N1585" s="509"/>
      <c r="O1585" s="511"/>
      <c r="P1585" s="511"/>
    </row>
    <row r="1586" spans="6:16" x14ac:dyDescent="0.2">
      <c r="F1586" s="536"/>
      <c r="G1586" s="522"/>
      <c r="H1586" s="508"/>
      <c r="I1586" s="438"/>
      <c r="J1586" s="509"/>
      <c r="K1586" s="438"/>
      <c r="L1586" s="508"/>
      <c r="M1586" s="438"/>
      <c r="N1586" s="509"/>
      <c r="O1586" s="511"/>
      <c r="P1586" s="511"/>
    </row>
    <row r="1587" spans="6:16" x14ac:dyDescent="0.2">
      <c r="F1587" s="536"/>
      <c r="G1587" s="522"/>
      <c r="H1587" s="508"/>
      <c r="I1587" s="438"/>
      <c r="J1587" s="509"/>
      <c r="K1587" s="438"/>
      <c r="L1587" s="508"/>
      <c r="M1587" s="438"/>
      <c r="N1587" s="509"/>
      <c r="O1587" s="511"/>
      <c r="P1587" s="511"/>
    </row>
    <row r="1588" spans="6:16" x14ac:dyDescent="0.2">
      <c r="F1588" s="536"/>
      <c r="G1588" s="522"/>
      <c r="H1588" s="508"/>
      <c r="I1588" s="438"/>
      <c r="J1588" s="509"/>
      <c r="K1588" s="438"/>
      <c r="L1588" s="508"/>
      <c r="M1588" s="438"/>
      <c r="N1588" s="509"/>
      <c r="O1588" s="511"/>
      <c r="P1588" s="511"/>
    </row>
    <row r="1589" spans="6:16" x14ac:dyDescent="0.2">
      <c r="F1589" s="536"/>
      <c r="G1589" s="522"/>
      <c r="H1589" s="508"/>
      <c r="I1589" s="438"/>
      <c r="J1589" s="509"/>
      <c r="K1589" s="438"/>
      <c r="L1589" s="508"/>
      <c r="M1589" s="438"/>
      <c r="N1589" s="509"/>
      <c r="O1589" s="511"/>
      <c r="P1589" s="511"/>
    </row>
    <row r="1590" spans="6:16" x14ac:dyDescent="0.2">
      <c r="F1590" s="536"/>
      <c r="G1590" s="522"/>
      <c r="H1590" s="508"/>
      <c r="I1590" s="438"/>
      <c r="J1590" s="509"/>
      <c r="K1590" s="438"/>
      <c r="L1590" s="508"/>
      <c r="M1590" s="438"/>
      <c r="N1590" s="509"/>
      <c r="O1590" s="511"/>
      <c r="P1590" s="511"/>
    </row>
    <row r="1591" spans="6:16" x14ac:dyDescent="0.2">
      <c r="F1591" s="536"/>
      <c r="G1591" s="522"/>
      <c r="H1591" s="508"/>
      <c r="I1591" s="438"/>
      <c r="J1591" s="509"/>
      <c r="K1591" s="438"/>
      <c r="L1591" s="508"/>
      <c r="M1591" s="438"/>
      <c r="N1591" s="509"/>
      <c r="O1591" s="511"/>
      <c r="P1591" s="511"/>
    </row>
    <row r="1592" spans="6:16" x14ac:dyDescent="0.2">
      <c r="F1592" s="536"/>
      <c r="G1592" s="522"/>
      <c r="H1592" s="508"/>
      <c r="I1592" s="438"/>
      <c r="J1592" s="509"/>
      <c r="K1592" s="438"/>
      <c r="L1592" s="508"/>
      <c r="M1592" s="438"/>
      <c r="N1592" s="509"/>
      <c r="O1592" s="511"/>
      <c r="P1592" s="511"/>
    </row>
    <row r="1593" spans="6:16" x14ac:dyDescent="0.2">
      <c r="F1593" s="536"/>
      <c r="G1593" s="522"/>
      <c r="H1593" s="508"/>
      <c r="I1593" s="438"/>
      <c r="J1593" s="509"/>
      <c r="K1593" s="438"/>
      <c r="L1593" s="508"/>
      <c r="M1593" s="438"/>
      <c r="N1593" s="509"/>
      <c r="O1593" s="511"/>
      <c r="P1593" s="511"/>
    </row>
    <row r="1594" spans="6:16" x14ac:dyDescent="0.2">
      <c r="F1594" s="536"/>
      <c r="G1594" s="522"/>
      <c r="H1594" s="508"/>
      <c r="I1594" s="438"/>
      <c r="J1594" s="509"/>
      <c r="K1594" s="438"/>
      <c r="L1594" s="508"/>
      <c r="M1594" s="438"/>
      <c r="N1594" s="509"/>
      <c r="O1594" s="511"/>
      <c r="P1594" s="511"/>
    </row>
    <row r="1595" spans="6:16" x14ac:dyDescent="0.2">
      <c r="F1595" s="536"/>
      <c r="G1595" s="522"/>
      <c r="H1595" s="508"/>
      <c r="I1595" s="438"/>
      <c r="J1595" s="509"/>
      <c r="K1595" s="438"/>
      <c r="L1595" s="508"/>
      <c r="M1595" s="438"/>
      <c r="N1595" s="509"/>
      <c r="O1595" s="511"/>
      <c r="P1595" s="511"/>
    </row>
    <row r="1596" spans="6:16" x14ac:dyDescent="0.2">
      <c r="F1596" s="536"/>
      <c r="G1596" s="522"/>
      <c r="H1596" s="508"/>
      <c r="I1596" s="438"/>
      <c r="J1596" s="509"/>
      <c r="K1596" s="438"/>
      <c r="L1596" s="508"/>
      <c r="M1596" s="438"/>
      <c r="N1596" s="509"/>
      <c r="O1596" s="511"/>
      <c r="P1596" s="511"/>
    </row>
    <row r="1597" spans="6:16" x14ac:dyDescent="0.2">
      <c r="F1597" s="536"/>
      <c r="G1597" s="522"/>
      <c r="H1597" s="508"/>
      <c r="I1597" s="438"/>
      <c r="J1597" s="509"/>
      <c r="K1597" s="438"/>
      <c r="L1597" s="508"/>
      <c r="M1597" s="438"/>
      <c r="N1597" s="509"/>
      <c r="O1597" s="511"/>
      <c r="P1597" s="511"/>
    </row>
    <row r="1598" spans="6:16" x14ac:dyDescent="0.2">
      <c r="F1598" s="536"/>
      <c r="G1598" s="522"/>
      <c r="H1598" s="508"/>
      <c r="I1598" s="438"/>
      <c r="J1598" s="509"/>
      <c r="K1598" s="438"/>
      <c r="L1598" s="508"/>
      <c r="M1598" s="438"/>
      <c r="N1598" s="509"/>
      <c r="O1598" s="511"/>
      <c r="P1598" s="511"/>
    </row>
    <row r="1599" spans="6:16" x14ac:dyDescent="0.2">
      <c r="F1599" s="536"/>
      <c r="G1599" s="522"/>
      <c r="H1599" s="508"/>
      <c r="I1599" s="438"/>
      <c r="J1599" s="509"/>
      <c r="K1599" s="438"/>
      <c r="L1599" s="508"/>
      <c r="M1599" s="438"/>
      <c r="N1599" s="509"/>
      <c r="O1599" s="511"/>
      <c r="P1599" s="511"/>
    </row>
    <row r="1600" spans="6:16" x14ac:dyDescent="0.2">
      <c r="F1600" s="536"/>
      <c r="G1600" s="522"/>
      <c r="H1600" s="508"/>
      <c r="I1600" s="438"/>
      <c r="J1600" s="509"/>
      <c r="K1600" s="438"/>
      <c r="L1600" s="508"/>
      <c r="M1600" s="438"/>
      <c r="N1600" s="509"/>
      <c r="O1600" s="511"/>
      <c r="P1600" s="511"/>
    </row>
    <row r="1601" spans="6:16" x14ac:dyDescent="0.2">
      <c r="F1601" s="536"/>
      <c r="G1601" s="522"/>
      <c r="H1601" s="508"/>
      <c r="I1601" s="438"/>
      <c r="J1601" s="509"/>
      <c r="K1601" s="438"/>
      <c r="L1601" s="508"/>
      <c r="M1601" s="438"/>
      <c r="N1601" s="509"/>
      <c r="O1601" s="511"/>
      <c r="P1601" s="511"/>
    </row>
    <row r="1602" spans="6:16" x14ac:dyDescent="0.2">
      <c r="F1602" s="536"/>
      <c r="G1602" s="522"/>
      <c r="H1602" s="508"/>
      <c r="I1602" s="438"/>
      <c r="J1602" s="509"/>
      <c r="K1602" s="438"/>
      <c r="L1602" s="508"/>
      <c r="M1602" s="438"/>
      <c r="N1602" s="509"/>
      <c r="O1602" s="511"/>
      <c r="P1602" s="511"/>
    </row>
    <row r="1603" spans="6:16" x14ac:dyDescent="0.2">
      <c r="F1603" s="536"/>
      <c r="G1603" s="522"/>
      <c r="H1603" s="508"/>
      <c r="I1603" s="438"/>
      <c r="J1603" s="509"/>
      <c r="K1603" s="438"/>
      <c r="L1603" s="508"/>
      <c r="M1603" s="438"/>
      <c r="N1603" s="509"/>
      <c r="O1603" s="511"/>
      <c r="P1603" s="511"/>
    </row>
    <row r="1604" spans="6:16" x14ac:dyDescent="0.2">
      <c r="F1604" s="536"/>
      <c r="G1604" s="522"/>
      <c r="H1604" s="508"/>
      <c r="I1604" s="438"/>
      <c r="J1604" s="509"/>
      <c r="K1604" s="438"/>
      <c r="L1604" s="508"/>
      <c r="M1604" s="438"/>
      <c r="N1604" s="509"/>
      <c r="O1604" s="511"/>
      <c r="P1604" s="511"/>
    </row>
    <row r="1605" spans="6:16" x14ac:dyDescent="0.2">
      <c r="F1605" s="536"/>
      <c r="G1605" s="522"/>
      <c r="H1605" s="508"/>
      <c r="I1605" s="438"/>
      <c r="J1605" s="509"/>
      <c r="K1605" s="438"/>
      <c r="L1605" s="508"/>
      <c r="M1605" s="438"/>
      <c r="N1605" s="509"/>
      <c r="O1605" s="511"/>
      <c r="P1605" s="511"/>
    </row>
    <row r="1606" spans="6:16" x14ac:dyDescent="0.2">
      <c r="F1606" s="536"/>
      <c r="G1606" s="522"/>
      <c r="H1606" s="508"/>
      <c r="I1606" s="438"/>
      <c r="J1606" s="509"/>
      <c r="K1606" s="438"/>
      <c r="L1606" s="508"/>
      <c r="M1606" s="438"/>
      <c r="N1606" s="509"/>
      <c r="O1606" s="511"/>
      <c r="P1606" s="511"/>
    </row>
    <row r="1607" spans="6:16" x14ac:dyDescent="0.2">
      <c r="F1607" s="536"/>
      <c r="G1607" s="522"/>
      <c r="H1607" s="508"/>
      <c r="I1607" s="438"/>
      <c r="J1607" s="509"/>
      <c r="K1607" s="438"/>
      <c r="L1607" s="508"/>
      <c r="M1607" s="438"/>
      <c r="N1607" s="509"/>
      <c r="O1607" s="511"/>
      <c r="P1607" s="511"/>
    </row>
    <row r="1608" spans="6:16" x14ac:dyDescent="0.2">
      <c r="F1608" s="536"/>
      <c r="G1608" s="522"/>
      <c r="H1608" s="508"/>
      <c r="I1608" s="438"/>
      <c r="J1608" s="509"/>
      <c r="K1608" s="438"/>
      <c r="L1608" s="508"/>
      <c r="M1608" s="438"/>
      <c r="N1608" s="509"/>
      <c r="O1608" s="511"/>
      <c r="P1608" s="511"/>
    </row>
    <row r="1609" spans="6:16" x14ac:dyDescent="0.2">
      <c r="F1609" s="536"/>
      <c r="G1609" s="522"/>
      <c r="H1609" s="508"/>
      <c r="I1609" s="438"/>
      <c r="J1609" s="509"/>
      <c r="K1609" s="438"/>
      <c r="L1609" s="508"/>
      <c r="M1609" s="438"/>
      <c r="N1609" s="509"/>
      <c r="O1609" s="511"/>
      <c r="P1609" s="511"/>
    </row>
    <row r="1610" spans="6:16" x14ac:dyDescent="0.2">
      <c r="F1610" s="536"/>
      <c r="G1610" s="522"/>
      <c r="H1610" s="508"/>
      <c r="I1610" s="438"/>
      <c r="J1610" s="509"/>
      <c r="K1610" s="438"/>
      <c r="L1610" s="508"/>
      <c r="M1610" s="438"/>
      <c r="N1610" s="509"/>
      <c r="O1610" s="511"/>
      <c r="P1610" s="511"/>
    </row>
    <row r="1611" spans="6:16" x14ac:dyDescent="0.2">
      <c r="F1611" s="536"/>
      <c r="G1611" s="522"/>
      <c r="H1611" s="508"/>
      <c r="I1611" s="438"/>
      <c r="J1611" s="509"/>
      <c r="K1611" s="438"/>
      <c r="L1611" s="508"/>
      <c r="M1611" s="438"/>
      <c r="N1611" s="509"/>
      <c r="O1611" s="511"/>
      <c r="P1611" s="511"/>
    </row>
    <row r="1612" spans="6:16" x14ac:dyDescent="0.2">
      <c r="F1612" s="536"/>
      <c r="G1612" s="522"/>
      <c r="H1612" s="508"/>
      <c r="I1612" s="438"/>
      <c r="J1612" s="509"/>
      <c r="K1612" s="438"/>
      <c r="L1612" s="508"/>
      <c r="M1612" s="438"/>
      <c r="N1612" s="509"/>
      <c r="O1612" s="511"/>
      <c r="P1612" s="511"/>
    </row>
    <row r="1613" spans="6:16" x14ac:dyDescent="0.2">
      <c r="F1613" s="536"/>
      <c r="G1613" s="522"/>
      <c r="H1613" s="508"/>
      <c r="I1613" s="438"/>
      <c r="J1613" s="509"/>
      <c r="K1613" s="438"/>
      <c r="L1613" s="508"/>
      <c r="M1613" s="438"/>
      <c r="N1613" s="509"/>
      <c r="O1613" s="511"/>
      <c r="P1613" s="511"/>
    </row>
    <row r="1614" spans="6:16" x14ac:dyDescent="0.2">
      <c r="F1614" s="536"/>
      <c r="G1614" s="522"/>
      <c r="H1614" s="508"/>
      <c r="I1614" s="438"/>
      <c r="J1614" s="509"/>
      <c r="K1614" s="438"/>
      <c r="L1614" s="508"/>
      <c r="M1614" s="438"/>
      <c r="N1614" s="509"/>
      <c r="O1614" s="511"/>
      <c r="P1614" s="511"/>
    </row>
    <row r="1615" spans="6:16" x14ac:dyDescent="0.2">
      <c r="F1615" s="536"/>
      <c r="G1615" s="522"/>
      <c r="H1615" s="508"/>
      <c r="I1615" s="438"/>
      <c r="J1615" s="509"/>
      <c r="K1615" s="438"/>
      <c r="L1615" s="508"/>
      <c r="M1615" s="438"/>
      <c r="N1615" s="509"/>
      <c r="O1615" s="511"/>
      <c r="P1615" s="511"/>
    </row>
    <row r="1616" spans="6:16" x14ac:dyDescent="0.2">
      <c r="F1616" s="536"/>
      <c r="G1616" s="522"/>
      <c r="H1616" s="508"/>
      <c r="I1616" s="438"/>
      <c r="J1616" s="509"/>
      <c r="K1616" s="438"/>
      <c r="L1616" s="508"/>
      <c r="M1616" s="438"/>
      <c r="N1616" s="509"/>
      <c r="O1616" s="511"/>
      <c r="P1616" s="511"/>
    </row>
    <row r="1617" spans="6:16" x14ac:dyDescent="0.2">
      <c r="F1617" s="536"/>
      <c r="G1617" s="522"/>
      <c r="H1617" s="508"/>
      <c r="I1617" s="438"/>
      <c r="J1617" s="509"/>
      <c r="K1617" s="438"/>
      <c r="L1617" s="508"/>
      <c r="M1617" s="438"/>
      <c r="N1617" s="509"/>
      <c r="O1617" s="511"/>
      <c r="P1617" s="511"/>
    </row>
    <row r="1618" spans="6:16" x14ac:dyDescent="0.2">
      <c r="F1618" s="536"/>
      <c r="G1618" s="522"/>
      <c r="H1618" s="508"/>
      <c r="I1618" s="438"/>
      <c r="J1618" s="509"/>
      <c r="K1618" s="438"/>
      <c r="L1618" s="508"/>
      <c r="M1618" s="438"/>
      <c r="N1618" s="509"/>
      <c r="O1618" s="511"/>
      <c r="P1618" s="511"/>
    </row>
    <row r="1619" spans="6:16" x14ac:dyDescent="0.2">
      <c r="F1619" s="536"/>
      <c r="G1619" s="522"/>
      <c r="H1619" s="508"/>
      <c r="I1619" s="438"/>
      <c r="J1619" s="509"/>
      <c r="K1619" s="438"/>
      <c r="L1619" s="508"/>
      <c r="M1619" s="438"/>
      <c r="N1619" s="509"/>
      <c r="O1619" s="511"/>
      <c r="P1619" s="511"/>
    </row>
    <row r="1620" spans="6:16" x14ac:dyDescent="0.2">
      <c r="F1620" s="536"/>
      <c r="G1620" s="522"/>
      <c r="H1620" s="508"/>
      <c r="I1620" s="438"/>
      <c r="J1620" s="509"/>
      <c r="K1620" s="438"/>
      <c r="L1620" s="508"/>
      <c r="M1620" s="438"/>
      <c r="N1620" s="509"/>
      <c r="O1620" s="511"/>
      <c r="P1620" s="511"/>
    </row>
    <row r="1621" spans="6:16" x14ac:dyDescent="0.2">
      <c r="F1621" s="536"/>
      <c r="G1621" s="522"/>
      <c r="H1621" s="508"/>
      <c r="I1621" s="438"/>
      <c r="J1621" s="509"/>
      <c r="K1621" s="438"/>
      <c r="L1621" s="508"/>
      <c r="M1621" s="438"/>
      <c r="N1621" s="509"/>
      <c r="O1621" s="511"/>
      <c r="P1621" s="511"/>
    </row>
    <row r="1622" spans="6:16" x14ac:dyDescent="0.2">
      <c r="F1622" s="536"/>
      <c r="G1622" s="522"/>
      <c r="H1622" s="508"/>
      <c r="I1622" s="438"/>
      <c r="J1622" s="509"/>
      <c r="K1622" s="438"/>
      <c r="L1622" s="508"/>
      <c r="M1622" s="438"/>
      <c r="N1622" s="509"/>
      <c r="O1622" s="511"/>
      <c r="P1622" s="511"/>
    </row>
    <row r="1623" spans="6:16" x14ac:dyDescent="0.2">
      <c r="F1623" s="536"/>
      <c r="G1623" s="522"/>
      <c r="H1623" s="508"/>
      <c r="I1623" s="438"/>
      <c r="J1623" s="509"/>
      <c r="K1623" s="438"/>
      <c r="L1623" s="508"/>
      <c r="M1623" s="438"/>
      <c r="N1623" s="509"/>
      <c r="O1623" s="511"/>
      <c r="P1623" s="511"/>
    </row>
    <row r="1624" spans="6:16" x14ac:dyDescent="0.2">
      <c r="F1624" s="536"/>
      <c r="G1624" s="522"/>
      <c r="H1624" s="508"/>
      <c r="I1624" s="438"/>
      <c r="J1624" s="509"/>
      <c r="K1624" s="438"/>
      <c r="L1624" s="508"/>
      <c r="M1624" s="438"/>
      <c r="N1624" s="509"/>
      <c r="O1624" s="511"/>
      <c r="P1624" s="511"/>
    </row>
    <row r="1625" spans="6:16" x14ac:dyDescent="0.2">
      <c r="F1625" s="536"/>
      <c r="G1625" s="522"/>
      <c r="H1625" s="508"/>
      <c r="I1625" s="438"/>
      <c r="J1625" s="509"/>
      <c r="K1625" s="438"/>
      <c r="L1625" s="508"/>
      <c r="M1625" s="438"/>
      <c r="N1625" s="509"/>
      <c r="O1625" s="511"/>
      <c r="P1625" s="511"/>
    </row>
    <row r="1626" spans="6:16" x14ac:dyDescent="0.2">
      <c r="F1626" s="536"/>
      <c r="G1626" s="522"/>
      <c r="H1626" s="508"/>
      <c r="I1626" s="438"/>
      <c r="J1626" s="509"/>
      <c r="K1626" s="438"/>
      <c r="L1626" s="508"/>
      <c r="M1626" s="438"/>
      <c r="N1626" s="509"/>
      <c r="O1626" s="511"/>
      <c r="P1626" s="511"/>
    </row>
    <row r="1627" spans="6:16" x14ac:dyDescent="0.2">
      <c r="F1627" s="536"/>
      <c r="G1627" s="522"/>
      <c r="H1627" s="508"/>
      <c r="I1627" s="438"/>
      <c r="J1627" s="509"/>
      <c r="K1627" s="438"/>
      <c r="L1627" s="508"/>
      <c r="M1627" s="438"/>
      <c r="N1627" s="509"/>
      <c r="O1627" s="511"/>
      <c r="P1627" s="511"/>
    </row>
    <row r="1628" spans="6:16" x14ac:dyDescent="0.2">
      <c r="F1628" s="536"/>
      <c r="G1628" s="522"/>
      <c r="H1628" s="508"/>
      <c r="I1628" s="438"/>
      <c r="J1628" s="509"/>
      <c r="K1628" s="438"/>
      <c r="L1628" s="508"/>
      <c r="M1628" s="438"/>
      <c r="N1628" s="509"/>
      <c r="O1628" s="511"/>
      <c r="P1628" s="511"/>
    </row>
    <row r="1629" spans="6:16" x14ac:dyDescent="0.2">
      <c r="F1629" s="536"/>
      <c r="G1629" s="522"/>
      <c r="H1629" s="508"/>
      <c r="I1629" s="438"/>
      <c r="J1629" s="509"/>
      <c r="K1629" s="438"/>
      <c r="L1629" s="508"/>
      <c r="M1629" s="438"/>
      <c r="N1629" s="509"/>
      <c r="O1629" s="511"/>
      <c r="P1629" s="511"/>
    </row>
    <row r="1630" spans="6:16" x14ac:dyDescent="0.2">
      <c r="F1630" s="536"/>
      <c r="G1630" s="522"/>
      <c r="H1630" s="508"/>
      <c r="I1630" s="438"/>
      <c r="J1630" s="509"/>
      <c r="K1630" s="438"/>
      <c r="L1630" s="508"/>
      <c r="M1630" s="438"/>
      <c r="N1630" s="509"/>
      <c r="O1630" s="511"/>
      <c r="P1630" s="511"/>
    </row>
    <row r="1631" spans="6:16" x14ac:dyDescent="0.2">
      <c r="F1631" s="536"/>
      <c r="G1631" s="522"/>
      <c r="H1631" s="508"/>
      <c r="I1631" s="438"/>
      <c r="J1631" s="509"/>
      <c r="K1631" s="438"/>
      <c r="L1631" s="508"/>
      <c r="M1631" s="438"/>
      <c r="N1631" s="509"/>
      <c r="O1631" s="511"/>
      <c r="P1631" s="511"/>
    </row>
    <row r="1632" spans="6:16" x14ac:dyDescent="0.2">
      <c r="F1632" s="536"/>
      <c r="G1632" s="522"/>
      <c r="H1632" s="508"/>
      <c r="I1632" s="438"/>
      <c r="J1632" s="509"/>
      <c r="K1632" s="438"/>
      <c r="L1632" s="508"/>
      <c r="M1632" s="438"/>
      <c r="N1632" s="509"/>
      <c r="O1632" s="511"/>
      <c r="P1632" s="511"/>
    </row>
    <row r="1633" spans="6:16" x14ac:dyDescent="0.2">
      <c r="F1633" s="536"/>
      <c r="G1633" s="522"/>
      <c r="H1633" s="508"/>
      <c r="I1633" s="438"/>
      <c r="J1633" s="509"/>
      <c r="K1633" s="438"/>
      <c r="L1633" s="508"/>
      <c r="M1633" s="438"/>
      <c r="N1633" s="509"/>
      <c r="O1633" s="511"/>
      <c r="P1633" s="511"/>
    </row>
    <row r="1634" spans="6:16" x14ac:dyDescent="0.2">
      <c r="F1634" s="536"/>
      <c r="G1634" s="522"/>
      <c r="H1634" s="508"/>
      <c r="I1634" s="438"/>
      <c r="J1634" s="509"/>
      <c r="K1634" s="438"/>
      <c r="L1634" s="508"/>
      <c r="M1634" s="438"/>
      <c r="N1634" s="509"/>
      <c r="O1634" s="511"/>
      <c r="P1634" s="511"/>
    </row>
    <row r="1635" spans="6:16" x14ac:dyDescent="0.2">
      <c r="F1635" s="536"/>
      <c r="G1635" s="522"/>
      <c r="H1635" s="508"/>
      <c r="I1635" s="438"/>
      <c r="J1635" s="509"/>
      <c r="K1635" s="438"/>
      <c r="L1635" s="508"/>
      <c r="M1635" s="438"/>
      <c r="N1635" s="509"/>
      <c r="O1635" s="511"/>
      <c r="P1635" s="511"/>
    </row>
    <row r="1636" spans="6:16" x14ac:dyDescent="0.2">
      <c r="F1636" s="536"/>
      <c r="G1636" s="522"/>
      <c r="H1636" s="508"/>
      <c r="I1636" s="438"/>
      <c r="J1636" s="509"/>
      <c r="K1636" s="438"/>
      <c r="L1636" s="508"/>
      <c r="M1636" s="438"/>
      <c r="N1636" s="509"/>
      <c r="O1636" s="511"/>
      <c r="P1636" s="511"/>
    </row>
    <row r="1637" spans="6:16" x14ac:dyDescent="0.2">
      <c r="F1637" s="536"/>
      <c r="G1637" s="522"/>
      <c r="H1637" s="508"/>
      <c r="I1637" s="438"/>
      <c r="J1637" s="509"/>
      <c r="K1637" s="438"/>
      <c r="L1637" s="508"/>
      <c r="M1637" s="438"/>
      <c r="N1637" s="509"/>
      <c r="O1637" s="511"/>
      <c r="P1637" s="511"/>
    </row>
    <row r="1638" spans="6:16" x14ac:dyDescent="0.2">
      <c r="F1638" s="536"/>
      <c r="G1638" s="522"/>
      <c r="H1638" s="508"/>
      <c r="I1638" s="438"/>
      <c r="J1638" s="509"/>
      <c r="K1638" s="438"/>
      <c r="L1638" s="508"/>
      <c r="M1638" s="438"/>
      <c r="N1638" s="509"/>
      <c r="O1638" s="511"/>
      <c r="P1638" s="511"/>
    </row>
    <row r="1639" spans="6:16" x14ac:dyDescent="0.2">
      <c r="F1639" s="536"/>
      <c r="G1639" s="522"/>
      <c r="H1639" s="508"/>
      <c r="I1639" s="438"/>
      <c r="J1639" s="509"/>
      <c r="K1639" s="438"/>
      <c r="L1639" s="508"/>
      <c r="M1639" s="438"/>
      <c r="N1639" s="509"/>
      <c r="O1639" s="511"/>
      <c r="P1639" s="511"/>
    </row>
    <row r="1640" spans="6:16" x14ac:dyDescent="0.2">
      <c r="F1640" s="536"/>
      <c r="G1640" s="522"/>
      <c r="H1640" s="508"/>
      <c r="I1640" s="438"/>
      <c r="J1640" s="509"/>
      <c r="K1640" s="438"/>
      <c r="L1640" s="508"/>
      <c r="M1640" s="438"/>
      <c r="N1640" s="509"/>
      <c r="O1640" s="511"/>
      <c r="P1640" s="511"/>
    </row>
    <row r="1641" spans="6:16" x14ac:dyDescent="0.2">
      <c r="F1641" s="536"/>
      <c r="G1641" s="522"/>
      <c r="H1641" s="508"/>
      <c r="I1641" s="438"/>
      <c r="J1641" s="509"/>
      <c r="K1641" s="438"/>
      <c r="L1641" s="508"/>
      <c r="M1641" s="438"/>
      <c r="N1641" s="509"/>
      <c r="O1641" s="511"/>
      <c r="P1641" s="511"/>
    </row>
    <row r="1642" spans="6:16" x14ac:dyDescent="0.2">
      <c r="F1642" s="536"/>
      <c r="G1642" s="522"/>
      <c r="H1642" s="508"/>
      <c r="I1642" s="438"/>
      <c r="J1642" s="509"/>
      <c r="K1642" s="438"/>
      <c r="L1642" s="508"/>
      <c r="M1642" s="438"/>
      <c r="N1642" s="509"/>
      <c r="O1642" s="511"/>
      <c r="P1642" s="511"/>
    </row>
    <row r="1643" spans="6:16" x14ac:dyDescent="0.2">
      <c r="F1643" s="536"/>
      <c r="G1643" s="522"/>
      <c r="H1643" s="508"/>
      <c r="I1643" s="438"/>
      <c r="J1643" s="509"/>
      <c r="K1643" s="438"/>
      <c r="L1643" s="508"/>
      <c r="M1643" s="438"/>
      <c r="N1643" s="509"/>
      <c r="O1643" s="511"/>
      <c r="P1643" s="511"/>
    </row>
    <row r="1644" spans="6:16" x14ac:dyDescent="0.2">
      <c r="F1644" s="536"/>
      <c r="G1644" s="522"/>
      <c r="H1644" s="508"/>
      <c r="I1644" s="438"/>
      <c r="J1644" s="509"/>
      <c r="K1644" s="438"/>
      <c r="L1644" s="508"/>
      <c r="M1644" s="438"/>
      <c r="N1644" s="509"/>
      <c r="O1644" s="511"/>
      <c r="P1644" s="511"/>
    </row>
    <row r="1645" spans="6:16" x14ac:dyDescent="0.2">
      <c r="F1645" s="536"/>
      <c r="G1645" s="522"/>
      <c r="H1645" s="508"/>
      <c r="I1645" s="438"/>
      <c r="J1645" s="509"/>
      <c r="K1645" s="438"/>
      <c r="L1645" s="508"/>
      <c r="M1645" s="438"/>
      <c r="N1645" s="509"/>
      <c r="O1645" s="511"/>
      <c r="P1645" s="511"/>
    </row>
    <row r="1646" spans="6:16" x14ac:dyDescent="0.2">
      <c r="F1646" s="536"/>
      <c r="G1646" s="522"/>
      <c r="H1646" s="508"/>
      <c r="I1646" s="438"/>
      <c r="J1646" s="509"/>
      <c r="K1646" s="438"/>
      <c r="L1646" s="508"/>
      <c r="M1646" s="438"/>
      <c r="N1646" s="509"/>
      <c r="O1646" s="511"/>
      <c r="P1646" s="511"/>
    </row>
    <row r="1647" spans="6:16" x14ac:dyDescent="0.2">
      <c r="F1647" s="536"/>
      <c r="G1647" s="522"/>
      <c r="H1647" s="508"/>
      <c r="I1647" s="438"/>
      <c r="J1647" s="509"/>
      <c r="K1647" s="438"/>
      <c r="L1647" s="508"/>
      <c r="M1647" s="438"/>
      <c r="N1647" s="509"/>
      <c r="O1647" s="511"/>
      <c r="P1647" s="511"/>
    </row>
    <row r="1648" spans="6:16" x14ac:dyDescent="0.2">
      <c r="F1648" s="536"/>
      <c r="G1648" s="522"/>
      <c r="H1648" s="508"/>
      <c r="I1648" s="438"/>
      <c r="J1648" s="509"/>
      <c r="K1648" s="438"/>
      <c r="L1648" s="508"/>
      <c r="M1648" s="438"/>
      <c r="N1648" s="509"/>
      <c r="O1648" s="511"/>
      <c r="P1648" s="511"/>
    </row>
    <row r="1649" spans="6:16" x14ac:dyDescent="0.2">
      <c r="F1649" s="536"/>
      <c r="G1649" s="522"/>
      <c r="H1649" s="508"/>
      <c r="I1649" s="438"/>
      <c r="J1649" s="509"/>
      <c r="K1649" s="438"/>
      <c r="L1649" s="508"/>
      <c r="M1649" s="438"/>
      <c r="N1649" s="509"/>
      <c r="O1649" s="511"/>
      <c r="P1649" s="511"/>
    </row>
    <row r="1650" spans="6:16" x14ac:dyDescent="0.2">
      <c r="F1650" s="536"/>
      <c r="G1650" s="522"/>
      <c r="H1650" s="508"/>
      <c r="I1650" s="438"/>
      <c r="J1650" s="509"/>
      <c r="K1650" s="438"/>
      <c r="L1650" s="508"/>
      <c r="M1650" s="438"/>
      <c r="N1650" s="509"/>
      <c r="O1650" s="511"/>
      <c r="P1650" s="511"/>
    </row>
    <row r="1651" spans="6:16" x14ac:dyDescent="0.2">
      <c r="F1651" s="536"/>
      <c r="G1651" s="522"/>
      <c r="H1651" s="508"/>
      <c r="I1651" s="438"/>
      <c r="J1651" s="509"/>
      <c r="K1651" s="438"/>
      <c r="L1651" s="508"/>
      <c r="M1651" s="438"/>
      <c r="N1651" s="509"/>
      <c r="O1651" s="511"/>
      <c r="P1651" s="511"/>
    </row>
    <row r="1652" spans="6:16" x14ac:dyDescent="0.2">
      <c r="F1652" s="536"/>
      <c r="G1652" s="522"/>
      <c r="H1652" s="508"/>
      <c r="I1652" s="438"/>
      <c r="J1652" s="509"/>
      <c r="K1652" s="438"/>
      <c r="L1652" s="508"/>
      <c r="M1652" s="438"/>
      <c r="N1652" s="509"/>
      <c r="O1652" s="511"/>
      <c r="P1652" s="511"/>
    </row>
    <row r="1653" spans="6:16" x14ac:dyDescent="0.2">
      <c r="F1653" s="536"/>
      <c r="G1653" s="522"/>
      <c r="H1653" s="508"/>
      <c r="I1653" s="438"/>
      <c r="J1653" s="509"/>
      <c r="K1653" s="438"/>
      <c r="L1653" s="508"/>
      <c r="M1653" s="438"/>
      <c r="N1653" s="509"/>
      <c r="O1653" s="511"/>
      <c r="P1653" s="511"/>
    </row>
    <row r="1654" spans="6:16" x14ac:dyDescent="0.2">
      <c r="F1654" s="536"/>
      <c r="G1654" s="522"/>
      <c r="H1654" s="508"/>
      <c r="I1654" s="438"/>
      <c r="J1654" s="509"/>
      <c r="K1654" s="438"/>
      <c r="L1654" s="508"/>
      <c r="M1654" s="438"/>
      <c r="N1654" s="509"/>
      <c r="O1654" s="511"/>
      <c r="P1654" s="511"/>
    </row>
    <row r="1655" spans="6:16" x14ac:dyDescent="0.2">
      <c r="F1655" s="536"/>
      <c r="G1655" s="522"/>
      <c r="H1655" s="508"/>
      <c r="I1655" s="438"/>
      <c r="J1655" s="509"/>
      <c r="K1655" s="438"/>
      <c r="L1655" s="508"/>
      <c r="M1655" s="438"/>
      <c r="N1655" s="509"/>
      <c r="O1655" s="511"/>
      <c r="P1655" s="511"/>
    </row>
    <row r="1656" spans="6:16" x14ac:dyDescent="0.2">
      <c r="F1656" s="536"/>
      <c r="G1656" s="522"/>
      <c r="H1656" s="508"/>
      <c r="I1656" s="438"/>
      <c r="J1656" s="509"/>
      <c r="K1656" s="438"/>
      <c r="L1656" s="508"/>
      <c r="M1656" s="438"/>
      <c r="N1656" s="509"/>
      <c r="O1656" s="511"/>
      <c r="P1656" s="511"/>
    </row>
    <row r="1657" spans="6:16" x14ac:dyDescent="0.2">
      <c r="F1657" s="536"/>
      <c r="G1657" s="522"/>
      <c r="H1657" s="508"/>
      <c r="I1657" s="438"/>
      <c r="J1657" s="509"/>
      <c r="K1657" s="438"/>
      <c r="L1657" s="508"/>
      <c r="M1657" s="438"/>
      <c r="N1657" s="509"/>
      <c r="O1657" s="511"/>
      <c r="P1657" s="511"/>
    </row>
    <row r="1658" spans="6:16" x14ac:dyDescent="0.2">
      <c r="F1658" s="536"/>
      <c r="G1658" s="522"/>
      <c r="H1658" s="508"/>
      <c r="I1658" s="438"/>
      <c r="J1658" s="509"/>
      <c r="K1658" s="438"/>
      <c r="L1658" s="508"/>
      <c r="M1658" s="438"/>
      <c r="N1658" s="509"/>
      <c r="O1658" s="511"/>
      <c r="P1658" s="511"/>
    </row>
    <row r="1659" spans="6:16" x14ac:dyDescent="0.2">
      <c r="F1659" s="536"/>
      <c r="G1659" s="522"/>
      <c r="H1659" s="508"/>
      <c r="I1659" s="438"/>
      <c r="J1659" s="509"/>
      <c r="K1659" s="438"/>
      <c r="L1659" s="508"/>
      <c r="M1659" s="438"/>
      <c r="N1659" s="509"/>
      <c r="O1659" s="511"/>
      <c r="P1659" s="511"/>
    </row>
    <row r="1660" spans="6:16" x14ac:dyDescent="0.2">
      <c r="F1660" s="536"/>
      <c r="G1660" s="522"/>
      <c r="H1660" s="508"/>
      <c r="I1660" s="438"/>
      <c r="J1660" s="509"/>
      <c r="K1660" s="438"/>
      <c r="L1660" s="508"/>
      <c r="M1660" s="438"/>
      <c r="N1660" s="509"/>
      <c r="O1660" s="511"/>
      <c r="P1660" s="511"/>
    </row>
    <row r="1661" spans="6:16" x14ac:dyDescent="0.2">
      <c r="F1661" s="536"/>
      <c r="G1661" s="522"/>
      <c r="H1661" s="508"/>
      <c r="I1661" s="438"/>
      <c r="J1661" s="509"/>
      <c r="K1661" s="438"/>
      <c r="L1661" s="508"/>
      <c r="M1661" s="438"/>
      <c r="N1661" s="509"/>
      <c r="O1661" s="511"/>
      <c r="P1661" s="511"/>
    </row>
    <row r="1662" spans="6:16" x14ac:dyDescent="0.2">
      <c r="F1662" s="536"/>
      <c r="G1662" s="522"/>
      <c r="H1662" s="508"/>
      <c r="I1662" s="438"/>
      <c r="J1662" s="509"/>
      <c r="K1662" s="438"/>
      <c r="L1662" s="508"/>
      <c r="M1662" s="438"/>
      <c r="N1662" s="509"/>
      <c r="O1662" s="511"/>
      <c r="P1662" s="511"/>
    </row>
    <row r="1663" spans="6:16" x14ac:dyDescent="0.2">
      <c r="F1663" s="536"/>
      <c r="G1663" s="522"/>
      <c r="H1663" s="508"/>
      <c r="I1663" s="438"/>
      <c r="J1663" s="509"/>
      <c r="K1663" s="438"/>
      <c r="L1663" s="508"/>
      <c r="M1663" s="438"/>
      <c r="N1663" s="509"/>
      <c r="O1663" s="511"/>
      <c r="P1663" s="511"/>
    </row>
    <row r="1664" spans="6:16" x14ac:dyDescent="0.2">
      <c r="F1664" s="536"/>
      <c r="G1664" s="522"/>
      <c r="H1664" s="508"/>
      <c r="I1664" s="438"/>
      <c r="J1664" s="509"/>
      <c r="K1664" s="438"/>
      <c r="L1664" s="508"/>
      <c r="M1664" s="438"/>
      <c r="N1664" s="509"/>
      <c r="O1664" s="511"/>
      <c r="P1664" s="511"/>
    </row>
    <row r="1665" spans="6:16" x14ac:dyDescent="0.2">
      <c r="F1665" s="536"/>
      <c r="G1665" s="522"/>
      <c r="H1665" s="508"/>
      <c r="I1665" s="438"/>
      <c r="J1665" s="509"/>
      <c r="K1665" s="438"/>
      <c r="L1665" s="508"/>
      <c r="M1665" s="438"/>
      <c r="N1665" s="509"/>
      <c r="O1665" s="511"/>
      <c r="P1665" s="511"/>
    </row>
    <row r="1666" spans="6:16" x14ac:dyDescent="0.2">
      <c r="F1666" s="536"/>
      <c r="G1666" s="522"/>
      <c r="H1666" s="508"/>
      <c r="I1666" s="438"/>
      <c r="J1666" s="509"/>
      <c r="K1666" s="438"/>
      <c r="L1666" s="508"/>
      <c r="M1666" s="438"/>
      <c r="N1666" s="509"/>
      <c r="O1666" s="511"/>
      <c r="P1666" s="511"/>
    </row>
    <row r="1667" spans="6:16" x14ac:dyDescent="0.2">
      <c r="F1667" s="536"/>
      <c r="G1667" s="522"/>
      <c r="H1667" s="508"/>
      <c r="I1667" s="438"/>
      <c r="J1667" s="509"/>
      <c r="K1667" s="438"/>
      <c r="L1667" s="508"/>
      <c r="M1667" s="438"/>
      <c r="N1667" s="509"/>
      <c r="O1667" s="511"/>
      <c r="P1667" s="511"/>
    </row>
    <row r="1668" spans="6:16" x14ac:dyDescent="0.2">
      <c r="F1668" s="536"/>
      <c r="G1668" s="522"/>
      <c r="H1668" s="508"/>
      <c r="I1668" s="438"/>
      <c r="J1668" s="509"/>
      <c r="K1668" s="438"/>
      <c r="L1668" s="508"/>
      <c r="M1668" s="438"/>
      <c r="N1668" s="509"/>
      <c r="O1668" s="511"/>
      <c r="P1668" s="511"/>
    </row>
    <row r="1669" spans="6:16" x14ac:dyDescent="0.2">
      <c r="F1669" s="536"/>
      <c r="G1669" s="522"/>
      <c r="H1669" s="508"/>
      <c r="I1669" s="438"/>
      <c r="J1669" s="509"/>
      <c r="K1669" s="438"/>
      <c r="L1669" s="508"/>
      <c r="M1669" s="438"/>
      <c r="N1669" s="509"/>
      <c r="O1669" s="511"/>
      <c r="P1669" s="511"/>
    </row>
    <row r="1670" spans="6:16" x14ac:dyDescent="0.2">
      <c r="F1670" s="536"/>
      <c r="G1670" s="522"/>
      <c r="H1670" s="508"/>
      <c r="I1670" s="438"/>
      <c r="J1670" s="509"/>
      <c r="K1670" s="438"/>
      <c r="L1670" s="508"/>
      <c r="M1670" s="438"/>
      <c r="N1670" s="509"/>
      <c r="O1670" s="511"/>
      <c r="P1670" s="511"/>
    </row>
    <row r="1671" spans="6:16" x14ac:dyDescent="0.2">
      <c r="F1671" s="536"/>
      <c r="G1671" s="522"/>
      <c r="H1671" s="508"/>
      <c r="I1671" s="438"/>
      <c r="J1671" s="509"/>
      <c r="K1671" s="438"/>
      <c r="L1671" s="508"/>
      <c r="M1671" s="438"/>
      <c r="N1671" s="509"/>
      <c r="O1671" s="511"/>
      <c r="P1671" s="511"/>
    </row>
    <row r="1672" spans="6:16" x14ac:dyDescent="0.2">
      <c r="F1672" s="536"/>
      <c r="G1672" s="522"/>
      <c r="H1672" s="508"/>
      <c r="I1672" s="438"/>
      <c r="J1672" s="509"/>
      <c r="K1672" s="438"/>
      <c r="L1672" s="508"/>
      <c r="M1672" s="438"/>
      <c r="N1672" s="509"/>
      <c r="O1672" s="511"/>
      <c r="P1672" s="511"/>
    </row>
    <row r="1673" spans="6:16" x14ac:dyDescent="0.2">
      <c r="F1673" s="536"/>
      <c r="G1673" s="522"/>
      <c r="H1673" s="508"/>
      <c r="I1673" s="438"/>
      <c r="J1673" s="509"/>
      <c r="K1673" s="438"/>
      <c r="L1673" s="508"/>
      <c r="M1673" s="438"/>
      <c r="N1673" s="509"/>
      <c r="O1673" s="511"/>
      <c r="P1673" s="511"/>
    </row>
    <row r="1674" spans="6:16" x14ac:dyDescent="0.2">
      <c r="F1674" s="536"/>
      <c r="G1674" s="522"/>
      <c r="H1674" s="508"/>
      <c r="I1674" s="438"/>
      <c r="J1674" s="509"/>
      <c r="K1674" s="438"/>
      <c r="L1674" s="508"/>
      <c r="M1674" s="438"/>
      <c r="N1674" s="509"/>
      <c r="O1674" s="511"/>
      <c r="P1674" s="511"/>
    </row>
    <row r="1675" spans="6:16" x14ac:dyDescent="0.2">
      <c r="F1675" s="536"/>
      <c r="G1675" s="522"/>
      <c r="H1675" s="508"/>
      <c r="I1675" s="438"/>
      <c r="J1675" s="509"/>
      <c r="K1675" s="438"/>
      <c r="L1675" s="508"/>
      <c r="M1675" s="438"/>
      <c r="N1675" s="509"/>
      <c r="O1675" s="511"/>
      <c r="P1675" s="511"/>
    </row>
    <row r="1676" spans="6:16" x14ac:dyDescent="0.2">
      <c r="F1676" s="536"/>
      <c r="G1676" s="522"/>
      <c r="H1676" s="508"/>
      <c r="I1676" s="438"/>
      <c r="J1676" s="509"/>
      <c r="K1676" s="438"/>
      <c r="L1676" s="508"/>
      <c r="M1676" s="438"/>
      <c r="N1676" s="509"/>
      <c r="O1676" s="511"/>
      <c r="P1676" s="511"/>
    </row>
    <row r="1677" spans="6:16" x14ac:dyDescent="0.2">
      <c r="F1677" s="536"/>
      <c r="G1677" s="522"/>
      <c r="H1677" s="508"/>
      <c r="I1677" s="438"/>
      <c r="J1677" s="509"/>
      <c r="K1677" s="438"/>
      <c r="L1677" s="508"/>
      <c r="M1677" s="438"/>
      <c r="N1677" s="509"/>
      <c r="O1677" s="511"/>
      <c r="P1677" s="511"/>
    </row>
    <row r="1678" spans="6:16" x14ac:dyDescent="0.2">
      <c r="F1678" s="536"/>
      <c r="G1678" s="522"/>
      <c r="H1678" s="508"/>
      <c r="I1678" s="438"/>
      <c r="J1678" s="509"/>
      <c r="K1678" s="438"/>
      <c r="L1678" s="508"/>
      <c r="M1678" s="438"/>
      <c r="N1678" s="509"/>
      <c r="O1678" s="511"/>
      <c r="P1678" s="511"/>
    </row>
    <row r="1679" spans="6:16" x14ac:dyDescent="0.2">
      <c r="F1679" s="536"/>
      <c r="G1679" s="522"/>
      <c r="H1679" s="508"/>
      <c r="I1679" s="438"/>
      <c r="J1679" s="509"/>
      <c r="K1679" s="438"/>
      <c r="L1679" s="508"/>
      <c r="M1679" s="438"/>
      <c r="N1679" s="509"/>
      <c r="O1679" s="511"/>
      <c r="P1679" s="511"/>
    </row>
    <row r="1680" spans="6:16" x14ac:dyDescent="0.2">
      <c r="F1680" s="536"/>
      <c r="G1680" s="522"/>
      <c r="H1680" s="508"/>
      <c r="I1680" s="438"/>
      <c r="J1680" s="509"/>
      <c r="K1680" s="438"/>
      <c r="L1680" s="508"/>
      <c r="M1680" s="438"/>
      <c r="N1680" s="509"/>
      <c r="O1680" s="511"/>
      <c r="P1680" s="511"/>
    </row>
    <row r="1681" spans="6:16" x14ac:dyDescent="0.2">
      <c r="F1681" s="536"/>
      <c r="G1681" s="522"/>
      <c r="H1681" s="508"/>
      <c r="I1681" s="438"/>
      <c r="J1681" s="509"/>
      <c r="K1681" s="438"/>
      <c r="L1681" s="508"/>
      <c r="M1681" s="438"/>
      <c r="N1681" s="509"/>
      <c r="O1681" s="511"/>
      <c r="P1681" s="511"/>
    </row>
    <row r="1682" spans="6:16" x14ac:dyDescent="0.2">
      <c r="F1682" s="536"/>
      <c r="G1682" s="522"/>
      <c r="H1682" s="508"/>
      <c r="I1682" s="438"/>
      <c r="J1682" s="509"/>
      <c r="K1682" s="438"/>
      <c r="L1682" s="508"/>
      <c r="M1682" s="438"/>
      <c r="N1682" s="509"/>
      <c r="O1682" s="511"/>
      <c r="P1682" s="511"/>
    </row>
    <row r="1683" spans="6:16" x14ac:dyDescent="0.2">
      <c r="F1683" s="536"/>
      <c r="G1683" s="522"/>
      <c r="H1683" s="508"/>
      <c r="I1683" s="438"/>
      <c r="J1683" s="509"/>
      <c r="K1683" s="438"/>
      <c r="L1683" s="508"/>
      <c r="M1683" s="438"/>
      <c r="N1683" s="509"/>
      <c r="O1683" s="511"/>
      <c r="P1683" s="511"/>
    </row>
    <row r="1684" spans="6:16" x14ac:dyDescent="0.2">
      <c r="F1684" s="536"/>
      <c r="G1684" s="522"/>
      <c r="H1684" s="508"/>
      <c r="I1684" s="438"/>
      <c r="J1684" s="509"/>
      <c r="K1684" s="438"/>
      <c r="L1684" s="508"/>
      <c r="M1684" s="438"/>
      <c r="N1684" s="509"/>
      <c r="O1684" s="511"/>
      <c r="P1684" s="511"/>
    </row>
    <row r="1685" spans="6:16" x14ac:dyDescent="0.2">
      <c r="F1685" s="536"/>
      <c r="G1685" s="522"/>
      <c r="H1685" s="508"/>
      <c r="I1685" s="438"/>
      <c r="J1685" s="509"/>
      <c r="K1685" s="438"/>
      <c r="L1685" s="508"/>
      <c r="M1685" s="438"/>
      <c r="N1685" s="509"/>
      <c r="O1685" s="511"/>
      <c r="P1685" s="511"/>
    </row>
    <row r="1686" spans="6:16" x14ac:dyDescent="0.2">
      <c r="F1686" s="536"/>
      <c r="G1686" s="522"/>
      <c r="H1686" s="508"/>
      <c r="I1686" s="438"/>
      <c r="J1686" s="509"/>
      <c r="K1686" s="438"/>
      <c r="L1686" s="508"/>
      <c r="M1686" s="438"/>
      <c r="N1686" s="509"/>
      <c r="O1686" s="511"/>
      <c r="P1686" s="511"/>
    </row>
    <row r="1687" spans="6:16" x14ac:dyDescent="0.2">
      <c r="F1687" s="536"/>
      <c r="G1687" s="522"/>
      <c r="H1687" s="508"/>
      <c r="I1687" s="438"/>
      <c r="J1687" s="509"/>
      <c r="K1687" s="438"/>
      <c r="L1687" s="508"/>
      <c r="M1687" s="438"/>
      <c r="N1687" s="509"/>
      <c r="O1687" s="511"/>
      <c r="P1687" s="511"/>
    </row>
    <row r="1688" spans="6:16" x14ac:dyDescent="0.2">
      <c r="F1688" s="536"/>
      <c r="G1688" s="522"/>
      <c r="H1688" s="508"/>
      <c r="I1688" s="438"/>
      <c r="J1688" s="509"/>
      <c r="K1688" s="438"/>
      <c r="L1688" s="508"/>
      <c r="M1688" s="438"/>
      <c r="N1688" s="509"/>
      <c r="O1688" s="511"/>
      <c r="P1688" s="511"/>
    </row>
    <row r="1689" spans="6:16" x14ac:dyDescent="0.2">
      <c r="F1689" s="536"/>
      <c r="G1689" s="522"/>
      <c r="H1689" s="508"/>
      <c r="I1689" s="438"/>
      <c r="J1689" s="509"/>
      <c r="K1689" s="438"/>
      <c r="L1689" s="508"/>
      <c r="M1689" s="438"/>
      <c r="N1689" s="509"/>
      <c r="O1689" s="511"/>
      <c r="P1689" s="511"/>
    </row>
    <row r="1690" spans="6:16" x14ac:dyDescent="0.2">
      <c r="F1690" s="536"/>
      <c r="G1690" s="522"/>
      <c r="H1690" s="508"/>
      <c r="I1690" s="438"/>
      <c r="J1690" s="509"/>
      <c r="K1690" s="438"/>
      <c r="L1690" s="508"/>
      <c r="M1690" s="438"/>
      <c r="N1690" s="509"/>
      <c r="O1690" s="511"/>
      <c r="P1690" s="511"/>
    </row>
    <row r="1691" spans="6:16" x14ac:dyDescent="0.2">
      <c r="F1691" s="536"/>
      <c r="G1691" s="522"/>
      <c r="H1691" s="508"/>
      <c r="I1691" s="438"/>
      <c r="J1691" s="509"/>
      <c r="K1691" s="438"/>
      <c r="L1691" s="508"/>
      <c r="M1691" s="438"/>
      <c r="N1691" s="509"/>
      <c r="O1691" s="511"/>
      <c r="P1691" s="511"/>
    </row>
    <row r="1692" spans="6:16" x14ac:dyDescent="0.2">
      <c r="F1692" s="536"/>
      <c r="G1692" s="522"/>
      <c r="H1692" s="508"/>
      <c r="I1692" s="438"/>
      <c r="J1692" s="509"/>
      <c r="K1692" s="438"/>
      <c r="L1692" s="508"/>
      <c r="M1692" s="438"/>
      <c r="N1692" s="509"/>
      <c r="O1692" s="511"/>
      <c r="P1692" s="511"/>
    </row>
    <row r="1693" spans="6:16" x14ac:dyDescent="0.2">
      <c r="F1693" s="536"/>
      <c r="G1693" s="522"/>
      <c r="H1693" s="508"/>
      <c r="I1693" s="438"/>
      <c r="J1693" s="509"/>
      <c r="K1693" s="438"/>
      <c r="L1693" s="508"/>
      <c r="M1693" s="438"/>
      <c r="N1693" s="509"/>
      <c r="O1693" s="511"/>
      <c r="P1693" s="511"/>
    </row>
    <row r="1694" spans="6:16" x14ac:dyDescent="0.2">
      <c r="F1694" s="536"/>
      <c r="G1694" s="522"/>
      <c r="H1694" s="508"/>
      <c r="I1694" s="438"/>
      <c r="J1694" s="509"/>
      <c r="K1694" s="438"/>
      <c r="L1694" s="508"/>
      <c r="M1694" s="438"/>
      <c r="N1694" s="509"/>
      <c r="O1694" s="511"/>
      <c r="P1694" s="511"/>
    </row>
    <row r="1695" spans="6:16" x14ac:dyDescent="0.2">
      <c r="F1695" s="536"/>
      <c r="G1695" s="522"/>
      <c r="H1695" s="508"/>
      <c r="I1695" s="438"/>
      <c r="J1695" s="509"/>
      <c r="K1695" s="438"/>
      <c r="L1695" s="508"/>
      <c r="M1695" s="438"/>
      <c r="N1695" s="509"/>
      <c r="O1695" s="511"/>
      <c r="P1695" s="511"/>
    </row>
    <row r="1696" spans="6:16" x14ac:dyDescent="0.2">
      <c r="F1696" s="536"/>
      <c r="G1696" s="522"/>
      <c r="H1696" s="508"/>
      <c r="I1696" s="438"/>
      <c r="J1696" s="509"/>
      <c r="K1696" s="438"/>
      <c r="L1696" s="508"/>
      <c r="M1696" s="438"/>
      <c r="N1696" s="509"/>
      <c r="O1696" s="511"/>
      <c r="P1696" s="511"/>
    </row>
    <row r="1697" spans="6:16" x14ac:dyDescent="0.2">
      <c r="F1697" s="536"/>
      <c r="G1697" s="522"/>
      <c r="H1697" s="508"/>
      <c r="I1697" s="438"/>
      <c r="J1697" s="509"/>
      <c r="K1697" s="438"/>
      <c r="L1697" s="508"/>
      <c r="M1697" s="438"/>
      <c r="N1697" s="509"/>
      <c r="O1697" s="511"/>
      <c r="P1697" s="511"/>
    </row>
    <row r="1698" spans="6:16" x14ac:dyDescent="0.2">
      <c r="F1698" s="536"/>
      <c r="G1698" s="522"/>
      <c r="H1698" s="508"/>
      <c r="I1698" s="438"/>
      <c r="J1698" s="509"/>
      <c r="K1698" s="438"/>
      <c r="L1698" s="508"/>
      <c r="M1698" s="438"/>
      <c r="N1698" s="509"/>
      <c r="O1698" s="511"/>
      <c r="P1698" s="511"/>
    </row>
    <row r="1699" spans="6:16" x14ac:dyDescent="0.2">
      <c r="F1699" s="536"/>
      <c r="G1699" s="522"/>
      <c r="H1699" s="508"/>
      <c r="I1699" s="438"/>
      <c r="J1699" s="509"/>
      <c r="K1699" s="438"/>
      <c r="L1699" s="508"/>
      <c r="M1699" s="438"/>
      <c r="N1699" s="509"/>
      <c r="O1699" s="511"/>
      <c r="P1699" s="511"/>
    </row>
    <row r="1700" spans="6:16" x14ac:dyDescent="0.2">
      <c r="F1700" s="536"/>
      <c r="G1700" s="522"/>
      <c r="H1700" s="508"/>
      <c r="I1700" s="438"/>
      <c r="J1700" s="509"/>
      <c r="K1700" s="438"/>
      <c r="L1700" s="508"/>
      <c r="M1700" s="438"/>
      <c r="N1700" s="509"/>
      <c r="O1700" s="511"/>
      <c r="P1700" s="511"/>
    </row>
    <row r="1701" spans="6:16" x14ac:dyDescent="0.2">
      <c r="F1701" s="536"/>
      <c r="G1701" s="522"/>
      <c r="H1701" s="508"/>
      <c r="I1701" s="438"/>
      <c r="J1701" s="509"/>
      <c r="K1701" s="438"/>
      <c r="L1701" s="508"/>
      <c r="M1701" s="438"/>
      <c r="N1701" s="509"/>
      <c r="O1701" s="511"/>
      <c r="P1701" s="511"/>
    </row>
    <row r="1702" spans="6:16" x14ac:dyDescent="0.2">
      <c r="F1702" s="536"/>
      <c r="G1702" s="522"/>
      <c r="H1702" s="508"/>
      <c r="I1702" s="438"/>
      <c r="J1702" s="509"/>
      <c r="K1702" s="438"/>
      <c r="L1702" s="508"/>
      <c r="M1702" s="438"/>
      <c r="N1702" s="509"/>
      <c r="O1702" s="511"/>
      <c r="P1702" s="511"/>
    </row>
    <row r="1703" spans="6:16" x14ac:dyDescent="0.2">
      <c r="F1703" s="536"/>
      <c r="G1703" s="522"/>
      <c r="H1703" s="508"/>
      <c r="I1703" s="438"/>
      <c r="J1703" s="509"/>
      <c r="K1703" s="438"/>
      <c r="L1703" s="508"/>
      <c r="M1703" s="438"/>
      <c r="N1703" s="509"/>
      <c r="O1703" s="511"/>
      <c r="P1703" s="511"/>
    </row>
    <row r="1704" spans="6:16" x14ac:dyDescent="0.2">
      <c r="F1704" s="536"/>
      <c r="G1704" s="522"/>
      <c r="H1704" s="508"/>
      <c r="I1704" s="438"/>
      <c r="J1704" s="509"/>
      <c r="K1704" s="438"/>
      <c r="L1704" s="508"/>
      <c r="M1704" s="438"/>
      <c r="N1704" s="509"/>
      <c r="O1704" s="511"/>
      <c r="P1704" s="511"/>
    </row>
    <row r="1705" spans="6:16" x14ac:dyDescent="0.2">
      <c r="F1705" s="536"/>
      <c r="G1705" s="522"/>
      <c r="H1705" s="508"/>
      <c r="I1705" s="438"/>
      <c r="J1705" s="509"/>
      <c r="K1705" s="438"/>
      <c r="L1705" s="508"/>
      <c r="M1705" s="438"/>
      <c r="N1705" s="509"/>
      <c r="O1705" s="511"/>
      <c r="P1705" s="511"/>
    </row>
    <row r="1706" spans="6:16" x14ac:dyDescent="0.2">
      <c r="F1706" s="536"/>
      <c r="G1706" s="522"/>
      <c r="H1706" s="508"/>
      <c r="I1706" s="438"/>
      <c r="J1706" s="509"/>
      <c r="K1706" s="438"/>
      <c r="L1706" s="508"/>
      <c r="M1706" s="438"/>
      <c r="N1706" s="509"/>
      <c r="O1706" s="511"/>
      <c r="P1706" s="511"/>
    </row>
    <row r="1707" spans="6:16" x14ac:dyDescent="0.2">
      <c r="F1707" s="536"/>
      <c r="G1707" s="522"/>
      <c r="H1707" s="508"/>
      <c r="I1707" s="438"/>
      <c r="J1707" s="509"/>
      <c r="K1707" s="438"/>
      <c r="L1707" s="508"/>
      <c r="M1707" s="438"/>
      <c r="N1707" s="509"/>
      <c r="O1707" s="511"/>
      <c r="P1707" s="511"/>
    </row>
    <row r="1708" spans="6:16" x14ac:dyDescent="0.2">
      <c r="F1708" s="536"/>
      <c r="G1708" s="522"/>
      <c r="H1708" s="508"/>
      <c r="I1708" s="438"/>
      <c r="J1708" s="509"/>
      <c r="K1708" s="438"/>
      <c r="L1708" s="508"/>
      <c r="M1708" s="438"/>
      <c r="N1708" s="509"/>
      <c r="O1708" s="511"/>
      <c r="P1708" s="511"/>
    </row>
    <row r="1709" spans="6:16" x14ac:dyDescent="0.2">
      <c r="F1709" s="536"/>
      <c r="G1709" s="522"/>
      <c r="H1709" s="508"/>
      <c r="I1709" s="438"/>
      <c r="J1709" s="509"/>
      <c r="K1709" s="438"/>
      <c r="L1709" s="508"/>
      <c r="M1709" s="438"/>
      <c r="N1709" s="509"/>
      <c r="O1709" s="511"/>
      <c r="P1709" s="511"/>
    </row>
    <row r="1710" spans="6:16" x14ac:dyDescent="0.2">
      <c r="F1710" s="536"/>
      <c r="G1710" s="522"/>
      <c r="H1710" s="508"/>
      <c r="I1710" s="438"/>
      <c r="J1710" s="509"/>
      <c r="K1710" s="438"/>
      <c r="L1710" s="508"/>
      <c r="M1710" s="438"/>
      <c r="N1710" s="509"/>
      <c r="O1710" s="511"/>
      <c r="P1710" s="511"/>
    </row>
    <row r="1711" spans="6:16" x14ac:dyDescent="0.2">
      <c r="F1711" s="536"/>
      <c r="G1711" s="522"/>
      <c r="H1711" s="508"/>
      <c r="I1711" s="438"/>
      <c r="J1711" s="509"/>
      <c r="K1711" s="438"/>
      <c r="L1711" s="508"/>
      <c r="M1711" s="438"/>
      <c r="N1711" s="509"/>
      <c r="O1711" s="511"/>
      <c r="P1711" s="511"/>
    </row>
    <row r="1712" spans="6:16" x14ac:dyDescent="0.2">
      <c r="F1712" s="536"/>
      <c r="G1712" s="522"/>
      <c r="H1712" s="508"/>
      <c r="I1712" s="438"/>
      <c r="J1712" s="509"/>
      <c r="K1712" s="438"/>
      <c r="L1712" s="508"/>
      <c r="M1712" s="438"/>
      <c r="N1712" s="509"/>
      <c r="O1712" s="511"/>
      <c r="P1712" s="511"/>
    </row>
    <row r="1713" spans="6:16" x14ac:dyDescent="0.2">
      <c r="F1713" s="536"/>
      <c r="G1713" s="522"/>
      <c r="H1713" s="508"/>
      <c r="I1713" s="438"/>
      <c r="J1713" s="509"/>
      <c r="K1713" s="438"/>
      <c r="L1713" s="508"/>
      <c r="M1713" s="438"/>
      <c r="N1713" s="509"/>
      <c r="O1713" s="511"/>
      <c r="P1713" s="511"/>
    </row>
    <row r="1714" spans="6:16" x14ac:dyDescent="0.2">
      <c r="F1714" s="536"/>
      <c r="G1714" s="522"/>
      <c r="H1714" s="508"/>
      <c r="I1714" s="438"/>
      <c r="J1714" s="509"/>
      <c r="K1714" s="438"/>
      <c r="L1714" s="508"/>
      <c r="M1714" s="438"/>
      <c r="N1714" s="509"/>
      <c r="O1714" s="511"/>
      <c r="P1714" s="511"/>
    </row>
    <row r="1715" spans="6:16" x14ac:dyDescent="0.2">
      <c r="F1715" s="536"/>
      <c r="G1715" s="522"/>
      <c r="H1715" s="508"/>
      <c r="I1715" s="438"/>
      <c r="J1715" s="509"/>
      <c r="K1715" s="438"/>
      <c r="L1715" s="508"/>
      <c r="M1715" s="438"/>
      <c r="N1715" s="509"/>
      <c r="O1715" s="511"/>
      <c r="P1715" s="511"/>
    </row>
    <row r="1716" spans="6:16" x14ac:dyDescent="0.2">
      <c r="F1716" s="536"/>
      <c r="G1716" s="522"/>
      <c r="H1716" s="508"/>
      <c r="I1716" s="438"/>
      <c r="J1716" s="509"/>
      <c r="K1716" s="438"/>
      <c r="L1716" s="508"/>
      <c r="M1716" s="438"/>
      <c r="N1716" s="509"/>
      <c r="O1716" s="511"/>
      <c r="P1716" s="511"/>
    </row>
    <row r="1717" spans="6:16" x14ac:dyDescent="0.2">
      <c r="F1717" s="536"/>
      <c r="G1717" s="522"/>
      <c r="H1717" s="508"/>
      <c r="I1717" s="438"/>
      <c r="J1717" s="509"/>
      <c r="K1717" s="438"/>
      <c r="L1717" s="508"/>
      <c r="M1717" s="438"/>
      <c r="N1717" s="509"/>
      <c r="O1717" s="511"/>
      <c r="P1717" s="511"/>
    </row>
    <row r="1718" spans="6:16" x14ac:dyDescent="0.2">
      <c r="F1718" s="536"/>
      <c r="G1718" s="522"/>
      <c r="H1718" s="508"/>
      <c r="I1718" s="438"/>
      <c r="J1718" s="509"/>
      <c r="K1718" s="438"/>
      <c r="L1718" s="508"/>
      <c r="M1718" s="438"/>
      <c r="N1718" s="509"/>
      <c r="O1718" s="511"/>
      <c r="P1718" s="511"/>
    </row>
    <row r="1719" spans="6:16" x14ac:dyDescent="0.2">
      <c r="F1719" s="536"/>
      <c r="G1719" s="522"/>
      <c r="H1719" s="508"/>
      <c r="I1719" s="438"/>
      <c r="J1719" s="509"/>
      <c r="K1719" s="438"/>
      <c r="L1719" s="508"/>
      <c r="M1719" s="438"/>
      <c r="N1719" s="509"/>
      <c r="O1719" s="511"/>
      <c r="P1719" s="511"/>
    </row>
    <row r="1720" spans="6:16" x14ac:dyDescent="0.2">
      <c r="F1720" s="536"/>
      <c r="G1720" s="522"/>
      <c r="H1720" s="508"/>
      <c r="I1720" s="438"/>
      <c r="J1720" s="509"/>
      <c r="K1720" s="438"/>
      <c r="L1720" s="508"/>
      <c r="M1720" s="438"/>
      <c r="N1720" s="509"/>
      <c r="O1720" s="511"/>
      <c r="P1720" s="511"/>
    </row>
    <row r="1721" spans="6:16" x14ac:dyDescent="0.2">
      <c r="F1721" s="536"/>
      <c r="G1721" s="522"/>
      <c r="H1721" s="508"/>
      <c r="I1721" s="438"/>
      <c r="J1721" s="509"/>
      <c r="K1721" s="438"/>
      <c r="L1721" s="508"/>
      <c r="M1721" s="438"/>
      <c r="N1721" s="509"/>
      <c r="O1721" s="511"/>
      <c r="P1721" s="511"/>
    </row>
    <row r="1722" spans="6:16" x14ac:dyDescent="0.2">
      <c r="F1722" s="536"/>
      <c r="G1722" s="522"/>
      <c r="H1722" s="508"/>
      <c r="I1722" s="438"/>
      <c r="J1722" s="509"/>
      <c r="K1722" s="438"/>
      <c r="L1722" s="508"/>
      <c r="M1722" s="438"/>
      <c r="N1722" s="509"/>
      <c r="O1722" s="511"/>
      <c r="P1722" s="511"/>
    </row>
    <row r="1723" spans="6:16" x14ac:dyDescent="0.2">
      <c r="F1723" s="536"/>
      <c r="G1723" s="522"/>
      <c r="H1723" s="508"/>
      <c r="I1723" s="438"/>
      <c r="J1723" s="509"/>
      <c r="K1723" s="438"/>
      <c r="L1723" s="508"/>
      <c r="M1723" s="438"/>
      <c r="N1723" s="509"/>
      <c r="O1723" s="511"/>
      <c r="P1723" s="511"/>
    </row>
    <row r="1724" spans="6:16" x14ac:dyDescent="0.2">
      <c r="F1724" s="536"/>
      <c r="G1724" s="522"/>
      <c r="H1724" s="508"/>
      <c r="I1724" s="438"/>
      <c r="J1724" s="509"/>
      <c r="K1724" s="438"/>
      <c r="L1724" s="508"/>
      <c r="M1724" s="438"/>
      <c r="N1724" s="509"/>
      <c r="O1724" s="511"/>
      <c r="P1724" s="511"/>
    </row>
    <row r="1725" spans="6:16" x14ac:dyDescent="0.2">
      <c r="F1725" s="536"/>
      <c r="G1725" s="522"/>
      <c r="H1725" s="508"/>
      <c r="I1725" s="438"/>
      <c r="J1725" s="509"/>
      <c r="K1725" s="438"/>
      <c r="L1725" s="508"/>
      <c r="M1725" s="438"/>
      <c r="N1725" s="509"/>
      <c r="O1725" s="511"/>
      <c r="P1725" s="511"/>
    </row>
    <row r="1726" spans="6:16" x14ac:dyDescent="0.2">
      <c r="F1726" s="536"/>
      <c r="G1726" s="522"/>
      <c r="H1726" s="508"/>
      <c r="I1726" s="438"/>
      <c r="J1726" s="509"/>
      <c r="K1726" s="438"/>
      <c r="L1726" s="508"/>
      <c r="M1726" s="438"/>
      <c r="N1726" s="509"/>
      <c r="O1726" s="511"/>
      <c r="P1726" s="511"/>
    </row>
    <row r="1727" spans="6:16" x14ac:dyDescent="0.2">
      <c r="F1727" s="536"/>
      <c r="G1727" s="522"/>
      <c r="H1727" s="508"/>
      <c r="I1727" s="438"/>
      <c r="J1727" s="509"/>
      <c r="K1727" s="438"/>
      <c r="L1727" s="508"/>
      <c r="M1727" s="438"/>
      <c r="N1727" s="509"/>
      <c r="O1727" s="511"/>
      <c r="P1727" s="511"/>
    </row>
    <row r="1728" spans="6:16" x14ac:dyDescent="0.2">
      <c r="F1728" s="536"/>
      <c r="G1728" s="522"/>
      <c r="H1728" s="508"/>
      <c r="I1728" s="438"/>
      <c r="J1728" s="509"/>
      <c r="K1728" s="438"/>
      <c r="L1728" s="508"/>
      <c r="M1728" s="438"/>
      <c r="N1728" s="509"/>
      <c r="O1728" s="511"/>
      <c r="P1728" s="511"/>
    </row>
    <row r="1729" spans="6:16" x14ac:dyDescent="0.2">
      <c r="F1729" s="536"/>
      <c r="G1729" s="522"/>
      <c r="H1729" s="508"/>
      <c r="I1729" s="438"/>
      <c r="J1729" s="509"/>
      <c r="K1729" s="438"/>
      <c r="L1729" s="508"/>
      <c r="M1729" s="438"/>
      <c r="N1729" s="509"/>
      <c r="O1729" s="511"/>
      <c r="P1729" s="511"/>
    </row>
    <row r="1730" spans="6:16" x14ac:dyDescent="0.2">
      <c r="F1730" s="536"/>
      <c r="G1730" s="522"/>
      <c r="H1730" s="508"/>
      <c r="I1730" s="438"/>
      <c r="J1730" s="509"/>
      <c r="K1730" s="438"/>
      <c r="L1730" s="508"/>
      <c r="M1730" s="438"/>
      <c r="N1730" s="509"/>
      <c r="O1730" s="511"/>
      <c r="P1730" s="511"/>
    </row>
    <row r="1731" spans="6:16" x14ac:dyDescent="0.2">
      <c r="F1731" s="536"/>
      <c r="G1731" s="522"/>
      <c r="H1731" s="508"/>
      <c r="I1731" s="438"/>
      <c r="J1731" s="509"/>
      <c r="K1731" s="438"/>
      <c r="L1731" s="508"/>
      <c r="M1731" s="438"/>
      <c r="N1731" s="509"/>
      <c r="O1731" s="511"/>
      <c r="P1731" s="511"/>
    </row>
    <row r="1732" spans="6:16" x14ac:dyDescent="0.2">
      <c r="F1732" s="536"/>
      <c r="G1732" s="522"/>
      <c r="H1732" s="508"/>
      <c r="I1732" s="438"/>
      <c r="J1732" s="509"/>
      <c r="K1732" s="438"/>
      <c r="L1732" s="508"/>
      <c r="M1732" s="438"/>
      <c r="N1732" s="509"/>
      <c r="O1732" s="511"/>
      <c r="P1732" s="511"/>
    </row>
    <row r="1733" spans="6:16" x14ac:dyDescent="0.2">
      <c r="F1733" s="536"/>
      <c r="G1733" s="522"/>
      <c r="H1733" s="508"/>
      <c r="I1733" s="438"/>
      <c r="J1733" s="509"/>
      <c r="K1733" s="438"/>
      <c r="L1733" s="508"/>
      <c r="M1733" s="438"/>
      <c r="N1733" s="509"/>
      <c r="O1733" s="511"/>
      <c r="P1733" s="511"/>
    </row>
    <row r="1734" spans="6:16" x14ac:dyDescent="0.2">
      <c r="F1734" s="536"/>
      <c r="G1734" s="522"/>
      <c r="H1734" s="508"/>
      <c r="I1734" s="438"/>
      <c r="J1734" s="509"/>
      <c r="K1734" s="438"/>
      <c r="L1734" s="508"/>
      <c r="M1734" s="438"/>
      <c r="N1734" s="509"/>
      <c r="O1734" s="511"/>
      <c r="P1734" s="511"/>
    </row>
    <row r="1735" spans="6:16" x14ac:dyDescent="0.2">
      <c r="F1735" s="536"/>
      <c r="G1735" s="522"/>
      <c r="H1735" s="508"/>
      <c r="I1735" s="438"/>
      <c r="J1735" s="509"/>
      <c r="K1735" s="438"/>
      <c r="L1735" s="508"/>
      <c r="M1735" s="438"/>
      <c r="N1735" s="509"/>
      <c r="O1735" s="511"/>
      <c r="P1735" s="511"/>
    </row>
    <row r="1736" spans="6:16" x14ac:dyDescent="0.2">
      <c r="F1736" s="536"/>
      <c r="G1736" s="522"/>
      <c r="H1736" s="508"/>
      <c r="I1736" s="438"/>
      <c r="J1736" s="509"/>
      <c r="K1736" s="438"/>
      <c r="L1736" s="508"/>
      <c r="M1736" s="438"/>
      <c r="N1736" s="509"/>
      <c r="O1736" s="511"/>
      <c r="P1736" s="511"/>
    </row>
    <row r="1737" spans="6:16" x14ac:dyDescent="0.2">
      <c r="F1737" s="536"/>
      <c r="G1737" s="522"/>
      <c r="H1737" s="508"/>
      <c r="I1737" s="438"/>
      <c r="J1737" s="509"/>
      <c r="K1737" s="438"/>
      <c r="L1737" s="508"/>
      <c r="M1737" s="438"/>
      <c r="N1737" s="509"/>
      <c r="O1737" s="511"/>
      <c r="P1737" s="511"/>
    </row>
    <row r="1738" spans="6:16" x14ac:dyDescent="0.2">
      <c r="F1738" s="536"/>
      <c r="G1738" s="522"/>
      <c r="H1738" s="508"/>
      <c r="I1738" s="438"/>
      <c r="J1738" s="509"/>
      <c r="K1738" s="438"/>
      <c r="L1738" s="508"/>
      <c r="M1738" s="438"/>
      <c r="N1738" s="509"/>
      <c r="O1738" s="511"/>
      <c r="P1738" s="511"/>
    </row>
    <row r="1739" spans="6:16" x14ac:dyDescent="0.2">
      <c r="F1739" s="536"/>
      <c r="G1739" s="522"/>
      <c r="H1739" s="508"/>
      <c r="I1739" s="438"/>
      <c r="J1739" s="509"/>
      <c r="K1739" s="438"/>
      <c r="L1739" s="508"/>
      <c r="M1739" s="438"/>
      <c r="N1739" s="509"/>
      <c r="O1739" s="511"/>
      <c r="P1739" s="511"/>
    </row>
    <row r="1740" spans="6:16" x14ac:dyDescent="0.2">
      <c r="F1740" s="536"/>
      <c r="G1740" s="522"/>
      <c r="H1740" s="508"/>
      <c r="I1740" s="438"/>
      <c r="J1740" s="509"/>
      <c r="K1740" s="438"/>
      <c r="L1740" s="508"/>
      <c r="M1740" s="438"/>
      <c r="N1740" s="509"/>
      <c r="O1740" s="511"/>
      <c r="P1740" s="511"/>
    </row>
    <row r="1741" spans="6:16" x14ac:dyDescent="0.2">
      <c r="F1741" s="536"/>
      <c r="G1741" s="522"/>
      <c r="H1741" s="508"/>
      <c r="I1741" s="438"/>
      <c r="J1741" s="509"/>
      <c r="K1741" s="438"/>
      <c r="L1741" s="508"/>
      <c r="M1741" s="438"/>
      <c r="N1741" s="509"/>
      <c r="O1741" s="511"/>
      <c r="P1741" s="511"/>
    </row>
    <row r="1742" spans="6:16" x14ac:dyDescent="0.2">
      <c r="F1742" s="536"/>
      <c r="G1742" s="522"/>
      <c r="H1742" s="508"/>
      <c r="I1742" s="438"/>
      <c r="J1742" s="509"/>
      <c r="K1742" s="438"/>
      <c r="L1742" s="508"/>
      <c r="M1742" s="438"/>
      <c r="N1742" s="509"/>
      <c r="O1742" s="511"/>
      <c r="P1742" s="511"/>
    </row>
    <row r="1743" spans="6:16" x14ac:dyDescent="0.2">
      <c r="F1743" s="536"/>
      <c r="G1743" s="522"/>
      <c r="H1743" s="508"/>
      <c r="I1743" s="438"/>
      <c r="J1743" s="509"/>
      <c r="K1743" s="438"/>
      <c r="L1743" s="508"/>
      <c r="M1743" s="438"/>
      <c r="N1743" s="509"/>
      <c r="O1743" s="511"/>
      <c r="P1743" s="511"/>
    </row>
    <row r="1744" spans="6:16" x14ac:dyDescent="0.2">
      <c r="F1744" s="536"/>
      <c r="G1744" s="522"/>
      <c r="H1744" s="508"/>
      <c r="I1744" s="438"/>
      <c r="J1744" s="509"/>
      <c r="K1744" s="438"/>
      <c r="L1744" s="508"/>
      <c r="M1744" s="438"/>
      <c r="N1744" s="509"/>
      <c r="O1744" s="511"/>
      <c r="P1744" s="511"/>
    </row>
    <row r="1745" spans="6:16" x14ac:dyDescent="0.2">
      <c r="F1745" s="536"/>
      <c r="G1745" s="522"/>
      <c r="H1745" s="508"/>
      <c r="I1745" s="438"/>
      <c r="J1745" s="509"/>
      <c r="K1745" s="438"/>
      <c r="L1745" s="508"/>
      <c r="M1745" s="438"/>
      <c r="N1745" s="509"/>
      <c r="O1745" s="511"/>
      <c r="P1745" s="511"/>
    </row>
    <row r="1746" spans="6:16" x14ac:dyDescent="0.2">
      <c r="F1746" s="536"/>
      <c r="G1746" s="522"/>
      <c r="H1746" s="508"/>
      <c r="I1746" s="438"/>
      <c r="J1746" s="509"/>
      <c r="K1746" s="438"/>
      <c r="L1746" s="508"/>
      <c r="M1746" s="438"/>
      <c r="N1746" s="509"/>
      <c r="O1746" s="511"/>
      <c r="P1746" s="511"/>
    </row>
    <row r="1747" spans="6:16" x14ac:dyDescent="0.2">
      <c r="F1747" s="536"/>
      <c r="G1747" s="522"/>
      <c r="H1747" s="508"/>
      <c r="I1747" s="438"/>
      <c r="J1747" s="509"/>
      <c r="K1747" s="438"/>
      <c r="L1747" s="508"/>
      <c r="M1747" s="438"/>
      <c r="N1747" s="509"/>
      <c r="O1747" s="511"/>
      <c r="P1747" s="511"/>
    </row>
    <row r="1748" spans="6:16" x14ac:dyDescent="0.2">
      <c r="F1748" s="536"/>
      <c r="G1748" s="522"/>
      <c r="H1748" s="508"/>
      <c r="I1748" s="438"/>
      <c r="J1748" s="509"/>
      <c r="K1748" s="438"/>
      <c r="L1748" s="508"/>
      <c r="M1748" s="438"/>
      <c r="N1748" s="509"/>
      <c r="O1748" s="511"/>
      <c r="P1748" s="511"/>
    </row>
    <row r="1749" spans="6:16" x14ac:dyDescent="0.2">
      <c r="F1749" s="536"/>
      <c r="G1749" s="522"/>
      <c r="H1749" s="508"/>
      <c r="I1749" s="438"/>
      <c r="J1749" s="509"/>
      <c r="K1749" s="438"/>
      <c r="L1749" s="508"/>
      <c r="M1749" s="438"/>
      <c r="N1749" s="509"/>
      <c r="O1749" s="511"/>
      <c r="P1749" s="511"/>
    </row>
    <row r="1750" spans="6:16" x14ac:dyDescent="0.2">
      <c r="F1750" s="536"/>
      <c r="G1750" s="522"/>
      <c r="H1750" s="508"/>
      <c r="I1750" s="438"/>
      <c r="J1750" s="509"/>
      <c r="K1750" s="438"/>
      <c r="L1750" s="508"/>
      <c r="M1750" s="438"/>
      <c r="N1750" s="509"/>
      <c r="O1750" s="511"/>
      <c r="P1750" s="511"/>
    </row>
    <row r="1751" spans="6:16" x14ac:dyDescent="0.2">
      <c r="F1751" s="536"/>
      <c r="G1751" s="522"/>
      <c r="H1751" s="508"/>
      <c r="I1751" s="438"/>
      <c r="J1751" s="509"/>
      <c r="K1751" s="438"/>
      <c r="L1751" s="508"/>
      <c r="M1751" s="438"/>
      <c r="N1751" s="509"/>
      <c r="O1751" s="511"/>
      <c r="P1751" s="511"/>
    </row>
    <row r="1752" spans="6:16" x14ac:dyDescent="0.2">
      <c r="F1752" s="536"/>
      <c r="G1752" s="522"/>
      <c r="H1752" s="508"/>
      <c r="I1752" s="438"/>
      <c r="J1752" s="509"/>
      <c r="K1752" s="438"/>
      <c r="L1752" s="508"/>
      <c r="M1752" s="438"/>
      <c r="N1752" s="509"/>
      <c r="O1752" s="511"/>
      <c r="P1752" s="511"/>
    </row>
    <row r="1753" spans="6:16" x14ac:dyDescent="0.2">
      <c r="F1753" s="536"/>
      <c r="G1753" s="522"/>
      <c r="H1753" s="508"/>
      <c r="I1753" s="438"/>
      <c r="J1753" s="509"/>
      <c r="K1753" s="438"/>
      <c r="L1753" s="508"/>
      <c r="M1753" s="438"/>
      <c r="N1753" s="509"/>
      <c r="O1753" s="511"/>
      <c r="P1753" s="511"/>
    </row>
    <row r="1754" spans="6:16" x14ac:dyDescent="0.2">
      <c r="F1754" s="536"/>
      <c r="G1754" s="522"/>
      <c r="H1754" s="508"/>
      <c r="I1754" s="438"/>
      <c r="J1754" s="509"/>
      <c r="K1754" s="438"/>
      <c r="L1754" s="508"/>
      <c r="M1754" s="438"/>
      <c r="N1754" s="509"/>
      <c r="O1754" s="511"/>
      <c r="P1754" s="511"/>
    </row>
    <row r="1755" spans="6:16" x14ac:dyDescent="0.2">
      <c r="F1755" s="536"/>
      <c r="G1755" s="522"/>
      <c r="H1755" s="508"/>
      <c r="I1755" s="438"/>
      <c r="J1755" s="509"/>
      <c r="K1755" s="438"/>
      <c r="L1755" s="508"/>
      <c r="M1755" s="438"/>
      <c r="N1755" s="509"/>
      <c r="O1755" s="511"/>
      <c r="P1755" s="511"/>
    </row>
    <row r="1756" spans="6:16" x14ac:dyDescent="0.2">
      <c r="F1756" s="536"/>
      <c r="G1756" s="522"/>
      <c r="H1756" s="508"/>
      <c r="I1756" s="438"/>
      <c r="J1756" s="509"/>
      <c r="K1756" s="438"/>
      <c r="L1756" s="508"/>
      <c r="M1756" s="438"/>
      <c r="N1756" s="509"/>
      <c r="O1756" s="511"/>
      <c r="P1756" s="511"/>
    </row>
    <row r="1757" spans="6:16" x14ac:dyDescent="0.2">
      <c r="F1757" s="536"/>
      <c r="G1757" s="522"/>
      <c r="H1757" s="508"/>
      <c r="I1757" s="438"/>
      <c r="J1757" s="509"/>
      <c r="K1757" s="438"/>
      <c r="L1757" s="508"/>
      <c r="M1757" s="438"/>
      <c r="N1757" s="509"/>
      <c r="O1757" s="511"/>
      <c r="P1757" s="511"/>
    </row>
    <row r="1758" spans="6:16" x14ac:dyDescent="0.2">
      <c r="F1758" s="536"/>
      <c r="G1758" s="522"/>
      <c r="H1758" s="508"/>
      <c r="I1758" s="438"/>
      <c r="J1758" s="509"/>
      <c r="K1758" s="438"/>
      <c r="L1758" s="508"/>
      <c r="M1758" s="438"/>
      <c r="N1758" s="509"/>
      <c r="O1758" s="511"/>
      <c r="P1758" s="511"/>
    </row>
    <row r="1759" spans="6:16" x14ac:dyDescent="0.2">
      <c r="F1759" s="536"/>
      <c r="G1759" s="522"/>
      <c r="H1759" s="508"/>
      <c r="I1759" s="438"/>
      <c r="J1759" s="509"/>
      <c r="K1759" s="438"/>
      <c r="L1759" s="508"/>
      <c r="M1759" s="438"/>
      <c r="N1759" s="509"/>
      <c r="O1759" s="511"/>
      <c r="P1759" s="511"/>
    </row>
    <row r="1760" spans="6:16" x14ac:dyDescent="0.2">
      <c r="F1760" s="536"/>
      <c r="G1760" s="522"/>
      <c r="H1760" s="508"/>
      <c r="I1760" s="438"/>
      <c r="J1760" s="509"/>
      <c r="K1760" s="438"/>
      <c r="L1760" s="508"/>
      <c r="M1760" s="438"/>
      <c r="N1760" s="509"/>
      <c r="O1760" s="511"/>
      <c r="P1760" s="511"/>
    </row>
    <row r="1761" spans="6:16" x14ac:dyDescent="0.2">
      <c r="F1761" s="536"/>
      <c r="G1761" s="522"/>
      <c r="H1761" s="508"/>
      <c r="I1761" s="438"/>
      <c r="J1761" s="509"/>
      <c r="K1761" s="438"/>
      <c r="L1761" s="508"/>
      <c r="M1761" s="438"/>
      <c r="N1761" s="509"/>
      <c r="O1761" s="511"/>
      <c r="P1761" s="511"/>
    </row>
    <row r="1762" spans="6:16" x14ac:dyDescent="0.2">
      <c r="F1762" s="536"/>
      <c r="G1762" s="522"/>
      <c r="H1762" s="508"/>
      <c r="I1762" s="438"/>
      <c r="J1762" s="509"/>
      <c r="K1762" s="438"/>
      <c r="L1762" s="508"/>
      <c r="M1762" s="438"/>
      <c r="N1762" s="509"/>
      <c r="O1762" s="511"/>
      <c r="P1762" s="511"/>
    </row>
    <row r="1763" spans="6:16" x14ac:dyDescent="0.2">
      <c r="F1763" s="536"/>
      <c r="G1763" s="522"/>
      <c r="H1763" s="508"/>
      <c r="I1763" s="438"/>
      <c r="J1763" s="509"/>
      <c r="K1763" s="438"/>
      <c r="L1763" s="508"/>
      <c r="M1763" s="438"/>
      <c r="N1763" s="509"/>
      <c r="O1763" s="511"/>
      <c r="P1763" s="511"/>
    </row>
    <row r="1764" spans="6:16" x14ac:dyDescent="0.2">
      <c r="F1764" s="536"/>
      <c r="G1764" s="522"/>
      <c r="H1764" s="508"/>
      <c r="I1764" s="438"/>
      <c r="J1764" s="509"/>
      <c r="K1764" s="438"/>
      <c r="L1764" s="508"/>
      <c r="M1764" s="438"/>
      <c r="N1764" s="509"/>
      <c r="O1764" s="511"/>
      <c r="P1764" s="511"/>
    </row>
    <row r="1765" spans="6:16" x14ac:dyDescent="0.2">
      <c r="F1765" s="536"/>
      <c r="G1765" s="522"/>
      <c r="H1765" s="508"/>
      <c r="I1765" s="438"/>
      <c r="J1765" s="509"/>
      <c r="K1765" s="438"/>
      <c r="L1765" s="508"/>
      <c r="M1765" s="438"/>
      <c r="N1765" s="509"/>
      <c r="O1765" s="511"/>
      <c r="P1765" s="511"/>
    </row>
    <row r="1766" spans="6:16" x14ac:dyDescent="0.2">
      <c r="F1766" s="536"/>
      <c r="G1766" s="522"/>
      <c r="H1766" s="508"/>
      <c r="I1766" s="438"/>
      <c r="J1766" s="509"/>
      <c r="K1766" s="438"/>
      <c r="L1766" s="508"/>
      <c r="M1766" s="438"/>
      <c r="N1766" s="509"/>
      <c r="O1766" s="511"/>
      <c r="P1766" s="511"/>
    </row>
    <row r="1767" spans="6:16" x14ac:dyDescent="0.2">
      <c r="F1767" s="536"/>
      <c r="G1767" s="522"/>
      <c r="H1767" s="508"/>
      <c r="I1767" s="438"/>
      <c r="J1767" s="509"/>
      <c r="K1767" s="438"/>
      <c r="L1767" s="508"/>
      <c r="M1767" s="438"/>
      <c r="N1767" s="509"/>
      <c r="O1767" s="511"/>
      <c r="P1767" s="511"/>
    </row>
    <row r="1768" spans="6:16" x14ac:dyDescent="0.2">
      <c r="F1768" s="536"/>
      <c r="G1768" s="522"/>
      <c r="H1768" s="508"/>
      <c r="I1768" s="438"/>
      <c r="J1768" s="509"/>
      <c r="K1768" s="438"/>
      <c r="L1768" s="508"/>
      <c r="M1768" s="438"/>
      <c r="N1768" s="509"/>
      <c r="O1768" s="511"/>
      <c r="P1768" s="511"/>
    </row>
    <row r="1769" spans="6:16" x14ac:dyDescent="0.2">
      <c r="F1769" s="536"/>
      <c r="G1769" s="522"/>
      <c r="H1769" s="508"/>
      <c r="I1769" s="438"/>
      <c r="J1769" s="509"/>
      <c r="K1769" s="438"/>
      <c r="L1769" s="508"/>
      <c r="M1769" s="438"/>
      <c r="N1769" s="509"/>
      <c r="O1769" s="511"/>
      <c r="P1769" s="511"/>
    </row>
    <row r="1770" spans="6:16" x14ac:dyDescent="0.2">
      <c r="F1770" s="536"/>
      <c r="G1770" s="522"/>
      <c r="H1770" s="508"/>
      <c r="I1770" s="438"/>
      <c r="J1770" s="509"/>
      <c r="K1770" s="438"/>
      <c r="L1770" s="508"/>
      <c r="M1770" s="438"/>
      <c r="N1770" s="509"/>
      <c r="O1770" s="511"/>
      <c r="P1770" s="511"/>
    </row>
    <row r="1771" spans="6:16" x14ac:dyDescent="0.2">
      <c r="F1771" s="536"/>
      <c r="G1771" s="522"/>
      <c r="H1771" s="508"/>
      <c r="I1771" s="438"/>
      <c r="J1771" s="509"/>
      <c r="K1771" s="438"/>
      <c r="L1771" s="508"/>
      <c r="M1771" s="438"/>
      <c r="N1771" s="509"/>
      <c r="O1771" s="511"/>
      <c r="P1771" s="511"/>
    </row>
    <row r="1772" spans="6:16" x14ac:dyDescent="0.2">
      <c r="F1772" s="536"/>
      <c r="G1772" s="522"/>
      <c r="H1772" s="508"/>
      <c r="I1772" s="438"/>
      <c r="J1772" s="509"/>
      <c r="K1772" s="438"/>
      <c r="L1772" s="508"/>
      <c r="M1772" s="438"/>
      <c r="N1772" s="509"/>
      <c r="O1772" s="511"/>
      <c r="P1772" s="511"/>
    </row>
    <row r="1773" spans="6:16" x14ac:dyDescent="0.2">
      <c r="F1773" s="536"/>
      <c r="G1773" s="522"/>
      <c r="H1773" s="508"/>
      <c r="I1773" s="438"/>
      <c r="J1773" s="509"/>
      <c r="K1773" s="438"/>
      <c r="L1773" s="508"/>
      <c r="M1773" s="438"/>
      <c r="N1773" s="509"/>
      <c r="O1773" s="511"/>
      <c r="P1773" s="511"/>
    </row>
    <row r="1774" spans="6:16" x14ac:dyDescent="0.2">
      <c r="F1774" s="536"/>
      <c r="G1774" s="522"/>
      <c r="H1774" s="508"/>
      <c r="I1774" s="438"/>
      <c r="J1774" s="509"/>
      <c r="K1774" s="438"/>
      <c r="L1774" s="508"/>
      <c r="M1774" s="438"/>
      <c r="N1774" s="509"/>
      <c r="O1774" s="511"/>
      <c r="P1774" s="511"/>
    </row>
    <row r="1775" spans="6:16" x14ac:dyDescent="0.2">
      <c r="F1775" s="536"/>
      <c r="G1775" s="522"/>
      <c r="H1775" s="508"/>
      <c r="I1775" s="438"/>
      <c r="J1775" s="509"/>
      <c r="K1775" s="438"/>
      <c r="L1775" s="508"/>
      <c r="M1775" s="438"/>
      <c r="N1775" s="509"/>
      <c r="O1775" s="511"/>
      <c r="P1775" s="511"/>
    </row>
    <row r="1776" spans="6:16" x14ac:dyDescent="0.2">
      <c r="F1776" s="536"/>
      <c r="G1776" s="522"/>
      <c r="H1776" s="508"/>
      <c r="I1776" s="438"/>
      <c r="J1776" s="509"/>
      <c r="K1776" s="438"/>
      <c r="L1776" s="508"/>
      <c r="M1776" s="438"/>
      <c r="N1776" s="509"/>
      <c r="O1776" s="511"/>
      <c r="P1776" s="511"/>
    </row>
    <row r="1777" spans="6:16" x14ac:dyDescent="0.2">
      <c r="F1777" s="536"/>
      <c r="G1777" s="522"/>
      <c r="H1777" s="508"/>
      <c r="I1777" s="438"/>
      <c r="J1777" s="509"/>
      <c r="K1777" s="438"/>
      <c r="L1777" s="508"/>
      <c r="M1777" s="438"/>
      <c r="N1777" s="509"/>
      <c r="O1777" s="511"/>
      <c r="P1777" s="511"/>
    </row>
    <row r="1778" spans="6:16" x14ac:dyDescent="0.2">
      <c r="F1778" s="536"/>
      <c r="G1778" s="522"/>
      <c r="H1778" s="508"/>
      <c r="I1778" s="438"/>
      <c r="J1778" s="509"/>
      <c r="K1778" s="438"/>
      <c r="L1778" s="508"/>
      <c r="M1778" s="438"/>
      <c r="N1778" s="509"/>
      <c r="O1778" s="511"/>
      <c r="P1778" s="511"/>
    </row>
    <row r="1779" spans="6:16" x14ac:dyDescent="0.2">
      <c r="F1779" s="536"/>
      <c r="G1779" s="522"/>
      <c r="H1779" s="508"/>
      <c r="I1779" s="438"/>
      <c r="J1779" s="509"/>
      <c r="K1779" s="438"/>
      <c r="L1779" s="508"/>
      <c r="M1779" s="438"/>
      <c r="N1779" s="509"/>
      <c r="O1779" s="511"/>
      <c r="P1779" s="511"/>
    </row>
    <row r="1780" spans="6:16" x14ac:dyDescent="0.2">
      <c r="F1780" s="536"/>
      <c r="G1780" s="522"/>
      <c r="H1780" s="508"/>
      <c r="I1780" s="438"/>
      <c r="J1780" s="509"/>
      <c r="K1780" s="438"/>
      <c r="L1780" s="508"/>
      <c r="M1780" s="438"/>
      <c r="N1780" s="509"/>
      <c r="O1780" s="511"/>
      <c r="P1780" s="511"/>
    </row>
    <row r="1781" spans="6:16" x14ac:dyDescent="0.2">
      <c r="F1781" s="536"/>
      <c r="G1781" s="522"/>
      <c r="H1781" s="508"/>
      <c r="I1781" s="438"/>
      <c r="J1781" s="509"/>
      <c r="K1781" s="438"/>
      <c r="L1781" s="508"/>
      <c r="M1781" s="438"/>
      <c r="N1781" s="509"/>
      <c r="O1781" s="511"/>
      <c r="P1781" s="511"/>
    </row>
    <row r="1782" spans="6:16" x14ac:dyDescent="0.2">
      <c r="F1782" s="536"/>
      <c r="G1782" s="522"/>
      <c r="H1782" s="508"/>
      <c r="I1782" s="438"/>
      <c r="J1782" s="509"/>
      <c r="K1782" s="438"/>
      <c r="L1782" s="508"/>
      <c r="M1782" s="438"/>
      <c r="N1782" s="509"/>
      <c r="O1782" s="511"/>
      <c r="P1782" s="511"/>
    </row>
    <row r="1783" spans="6:16" x14ac:dyDescent="0.2">
      <c r="F1783" s="536"/>
      <c r="G1783" s="522"/>
      <c r="H1783" s="508"/>
      <c r="I1783" s="438"/>
      <c r="J1783" s="509"/>
      <c r="K1783" s="438"/>
      <c r="L1783" s="508"/>
      <c r="M1783" s="438"/>
      <c r="N1783" s="509"/>
      <c r="O1783" s="511"/>
      <c r="P1783" s="511"/>
    </row>
    <row r="1784" spans="6:16" x14ac:dyDescent="0.2">
      <c r="F1784" s="536"/>
      <c r="G1784" s="522"/>
      <c r="H1784" s="508"/>
      <c r="I1784" s="438"/>
      <c r="J1784" s="509"/>
      <c r="K1784" s="438"/>
      <c r="L1784" s="508"/>
      <c r="M1784" s="438"/>
      <c r="N1784" s="509"/>
      <c r="O1784" s="511"/>
      <c r="P1784" s="511"/>
    </row>
    <row r="1785" spans="6:16" x14ac:dyDescent="0.2">
      <c r="F1785" s="536"/>
      <c r="G1785" s="522"/>
      <c r="H1785" s="508"/>
      <c r="I1785" s="438"/>
      <c r="J1785" s="509"/>
      <c r="K1785" s="438"/>
      <c r="L1785" s="508"/>
      <c r="M1785" s="438"/>
      <c r="N1785" s="509"/>
      <c r="O1785" s="511"/>
      <c r="P1785" s="511"/>
    </row>
    <row r="1786" spans="6:16" x14ac:dyDescent="0.2">
      <c r="F1786" s="536"/>
      <c r="G1786" s="522"/>
      <c r="H1786" s="508"/>
      <c r="I1786" s="438"/>
      <c r="J1786" s="509"/>
      <c r="K1786" s="438"/>
      <c r="L1786" s="508"/>
      <c r="M1786" s="438"/>
      <c r="N1786" s="509"/>
      <c r="O1786" s="511"/>
      <c r="P1786" s="511"/>
    </row>
    <row r="1787" spans="6:16" x14ac:dyDescent="0.2">
      <c r="F1787" s="536"/>
      <c r="G1787" s="522"/>
      <c r="H1787" s="508"/>
      <c r="I1787" s="438"/>
      <c r="J1787" s="509"/>
      <c r="K1787" s="438"/>
      <c r="L1787" s="508"/>
      <c r="M1787" s="438"/>
      <c r="N1787" s="509"/>
      <c r="O1787" s="511"/>
      <c r="P1787" s="511"/>
    </row>
    <row r="1788" spans="6:16" x14ac:dyDescent="0.2">
      <c r="F1788" s="536"/>
      <c r="G1788" s="522"/>
      <c r="H1788" s="508"/>
      <c r="I1788" s="438"/>
      <c r="J1788" s="509"/>
      <c r="K1788" s="438"/>
      <c r="L1788" s="508"/>
      <c r="M1788" s="438"/>
      <c r="N1788" s="509"/>
      <c r="O1788" s="511"/>
      <c r="P1788" s="511"/>
    </row>
    <row r="1789" spans="6:16" x14ac:dyDescent="0.2">
      <c r="F1789" s="536"/>
      <c r="G1789" s="522"/>
      <c r="H1789" s="508"/>
      <c r="I1789" s="438"/>
      <c r="J1789" s="509"/>
      <c r="K1789" s="438"/>
      <c r="L1789" s="508"/>
      <c r="M1789" s="438"/>
      <c r="N1789" s="509"/>
      <c r="O1789" s="511"/>
      <c r="P1789" s="511"/>
    </row>
    <row r="1790" spans="6:16" x14ac:dyDescent="0.2">
      <c r="F1790" s="536"/>
      <c r="G1790" s="522"/>
      <c r="H1790" s="508"/>
      <c r="I1790" s="438"/>
      <c r="J1790" s="509"/>
      <c r="K1790" s="438"/>
      <c r="L1790" s="508"/>
      <c r="M1790" s="438"/>
      <c r="N1790" s="509"/>
      <c r="O1790" s="511"/>
      <c r="P1790" s="511"/>
    </row>
    <row r="1791" spans="6:16" x14ac:dyDescent="0.2">
      <c r="F1791" s="536"/>
      <c r="G1791" s="522"/>
      <c r="H1791" s="508"/>
      <c r="I1791" s="438"/>
      <c r="J1791" s="509"/>
      <c r="K1791" s="438"/>
      <c r="L1791" s="508"/>
      <c r="M1791" s="438"/>
      <c r="N1791" s="509"/>
      <c r="O1791" s="511"/>
      <c r="P1791" s="511"/>
    </row>
    <row r="1792" spans="6:16" x14ac:dyDescent="0.2">
      <c r="F1792" s="536"/>
      <c r="G1792" s="522"/>
      <c r="H1792" s="508"/>
      <c r="I1792" s="438"/>
      <c r="J1792" s="509"/>
      <c r="K1792" s="438"/>
      <c r="L1792" s="508"/>
      <c r="M1792" s="438"/>
      <c r="N1792" s="509"/>
      <c r="O1792" s="511"/>
      <c r="P1792" s="511"/>
    </row>
    <row r="1793" spans="6:16" x14ac:dyDescent="0.2">
      <c r="F1793" s="536"/>
      <c r="G1793" s="522"/>
      <c r="H1793" s="508"/>
      <c r="I1793" s="438"/>
      <c r="J1793" s="509"/>
      <c r="K1793" s="438"/>
      <c r="L1793" s="508"/>
      <c r="M1793" s="438"/>
      <c r="N1793" s="509"/>
      <c r="O1793" s="511"/>
      <c r="P1793" s="511"/>
    </row>
    <row r="1794" spans="6:16" x14ac:dyDescent="0.2">
      <c r="F1794" s="536"/>
      <c r="G1794" s="522"/>
      <c r="H1794" s="508"/>
      <c r="I1794" s="438"/>
      <c r="J1794" s="509"/>
      <c r="K1794" s="438"/>
      <c r="L1794" s="508"/>
      <c r="M1794" s="438"/>
      <c r="N1794" s="509"/>
      <c r="O1794" s="511"/>
      <c r="P1794" s="511"/>
    </row>
    <row r="1795" spans="6:16" x14ac:dyDescent="0.2">
      <c r="F1795" s="536"/>
      <c r="G1795" s="522"/>
      <c r="H1795" s="508"/>
      <c r="I1795" s="438"/>
      <c r="J1795" s="509"/>
      <c r="K1795" s="438"/>
      <c r="L1795" s="508"/>
      <c r="M1795" s="438"/>
      <c r="N1795" s="509"/>
      <c r="O1795" s="511"/>
      <c r="P1795" s="511"/>
    </row>
    <row r="1796" spans="6:16" x14ac:dyDescent="0.2">
      <c r="F1796" s="536"/>
      <c r="G1796" s="522"/>
      <c r="H1796" s="508"/>
      <c r="I1796" s="438"/>
      <c r="J1796" s="509"/>
      <c r="K1796" s="438"/>
      <c r="L1796" s="508"/>
      <c r="M1796" s="438"/>
      <c r="N1796" s="509"/>
      <c r="O1796" s="511"/>
      <c r="P1796" s="511"/>
    </row>
    <row r="1797" spans="6:16" x14ac:dyDescent="0.2">
      <c r="F1797" s="536"/>
      <c r="G1797" s="522"/>
      <c r="H1797" s="508"/>
      <c r="I1797" s="438"/>
      <c r="J1797" s="509"/>
      <c r="K1797" s="438"/>
      <c r="L1797" s="508"/>
      <c r="M1797" s="438"/>
      <c r="N1797" s="509"/>
      <c r="O1797" s="511"/>
      <c r="P1797" s="511"/>
    </row>
    <row r="1798" spans="6:16" x14ac:dyDescent="0.2">
      <c r="F1798" s="536"/>
      <c r="G1798" s="522"/>
      <c r="H1798" s="508"/>
      <c r="I1798" s="438"/>
      <c r="J1798" s="509"/>
      <c r="K1798" s="438"/>
      <c r="L1798" s="508"/>
      <c r="M1798" s="438"/>
      <c r="N1798" s="509"/>
      <c r="O1798" s="511"/>
      <c r="P1798" s="511"/>
    </row>
    <row r="1799" spans="6:16" x14ac:dyDescent="0.2">
      <c r="F1799" s="536"/>
      <c r="G1799" s="522"/>
      <c r="H1799" s="508"/>
      <c r="I1799" s="438"/>
      <c r="J1799" s="509"/>
      <c r="K1799" s="438"/>
      <c r="L1799" s="508"/>
      <c r="M1799" s="438"/>
      <c r="N1799" s="509"/>
      <c r="O1799" s="511"/>
      <c r="P1799" s="511"/>
    </row>
    <row r="1800" spans="6:16" x14ac:dyDescent="0.2">
      <c r="F1800" s="536"/>
      <c r="G1800" s="522"/>
      <c r="H1800" s="508"/>
      <c r="I1800" s="438"/>
      <c r="J1800" s="509"/>
      <c r="K1800" s="438"/>
      <c r="L1800" s="508"/>
      <c r="M1800" s="438"/>
      <c r="N1800" s="509"/>
      <c r="O1800" s="511"/>
      <c r="P1800" s="511"/>
    </row>
    <row r="1801" spans="6:16" x14ac:dyDescent="0.2">
      <c r="F1801" s="536"/>
      <c r="G1801" s="522"/>
      <c r="H1801" s="508"/>
      <c r="I1801" s="438"/>
      <c r="J1801" s="509"/>
      <c r="K1801" s="438"/>
      <c r="L1801" s="508"/>
      <c r="M1801" s="438"/>
      <c r="N1801" s="509"/>
      <c r="O1801" s="511"/>
      <c r="P1801" s="511"/>
    </row>
    <row r="1802" spans="6:16" x14ac:dyDescent="0.2">
      <c r="F1802" s="536"/>
      <c r="G1802" s="522"/>
      <c r="H1802" s="508"/>
      <c r="I1802" s="438"/>
      <c r="J1802" s="509"/>
      <c r="K1802" s="438"/>
      <c r="L1802" s="508"/>
      <c r="M1802" s="438"/>
      <c r="N1802" s="509"/>
      <c r="O1802" s="511"/>
      <c r="P1802" s="511"/>
    </row>
    <row r="1803" spans="6:16" x14ac:dyDescent="0.2">
      <c r="F1803" s="536"/>
      <c r="G1803" s="522"/>
      <c r="H1803" s="508"/>
      <c r="I1803" s="438"/>
      <c r="J1803" s="509"/>
      <c r="K1803" s="438"/>
      <c r="L1803" s="508"/>
      <c r="M1803" s="438"/>
      <c r="N1803" s="509"/>
      <c r="O1803" s="511"/>
      <c r="P1803" s="511"/>
    </row>
    <row r="1804" spans="6:16" x14ac:dyDescent="0.2">
      <c r="F1804" s="536"/>
      <c r="G1804" s="522"/>
      <c r="H1804" s="508"/>
      <c r="I1804" s="438"/>
      <c r="J1804" s="509"/>
      <c r="K1804" s="438"/>
      <c r="L1804" s="508"/>
      <c r="M1804" s="438"/>
      <c r="N1804" s="509"/>
      <c r="O1804" s="511"/>
      <c r="P1804" s="511"/>
    </row>
    <row r="1805" spans="6:16" x14ac:dyDescent="0.2">
      <c r="F1805" s="536"/>
      <c r="G1805" s="522"/>
      <c r="H1805" s="508"/>
      <c r="I1805" s="438"/>
      <c r="J1805" s="509"/>
      <c r="K1805" s="438"/>
      <c r="L1805" s="508"/>
      <c r="M1805" s="438"/>
      <c r="N1805" s="509"/>
      <c r="O1805" s="511"/>
      <c r="P1805" s="511"/>
    </row>
    <row r="1806" spans="6:16" x14ac:dyDescent="0.2">
      <c r="F1806" s="536"/>
      <c r="G1806" s="522"/>
      <c r="H1806" s="508"/>
      <c r="I1806" s="438"/>
      <c r="J1806" s="509"/>
      <c r="K1806" s="438"/>
      <c r="L1806" s="508"/>
      <c r="M1806" s="438"/>
      <c r="N1806" s="509"/>
      <c r="O1806" s="511"/>
      <c r="P1806" s="511"/>
    </row>
    <row r="1807" spans="6:16" x14ac:dyDescent="0.2">
      <c r="F1807" s="536"/>
      <c r="G1807" s="522"/>
      <c r="H1807" s="508"/>
      <c r="I1807" s="438"/>
      <c r="J1807" s="509"/>
      <c r="K1807" s="438"/>
      <c r="L1807" s="508"/>
      <c r="M1807" s="438"/>
      <c r="N1807" s="509"/>
      <c r="O1807" s="511"/>
      <c r="P1807" s="511"/>
    </row>
    <row r="1808" spans="6:16" x14ac:dyDescent="0.2">
      <c r="F1808" s="536"/>
      <c r="G1808" s="522"/>
      <c r="H1808" s="508"/>
      <c r="I1808" s="438"/>
      <c r="J1808" s="509"/>
      <c r="K1808" s="438"/>
      <c r="L1808" s="508"/>
      <c r="M1808" s="438"/>
      <c r="N1808" s="509"/>
      <c r="O1808" s="511"/>
      <c r="P1808" s="511"/>
    </row>
    <row r="1809" spans="6:16" x14ac:dyDescent="0.2">
      <c r="F1809" s="536"/>
      <c r="G1809" s="522"/>
      <c r="H1809" s="508"/>
      <c r="I1809" s="438"/>
      <c r="J1809" s="509"/>
      <c r="K1809" s="438"/>
      <c r="L1809" s="508"/>
      <c r="M1809" s="438"/>
      <c r="N1809" s="509"/>
      <c r="O1809" s="511"/>
      <c r="P1809" s="511"/>
    </row>
    <row r="1810" spans="6:16" x14ac:dyDescent="0.2">
      <c r="F1810" s="536"/>
      <c r="G1810" s="522"/>
      <c r="H1810" s="508"/>
      <c r="I1810" s="438"/>
      <c r="J1810" s="509"/>
      <c r="K1810" s="438"/>
      <c r="L1810" s="508"/>
      <c r="M1810" s="438"/>
      <c r="N1810" s="509"/>
      <c r="O1810" s="511"/>
      <c r="P1810" s="511"/>
    </row>
    <row r="1811" spans="6:16" x14ac:dyDescent="0.2">
      <c r="F1811" s="536"/>
      <c r="G1811" s="522"/>
      <c r="H1811" s="508"/>
      <c r="I1811" s="438"/>
      <c r="J1811" s="509"/>
      <c r="K1811" s="438"/>
      <c r="L1811" s="508"/>
      <c r="M1811" s="438"/>
      <c r="N1811" s="509"/>
      <c r="O1811" s="511"/>
      <c r="P1811" s="511"/>
    </row>
    <row r="1812" spans="6:16" x14ac:dyDescent="0.2">
      <c r="F1812" s="536"/>
      <c r="G1812" s="522"/>
      <c r="H1812" s="508"/>
      <c r="I1812" s="438"/>
      <c r="J1812" s="509"/>
      <c r="K1812" s="438"/>
      <c r="L1812" s="508"/>
      <c r="M1812" s="438"/>
      <c r="N1812" s="509"/>
      <c r="O1812" s="511"/>
      <c r="P1812" s="511"/>
    </row>
    <row r="1813" spans="6:16" x14ac:dyDescent="0.2">
      <c r="F1813" s="536"/>
      <c r="G1813" s="522"/>
      <c r="H1813" s="508"/>
      <c r="I1813" s="438"/>
      <c r="J1813" s="509"/>
      <c r="K1813" s="438"/>
      <c r="L1813" s="508"/>
      <c r="M1813" s="438"/>
      <c r="N1813" s="509"/>
      <c r="O1813" s="511"/>
      <c r="P1813" s="511"/>
    </row>
    <row r="1814" spans="6:16" x14ac:dyDescent="0.2">
      <c r="F1814" s="536"/>
      <c r="G1814" s="522"/>
      <c r="H1814" s="508"/>
      <c r="I1814" s="438"/>
      <c r="J1814" s="509"/>
      <c r="K1814" s="438"/>
      <c r="L1814" s="508"/>
      <c r="M1814" s="438"/>
      <c r="N1814" s="509"/>
      <c r="O1814" s="511"/>
      <c r="P1814" s="511"/>
    </row>
    <row r="1815" spans="6:16" x14ac:dyDescent="0.2">
      <c r="F1815" s="536"/>
      <c r="G1815" s="522"/>
      <c r="H1815" s="508"/>
      <c r="I1815" s="438"/>
      <c r="J1815" s="509"/>
      <c r="K1815" s="438"/>
      <c r="L1815" s="508"/>
      <c r="M1815" s="438"/>
      <c r="N1815" s="509"/>
      <c r="O1815" s="511"/>
      <c r="P1815" s="511"/>
    </row>
    <row r="1816" spans="6:16" x14ac:dyDescent="0.2">
      <c r="F1816" s="536"/>
      <c r="G1816" s="522"/>
      <c r="H1816" s="508"/>
      <c r="I1816" s="438"/>
      <c r="J1816" s="509"/>
      <c r="K1816" s="438"/>
      <c r="L1816" s="508"/>
      <c r="M1816" s="438"/>
      <c r="N1816" s="509"/>
      <c r="O1816" s="511"/>
      <c r="P1816" s="511"/>
    </row>
    <row r="1817" spans="6:16" x14ac:dyDescent="0.2">
      <c r="F1817" s="536"/>
      <c r="G1817" s="522"/>
      <c r="H1817" s="508"/>
      <c r="I1817" s="438"/>
      <c r="J1817" s="509"/>
      <c r="K1817" s="438"/>
      <c r="L1817" s="508"/>
      <c r="M1817" s="438"/>
      <c r="N1817" s="509"/>
      <c r="O1817" s="511"/>
      <c r="P1817" s="511"/>
    </row>
    <row r="1818" spans="6:16" x14ac:dyDescent="0.2">
      <c r="F1818" s="536"/>
      <c r="G1818" s="522"/>
      <c r="H1818" s="508"/>
      <c r="I1818" s="438"/>
      <c r="J1818" s="509"/>
      <c r="K1818" s="438"/>
      <c r="L1818" s="508"/>
      <c r="M1818" s="438"/>
      <c r="N1818" s="509"/>
      <c r="O1818" s="511"/>
      <c r="P1818" s="511"/>
    </row>
    <row r="1819" spans="6:16" x14ac:dyDescent="0.2">
      <c r="F1819" s="536"/>
      <c r="G1819" s="522"/>
      <c r="H1819" s="508"/>
      <c r="I1819" s="438"/>
      <c r="J1819" s="509"/>
      <c r="K1819" s="438"/>
      <c r="L1819" s="508"/>
      <c r="M1819" s="438"/>
      <c r="N1819" s="509"/>
      <c r="O1819" s="511"/>
      <c r="P1819" s="511"/>
    </row>
    <row r="1820" spans="6:16" x14ac:dyDescent="0.2">
      <c r="F1820" s="536"/>
      <c r="G1820" s="522"/>
      <c r="H1820" s="508"/>
      <c r="I1820" s="438"/>
      <c r="J1820" s="509"/>
      <c r="K1820" s="438"/>
      <c r="L1820" s="508"/>
      <c r="M1820" s="438"/>
      <c r="N1820" s="509"/>
      <c r="O1820" s="511"/>
      <c r="P1820" s="511"/>
    </row>
    <row r="1821" spans="6:16" x14ac:dyDescent="0.2">
      <c r="F1821" s="536"/>
      <c r="G1821" s="522"/>
      <c r="H1821" s="508"/>
      <c r="I1821" s="438"/>
      <c r="J1821" s="509"/>
      <c r="K1821" s="438"/>
      <c r="L1821" s="508"/>
      <c r="M1821" s="438"/>
      <c r="N1821" s="509"/>
      <c r="O1821" s="511"/>
      <c r="P1821" s="511"/>
    </row>
    <row r="1822" spans="6:16" x14ac:dyDescent="0.2">
      <c r="F1822" s="536"/>
      <c r="G1822" s="522"/>
      <c r="H1822" s="508"/>
      <c r="I1822" s="438"/>
      <c r="J1822" s="509"/>
      <c r="K1822" s="438"/>
      <c r="L1822" s="508"/>
      <c r="M1822" s="438"/>
      <c r="N1822" s="509"/>
      <c r="O1822" s="511"/>
      <c r="P1822" s="511"/>
    </row>
    <row r="1823" spans="6:16" x14ac:dyDescent="0.2">
      <c r="F1823" s="536"/>
      <c r="G1823" s="522"/>
      <c r="H1823" s="508"/>
      <c r="I1823" s="438"/>
      <c r="J1823" s="509"/>
      <c r="K1823" s="438"/>
      <c r="L1823" s="508"/>
      <c r="M1823" s="438"/>
      <c r="N1823" s="509"/>
      <c r="O1823" s="511"/>
      <c r="P1823" s="511"/>
    </row>
    <row r="1824" spans="6:16" x14ac:dyDescent="0.2">
      <c r="F1824" s="536"/>
      <c r="G1824" s="522"/>
      <c r="H1824" s="508"/>
      <c r="I1824" s="438"/>
      <c r="J1824" s="509"/>
      <c r="K1824" s="438"/>
      <c r="L1824" s="508"/>
      <c r="M1824" s="438"/>
      <c r="N1824" s="509"/>
      <c r="O1824" s="511"/>
      <c r="P1824" s="511"/>
    </row>
    <row r="1825" spans="6:16" x14ac:dyDescent="0.2">
      <c r="F1825" s="536"/>
      <c r="G1825" s="522"/>
      <c r="H1825" s="508"/>
      <c r="I1825" s="438"/>
      <c r="J1825" s="509"/>
      <c r="K1825" s="438"/>
      <c r="L1825" s="508"/>
      <c r="M1825" s="438"/>
      <c r="N1825" s="509"/>
      <c r="O1825" s="511"/>
      <c r="P1825" s="511"/>
    </row>
    <row r="1826" spans="6:16" x14ac:dyDescent="0.2">
      <c r="F1826" s="536"/>
      <c r="G1826" s="522"/>
      <c r="H1826" s="508"/>
      <c r="I1826" s="438"/>
      <c r="J1826" s="509"/>
      <c r="K1826" s="438"/>
      <c r="L1826" s="508"/>
      <c r="M1826" s="438"/>
      <c r="N1826" s="509"/>
      <c r="O1826" s="511"/>
      <c r="P1826" s="511"/>
    </row>
    <row r="1827" spans="6:16" x14ac:dyDescent="0.2">
      <c r="F1827" s="536"/>
      <c r="G1827" s="522"/>
      <c r="H1827" s="508"/>
      <c r="I1827" s="438"/>
      <c r="J1827" s="509"/>
      <c r="K1827" s="438"/>
      <c r="L1827" s="508"/>
      <c r="M1827" s="438"/>
      <c r="N1827" s="509"/>
      <c r="O1827" s="511"/>
      <c r="P1827" s="511"/>
    </row>
    <row r="1828" spans="6:16" x14ac:dyDescent="0.2">
      <c r="F1828" s="536"/>
      <c r="G1828" s="522"/>
      <c r="H1828" s="508"/>
      <c r="I1828" s="438"/>
      <c r="J1828" s="509"/>
      <c r="K1828" s="438"/>
      <c r="L1828" s="508"/>
      <c r="M1828" s="438"/>
      <c r="N1828" s="509"/>
      <c r="O1828" s="511"/>
      <c r="P1828" s="511"/>
    </row>
    <row r="1829" spans="6:16" x14ac:dyDescent="0.2">
      <c r="F1829" s="536"/>
      <c r="G1829" s="522"/>
      <c r="H1829" s="508"/>
      <c r="I1829" s="438"/>
      <c r="J1829" s="509"/>
      <c r="K1829" s="438"/>
      <c r="L1829" s="508"/>
      <c r="M1829" s="438"/>
      <c r="N1829" s="509"/>
      <c r="O1829" s="511"/>
      <c r="P1829" s="511"/>
    </row>
    <row r="1830" spans="6:16" x14ac:dyDescent="0.2">
      <c r="F1830" s="536"/>
      <c r="G1830" s="522"/>
      <c r="H1830" s="508"/>
      <c r="I1830" s="438"/>
      <c r="J1830" s="509"/>
      <c r="K1830" s="438"/>
      <c r="L1830" s="508"/>
      <c r="M1830" s="438"/>
      <c r="N1830" s="509"/>
      <c r="O1830" s="511"/>
      <c r="P1830" s="511"/>
    </row>
    <row r="1831" spans="6:16" x14ac:dyDescent="0.2">
      <c r="F1831" s="536"/>
      <c r="G1831" s="522"/>
      <c r="H1831" s="508"/>
      <c r="I1831" s="438"/>
      <c r="J1831" s="509"/>
      <c r="K1831" s="438"/>
      <c r="L1831" s="508"/>
      <c r="M1831" s="438"/>
      <c r="N1831" s="509"/>
      <c r="O1831" s="511"/>
      <c r="P1831" s="511"/>
    </row>
    <row r="1832" spans="6:16" x14ac:dyDescent="0.2">
      <c r="F1832" s="536"/>
      <c r="G1832" s="522"/>
      <c r="H1832" s="508"/>
      <c r="I1832" s="438"/>
      <c r="J1832" s="509"/>
      <c r="K1832" s="438"/>
      <c r="L1832" s="508"/>
      <c r="M1832" s="438"/>
      <c r="N1832" s="509"/>
      <c r="O1832" s="511"/>
      <c r="P1832" s="511"/>
    </row>
    <row r="1833" spans="6:16" x14ac:dyDescent="0.2">
      <c r="F1833" s="536"/>
      <c r="G1833" s="522"/>
      <c r="H1833" s="508"/>
      <c r="I1833" s="438"/>
      <c r="J1833" s="509"/>
      <c r="K1833" s="438"/>
      <c r="L1833" s="508"/>
      <c r="M1833" s="438"/>
      <c r="N1833" s="509"/>
      <c r="O1833" s="511"/>
      <c r="P1833" s="511"/>
    </row>
    <row r="1834" spans="6:16" x14ac:dyDescent="0.2">
      <c r="F1834" s="536"/>
      <c r="G1834" s="522"/>
      <c r="H1834" s="508"/>
      <c r="I1834" s="438"/>
      <c r="J1834" s="509"/>
      <c r="K1834" s="438"/>
      <c r="L1834" s="508"/>
      <c r="M1834" s="438"/>
      <c r="N1834" s="509"/>
      <c r="O1834" s="511"/>
      <c r="P1834" s="511"/>
    </row>
    <row r="1835" spans="6:16" x14ac:dyDescent="0.2">
      <c r="F1835" s="536"/>
      <c r="G1835" s="522"/>
      <c r="H1835" s="508"/>
      <c r="I1835" s="438"/>
      <c r="J1835" s="509"/>
      <c r="K1835" s="438"/>
      <c r="L1835" s="508"/>
      <c r="M1835" s="438"/>
      <c r="N1835" s="509"/>
      <c r="O1835" s="511"/>
      <c r="P1835" s="511"/>
    </row>
    <row r="1836" spans="6:16" x14ac:dyDescent="0.2">
      <c r="F1836" s="536"/>
      <c r="G1836" s="522"/>
      <c r="H1836" s="508"/>
      <c r="I1836" s="438"/>
      <c r="J1836" s="509"/>
      <c r="K1836" s="438"/>
      <c r="L1836" s="508"/>
      <c r="M1836" s="438"/>
      <c r="N1836" s="509"/>
      <c r="O1836" s="511"/>
      <c r="P1836" s="511"/>
    </row>
    <row r="1837" spans="6:16" x14ac:dyDescent="0.2">
      <c r="F1837" s="536"/>
      <c r="G1837" s="522"/>
      <c r="H1837" s="508"/>
      <c r="I1837" s="438"/>
      <c r="J1837" s="509"/>
      <c r="K1837" s="438"/>
      <c r="L1837" s="508"/>
      <c r="M1837" s="438"/>
      <c r="N1837" s="509"/>
      <c r="O1837" s="511"/>
      <c r="P1837" s="511"/>
    </row>
    <row r="1838" spans="6:16" x14ac:dyDescent="0.2">
      <c r="F1838" s="536"/>
      <c r="G1838" s="522"/>
      <c r="H1838" s="508"/>
      <c r="I1838" s="438"/>
      <c r="J1838" s="509"/>
      <c r="K1838" s="438"/>
      <c r="L1838" s="508"/>
      <c r="M1838" s="438"/>
      <c r="N1838" s="509"/>
      <c r="O1838" s="511"/>
      <c r="P1838" s="511"/>
    </row>
    <row r="1839" spans="6:16" x14ac:dyDescent="0.2">
      <c r="F1839" s="536"/>
      <c r="G1839" s="522"/>
      <c r="H1839" s="508"/>
      <c r="I1839" s="438"/>
      <c r="J1839" s="509"/>
      <c r="K1839" s="438"/>
      <c r="L1839" s="508"/>
      <c r="M1839" s="438"/>
      <c r="N1839" s="509"/>
      <c r="O1839" s="511"/>
      <c r="P1839" s="511"/>
    </row>
    <row r="1840" spans="6:16" x14ac:dyDescent="0.2">
      <c r="F1840" s="536"/>
      <c r="G1840" s="522"/>
      <c r="H1840" s="508"/>
      <c r="I1840" s="438"/>
      <c r="J1840" s="509"/>
      <c r="K1840" s="438"/>
      <c r="L1840" s="508"/>
      <c r="M1840" s="438"/>
      <c r="N1840" s="509"/>
      <c r="O1840" s="511"/>
      <c r="P1840" s="511"/>
    </row>
    <row r="1841" spans="6:16" x14ac:dyDescent="0.2">
      <c r="F1841" s="536"/>
      <c r="G1841" s="522"/>
      <c r="H1841" s="508"/>
      <c r="I1841" s="438"/>
      <c r="J1841" s="509"/>
      <c r="K1841" s="438"/>
      <c r="L1841" s="508"/>
      <c r="M1841" s="438"/>
      <c r="N1841" s="509"/>
      <c r="O1841" s="511"/>
      <c r="P1841" s="511"/>
    </row>
    <row r="1842" spans="6:16" x14ac:dyDescent="0.2">
      <c r="F1842" s="536"/>
      <c r="G1842" s="522"/>
      <c r="H1842" s="508"/>
      <c r="I1842" s="438"/>
      <c r="J1842" s="509"/>
      <c r="K1842" s="438"/>
      <c r="L1842" s="508"/>
      <c r="M1842" s="438"/>
      <c r="N1842" s="509"/>
      <c r="O1842" s="511"/>
      <c r="P1842" s="511"/>
    </row>
    <row r="1843" spans="6:16" x14ac:dyDescent="0.2">
      <c r="F1843" s="536"/>
      <c r="G1843" s="522"/>
      <c r="H1843" s="508"/>
      <c r="I1843" s="438"/>
      <c r="J1843" s="509"/>
      <c r="K1843" s="438"/>
      <c r="L1843" s="508"/>
      <c r="M1843" s="438"/>
      <c r="N1843" s="509"/>
      <c r="O1843" s="511"/>
      <c r="P1843" s="511"/>
    </row>
    <row r="1844" spans="6:16" x14ac:dyDescent="0.2">
      <c r="F1844" s="536"/>
      <c r="G1844" s="522"/>
      <c r="H1844" s="508"/>
      <c r="I1844" s="438"/>
      <c r="J1844" s="509"/>
      <c r="K1844" s="438"/>
      <c r="L1844" s="508"/>
      <c r="M1844" s="438"/>
      <c r="N1844" s="509"/>
      <c r="O1844" s="511"/>
      <c r="P1844" s="511"/>
    </row>
    <row r="1845" spans="6:16" x14ac:dyDescent="0.2">
      <c r="F1845" s="536"/>
      <c r="G1845" s="522"/>
      <c r="H1845" s="508"/>
      <c r="I1845" s="438"/>
      <c r="J1845" s="509"/>
      <c r="K1845" s="438"/>
      <c r="L1845" s="508"/>
      <c r="M1845" s="438"/>
      <c r="N1845" s="509"/>
      <c r="O1845" s="511"/>
      <c r="P1845" s="511"/>
    </row>
    <row r="1846" spans="6:16" x14ac:dyDescent="0.2">
      <c r="F1846" s="536"/>
      <c r="G1846" s="522"/>
      <c r="H1846" s="508"/>
      <c r="I1846" s="438"/>
      <c r="J1846" s="509"/>
      <c r="K1846" s="438"/>
      <c r="L1846" s="508"/>
      <c r="M1846" s="438"/>
      <c r="N1846" s="509"/>
      <c r="O1846" s="511"/>
      <c r="P1846" s="511"/>
    </row>
    <row r="1847" spans="6:16" x14ac:dyDescent="0.2">
      <c r="F1847" s="536"/>
      <c r="G1847" s="522"/>
      <c r="H1847" s="508"/>
      <c r="I1847" s="438"/>
      <c r="J1847" s="509"/>
      <c r="K1847" s="438"/>
      <c r="L1847" s="508"/>
      <c r="M1847" s="438"/>
      <c r="N1847" s="509"/>
      <c r="O1847" s="511"/>
      <c r="P1847" s="511"/>
    </row>
    <row r="1848" spans="6:16" x14ac:dyDescent="0.2">
      <c r="F1848" s="536"/>
      <c r="G1848" s="522"/>
      <c r="H1848" s="508"/>
      <c r="I1848" s="438"/>
      <c r="J1848" s="509"/>
      <c r="K1848" s="438"/>
      <c r="L1848" s="508"/>
      <c r="M1848" s="438"/>
      <c r="N1848" s="509"/>
      <c r="O1848" s="511"/>
      <c r="P1848" s="511"/>
    </row>
    <row r="1849" spans="6:16" x14ac:dyDescent="0.2">
      <c r="F1849" s="536"/>
      <c r="G1849" s="522"/>
      <c r="H1849" s="508"/>
      <c r="I1849" s="438"/>
      <c r="J1849" s="509"/>
      <c r="K1849" s="438"/>
      <c r="L1849" s="508"/>
      <c r="M1849" s="438"/>
      <c r="N1849" s="509"/>
      <c r="O1849" s="511"/>
      <c r="P1849" s="511"/>
    </row>
    <row r="1850" spans="6:16" x14ac:dyDescent="0.2">
      <c r="F1850" s="536"/>
      <c r="G1850" s="522"/>
      <c r="H1850" s="508"/>
      <c r="I1850" s="438"/>
      <c r="J1850" s="509"/>
      <c r="K1850" s="438"/>
      <c r="L1850" s="508"/>
      <c r="M1850" s="438"/>
      <c r="N1850" s="509"/>
      <c r="O1850" s="511"/>
      <c r="P1850" s="511"/>
    </row>
    <row r="1851" spans="6:16" x14ac:dyDescent="0.2">
      <c r="F1851" s="536"/>
      <c r="G1851" s="522"/>
      <c r="H1851" s="508"/>
      <c r="I1851" s="438"/>
      <c r="J1851" s="509"/>
      <c r="K1851" s="438"/>
      <c r="L1851" s="508"/>
      <c r="M1851" s="438"/>
      <c r="N1851" s="509"/>
      <c r="O1851" s="511"/>
      <c r="P1851" s="511"/>
    </row>
    <row r="1852" spans="6:16" x14ac:dyDescent="0.2">
      <c r="F1852" s="536"/>
      <c r="G1852" s="522"/>
      <c r="H1852" s="508"/>
      <c r="I1852" s="438"/>
      <c r="J1852" s="509"/>
      <c r="K1852" s="438"/>
      <c r="L1852" s="508"/>
      <c r="M1852" s="438"/>
      <c r="N1852" s="509"/>
      <c r="O1852" s="511"/>
      <c r="P1852" s="511"/>
    </row>
    <row r="1853" spans="6:16" x14ac:dyDescent="0.2">
      <c r="F1853" s="536"/>
      <c r="G1853" s="522"/>
      <c r="H1853" s="508"/>
      <c r="I1853" s="438"/>
      <c r="J1853" s="509"/>
      <c r="K1853" s="438"/>
      <c r="L1853" s="508"/>
      <c r="M1853" s="438"/>
      <c r="N1853" s="509"/>
      <c r="O1853" s="511"/>
      <c r="P1853" s="511"/>
    </row>
    <row r="1854" spans="6:16" x14ac:dyDescent="0.2">
      <c r="F1854" s="536"/>
      <c r="G1854" s="522"/>
      <c r="H1854" s="508"/>
      <c r="I1854" s="438"/>
      <c r="J1854" s="509"/>
      <c r="K1854" s="438"/>
      <c r="L1854" s="508"/>
      <c r="M1854" s="438"/>
      <c r="N1854" s="509"/>
      <c r="O1854" s="511"/>
      <c r="P1854" s="511"/>
    </row>
    <row r="1855" spans="6:16" x14ac:dyDescent="0.2">
      <c r="F1855" s="536"/>
      <c r="G1855" s="522"/>
      <c r="H1855" s="508"/>
      <c r="I1855" s="438"/>
      <c r="J1855" s="509"/>
      <c r="K1855" s="438"/>
      <c r="L1855" s="508"/>
      <c r="M1855" s="438"/>
      <c r="N1855" s="509"/>
      <c r="O1855" s="511"/>
      <c r="P1855" s="511"/>
    </row>
    <row r="1856" spans="6:16" x14ac:dyDescent="0.2">
      <c r="F1856" s="536"/>
      <c r="G1856" s="522"/>
      <c r="H1856" s="508"/>
      <c r="I1856" s="438"/>
      <c r="J1856" s="509"/>
      <c r="K1856" s="438"/>
      <c r="L1856" s="508"/>
      <c r="M1856" s="438"/>
      <c r="N1856" s="509"/>
      <c r="O1856" s="511"/>
      <c r="P1856" s="511"/>
    </row>
    <row r="1857" spans="6:16" x14ac:dyDescent="0.2">
      <c r="F1857" s="536"/>
      <c r="G1857" s="522"/>
      <c r="H1857" s="508"/>
      <c r="I1857" s="438"/>
      <c r="J1857" s="509"/>
      <c r="K1857" s="438"/>
      <c r="L1857" s="508"/>
      <c r="M1857" s="438"/>
      <c r="N1857" s="509"/>
      <c r="O1857" s="511"/>
      <c r="P1857" s="511"/>
    </row>
    <row r="1858" spans="6:16" x14ac:dyDescent="0.2">
      <c r="F1858" s="536"/>
      <c r="G1858" s="522"/>
      <c r="H1858" s="508"/>
      <c r="I1858" s="438"/>
      <c r="J1858" s="509"/>
      <c r="K1858" s="438"/>
      <c r="L1858" s="508"/>
      <c r="M1858" s="438"/>
      <c r="N1858" s="509"/>
      <c r="O1858" s="511"/>
      <c r="P1858" s="511"/>
    </row>
    <row r="1859" spans="6:16" x14ac:dyDescent="0.2">
      <c r="F1859" s="536"/>
      <c r="G1859" s="522"/>
      <c r="H1859" s="508"/>
      <c r="I1859" s="438"/>
      <c r="J1859" s="509"/>
      <c r="K1859" s="438"/>
      <c r="L1859" s="508"/>
      <c r="M1859" s="438"/>
      <c r="N1859" s="509"/>
      <c r="O1859" s="511"/>
      <c r="P1859" s="511"/>
    </row>
    <row r="1860" spans="6:16" x14ac:dyDescent="0.2">
      <c r="F1860" s="536"/>
      <c r="G1860" s="522"/>
      <c r="H1860" s="508"/>
      <c r="I1860" s="438"/>
      <c r="J1860" s="509"/>
      <c r="K1860" s="438"/>
      <c r="L1860" s="508"/>
      <c r="M1860" s="438"/>
      <c r="N1860" s="509"/>
      <c r="O1860" s="511"/>
      <c r="P1860" s="511"/>
    </row>
    <row r="1861" spans="6:16" x14ac:dyDescent="0.2">
      <c r="F1861" s="536"/>
      <c r="G1861" s="522"/>
      <c r="H1861" s="508"/>
      <c r="I1861" s="438"/>
      <c r="J1861" s="509"/>
      <c r="K1861" s="438"/>
      <c r="L1861" s="508"/>
      <c r="M1861" s="438"/>
      <c r="N1861" s="509"/>
      <c r="O1861" s="511"/>
      <c r="P1861" s="511"/>
    </row>
    <row r="1862" spans="6:16" x14ac:dyDescent="0.2">
      <c r="F1862" s="536"/>
      <c r="G1862" s="522"/>
      <c r="H1862" s="508"/>
      <c r="I1862" s="438"/>
      <c r="J1862" s="509"/>
      <c r="K1862" s="438"/>
      <c r="L1862" s="508"/>
      <c r="M1862" s="438"/>
      <c r="N1862" s="509"/>
      <c r="O1862" s="511"/>
      <c r="P1862" s="511"/>
    </row>
    <row r="1863" spans="6:16" x14ac:dyDescent="0.2">
      <c r="F1863" s="536"/>
      <c r="G1863" s="522"/>
      <c r="H1863" s="508"/>
      <c r="I1863" s="438"/>
      <c r="J1863" s="509"/>
      <c r="K1863" s="438"/>
      <c r="L1863" s="508"/>
      <c r="M1863" s="438"/>
      <c r="N1863" s="509"/>
      <c r="O1863" s="511"/>
      <c r="P1863" s="511"/>
    </row>
    <row r="1864" spans="6:16" x14ac:dyDescent="0.2">
      <c r="F1864" s="536"/>
      <c r="G1864" s="522"/>
      <c r="H1864" s="508"/>
      <c r="I1864" s="438"/>
      <c r="J1864" s="509"/>
      <c r="K1864" s="438"/>
      <c r="L1864" s="508"/>
      <c r="M1864" s="438"/>
      <c r="N1864" s="509"/>
      <c r="O1864" s="511"/>
      <c r="P1864" s="511"/>
    </row>
    <row r="1865" spans="6:16" x14ac:dyDescent="0.2">
      <c r="F1865" s="536"/>
      <c r="G1865" s="522"/>
      <c r="H1865" s="508"/>
      <c r="I1865" s="438"/>
      <c r="J1865" s="509"/>
      <c r="K1865" s="438"/>
      <c r="L1865" s="508"/>
      <c r="M1865" s="438"/>
      <c r="N1865" s="509"/>
      <c r="O1865" s="511"/>
      <c r="P1865" s="511"/>
    </row>
    <row r="1866" spans="6:16" x14ac:dyDescent="0.2">
      <c r="F1866" s="536"/>
      <c r="G1866" s="522"/>
      <c r="H1866" s="508"/>
      <c r="I1866" s="438"/>
      <c r="J1866" s="509"/>
      <c r="K1866" s="438"/>
      <c r="L1866" s="508"/>
      <c r="M1866" s="438"/>
      <c r="N1866" s="509"/>
      <c r="O1866" s="511"/>
      <c r="P1866" s="511"/>
    </row>
    <row r="1867" spans="6:16" x14ac:dyDescent="0.2">
      <c r="F1867" s="536"/>
      <c r="G1867" s="522"/>
      <c r="H1867" s="508"/>
      <c r="I1867" s="438"/>
      <c r="J1867" s="509"/>
      <c r="K1867" s="438"/>
      <c r="L1867" s="508"/>
      <c r="M1867" s="438"/>
      <c r="N1867" s="509"/>
      <c r="O1867" s="511"/>
      <c r="P1867" s="511"/>
    </row>
    <row r="1868" spans="6:16" x14ac:dyDescent="0.2">
      <c r="F1868" s="536"/>
      <c r="G1868" s="522"/>
      <c r="H1868" s="508"/>
      <c r="I1868" s="438"/>
      <c r="J1868" s="509"/>
      <c r="K1868" s="438"/>
      <c r="L1868" s="508"/>
      <c r="M1868" s="438"/>
      <c r="N1868" s="509"/>
      <c r="O1868" s="511"/>
      <c r="P1868" s="511"/>
    </row>
    <row r="1869" spans="6:16" x14ac:dyDescent="0.2">
      <c r="F1869" s="536"/>
      <c r="G1869" s="522"/>
      <c r="H1869" s="508"/>
      <c r="I1869" s="438"/>
      <c r="J1869" s="509"/>
      <c r="K1869" s="438"/>
      <c r="L1869" s="508"/>
      <c r="M1869" s="438"/>
      <c r="N1869" s="509"/>
      <c r="O1869" s="511"/>
      <c r="P1869" s="511"/>
    </row>
    <row r="1870" spans="6:16" x14ac:dyDescent="0.2">
      <c r="F1870" s="536"/>
      <c r="G1870" s="522"/>
      <c r="H1870" s="508"/>
      <c r="I1870" s="438"/>
      <c r="J1870" s="509"/>
      <c r="K1870" s="438"/>
      <c r="L1870" s="508"/>
      <c r="M1870" s="438"/>
      <c r="N1870" s="509"/>
      <c r="O1870" s="511"/>
      <c r="P1870" s="511"/>
    </row>
    <row r="1871" spans="6:16" x14ac:dyDescent="0.2">
      <c r="F1871" s="536"/>
      <c r="G1871" s="522"/>
      <c r="H1871" s="508"/>
      <c r="I1871" s="438"/>
      <c r="J1871" s="509"/>
      <c r="K1871" s="438"/>
      <c r="L1871" s="508"/>
      <c r="M1871" s="438"/>
      <c r="N1871" s="509"/>
      <c r="O1871" s="511"/>
      <c r="P1871" s="511"/>
    </row>
    <row r="1872" spans="6:16" x14ac:dyDescent="0.2">
      <c r="F1872" s="536"/>
      <c r="G1872" s="522"/>
      <c r="H1872" s="508"/>
      <c r="I1872" s="438"/>
      <c r="J1872" s="509"/>
      <c r="K1872" s="438"/>
      <c r="L1872" s="508"/>
      <c r="M1872" s="438"/>
      <c r="N1872" s="509"/>
      <c r="O1872" s="511"/>
      <c r="P1872" s="511"/>
    </row>
    <row r="1873" spans="6:16" x14ac:dyDescent="0.2">
      <c r="F1873" s="536"/>
      <c r="G1873" s="522"/>
      <c r="H1873" s="508"/>
      <c r="I1873" s="438"/>
      <c r="J1873" s="509"/>
      <c r="K1873" s="438"/>
      <c r="L1873" s="508"/>
      <c r="M1873" s="438"/>
      <c r="N1873" s="509"/>
      <c r="O1873" s="511"/>
      <c r="P1873" s="511"/>
    </row>
    <row r="1874" spans="6:16" x14ac:dyDescent="0.2">
      <c r="F1874" s="536"/>
      <c r="G1874" s="522"/>
      <c r="H1874" s="508"/>
      <c r="I1874" s="438"/>
      <c r="J1874" s="509"/>
      <c r="K1874" s="438"/>
      <c r="L1874" s="508"/>
      <c r="M1874" s="438"/>
      <c r="N1874" s="509"/>
      <c r="O1874" s="511"/>
      <c r="P1874" s="511"/>
    </row>
    <row r="1875" spans="6:16" x14ac:dyDescent="0.2">
      <c r="F1875" s="536"/>
      <c r="G1875" s="522"/>
      <c r="H1875" s="508"/>
      <c r="I1875" s="438"/>
      <c r="J1875" s="509"/>
      <c r="K1875" s="438"/>
      <c r="L1875" s="508"/>
      <c r="M1875" s="438"/>
      <c r="N1875" s="509"/>
      <c r="O1875" s="511"/>
      <c r="P1875" s="511"/>
    </row>
    <row r="1876" spans="6:16" x14ac:dyDescent="0.2">
      <c r="F1876" s="536"/>
      <c r="G1876" s="522"/>
      <c r="H1876" s="508"/>
      <c r="I1876" s="438"/>
      <c r="J1876" s="509"/>
      <c r="K1876" s="438"/>
      <c r="L1876" s="508"/>
      <c r="M1876" s="438"/>
      <c r="N1876" s="509"/>
      <c r="O1876" s="511"/>
      <c r="P1876" s="511"/>
    </row>
    <row r="1877" spans="6:16" x14ac:dyDescent="0.2">
      <c r="F1877" s="536"/>
      <c r="G1877" s="522"/>
      <c r="H1877" s="508"/>
      <c r="I1877" s="438"/>
      <c r="J1877" s="509"/>
      <c r="K1877" s="438"/>
      <c r="L1877" s="508"/>
      <c r="M1877" s="438"/>
      <c r="N1877" s="509"/>
      <c r="O1877" s="511"/>
      <c r="P1877" s="511"/>
    </row>
    <row r="1878" spans="6:16" x14ac:dyDescent="0.2">
      <c r="F1878" s="536"/>
      <c r="G1878" s="522"/>
      <c r="H1878" s="508"/>
      <c r="I1878" s="438"/>
      <c r="J1878" s="509"/>
      <c r="K1878" s="438"/>
      <c r="L1878" s="508"/>
      <c r="M1878" s="438"/>
      <c r="N1878" s="509"/>
      <c r="O1878" s="511"/>
      <c r="P1878" s="511"/>
    </row>
    <row r="1879" spans="6:16" x14ac:dyDescent="0.2">
      <c r="F1879" s="536"/>
      <c r="G1879" s="522"/>
      <c r="H1879" s="508"/>
      <c r="I1879" s="438"/>
      <c r="J1879" s="509"/>
      <c r="K1879" s="438"/>
      <c r="L1879" s="508"/>
      <c r="M1879" s="438"/>
      <c r="N1879" s="509"/>
      <c r="O1879" s="511"/>
      <c r="P1879" s="511"/>
    </row>
    <row r="1880" spans="6:16" x14ac:dyDescent="0.2">
      <c r="F1880" s="536"/>
      <c r="G1880" s="522"/>
      <c r="H1880" s="508"/>
      <c r="I1880" s="438"/>
      <c r="J1880" s="509"/>
      <c r="K1880" s="438"/>
      <c r="L1880" s="508"/>
      <c r="M1880" s="438"/>
      <c r="N1880" s="509"/>
      <c r="O1880" s="511"/>
      <c r="P1880" s="511"/>
    </row>
    <row r="1881" spans="6:16" x14ac:dyDescent="0.2">
      <c r="F1881" s="536"/>
      <c r="G1881" s="522"/>
      <c r="H1881" s="508"/>
      <c r="I1881" s="438"/>
      <c r="J1881" s="509"/>
      <c r="K1881" s="438"/>
      <c r="L1881" s="508"/>
      <c r="M1881" s="438"/>
      <c r="N1881" s="509"/>
      <c r="O1881" s="511"/>
      <c r="P1881" s="511"/>
    </row>
    <row r="1882" spans="6:16" x14ac:dyDescent="0.2">
      <c r="F1882" s="536"/>
      <c r="G1882" s="522"/>
      <c r="H1882" s="508"/>
      <c r="I1882" s="438"/>
      <c r="J1882" s="509"/>
      <c r="K1882" s="438"/>
      <c r="L1882" s="508"/>
      <c r="M1882" s="438"/>
      <c r="N1882" s="509"/>
      <c r="O1882" s="511"/>
      <c r="P1882" s="511"/>
    </row>
    <row r="1883" spans="6:16" x14ac:dyDescent="0.2">
      <c r="F1883" s="536"/>
      <c r="G1883" s="522"/>
      <c r="H1883" s="508"/>
      <c r="I1883" s="438"/>
      <c r="J1883" s="509"/>
      <c r="K1883" s="438"/>
      <c r="L1883" s="508"/>
      <c r="M1883" s="438"/>
      <c r="N1883" s="509"/>
      <c r="O1883" s="511"/>
      <c r="P1883" s="511"/>
    </row>
    <row r="1884" spans="6:16" x14ac:dyDescent="0.2">
      <c r="F1884" s="536"/>
      <c r="G1884" s="522"/>
      <c r="H1884" s="508"/>
      <c r="I1884" s="438"/>
      <c r="J1884" s="509"/>
      <c r="K1884" s="438"/>
      <c r="L1884" s="508"/>
      <c r="M1884" s="438"/>
      <c r="N1884" s="509"/>
      <c r="O1884" s="511"/>
      <c r="P1884" s="511"/>
    </row>
    <row r="1885" spans="6:16" x14ac:dyDescent="0.2">
      <c r="F1885" s="536"/>
      <c r="G1885" s="522"/>
      <c r="H1885" s="508"/>
      <c r="I1885" s="438"/>
      <c r="J1885" s="509"/>
      <c r="K1885" s="438"/>
      <c r="L1885" s="508"/>
      <c r="M1885" s="438"/>
      <c r="N1885" s="509"/>
      <c r="O1885" s="511"/>
      <c r="P1885" s="511"/>
    </row>
    <row r="1886" spans="6:16" x14ac:dyDescent="0.2">
      <c r="F1886" s="536"/>
      <c r="G1886" s="522"/>
      <c r="H1886" s="508"/>
      <c r="I1886" s="438"/>
      <c r="J1886" s="509"/>
      <c r="K1886" s="438"/>
      <c r="L1886" s="508"/>
      <c r="M1886" s="438"/>
      <c r="N1886" s="509"/>
      <c r="O1886" s="511"/>
      <c r="P1886" s="511"/>
    </row>
    <row r="1887" spans="6:16" x14ac:dyDescent="0.2">
      <c r="F1887" s="536"/>
      <c r="G1887" s="522"/>
      <c r="H1887" s="508"/>
      <c r="I1887" s="438"/>
      <c r="J1887" s="509"/>
      <c r="K1887" s="438"/>
      <c r="L1887" s="508"/>
      <c r="M1887" s="438"/>
      <c r="N1887" s="509"/>
      <c r="O1887" s="511"/>
      <c r="P1887" s="511"/>
    </row>
    <row r="1888" spans="6:16" x14ac:dyDescent="0.2">
      <c r="F1888" s="536"/>
      <c r="G1888" s="522"/>
      <c r="H1888" s="508"/>
      <c r="I1888" s="438"/>
      <c r="J1888" s="509"/>
      <c r="K1888" s="438"/>
      <c r="L1888" s="508"/>
      <c r="M1888" s="438"/>
      <c r="N1888" s="509"/>
      <c r="O1888" s="511"/>
      <c r="P1888" s="511"/>
    </row>
    <row r="1889" spans="6:16" x14ac:dyDescent="0.2">
      <c r="F1889" s="536"/>
      <c r="G1889" s="522"/>
      <c r="H1889" s="508"/>
      <c r="I1889" s="438"/>
      <c r="J1889" s="509"/>
      <c r="K1889" s="438"/>
      <c r="L1889" s="508"/>
      <c r="M1889" s="438"/>
      <c r="N1889" s="509"/>
      <c r="O1889" s="511"/>
      <c r="P1889" s="511"/>
    </row>
    <row r="1890" spans="6:16" x14ac:dyDescent="0.2">
      <c r="F1890" s="536"/>
      <c r="G1890" s="522"/>
      <c r="H1890" s="508"/>
      <c r="I1890" s="438"/>
      <c r="J1890" s="509"/>
      <c r="K1890" s="438"/>
      <c r="L1890" s="508"/>
      <c r="M1890" s="438"/>
      <c r="N1890" s="509"/>
      <c r="O1890" s="511"/>
      <c r="P1890" s="511"/>
    </row>
    <row r="1891" spans="6:16" x14ac:dyDescent="0.2">
      <c r="F1891" s="536"/>
      <c r="G1891" s="522"/>
      <c r="H1891" s="508"/>
      <c r="I1891" s="438"/>
      <c r="J1891" s="509"/>
      <c r="K1891" s="438"/>
      <c r="L1891" s="508"/>
      <c r="M1891" s="438"/>
      <c r="N1891" s="509"/>
      <c r="O1891" s="511"/>
      <c r="P1891" s="511"/>
    </row>
    <row r="1892" spans="6:16" x14ac:dyDescent="0.2">
      <c r="F1892" s="536"/>
      <c r="G1892" s="522"/>
      <c r="H1892" s="508"/>
      <c r="I1892" s="438"/>
      <c r="J1892" s="509"/>
      <c r="K1892" s="438"/>
      <c r="L1892" s="508"/>
      <c r="M1892" s="438"/>
      <c r="N1892" s="509"/>
      <c r="O1892" s="511"/>
      <c r="P1892" s="511"/>
    </row>
    <row r="1893" spans="6:16" x14ac:dyDescent="0.2">
      <c r="F1893" s="536"/>
      <c r="G1893" s="522"/>
      <c r="H1893" s="508"/>
      <c r="I1893" s="438"/>
      <c r="J1893" s="509"/>
      <c r="K1893" s="438"/>
      <c r="L1893" s="508"/>
      <c r="M1893" s="438"/>
      <c r="N1893" s="509"/>
      <c r="O1893" s="511"/>
      <c r="P1893" s="511"/>
    </row>
    <row r="1894" spans="6:16" x14ac:dyDescent="0.2">
      <c r="F1894" s="536"/>
      <c r="G1894" s="522"/>
      <c r="H1894" s="508"/>
      <c r="I1894" s="438"/>
      <c r="J1894" s="509"/>
      <c r="K1894" s="438"/>
      <c r="L1894" s="508"/>
      <c r="M1894" s="438"/>
      <c r="N1894" s="509"/>
      <c r="O1894" s="511"/>
      <c r="P1894" s="511"/>
    </row>
    <row r="1895" spans="6:16" x14ac:dyDescent="0.2">
      <c r="F1895" s="536"/>
      <c r="G1895" s="522"/>
      <c r="H1895" s="508"/>
      <c r="I1895" s="438"/>
      <c r="J1895" s="509"/>
      <c r="K1895" s="438"/>
      <c r="L1895" s="508"/>
      <c r="M1895" s="438"/>
      <c r="N1895" s="509"/>
      <c r="O1895" s="511"/>
      <c r="P1895" s="511"/>
    </row>
    <row r="1896" spans="6:16" x14ac:dyDescent="0.2">
      <c r="F1896" s="536"/>
      <c r="G1896" s="522"/>
      <c r="H1896" s="508"/>
      <c r="I1896" s="438"/>
      <c r="J1896" s="509"/>
      <c r="K1896" s="438"/>
      <c r="L1896" s="508"/>
      <c r="M1896" s="438"/>
      <c r="N1896" s="509"/>
      <c r="O1896" s="511"/>
      <c r="P1896" s="511"/>
    </row>
    <row r="1897" spans="6:16" x14ac:dyDescent="0.2">
      <c r="F1897" s="536"/>
      <c r="G1897" s="522"/>
      <c r="H1897" s="508"/>
      <c r="I1897" s="438"/>
      <c r="J1897" s="509"/>
      <c r="K1897" s="438"/>
      <c r="L1897" s="508"/>
      <c r="M1897" s="438"/>
      <c r="N1897" s="509"/>
      <c r="O1897" s="511"/>
      <c r="P1897" s="511"/>
    </row>
    <row r="1898" spans="6:16" x14ac:dyDescent="0.2">
      <c r="F1898" s="536"/>
      <c r="G1898" s="522"/>
      <c r="H1898" s="508"/>
      <c r="I1898" s="438"/>
      <c r="J1898" s="509"/>
      <c r="K1898" s="438"/>
      <c r="L1898" s="508"/>
      <c r="M1898" s="438"/>
      <c r="N1898" s="509"/>
      <c r="O1898" s="511"/>
      <c r="P1898" s="511"/>
    </row>
    <row r="1899" spans="6:16" x14ac:dyDescent="0.2">
      <c r="F1899" s="536"/>
      <c r="G1899" s="522"/>
      <c r="H1899" s="508"/>
      <c r="I1899" s="438"/>
      <c r="J1899" s="509"/>
      <c r="K1899" s="438"/>
      <c r="L1899" s="508"/>
      <c r="M1899" s="438"/>
      <c r="N1899" s="509"/>
      <c r="O1899" s="511"/>
      <c r="P1899" s="511"/>
    </row>
    <row r="1900" spans="6:16" x14ac:dyDescent="0.2">
      <c r="F1900" s="536"/>
      <c r="G1900" s="522"/>
      <c r="H1900" s="508"/>
      <c r="I1900" s="438"/>
      <c r="J1900" s="509"/>
      <c r="K1900" s="438"/>
      <c r="L1900" s="508"/>
      <c r="M1900" s="438"/>
      <c r="N1900" s="509"/>
      <c r="O1900" s="511"/>
      <c r="P1900" s="511"/>
    </row>
    <row r="1901" spans="6:16" x14ac:dyDescent="0.2">
      <c r="F1901" s="536"/>
      <c r="G1901" s="522"/>
      <c r="H1901" s="508"/>
      <c r="I1901" s="438"/>
      <c r="J1901" s="509"/>
      <c r="K1901" s="438"/>
      <c r="L1901" s="508"/>
      <c r="M1901" s="438"/>
      <c r="N1901" s="509"/>
      <c r="O1901" s="511"/>
      <c r="P1901" s="511"/>
    </row>
    <row r="1902" spans="6:16" x14ac:dyDescent="0.2">
      <c r="F1902" s="536"/>
      <c r="G1902" s="522"/>
      <c r="H1902" s="508"/>
      <c r="I1902" s="438"/>
      <c r="J1902" s="509"/>
      <c r="K1902" s="438"/>
      <c r="L1902" s="508"/>
      <c r="M1902" s="438"/>
      <c r="N1902" s="509"/>
      <c r="O1902" s="511"/>
      <c r="P1902" s="511"/>
    </row>
    <row r="1903" spans="6:16" x14ac:dyDescent="0.2">
      <c r="F1903" s="536"/>
      <c r="G1903" s="522"/>
      <c r="H1903" s="508"/>
      <c r="I1903" s="438"/>
      <c r="J1903" s="509"/>
      <c r="K1903" s="438"/>
      <c r="L1903" s="508"/>
      <c r="M1903" s="438"/>
      <c r="N1903" s="509"/>
      <c r="O1903" s="511"/>
      <c r="P1903" s="511"/>
    </row>
    <row r="1904" spans="6:16" x14ac:dyDescent="0.2">
      <c r="F1904" s="536"/>
      <c r="G1904" s="522"/>
      <c r="H1904" s="508"/>
      <c r="I1904" s="438"/>
      <c r="J1904" s="509"/>
      <c r="K1904" s="438"/>
      <c r="L1904" s="508"/>
      <c r="M1904" s="438"/>
      <c r="N1904" s="509"/>
      <c r="O1904" s="511"/>
      <c r="P1904" s="511"/>
    </row>
    <row r="1905" spans="6:16" x14ac:dyDescent="0.2">
      <c r="F1905" s="536"/>
      <c r="G1905" s="522"/>
      <c r="H1905" s="508"/>
      <c r="I1905" s="438"/>
      <c r="J1905" s="509"/>
      <c r="K1905" s="438"/>
      <c r="L1905" s="508"/>
      <c r="M1905" s="438"/>
      <c r="N1905" s="509"/>
      <c r="O1905" s="511"/>
      <c r="P1905" s="511"/>
    </row>
    <row r="1906" spans="6:16" x14ac:dyDescent="0.2">
      <c r="F1906" s="536"/>
      <c r="G1906" s="522"/>
      <c r="H1906" s="508"/>
      <c r="I1906" s="438"/>
      <c r="J1906" s="509"/>
      <c r="K1906" s="438"/>
      <c r="L1906" s="508"/>
      <c r="M1906" s="438"/>
      <c r="N1906" s="509"/>
      <c r="O1906" s="511"/>
      <c r="P1906" s="511"/>
    </row>
    <row r="1907" spans="6:16" x14ac:dyDescent="0.2">
      <c r="F1907" s="536"/>
      <c r="G1907" s="522"/>
      <c r="H1907" s="508"/>
      <c r="I1907" s="438"/>
      <c r="J1907" s="509"/>
      <c r="K1907" s="438"/>
      <c r="L1907" s="508"/>
      <c r="M1907" s="438"/>
      <c r="N1907" s="509"/>
      <c r="O1907" s="511"/>
      <c r="P1907" s="511"/>
    </row>
    <row r="1908" spans="6:16" x14ac:dyDescent="0.2">
      <c r="F1908" s="536"/>
      <c r="G1908" s="522"/>
      <c r="H1908" s="508"/>
      <c r="I1908" s="438"/>
      <c r="J1908" s="509"/>
      <c r="K1908" s="438"/>
      <c r="L1908" s="508"/>
      <c r="M1908" s="438"/>
      <c r="N1908" s="509"/>
      <c r="O1908" s="511"/>
      <c r="P1908" s="511"/>
    </row>
    <row r="1909" spans="6:16" x14ac:dyDescent="0.2">
      <c r="F1909" s="536"/>
      <c r="G1909" s="522"/>
      <c r="H1909" s="508"/>
      <c r="I1909" s="438"/>
      <c r="J1909" s="509"/>
      <c r="K1909" s="438"/>
      <c r="L1909" s="508"/>
      <c r="M1909" s="438"/>
      <c r="N1909" s="509"/>
      <c r="O1909" s="511"/>
      <c r="P1909" s="511"/>
    </row>
    <row r="1910" spans="6:16" x14ac:dyDescent="0.2">
      <c r="F1910" s="536"/>
      <c r="G1910" s="522"/>
      <c r="H1910" s="508"/>
      <c r="I1910" s="438"/>
      <c r="J1910" s="509"/>
      <c r="K1910" s="438"/>
      <c r="L1910" s="508"/>
      <c r="M1910" s="438"/>
      <c r="N1910" s="509"/>
      <c r="O1910" s="511"/>
      <c r="P1910" s="511"/>
    </row>
    <row r="1911" spans="6:16" x14ac:dyDescent="0.2">
      <c r="F1911" s="536"/>
      <c r="G1911" s="522"/>
      <c r="H1911" s="508"/>
      <c r="I1911" s="438"/>
      <c r="J1911" s="509"/>
      <c r="K1911" s="438"/>
      <c r="L1911" s="508"/>
      <c r="M1911" s="438"/>
      <c r="N1911" s="509"/>
      <c r="O1911" s="511"/>
      <c r="P1911" s="511"/>
    </row>
    <row r="1912" spans="6:16" x14ac:dyDescent="0.2">
      <c r="F1912" s="536"/>
      <c r="G1912" s="522"/>
      <c r="H1912" s="508"/>
      <c r="I1912" s="438"/>
      <c r="J1912" s="509"/>
      <c r="K1912" s="438"/>
      <c r="L1912" s="508"/>
      <c r="M1912" s="438"/>
      <c r="N1912" s="509"/>
      <c r="O1912" s="511"/>
      <c r="P1912" s="511"/>
    </row>
    <row r="1913" spans="6:16" x14ac:dyDescent="0.2">
      <c r="F1913" s="536"/>
      <c r="G1913" s="522"/>
      <c r="H1913" s="508"/>
      <c r="I1913" s="438"/>
      <c r="J1913" s="509"/>
      <c r="K1913" s="438"/>
      <c r="L1913" s="508"/>
      <c r="M1913" s="438"/>
      <c r="N1913" s="509"/>
      <c r="O1913" s="511"/>
      <c r="P1913" s="511"/>
    </row>
    <row r="1914" spans="6:16" x14ac:dyDescent="0.2">
      <c r="F1914" s="536"/>
      <c r="G1914" s="522"/>
      <c r="H1914" s="508"/>
      <c r="I1914" s="438"/>
      <c r="J1914" s="509"/>
      <c r="K1914" s="438"/>
      <c r="L1914" s="508"/>
      <c r="M1914" s="438"/>
      <c r="N1914" s="509"/>
      <c r="O1914" s="511"/>
      <c r="P1914" s="511"/>
    </row>
    <row r="1915" spans="6:16" x14ac:dyDescent="0.2">
      <c r="F1915" s="536"/>
      <c r="G1915" s="522"/>
      <c r="H1915" s="508"/>
      <c r="I1915" s="438"/>
      <c r="J1915" s="509"/>
      <c r="K1915" s="438"/>
      <c r="L1915" s="508"/>
      <c r="M1915" s="438"/>
      <c r="N1915" s="509"/>
      <c r="O1915" s="511"/>
      <c r="P1915" s="511"/>
    </row>
    <row r="1916" spans="6:16" x14ac:dyDescent="0.2">
      <c r="F1916" s="536"/>
      <c r="G1916" s="522"/>
      <c r="H1916" s="508"/>
      <c r="I1916" s="438"/>
      <c r="J1916" s="509"/>
      <c r="K1916" s="438"/>
      <c r="L1916" s="508"/>
      <c r="M1916" s="438"/>
      <c r="N1916" s="509"/>
      <c r="O1916" s="511"/>
      <c r="P1916" s="511"/>
    </row>
    <row r="1917" spans="6:16" x14ac:dyDescent="0.2">
      <c r="F1917" s="536"/>
      <c r="G1917" s="522"/>
      <c r="H1917" s="508"/>
      <c r="I1917" s="438"/>
      <c r="J1917" s="509"/>
      <c r="K1917" s="438"/>
      <c r="L1917" s="508"/>
      <c r="M1917" s="438"/>
      <c r="N1917" s="509"/>
      <c r="O1917" s="511"/>
      <c r="P1917" s="511"/>
    </row>
    <row r="1918" spans="6:16" x14ac:dyDescent="0.2">
      <c r="F1918" s="536"/>
      <c r="G1918" s="522"/>
      <c r="H1918" s="508"/>
      <c r="I1918" s="438"/>
      <c r="J1918" s="509"/>
      <c r="K1918" s="438"/>
      <c r="L1918" s="508"/>
      <c r="M1918" s="438"/>
      <c r="N1918" s="509"/>
      <c r="O1918" s="511"/>
      <c r="P1918" s="511"/>
    </row>
    <row r="1919" spans="6:16" x14ac:dyDescent="0.2">
      <c r="F1919" s="536"/>
      <c r="G1919" s="522"/>
      <c r="H1919" s="508"/>
      <c r="I1919" s="438"/>
      <c r="J1919" s="509"/>
      <c r="K1919" s="438"/>
      <c r="L1919" s="508"/>
      <c r="M1919" s="438"/>
      <c r="N1919" s="509"/>
      <c r="O1919" s="511"/>
      <c r="P1919" s="511"/>
    </row>
    <row r="1920" spans="6:16" x14ac:dyDescent="0.2">
      <c r="F1920" s="536"/>
      <c r="G1920" s="522"/>
      <c r="H1920" s="508"/>
      <c r="I1920" s="438"/>
      <c r="J1920" s="509"/>
      <c r="K1920" s="438"/>
      <c r="L1920" s="508"/>
      <c r="M1920" s="438"/>
      <c r="N1920" s="509"/>
      <c r="O1920" s="511"/>
      <c r="P1920" s="511"/>
    </row>
    <row r="1921" spans="6:16" x14ac:dyDescent="0.2">
      <c r="F1921" s="536"/>
      <c r="G1921" s="522"/>
      <c r="H1921" s="508"/>
      <c r="I1921" s="438"/>
      <c r="J1921" s="509"/>
      <c r="K1921" s="438"/>
      <c r="L1921" s="508"/>
      <c r="M1921" s="438"/>
      <c r="N1921" s="509"/>
      <c r="O1921" s="511"/>
      <c r="P1921" s="511"/>
    </row>
    <row r="1922" spans="6:16" x14ac:dyDescent="0.2">
      <c r="F1922" s="536"/>
      <c r="G1922" s="522"/>
      <c r="H1922" s="508"/>
      <c r="I1922" s="438"/>
      <c r="J1922" s="509"/>
      <c r="K1922" s="438"/>
      <c r="L1922" s="508"/>
      <c r="M1922" s="438"/>
      <c r="N1922" s="509"/>
      <c r="O1922" s="511"/>
      <c r="P1922" s="511"/>
    </row>
    <row r="1923" spans="6:16" x14ac:dyDescent="0.2">
      <c r="F1923" s="536"/>
      <c r="G1923" s="522"/>
      <c r="H1923" s="508"/>
      <c r="I1923" s="438"/>
      <c r="J1923" s="509"/>
      <c r="K1923" s="438"/>
      <c r="L1923" s="508"/>
      <c r="M1923" s="438"/>
      <c r="N1923" s="509"/>
      <c r="O1923" s="511"/>
      <c r="P1923" s="511"/>
    </row>
    <row r="1924" spans="6:16" x14ac:dyDescent="0.2">
      <c r="F1924" s="536"/>
      <c r="G1924" s="522"/>
      <c r="H1924" s="508"/>
      <c r="I1924" s="438"/>
      <c r="J1924" s="509"/>
      <c r="K1924" s="438"/>
      <c r="L1924" s="508"/>
      <c r="M1924" s="438"/>
      <c r="N1924" s="509"/>
      <c r="O1924" s="511"/>
      <c r="P1924" s="511"/>
    </row>
    <row r="1925" spans="6:16" x14ac:dyDescent="0.2">
      <c r="F1925" s="536"/>
      <c r="G1925" s="522"/>
      <c r="H1925" s="508"/>
      <c r="I1925" s="438"/>
      <c r="J1925" s="509"/>
      <c r="K1925" s="438"/>
      <c r="L1925" s="508"/>
      <c r="M1925" s="438"/>
      <c r="N1925" s="509"/>
      <c r="O1925" s="511"/>
      <c r="P1925" s="511"/>
    </row>
    <row r="1926" spans="6:16" x14ac:dyDescent="0.2">
      <c r="F1926" s="536"/>
      <c r="G1926" s="522"/>
      <c r="H1926" s="508"/>
      <c r="I1926" s="438"/>
      <c r="J1926" s="509"/>
      <c r="K1926" s="438"/>
      <c r="L1926" s="508"/>
      <c r="M1926" s="438"/>
      <c r="N1926" s="509"/>
      <c r="O1926" s="511"/>
      <c r="P1926" s="511"/>
    </row>
    <row r="1927" spans="6:16" x14ac:dyDescent="0.2">
      <c r="F1927" s="536"/>
      <c r="G1927" s="522"/>
      <c r="H1927" s="508"/>
      <c r="I1927" s="438"/>
      <c r="J1927" s="509"/>
      <c r="K1927" s="438"/>
      <c r="L1927" s="508"/>
      <c r="M1927" s="438"/>
      <c r="N1927" s="509"/>
      <c r="O1927" s="511"/>
      <c r="P1927" s="511"/>
    </row>
    <row r="1928" spans="6:16" x14ac:dyDescent="0.2">
      <c r="F1928" s="536"/>
      <c r="G1928" s="522"/>
      <c r="H1928" s="508"/>
      <c r="I1928" s="438"/>
      <c r="J1928" s="509"/>
      <c r="K1928" s="438"/>
      <c r="L1928" s="508"/>
      <c r="M1928" s="438"/>
      <c r="N1928" s="509"/>
      <c r="O1928" s="511"/>
      <c r="P1928" s="511"/>
    </row>
    <row r="1929" spans="6:16" x14ac:dyDescent="0.2">
      <c r="F1929" s="536"/>
      <c r="G1929" s="522"/>
      <c r="H1929" s="508"/>
      <c r="I1929" s="438"/>
      <c r="J1929" s="509"/>
      <c r="K1929" s="438"/>
      <c r="L1929" s="508"/>
      <c r="M1929" s="438"/>
      <c r="N1929" s="509"/>
      <c r="O1929" s="511"/>
      <c r="P1929" s="511"/>
    </row>
    <row r="1930" spans="6:16" x14ac:dyDescent="0.2">
      <c r="F1930" s="536"/>
      <c r="G1930" s="522"/>
      <c r="H1930" s="508"/>
      <c r="I1930" s="438"/>
      <c r="J1930" s="509"/>
      <c r="K1930" s="438"/>
      <c r="L1930" s="508"/>
      <c r="M1930" s="438"/>
      <c r="N1930" s="509"/>
      <c r="O1930" s="511"/>
      <c r="P1930" s="511"/>
    </row>
    <row r="1931" spans="6:16" x14ac:dyDescent="0.2">
      <c r="F1931" s="536"/>
      <c r="G1931" s="522"/>
      <c r="H1931" s="508"/>
      <c r="I1931" s="438"/>
      <c r="J1931" s="509"/>
      <c r="K1931" s="438"/>
      <c r="L1931" s="508"/>
      <c r="M1931" s="438"/>
      <c r="N1931" s="509"/>
      <c r="O1931" s="511"/>
      <c r="P1931" s="511"/>
    </row>
    <row r="1932" spans="6:16" x14ac:dyDescent="0.2">
      <c r="F1932" s="536"/>
      <c r="G1932" s="522"/>
      <c r="H1932" s="508"/>
      <c r="I1932" s="438"/>
      <c r="J1932" s="509"/>
      <c r="K1932" s="438"/>
      <c r="L1932" s="508"/>
      <c r="M1932" s="438"/>
      <c r="N1932" s="509"/>
      <c r="O1932" s="511"/>
      <c r="P1932" s="511"/>
    </row>
    <row r="1933" spans="6:16" x14ac:dyDescent="0.2">
      <c r="F1933" s="536"/>
      <c r="G1933" s="522"/>
      <c r="H1933" s="508"/>
      <c r="I1933" s="438"/>
      <c r="J1933" s="509"/>
      <c r="K1933" s="438"/>
      <c r="L1933" s="508"/>
      <c r="M1933" s="438"/>
      <c r="N1933" s="509"/>
      <c r="O1933" s="511"/>
      <c r="P1933" s="511"/>
    </row>
    <row r="1934" spans="6:16" x14ac:dyDescent="0.2">
      <c r="F1934" s="536"/>
      <c r="G1934" s="522"/>
      <c r="H1934" s="508"/>
      <c r="I1934" s="438"/>
      <c r="J1934" s="509"/>
      <c r="K1934" s="438"/>
      <c r="L1934" s="508"/>
      <c r="M1934" s="438"/>
      <c r="N1934" s="509"/>
      <c r="O1934" s="511"/>
      <c r="P1934" s="511"/>
    </row>
    <row r="1935" spans="6:16" x14ac:dyDescent="0.2">
      <c r="F1935" s="536"/>
      <c r="G1935" s="522"/>
      <c r="H1935" s="508"/>
      <c r="I1935" s="438"/>
      <c r="J1935" s="509"/>
      <c r="K1935" s="438"/>
      <c r="L1935" s="508"/>
      <c r="M1935" s="438"/>
      <c r="N1935" s="509"/>
      <c r="O1935" s="511"/>
      <c r="P1935" s="511"/>
    </row>
    <row r="1936" spans="6:16" x14ac:dyDescent="0.2">
      <c r="F1936" s="536"/>
      <c r="G1936" s="522"/>
      <c r="H1936" s="508"/>
      <c r="I1936" s="438"/>
      <c r="J1936" s="509"/>
      <c r="K1936" s="438"/>
      <c r="L1936" s="508"/>
      <c r="M1936" s="438"/>
      <c r="N1936" s="509"/>
      <c r="O1936" s="511"/>
      <c r="P1936" s="511"/>
    </row>
    <row r="1937" spans="6:16" x14ac:dyDescent="0.2">
      <c r="F1937" s="536"/>
      <c r="G1937" s="522"/>
      <c r="H1937" s="508"/>
      <c r="I1937" s="438"/>
      <c r="J1937" s="509"/>
      <c r="K1937" s="438"/>
      <c r="L1937" s="508"/>
      <c r="M1937" s="438"/>
      <c r="N1937" s="509"/>
      <c r="O1937" s="511"/>
      <c r="P1937" s="511"/>
    </row>
    <row r="1938" spans="6:16" x14ac:dyDescent="0.2">
      <c r="F1938" s="536"/>
      <c r="G1938" s="522"/>
      <c r="H1938" s="508"/>
      <c r="I1938" s="438"/>
      <c r="J1938" s="509"/>
      <c r="K1938" s="438"/>
      <c r="L1938" s="508"/>
      <c r="M1938" s="438"/>
      <c r="N1938" s="509"/>
      <c r="O1938" s="511"/>
      <c r="P1938" s="511"/>
    </row>
    <row r="1939" spans="6:16" x14ac:dyDescent="0.2">
      <c r="F1939" s="536"/>
      <c r="G1939" s="522"/>
      <c r="H1939" s="508"/>
      <c r="I1939" s="438"/>
      <c r="J1939" s="509"/>
      <c r="K1939" s="438"/>
      <c r="L1939" s="508"/>
      <c r="M1939" s="438"/>
      <c r="N1939" s="509"/>
      <c r="O1939" s="511"/>
      <c r="P1939" s="511"/>
    </row>
    <row r="1940" spans="6:16" x14ac:dyDescent="0.2">
      <c r="F1940" s="536"/>
      <c r="G1940" s="522"/>
      <c r="H1940" s="508"/>
      <c r="I1940" s="438"/>
      <c r="J1940" s="509"/>
      <c r="K1940" s="438"/>
      <c r="L1940" s="508"/>
      <c r="M1940" s="438"/>
      <c r="N1940" s="509"/>
      <c r="O1940" s="511"/>
      <c r="P1940" s="511"/>
    </row>
    <row r="1941" spans="6:16" x14ac:dyDescent="0.2">
      <c r="F1941" s="536"/>
      <c r="G1941" s="522"/>
      <c r="H1941" s="508"/>
      <c r="I1941" s="438"/>
      <c r="J1941" s="509"/>
      <c r="K1941" s="438"/>
      <c r="L1941" s="508"/>
      <c r="M1941" s="438"/>
      <c r="N1941" s="509"/>
      <c r="O1941" s="511"/>
      <c r="P1941" s="511"/>
    </row>
    <row r="1942" spans="6:16" x14ac:dyDescent="0.2">
      <c r="F1942" s="536"/>
      <c r="G1942" s="522"/>
      <c r="H1942" s="508"/>
      <c r="I1942" s="438"/>
      <c r="J1942" s="509"/>
      <c r="K1942" s="438"/>
      <c r="L1942" s="508"/>
      <c r="M1942" s="438"/>
      <c r="N1942" s="509"/>
      <c r="O1942" s="511"/>
      <c r="P1942" s="511"/>
    </row>
    <row r="1943" spans="6:16" x14ac:dyDescent="0.2">
      <c r="F1943" s="536"/>
      <c r="G1943" s="522"/>
      <c r="H1943" s="508"/>
      <c r="I1943" s="438"/>
      <c r="J1943" s="509"/>
      <c r="K1943" s="438"/>
      <c r="L1943" s="508"/>
      <c r="M1943" s="438"/>
      <c r="N1943" s="509"/>
      <c r="O1943" s="511"/>
      <c r="P1943" s="511"/>
    </row>
    <row r="1944" spans="6:16" x14ac:dyDescent="0.2">
      <c r="F1944" s="536"/>
      <c r="G1944" s="522"/>
      <c r="H1944" s="508"/>
      <c r="I1944" s="438"/>
      <c r="J1944" s="509"/>
      <c r="K1944" s="438"/>
      <c r="L1944" s="508"/>
      <c r="M1944" s="438"/>
      <c r="N1944" s="509"/>
      <c r="O1944" s="511"/>
      <c r="P1944" s="511"/>
    </row>
    <row r="1945" spans="6:16" x14ac:dyDescent="0.2">
      <c r="F1945" s="536"/>
      <c r="G1945" s="522"/>
      <c r="H1945" s="508"/>
      <c r="I1945" s="438"/>
      <c r="J1945" s="509"/>
      <c r="K1945" s="438"/>
      <c r="L1945" s="508"/>
      <c r="M1945" s="438"/>
      <c r="N1945" s="509"/>
      <c r="O1945" s="511"/>
      <c r="P1945" s="511"/>
    </row>
    <row r="1946" spans="6:16" x14ac:dyDescent="0.2">
      <c r="F1946" s="536"/>
      <c r="G1946" s="522"/>
      <c r="H1946" s="508"/>
      <c r="I1946" s="438"/>
      <c r="J1946" s="509"/>
      <c r="K1946" s="438"/>
      <c r="L1946" s="508"/>
      <c r="M1946" s="438"/>
      <c r="N1946" s="509"/>
      <c r="O1946" s="511"/>
      <c r="P1946" s="511"/>
    </row>
    <row r="1947" spans="6:16" x14ac:dyDescent="0.2">
      <c r="F1947" s="536"/>
      <c r="G1947" s="522"/>
      <c r="H1947" s="508"/>
      <c r="I1947" s="438"/>
      <c r="J1947" s="509"/>
      <c r="K1947" s="438"/>
      <c r="L1947" s="508"/>
      <c r="M1947" s="438"/>
      <c r="N1947" s="509"/>
      <c r="O1947" s="511"/>
      <c r="P1947" s="511"/>
    </row>
    <row r="1948" spans="6:16" x14ac:dyDescent="0.2">
      <c r="F1948" s="536"/>
      <c r="G1948" s="522"/>
      <c r="H1948" s="508"/>
      <c r="I1948" s="438"/>
      <c r="J1948" s="509"/>
      <c r="K1948" s="438"/>
      <c r="L1948" s="508"/>
      <c r="M1948" s="438"/>
      <c r="N1948" s="509"/>
      <c r="O1948" s="511"/>
      <c r="P1948" s="511"/>
    </row>
    <row r="1949" spans="6:16" x14ac:dyDescent="0.2">
      <c r="F1949" s="536"/>
      <c r="G1949" s="522"/>
      <c r="H1949" s="508"/>
      <c r="I1949" s="438"/>
      <c r="J1949" s="509"/>
      <c r="K1949" s="438"/>
      <c r="L1949" s="508"/>
      <c r="M1949" s="438"/>
      <c r="N1949" s="509"/>
      <c r="O1949" s="511"/>
      <c r="P1949" s="511"/>
    </row>
    <row r="1950" spans="6:16" x14ac:dyDescent="0.2">
      <c r="F1950" s="536"/>
      <c r="G1950" s="522"/>
      <c r="H1950" s="508"/>
      <c r="I1950" s="438"/>
      <c r="J1950" s="509"/>
      <c r="K1950" s="438"/>
      <c r="L1950" s="508"/>
      <c r="M1950" s="438"/>
      <c r="N1950" s="509"/>
      <c r="O1950" s="511"/>
      <c r="P1950" s="511"/>
    </row>
    <row r="1951" spans="6:16" x14ac:dyDescent="0.2">
      <c r="F1951" s="536"/>
      <c r="G1951" s="522"/>
      <c r="H1951" s="508"/>
      <c r="I1951" s="438"/>
      <c r="J1951" s="509"/>
      <c r="K1951" s="438"/>
      <c r="L1951" s="508"/>
      <c r="M1951" s="438"/>
      <c r="N1951" s="509"/>
      <c r="O1951" s="511"/>
      <c r="P1951" s="511"/>
    </row>
    <row r="1952" spans="6:16" x14ac:dyDescent="0.2">
      <c r="F1952" s="536"/>
      <c r="G1952" s="522"/>
      <c r="H1952" s="508"/>
      <c r="I1952" s="438"/>
      <c r="J1952" s="509"/>
      <c r="K1952" s="438"/>
      <c r="L1952" s="508"/>
      <c r="M1952" s="438"/>
      <c r="N1952" s="509"/>
      <c r="O1952" s="511"/>
      <c r="P1952" s="511"/>
    </row>
    <row r="1953" spans="6:16" x14ac:dyDescent="0.2">
      <c r="F1953" s="536"/>
      <c r="G1953" s="522"/>
      <c r="H1953" s="508"/>
      <c r="I1953" s="438"/>
      <c r="J1953" s="509"/>
      <c r="K1953" s="438"/>
      <c r="L1953" s="508"/>
      <c r="M1953" s="438"/>
      <c r="N1953" s="509"/>
      <c r="O1953" s="511"/>
      <c r="P1953" s="511"/>
    </row>
    <row r="1954" spans="6:16" x14ac:dyDescent="0.2">
      <c r="F1954" s="536"/>
      <c r="G1954" s="522"/>
      <c r="H1954" s="508"/>
      <c r="I1954" s="438"/>
      <c r="J1954" s="509"/>
      <c r="K1954" s="438"/>
      <c r="L1954" s="508"/>
      <c r="M1954" s="438"/>
      <c r="N1954" s="509"/>
      <c r="O1954" s="511"/>
      <c r="P1954" s="511"/>
    </row>
    <row r="1955" spans="6:16" x14ac:dyDescent="0.2">
      <c r="F1955" s="536"/>
      <c r="G1955" s="522"/>
      <c r="H1955" s="508"/>
      <c r="I1955" s="438"/>
      <c r="J1955" s="509"/>
      <c r="K1955" s="438"/>
      <c r="L1955" s="508"/>
      <c r="M1955" s="438"/>
      <c r="N1955" s="509"/>
      <c r="O1955" s="511"/>
      <c r="P1955" s="511"/>
    </row>
    <row r="1956" spans="6:16" x14ac:dyDescent="0.2">
      <c r="F1956" s="536"/>
      <c r="G1956" s="522"/>
      <c r="H1956" s="508"/>
      <c r="I1956" s="438"/>
      <c r="J1956" s="509"/>
      <c r="K1956" s="438"/>
      <c r="L1956" s="508"/>
      <c r="M1956" s="438"/>
      <c r="N1956" s="509"/>
      <c r="O1956" s="511"/>
      <c r="P1956" s="511"/>
    </row>
    <row r="1957" spans="6:16" x14ac:dyDescent="0.2">
      <c r="F1957" s="536"/>
      <c r="G1957" s="522"/>
      <c r="H1957" s="508"/>
      <c r="I1957" s="438"/>
      <c r="J1957" s="509"/>
      <c r="K1957" s="438"/>
      <c r="L1957" s="508"/>
      <c r="M1957" s="438"/>
      <c r="N1957" s="509"/>
      <c r="O1957" s="511"/>
      <c r="P1957" s="511"/>
    </row>
    <row r="1958" spans="6:16" x14ac:dyDescent="0.2">
      <c r="F1958" s="536"/>
      <c r="G1958" s="522"/>
      <c r="H1958" s="508"/>
      <c r="I1958" s="438"/>
      <c r="J1958" s="509"/>
      <c r="K1958" s="438"/>
      <c r="L1958" s="508"/>
      <c r="M1958" s="438"/>
      <c r="N1958" s="509"/>
      <c r="O1958" s="511"/>
      <c r="P1958" s="511"/>
    </row>
    <row r="1959" spans="6:16" x14ac:dyDescent="0.2">
      <c r="F1959" s="536"/>
      <c r="G1959" s="522"/>
      <c r="H1959" s="508"/>
      <c r="I1959" s="438"/>
      <c r="J1959" s="509"/>
      <c r="K1959" s="438"/>
      <c r="L1959" s="508"/>
      <c r="M1959" s="438"/>
      <c r="N1959" s="509"/>
      <c r="O1959" s="511"/>
      <c r="P1959" s="511"/>
    </row>
    <row r="1960" spans="6:16" x14ac:dyDescent="0.2">
      <c r="F1960" s="536"/>
      <c r="G1960" s="522"/>
      <c r="H1960" s="508"/>
      <c r="I1960" s="438"/>
      <c r="J1960" s="509"/>
      <c r="K1960" s="438"/>
      <c r="L1960" s="508"/>
      <c r="M1960" s="438"/>
      <c r="N1960" s="509"/>
      <c r="O1960" s="511"/>
      <c r="P1960" s="511"/>
    </row>
    <row r="1961" spans="6:16" x14ac:dyDescent="0.2">
      <c r="F1961" s="536"/>
      <c r="G1961" s="522"/>
      <c r="H1961" s="508"/>
      <c r="I1961" s="438"/>
      <c r="J1961" s="509"/>
      <c r="K1961" s="438"/>
      <c r="L1961" s="508"/>
      <c r="M1961" s="438"/>
      <c r="N1961" s="509"/>
      <c r="O1961" s="511"/>
      <c r="P1961" s="511"/>
    </row>
    <row r="1962" spans="6:16" x14ac:dyDescent="0.2">
      <c r="F1962" s="536"/>
      <c r="G1962" s="522"/>
      <c r="H1962" s="508"/>
      <c r="I1962" s="438"/>
      <c r="J1962" s="509"/>
      <c r="K1962" s="438"/>
      <c r="L1962" s="508"/>
      <c r="M1962" s="438"/>
      <c r="N1962" s="509"/>
      <c r="O1962" s="511"/>
      <c r="P1962" s="511"/>
    </row>
    <row r="1963" spans="6:16" x14ac:dyDescent="0.2">
      <c r="F1963" s="536"/>
      <c r="G1963" s="522"/>
      <c r="H1963" s="508"/>
      <c r="I1963" s="438"/>
      <c r="J1963" s="509"/>
      <c r="K1963" s="438"/>
      <c r="L1963" s="508"/>
      <c r="M1963" s="438"/>
      <c r="N1963" s="509"/>
      <c r="O1963" s="511"/>
      <c r="P1963" s="511"/>
    </row>
    <row r="1964" spans="6:16" x14ac:dyDescent="0.2">
      <c r="F1964" s="536"/>
      <c r="G1964" s="522"/>
      <c r="H1964" s="508"/>
      <c r="I1964" s="438"/>
      <c r="J1964" s="509"/>
      <c r="K1964" s="438"/>
      <c r="L1964" s="508"/>
      <c r="M1964" s="438"/>
      <c r="N1964" s="509"/>
      <c r="O1964" s="511"/>
      <c r="P1964" s="511"/>
    </row>
    <row r="1965" spans="6:16" x14ac:dyDescent="0.2">
      <c r="F1965" s="536"/>
      <c r="G1965" s="522"/>
      <c r="H1965" s="508"/>
      <c r="I1965" s="438"/>
      <c r="J1965" s="509"/>
      <c r="K1965" s="438"/>
      <c r="L1965" s="508"/>
      <c r="M1965" s="438"/>
      <c r="N1965" s="509"/>
      <c r="O1965" s="511"/>
      <c r="P1965" s="511"/>
    </row>
    <row r="1966" spans="6:16" x14ac:dyDescent="0.2">
      <c r="F1966" s="536"/>
      <c r="G1966" s="522"/>
      <c r="H1966" s="508"/>
      <c r="I1966" s="438"/>
      <c r="J1966" s="509"/>
      <c r="K1966" s="438"/>
      <c r="L1966" s="508"/>
      <c r="M1966" s="438"/>
      <c r="N1966" s="509"/>
      <c r="O1966" s="511"/>
      <c r="P1966" s="511"/>
    </row>
    <row r="1967" spans="6:16" x14ac:dyDescent="0.2">
      <c r="F1967" s="536"/>
      <c r="G1967" s="522"/>
      <c r="H1967" s="508"/>
      <c r="I1967" s="438"/>
      <c r="J1967" s="509"/>
      <c r="K1967" s="438"/>
      <c r="L1967" s="508"/>
      <c r="M1967" s="438"/>
      <c r="N1967" s="509"/>
      <c r="O1967" s="511"/>
      <c r="P1967" s="511"/>
    </row>
    <row r="1968" spans="6:16" x14ac:dyDescent="0.2">
      <c r="F1968" s="536"/>
      <c r="G1968" s="522"/>
      <c r="H1968" s="508"/>
      <c r="I1968" s="438"/>
      <c r="J1968" s="509"/>
      <c r="K1968" s="438"/>
      <c r="L1968" s="508"/>
      <c r="M1968" s="438"/>
      <c r="N1968" s="509"/>
      <c r="O1968" s="511"/>
      <c r="P1968" s="511"/>
    </row>
    <row r="1969" spans="6:16" x14ac:dyDescent="0.2">
      <c r="F1969" s="536"/>
      <c r="G1969" s="522"/>
      <c r="H1969" s="508"/>
      <c r="I1969" s="438"/>
      <c r="J1969" s="509"/>
      <c r="K1969" s="438"/>
      <c r="L1969" s="508"/>
      <c r="M1969" s="438"/>
      <c r="N1969" s="509"/>
      <c r="O1969" s="511"/>
      <c r="P1969" s="511"/>
    </row>
    <row r="1970" spans="6:16" x14ac:dyDescent="0.2">
      <c r="F1970" s="536"/>
      <c r="G1970" s="522"/>
      <c r="H1970" s="508"/>
      <c r="I1970" s="438"/>
      <c r="J1970" s="509"/>
      <c r="K1970" s="438"/>
      <c r="L1970" s="508"/>
      <c r="M1970" s="438"/>
      <c r="N1970" s="509"/>
      <c r="O1970" s="511"/>
      <c r="P1970" s="511"/>
    </row>
    <row r="1971" spans="6:16" x14ac:dyDescent="0.2">
      <c r="F1971" s="536"/>
      <c r="G1971" s="522"/>
      <c r="H1971" s="508"/>
      <c r="I1971" s="438"/>
      <c r="J1971" s="509"/>
      <c r="K1971" s="438"/>
      <c r="L1971" s="508"/>
      <c r="M1971" s="438"/>
      <c r="N1971" s="509"/>
      <c r="O1971" s="511"/>
      <c r="P1971" s="511"/>
    </row>
    <row r="1972" spans="6:16" x14ac:dyDescent="0.2">
      <c r="F1972" s="536"/>
      <c r="G1972" s="522"/>
      <c r="H1972" s="508"/>
      <c r="I1972" s="438"/>
      <c r="J1972" s="509"/>
      <c r="K1972" s="438"/>
      <c r="L1972" s="508"/>
      <c r="M1972" s="438"/>
      <c r="N1972" s="509"/>
      <c r="O1972" s="511"/>
      <c r="P1972" s="511"/>
    </row>
    <row r="1973" spans="6:16" x14ac:dyDescent="0.2">
      <c r="F1973" s="536"/>
      <c r="G1973" s="522"/>
      <c r="H1973" s="508"/>
      <c r="I1973" s="438"/>
      <c r="J1973" s="509"/>
      <c r="K1973" s="438"/>
      <c r="L1973" s="508"/>
      <c r="M1973" s="438"/>
      <c r="N1973" s="509"/>
      <c r="O1973" s="511"/>
      <c r="P1973" s="511"/>
    </row>
    <row r="1974" spans="6:16" x14ac:dyDescent="0.2">
      <c r="F1974" s="536"/>
      <c r="G1974" s="522"/>
      <c r="H1974" s="508"/>
      <c r="I1974" s="438"/>
      <c r="J1974" s="509"/>
      <c r="K1974" s="438"/>
      <c r="L1974" s="508"/>
      <c r="M1974" s="438"/>
      <c r="N1974" s="509"/>
      <c r="O1974" s="511"/>
      <c r="P1974" s="511"/>
    </row>
    <row r="1975" spans="6:16" x14ac:dyDescent="0.2">
      <c r="F1975" s="536"/>
      <c r="G1975" s="522"/>
      <c r="H1975" s="508"/>
      <c r="I1975" s="438"/>
      <c r="J1975" s="509"/>
      <c r="K1975" s="438"/>
      <c r="L1975" s="508"/>
      <c r="M1975" s="438"/>
      <c r="N1975" s="509"/>
      <c r="O1975" s="511"/>
      <c r="P1975" s="511"/>
    </row>
    <row r="1976" spans="6:16" x14ac:dyDescent="0.2">
      <c r="F1976" s="536"/>
      <c r="G1976" s="522"/>
      <c r="H1976" s="508"/>
      <c r="I1976" s="438"/>
      <c r="J1976" s="509"/>
      <c r="K1976" s="438"/>
      <c r="L1976" s="508"/>
      <c r="M1976" s="438"/>
      <c r="N1976" s="509"/>
      <c r="O1976" s="511"/>
      <c r="P1976" s="511"/>
    </row>
    <row r="1977" spans="6:16" x14ac:dyDescent="0.2">
      <c r="F1977" s="536"/>
      <c r="G1977" s="522"/>
      <c r="H1977" s="508"/>
      <c r="I1977" s="438"/>
      <c r="J1977" s="509"/>
      <c r="K1977" s="438"/>
      <c r="L1977" s="508"/>
      <c r="M1977" s="438"/>
      <c r="N1977" s="509"/>
      <c r="O1977" s="511"/>
      <c r="P1977" s="511"/>
    </row>
    <row r="1978" spans="6:16" x14ac:dyDescent="0.2">
      <c r="F1978" s="536"/>
      <c r="G1978" s="522"/>
      <c r="H1978" s="508"/>
      <c r="I1978" s="438"/>
      <c r="J1978" s="509"/>
      <c r="K1978" s="438"/>
      <c r="L1978" s="508"/>
      <c r="M1978" s="438"/>
      <c r="N1978" s="509"/>
      <c r="O1978" s="511"/>
      <c r="P1978" s="511"/>
    </row>
    <row r="1979" spans="6:16" x14ac:dyDescent="0.2">
      <c r="F1979" s="536"/>
      <c r="G1979" s="522"/>
      <c r="H1979" s="508"/>
      <c r="I1979" s="438"/>
      <c r="J1979" s="509"/>
      <c r="K1979" s="438"/>
      <c r="L1979" s="508"/>
      <c r="M1979" s="438"/>
      <c r="N1979" s="509"/>
      <c r="O1979" s="511"/>
      <c r="P1979" s="511"/>
    </row>
    <row r="1980" spans="6:16" x14ac:dyDescent="0.2">
      <c r="F1980" s="536"/>
      <c r="G1980" s="522"/>
      <c r="H1980" s="508"/>
      <c r="I1980" s="438"/>
      <c r="J1980" s="509"/>
      <c r="K1980" s="438"/>
      <c r="L1980" s="508"/>
      <c r="M1980" s="438"/>
      <c r="N1980" s="509"/>
      <c r="O1980" s="511"/>
      <c r="P1980" s="511"/>
    </row>
    <row r="1981" spans="6:16" x14ac:dyDescent="0.2">
      <c r="F1981" s="536"/>
      <c r="G1981" s="522"/>
      <c r="H1981" s="508"/>
      <c r="I1981" s="438"/>
      <c r="J1981" s="509"/>
      <c r="K1981" s="438"/>
      <c r="L1981" s="508"/>
      <c r="M1981" s="438"/>
      <c r="N1981" s="509"/>
      <c r="O1981" s="511"/>
      <c r="P1981" s="511"/>
    </row>
    <row r="1982" spans="6:16" x14ac:dyDescent="0.2">
      <c r="F1982" s="536"/>
      <c r="G1982" s="522"/>
      <c r="H1982" s="508"/>
      <c r="I1982" s="438"/>
      <c r="J1982" s="509"/>
      <c r="K1982" s="438"/>
      <c r="L1982" s="508"/>
      <c r="M1982" s="438"/>
      <c r="N1982" s="509"/>
      <c r="O1982" s="511"/>
      <c r="P1982" s="511"/>
    </row>
    <row r="1983" spans="6:16" x14ac:dyDescent="0.2">
      <c r="F1983" s="536"/>
      <c r="G1983" s="522"/>
      <c r="H1983" s="508"/>
      <c r="I1983" s="438"/>
      <c r="J1983" s="509"/>
      <c r="K1983" s="438"/>
      <c r="L1983" s="508"/>
      <c r="M1983" s="438"/>
      <c r="N1983" s="509"/>
      <c r="O1983" s="511"/>
      <c r="P1983" s="511"/>
    </row>
    <row r="1984" spans="6:16" x14ac:dyDescent="0.2">
      <c r="F1984" s="536"/>
      <c r="G1984" s="522"/>
      <c r="H1984" s="508"/>
      <c r="I1984" s="438"/>
      <c r="J1984" s="509"/>
      <c r="K1984" s="438"/>
      <c r="L1984" s="508"/>
      <c r="M1984" s="438"/>
      <c r="N1984" s="509"/>
      <c r="O1984" s="511"/>
      <c r="P1984" s="511"/>
    </row>
    <row r="1985" spans="6:16" x14ac:dyDescent="0.2">
      <c r="F1985" s="536"/>
      <c r="G1985" s="522"/>
      <c r="H1985" s="508"/>
      <c r="I1985" s="438"/>
      <c r="J1985" s="509"/>
      <c r="K1985" s="438"/>
      <c r="L1985" s="508"/>
      <c r="M1985" s="438"/>
      <c r="N1985" s="509"/>
      <c r="O1985" s="511"/>
      <c r="P1985" s="511"/>
    </row>
    <row r="1986" spans="6:16" x14ac:dyDescent="0.2">
      <c r="F1986" s="536"/>
      <c r="G1986" s="522"/>
      <c r="H1986" s="508"/>
      <c r="I1986" s="438"/>
      <c r="J1986" s="509"/>
      <c r="K1986" s="438"/>
      <c r="L1986" s="508"/>
      <c r="M1986" s="438"/>
      <c r="N1986" s="509"/>
      <c r="O1986" s="511"/>
      <c r="P1986" s="511"/>
    </row>
    <row r="1987" spans="6:16" x14ac:dyDescent="0.2">
      <c r="F1987" s="536"/>
      <c r="G1987" s="522"/>
      <c r="H1987" s="508"/>
      <c r="I1987" s="438"/>
      <c r="J1987" s="509"/>
      <c r="K1987" s="438"/>
      <c r="L1987" s="508"/>
      <c r="M1987" s="438"/>
      <c r="N1987" s="509"/>
      <c r="O1987" s="511"/>
      <c r="P1987" s="511"/>
    </row>
    <row r="1988" spans="6:16" x14ac:dyDescent="0.2">
      <c r="F1988" s="536"/>
      <c r="G1988" s="522"/>
      <c r="H1988" s="508"/>
      <c r="I1988" s="438"/>
      <c r="J1988" s="509"/>
      <c r="K1988" s="438"/>
      <c r="L1988" s="508"/>
      <c r="M1988" s="438"/>
      <c r="N1988" s="509"/>
      <c r="O1988" s="511"/>
      <c r="P1988" s="511"/>
    </row>
    <row r="1989" spans="6:16" x14ac:dyDescent="0.2">
      <c r="F1989" s="536"/>
      <c r="G1989" s="522"/>
      <c r="H1989" s="508"/>
      <c r="I1989" s="438"/>
      <c r="J1989" s="509"/>
      <c r="K1989" s="438"/>
      <c r="L1989" s="508"/>
      <c r="M1989" s="438"/>
      <c r="N1989" s="509"/>
      <c r="O1989" s="511"/>
      <c r="P1989" s="511"/>
    </row>
    <row r="1990" spans="6:16" x14ac:dyDescent="0.2">
      <c r="F1990" s="536"/>
      <c r="G1990" s="522"/>
      <c r="H1990" s="508"/>
      <c r="I1990" s="438"/>
      <c r="J1990" s="509"/>
      <c r="K1990" s="438"/>
      <c r="L1990" s="508"/>
      <c r="M1990" s="438"/>
      <c r="N1990" s="509"/>
      <c r="O1990" s="511"/>
      <c r="P1990" s="511"/>
    </row>
    <row r="1991" spans="6:16" x14ac:dyDescent="0.2">
      <c r="F1991" s="536"/>
      <c r="G1991" s="522"/>
      <c r="H1991" s="508"/>
      <c r="I1991" s="438"/>
      <c r="J1991" s="509"/>
      <c r="K1991" s="438"/>
      <c r="L1991" s="508"/>
      <c r="M1991" s="438"/>
      <c r="N1991" s="509"/>
      <c r="O1991" s="511"/>
      <c r="P1991" s="511"/>
    </row>
    <row r="1992" spans="6:16" x14ac:dyDescent="0.2">
      <c r="F1992" s="536"/>
      <c r="G1992" s="522"/>
      <c r="H1992" s="508"/>
      <c r="I1992" s="438"/>
      <c r="J1992" s="509"/>
      <c r="K1992" s="438"/>
      <c r="L1992" s="508"/>
      <c r="M1992" s="438"/>
      <c r="N1992" s="509"/>
      <c r="O1992" s="511"/>
      <c r="P1992" s="511"/>
    </row>
    <row r="1993" spans="6:16" x14ac:dyDescent="0.2">
      <c r="F1993" s="536"/>
      <c r="G1993" s="522"/>
      <c r="H1993" s="508"/>
      <c r="I1993" s="438"/>
      <c r="J1993" s="509"/>
      <c r="K1993" s="438"/>
      <c r="L1993" s="508"/>
      <c r="M1993" s="438"/>
      <c r="N1993" s="509"/>
      <c r="O1993" s="511"/>
      <c r="P1993" s="511"/>
    </row>
    <row r="1994" spans="6:16" x14ac:dyDescent="0.2">
      <c r="F1994" s="536"/>
      <c r="G1994" s="522"/>
      <c r="H1994" s="508"/>
      <c r="I1994" s="438"/>
      <c r="J1994" s="509"/>
      <c r="K1994" s="438"/>
      <c r="L1994" s="508"/>
      <c r="M1994" s="438"/>
      <c r="N1994" s="509"/>
      <c r="O1994" s="511"/>
      <c r="P1994" s="511"/>
    </row>
    <row r="1995" spans="6:16" x14ac:dyDescent="0.2">
      <c r="F1995" s="536"/>
      <c r="G1995" s="522"/>
      <c r="H1995" s="508"/>
      <c r="I1995" s="438"/>
      <c r="J1995" s="509"/>
      <c r="K1995" s="438"/>
      <c r="L1995" s="508"/>
      <c r="M1995" s="438"/>
      <c r="N1995" s="509"/>
      <c r="O1995" s="511"/>
      <c r="P1995" s="511"/>
    </row>
    <row r="1996" spans="6:16" x14ac:dyDescent="0.2">
      <c r="F1996" s="536"/>
      <c r="G1996" s="522"/>
      <c r="H1996" s="508"/>
      <c r="I1996" s="438"/>
      <c r="J1996" s="509"/>
      <c r="K1996" s="438"/>
      <c r="L1996" s="508"/>
      <c r="M1996" s="438"/>
      <c r="N1996" s="509"/>
      <c r="O1996" s="511"/>
      <c r="P1996" s="511"/>
    </row>
    <row r="1997" spans="6:16" x14ac:dyDescent="0.2">
      <c r="F1997" s="536"/>
      <c r="G1997" s="522"/>
      <c r="H1997" s="508"/>
      <c r="I1997" s="438"/>
      <c r="J1997" s="509"/>
      <c r="K1997" s="438"/>
      <c r="L1997" s="508"/>
      <c r="M1997" s="438"/>
      <c r="N1997" s="509"/>
      <c r="O1997" s="511"/>
      <c r="P1997" s="511"/>
    </row>
    <row r="1998" spans="6:16" x14ac:dyDescent="0.2">
      <c r="F1998" s="536"/>
      <c r="G1998" s="522"/>
      <c r="H1998" s="508"/>
      <c r="I1998" s="438"/>
      <c r="J1998" s="509"/>
      <c r="K1998" s="438"/>
      <c r="L1998" s="508"/>
      <c r="M1998" s="438"/>
      <c r="N1998" s="509"/>
      <c r="O1998" s="511"/>
      <c r="P1998" s="511"/>
    </row>
    <row r="1999" spans="6:16" x14ac:dyDescent="0.2">
      <c r="F1999" s="536"/>
      <c r="G1999" s="522"/>
      <c r="H1999" s="508"/>
      <c r="I1999" s="438"/>
      <c r="J1999" s="509"/>
      <c r="K1999" s="438"/>
      <c r="L1999" s="508"/>
      <c r="M1999" s="438"/>
      <c r="N1999" s="509"/>
      <c r="O1999" s="511"/>
      <c r="P1999" s="511"/>
    </row>
    <row r="2000" spans="6:16" x14ac:dyDescent="0.2">
      <c r="F2000" s="536"/>
      <c r="G2000" s="522"/>
      <c r="H2000" s="508"/>
      <c r="I2000" s="438"/>
      <c r="J2000" s="509"/>
      <c r="K2000" s="438"/>
      <c r="L2000" s="508"/>
      <c r="M2000" s="438"/>
      <c r="N2000" s="509"/>
      <c r="O2000" s="511"/>
      <c r="P2000" s="511"/>
    </row>
    <row r="2001" spans="6:16" x14ac:dyDescent="0.2">
      <c r="F2001" s="536"/>
      <c r="G2001" s="522"/>
      <c r="H2001" s="508"/>
      <c r="I2001" s="438"/>
      <c r="J2001" s="509"/>
      <c r="K2001" s="438"/>
      <c r="L2001" s="508"/>
      <c r="M2001" s="438"/>
      <c r="N2001" s="509"/>
      <c r="O2001" s="511"/>
      <c r="P2001" s="511"/>
    </row>
    <row r="2002" spans="6:16" x14ac:dyDescent="0.2">
      <c r="F2002" s="536"/>
      <c r="G2002" s="522"/>
      <c r="H2002" s="508"/>
      <c r="I2002" s="438"/>
      <c r="J2002" s="509"/>
      <c r="K2002" s="438"/>
      <c r="L2002" s="508"/>
      <c r="M2002" s="438"/>
      <c r="N2002" s="509"/>
      <c r="O2002" s="511"/>
      <c r="P2002" s="511"/>
    </row>
    <row r="2003" spans="6:16" x14ac:dyDescent="0.2">
      <c r="F2003" s="536"/>
      <c r="G2003" s="522"/>
      <c r="H2003" s="508"/>
      <c r="I2003" s="438"/>
      <c r="J2003" s="509"/>
      <c r="K2003" s="438"/>
      <c r="L2003" s="508"/>
      <c r="M2003" s="438"/>
      <c r="N2003" s="509"/>
      <c r="O2003" s="511"/>
      <c r="P2003" s="511"/>
    </row>
    <row r="2004" spans="6:16" x14ac:dyDescent="0.2">
      <c r="F2004" s="536"/>
      <c r="G2004" s="522"/>
      <c r="H2004" s="508"/>
      <c r="I2004" s="438"/>
      <c r="J2004" s="509"/>
      <c r="K2004" s="438"/>
      <c r="L2004" s="508"/>
      <c r="M2004" s="438"/>
      <c r="N2004" s="509"/>
      <c r="O2004" s="511"/>
      <c r="P2004" s="511"/>
    </row>
    <row r="2005" spans="6:16" x14ac:dyDescent="0.2">
      <c r="F2005" s="536"/>
      <c r="G2005" s="522"/>
      <c r="H2005" s="508"/>
      <c r="I2005" s="438"/>
      <c r="J2005" s="509"/>
      <c r="K2005" s="438"/>
      <c r="L2005" s="508"/>
      <c r="M2005" s="438"/>
      <c r="N2005" s="509"/>
      <c r="O2005" s="511"/>
      <c r="P2005" s="511"/>
    </row>
    <row r="2006" spans="6:16" x14ac:dyDescent="0.2">
      <c r="F2006" s="536"/>
      <c r="G2006" s="522"/>
      <c r="H2006" s="508"/>
      <c r="I2006" s="438"/>
      <c r="J2006" s="509"/>
      <c r="K2006" s="438"/>
      <c r="L2006" s="508"/>
      <c r="M2006" s="438"/>
      <c r="N2006" s="509"/>
      <c r="O2006" s="511"/>
      <c r="P2006" s="511"/>
    </row>
    <row r="2007" spans="6:16" x14ac:dyDescent="0.2">
      <c r="F2007" s="536"/>
      <c r="G2007" s="522"/>
      <c r="H2007" s="508"/>
      <c r="I2007" s="438"/>
      <c r="J2007" s="509"/>
      <c r="K2007" s="438"/>
      <c r="L2007" s="508"/>
      <c r="M2007" s="438"/>
      <c r="N2007" s="509"/>
      <c r="O2007" s="511"/>
      <c r="P2007" s="511"/>
    </row>
    <row r="2008" spans="6:16" x14ac:dyDescent="0.2">
      <c r="F2008" s="536"/>
      <c r="G2008" s="522"/>
      <c r="H2008" s="508"/>
      <c r="I2008" s="438"/>
      <c r="J2008" s="509"/>
      <c r="K2008" s="438"/>
      <c r="L2008" s="508"/>
      <c r="M2008" s="438"/>
      <c r="N2008" s="509"/>
      <c r="O2008" s="511"/>
      <c r="P2008" s="511"/>
    </row>
    <row r="2009" spans="6:16" x14ac:dyDescent="0.2">
      <c r="F2009" s="536"/>
      <c r="G2009" s="522"/>
      <c r="H2009" s="508"/>
      <c r="I2009" s="438"/>
      <c r="J2009" s="509"/>
      <c r="K2009" s="438"/>
      <c r="L2009" s="508"/>
      <c r="M2009" s="438"/>
      <c r="N2009" s="509"/>
      <c r="O2009" s="511"/>
      <c r="P2009" s="511"/>
    </row>
    <row r="2010" spans="6:16" x14ac:dyDescent="0.2">
      <c r="F2010" s="536"/>
      <c r="G2010" s="522"/>
      <c r="H2010" s="508"/>
      <c r="I2010" s="438"/>
      <c r="J2010" s="509"/>
      <c r="K2010" s="438"/>
      <c r="L2010" s="508"/>
      <c r="M2010" s="438"/>
      <c r="N2010" s="509"/>
      <c r="O2010" s="511"/>
      <c r="P2010" s="511"/>
    </row>
    <row r="2011" spans="6:16" x14ac:dyDescent="0.2">
      <c r="F2011" s="536"/>
      <c r="G2011" s="522"/>
      <c r="H2011" s="508"/>
      <c r="I2011" s="438"/>
      <c r="J2011" s="509"/>
      <c r="K2011" s="438"/>
      <c r="L2011" s="508"/>
      <c r="M2011" s="438"/>
      <c r="N2011" s="509"/>
      <c r="O2011" s="511"/>
      <c r="P2011" s="511"/>
    </row>
    <row r="2012" spans="6:16" x14ac:dyDescent="0.2">
      <c r="F2012" s="536"/>
      <c r="G2012" s="522"/>
      <c r="H2012" s="508"/>
      <c r="I2012" s="438"/>
      <c r="J2012" s="509"/>
      <c r="K2012" s="438"/>
      <c r="L2012" s="508"/>
      <c r="M2012" s="438"/>
      <c r="N2012" s="509"/>
      <c r="O2012" s="511"/>
      <c r="P2012" s="511"/>
    </row>
    <row r="2013" spans="6:16" x14ac:dyDescent="0.2">
      <c r="F2013" s="536"/>
      <c r="G2013" s="522"/>
      <c r="H2013" s="508"/>
      <c r="I2013" s="438"/>
      <c r="J2013" s="509"/>
      <c r="K2013" s="438"/>
      <c r="L2013" s="508"/>
      <c r="M2013" s="438"/>
      <c r="N2013" s="509"/>
      <c r="O2013" s="511"/>
      <c r="P2013" s="511"/>
    </row>
    <row r="2014" spans="6:16" x14ac:dyDescent="0.2">
      <c r="F2014" s="536"/>
      <c r="G2014" s="522"/>
      <c r="H2014" s="508"/>
      <c r="I2014" s="438"/>
      <c r="J2014" s="509"/>
      <c r="K2014" s="438"/>
      <c r="L2014" s="508"/>
      <c r="M2014" s="438"/>
      <c r="N2014" s="509"/>
      <c r="O2014" s="511"/>
      <c r="P2014" s="511"/>
    </row>
    <row r="2015" spans="6:16" x14ac:dyDescent="0.2">
      <c r="F2015" s="536"/>
      <c r="G2015" s="522"/>
      <c r="H2015" s="508"/>
      <c r="I2015" s="438"/>
      <c r="J2015" s="509"/>
      <c r="K2015" s="438"/>
      <c r="L2015" s="508"/>
      <c r="M2015" s="438"/>
      <c r="N2015" s="509"/>
      <c r="O2015" s="511"/>
      <c r="P2015" s="511"/>
    </row>
    <row r="2016" spans="6:16" x14ac:dyDescent="0.2">
      <c r="F2016" s="536"/>
      <c r="G2016" s="522"/>
      <c r="H2016" s="508"/>
      <c r="I2016" s="438"/>
      <c r="J2016" s="509"/>
      <c r="K2016" s="438"/>
      <c r="L2016" s="508"/>
      <c r="M2016" s="438"/>
      <c r="N2016" s="509"/>
      <c r="O2016" s="511"/>
      <c r="P2016" s="511"/>
    </row>
    <row r="2017" spans="6:16" x14ac:dyDescent="0.2">
      <c r="F2017" s="536"/>
      <c r="G2017" s="522"/>
      <c r="H2017" s="508"/>
      <c r="I2017" s="438"/>
      <c r="J2017" s="509"/>
      <c r="K2017" s="438"/>
      <c r="L2017" s="508"/>
      <c r="M2017" s="438"/>
      <c r="N2017" s="509"/>
      <c r="O2017" s="511"/>
      <c r="P2017" s="511"/>
    </row>
    <row r="2018" spans="6:16" x14ac:dyDescent="0.2">
      <c r="F2018" s="536"/>
      <c r="G2018" s="522"/>
      <c r="H2018" s="508"/>
      <c r="I2018" s="438"/>
      <c r="J2018" s="509"/>
      <c r="K2018" s="438"/>
      <c r="L2018" s="508"/>
      <c r="M2018" s="438"/>
      <c r="N2018" s="509"/>
      <c r="O2018" s="511"/>
      <c r="P2018" s="511"/>
    </row>
    <row r="2019" spans="6:16" x14ac:dyDescent="0.2">
      <c r="F2019" s="536"/>
      <c r="G2019" s="522"/>
      <c r="H2019" s="508"/>
      <c r="I2019" s="438"/>
      <c r="J2019" s="509"/>
      <c r="K2019" s="438"/>
      <c r="L2019" s="508"/>
      <c r="M2019" s="438"/>
      <c r="N2019" s="509"/>
      <c r="O2019" s="511"/>
      <c r="P2019" s="511"/>
    </row>
    <row r="2020" spans="6:16" x14ac:dyDescent="0.2">
      <c r="F2020" s="536"/>
      <c r="G2020" s="522"/>
      <c r="H2020" s="508"/>
      <c r="I2020" s="438"/>
      <c r="J2020" s="509"/>
      <c r="K2020" s="438"/>
      <c r="L2020" s="508"/>
      <c r="M2020" s="438"/>
      <c r="N2020" s="509"/>
      <c r="O2020" s="511"/>
      <c r="P2020" s="511"/>
    </row>
    <row r="2021" spans="6:16" x14ac:dyDescent="0.2">
      <c r="F2021" s="536"/>
      <c r="G2021" s="522"/>
      <c r="H2021" s="508"/>
      <c r="I2021" s="438"/>
      <c r="J2021" s="509"/>
      <c r="K2021" s="438"/>
      <c r="L2021" s="508"/>
      <c r="M2021" s="438"/>
      <c r="N2021" s="509"/>
      <c r="O2021" s="511"/>
      <c r="P2021" s="511"/>
    </row>
    <row r="2022" spans="6:16" x14ac:dyDescent="0.2">
      <c r="F2022" s="536"/>
      <c r="G2022" s="522"/>
      <c r="H2022" s="508"/>
      <c r="I2022" s="438"/>
      <c r="J2022" s="509"/>
      <c r="K2022" s="438"/>
      <c r="L2022" s="508"/>
      <c r="M2022" s="438"/>
      <c r="N2022" s="509"/>
      <c r="O2022" s="511"/>
      <c r="P2022" s="511"/>
    </row>
    <row r="2023" spans="6:16" x14ac:dyDescent="0.2">
      <c r="F2023" s="536"/>
      <c r="G2023" s="522"/>
      <c r="H2023" s="508"/>
      <c r="I2023" s="438"/>
      <c r="J2023" s="509"/>
      <c r="K2023" s="438"/>
      <c r="L2023" s="508"/>
      <c r="M2023" s="438"/>
      <c r="N2023" s="509"/>
      <c r="O2023" s="511"/>
      <c r="P2023" s="511"/>
    </row>
    <row r="2024" spans="6:16" x14ac:dyDescent="0.2">
      <c r="F2024" s="536"/>
      <c r="G2024" s="522"/>
      <c r="H2024" s="508"/>
      <c r="I2024" s="438"/>
      <c r="J2024" s="509"/>
      <c r="K2024" s="438"/>
      <c r="L2024" s="508"/>
      <c r="M2024" s="438"/>
      <c r="N2024" s="509"/>
      <c r="O2024" s="511"/>
      <c r="P2024" s="511"/>
    </row>
    <row r="2025" spans="6:16" x14ac:dyDescent="0.2">
      <c r="F2025" s="536"/>
      <c r="G2025" s="522"/>
      <c r="H2025" s="508"/>
      <c r="I2025" s="438"/>
      <c r="J2025" s="509"/>
      <c r="K2025" s="438"/>
      <c r="L2025" s="508"/>
      <c r="M2025" s="438"/>
      <c r="N2025" s="509"/>
      <c r="O2025" s="511"/>
      <c r="P2025" s="511"/>
    </row>
    <row r="2026" spans="6:16" x14ac:dyDescent="0.2">
      <c r="F2026" s="536"/>
      <c r="G2026" s="522"/>
      <c r="H2026" s="508"/>
      <c r="I2026" s="438"/>
      <c r="J2026" s="509"/>
      <c r="K2026" s="438"/>
      <c r="L2026" s="508"/>
      <c r="M2026" s="438"/>
      <c r="N2026" s="509"/>
      <c r="O2026" s="511"/>
      <c r="P2026" s="511"/>
    </row>
    <row r="2027" spans="6:16" x14ac:dyDescent="0.2">
      <c r="F2027" s="536"/>
      <c r="G2027" s="522"/>
      <c r="H2027" s="508"/>
      <c r="I2027" s="438"/>
      <c r="J2027" s="509"/>
      <c r="K2027" s="438"/>
      <c r="L2027" s="508"/>
      <c r="M2027" s="438"/>
      <c r="N2027" s="509"/>
      <c r="O2027" s="511"/>
      <c r="P2027" s="511"/>
    </row>
    <row r="2028" spans="6:16" x14ac:dyDescent="0.2">
      <c r="F2028" s="536"/>
      <c r="G2028" s="522"/>
      <c r="H2028" s="508"/>
      <c r="I2028" s="438"/>
      <c r="J2028" s="509"/>
      <c r="K2028" s="438"/>
      <c r="L2028" s="508"/>
      <c r="M2028" s="438"/>
      <c r="N2028" s="509"/>
      <c r="O2028" s="511"/>
      <c r="P2028" s="511"/>
    </row>
    <row r="2029" spans="6:16" x14ac:dyDescent="0.2">
      <c r="F2029" s="536"/>
      <c r="G2029" s="522"/>
      <c r="H2029" s="508"/>
      <c r="I2029" s="438"/>
      <c r="J2029" s="509"/>
      <c r="K2029" s="438"/>
      <c r="L2029" s="508"/>
      <c r="M2029" s="438"/>
      <c r="N2029" s="509"/>
      <c r="O2029" s="511"/>
      <c r="P2029" s="511"/>
    </row>
    <row r="2030" spans="6:16" x14ac:dyDescent="0.2">
      <c r="F2030" s="536"/>
      <c r="G2030" s="522"/>
      <c r="H2030" s="508"/>
      <c r="I2030" s="438"/>
      <c r="J2030" s="509"/>
      <c r="K2030" s="438"/>
      <c r="L2030" s="508"/>
      <c r="M2030" s="438"/>
      <c r="N2030" s="509"/>
      <c r="O2030" s="511"/>
      <c r="P2030" s="511"/>
    </row>
    <row r="2031" spans="6:16" x14ac:dyDescent="0.2">
      <c r="F2031" s="536"/>
      <c r="G2031" s="522"/>
      <c r="H2031" s="508"/>
      <c r="I2031" s="438"/>
      <c r="J2031" s="509"/>
      <c r="K2031" s="438"/>
      <c r="L2031" s="508"/>
      <c r="M2031" s="438"/>
      <c r="N2031" s="509"/>
      <c r="O2031" s="511"/>
      <c r="P2031" s="511"/>
    </row>
    <row r="2032" spans="6:16" x14ac:dyDescent="0.2">
      <c r="F2032" s="536"/>
      <c r="G2032" s="522"/>
      <c r="H2032" s="508"/>
      <c r="I2032" s="438"/>
      <c r="J2032" s="509"/>
      <c r="K2032" s="438"/>
      <c r="L2032" s="508"/>
      <c r="M2032" s="438"/>
      <c r="N2032" s="509"/>
      <c r="O2032" s="511"/>
      <c r="P2032" s="511"/>
    </row>
    <row r="2033" spans="6:16" x14ac:dyDescent="0.2">
      <c r="F2033" s="536"/>
      <c r="G2033" s="522"/>
      <c r="H2033" s="508"/>
      <c r="I2033" s="438"/>
      <c r="J2033" s="509"/>
      <c r="K2033" s="438"/>
      <c r="L2033" s="508"/>
      <c r="M2033" s="438"/>
      <c r="N2033" s="509"/>
      <c r="O2033" s="511"/>
      <c r="P2033" s="511"/>
    </row>
    <row r="2034" spans="6:16" x14ac:dyDescent="0.2">
      <c r="F2034" s="536"/>
      <c r="G2034" s="522"/>
      <c r="H2034" s="508"/>
      <c r="I2034" s="438"/>
      <c r="J2034" s="509"/>
      <c r="K2034" s="438"/>
      <c r="L2034" s="508"/>
      <c r="M2034" s="438"/>
      <c r="N2034" s="509"/>
      <c r="O2034" s="511"/>
      <c r="P2034" s="511"/>
    </row>
    <row r="2035" spans="6:16" x14ac:dyDescent="0.2">
      <c r="F2035" s="536"/>
      <c r="G2035" s="522"/>
      <c r="H2035" s="508"/>
      <c r="I2035" s="438"/>
      <c r="J2035" s="509"/>
      <c r="K2035" s="438"/>
      <c r="L2035" s="508"/>
      <c r="M2035" s="438"/>
      <c r="N2035" s="509"/>
      <c r="O2035" s="511"/>
      <c r="P2035" s="511"/>
    </row>
    <row r="2036" spans="6:16" x14ac:dyDescent="0.2">
      <c r="F2036" s="536"/>
      <c r="G2036" s="522"/>
      <c r="H2036" s="508"/>
      <c r="I2036" s="438"/>
      <c r="J2036" s="509"/>
      <c r="K2036" s="438"/>
      <c r="L2036" s="508"/>
      <c r="M2036" s="438"/>
      <c r="N2036" s="509"/>
      <c r="O2036" s="511"/>
      <c r="P2036" s="511"/>
    </row>
    <row r="2037" spans="6:16" x14ac:dyDescent="0.2">
      <c r="F2037" s="536"/>
      <c r="G2037" s="522"/>
      <c r="H2037" s="508"/>
      <c r="I2037" s="438"/>
      <c r="J2037" s="509"/>
      <c r="K2037" s="438"/>
      <c r="L2037" s="508"/>
      <c r="M2037" s="438"/>
      <c r="N2037" s="509"/>
      <c r="O2037" s="511"/>
      <c r="P2037" s="511"/>
    </row>
    <row r="2038" spans="6:16" x14ac:dyDescent="0.2">
      <c r="F2038" s="536"/>
      <c r="G2038" s="522"/>
      <c r="H2038" s="508"/>
      <c r="I2038" s="438"/>
      <c r="J2038" s="509"/>
      <c r="K2038" s="438"/>
      <c r="L2038" s="508"/>
      <c r="M2038" s="438"/>
      <c r="N2038" s="509"/>
      <c r="O2038" s="511"/>
      <c r="P2038" s="511"/>
    </row>
    <row r="2039" spans="6:16" x14ac:dyDescent="0.2">
      <c r="F2039" s="536"/>
      <c r="G2039" s="522"/>
      <c r="H2039" s="508"/>
      <c r="I2039" s="438"/>
      <c r="J2039" s="509"/>
      <c r="K2039" s="438"/>
      <c r="L2039" s="508"/>
      <c r="M2039" s="438"/>
      <c r="N2039" s="509"/>
      <c r="O2039" s="511"/>
      <c r="P2039" s="511"/>
    </row>
    <row r="2040" spans="6:16" x14ac:dyDescent="0.2">
      <c r="F2040" s="536"/>
      <c r="G2040" s="522"/>
      <c r="H2040" s="508"/>
      <c r="I2040" s="438"/>
      <c r="J2040" s="509"/>
      <c r="K2040" s="438"/>
      <c r="L2040" s="508"/>
      <c r="M2040" s="438"/>
      <c r="N2040" s="509"/>
      <c r="O2040" s="511"/>
      <c r="P2040" s="511"/>
    </row>
    <row r="2041" spans="6:16" x14ac:dyDescent="0.2">
      <c r="F2041" s="536"/>
      <c r="G2041" s="522"/>
      <c r="H2041" s="508"/>
      <c r="I2041" s="438"/>
      <c r="J2041" s="509"/>
      <c r="K2041" s="438"/>
      <c r="L2041" s="508"/>
      <c r="M2041" s="438"/>
      <c r="N2041" s="509"/>
      <c r="O2041" s="511"/>
      <c r="P2041" s="511"/>
    </row>
    <row r="2042" spans="6:16" x14ac:dyDescent="0.2">
      <c r="F2042" s="536"/>
      <c r="G2042" s="522"/>
      <c r="H2042" s="508"/>
      <c r="I2042" s="438"/>
      <c r="J2042" s="509"/>
      <c r="K2042" s="438"/>
      <c r="L2042" s="508"/>
      <c r="M2042" s="438"/>
      <c r="N2042" s="509"/>
      <c r="O2042" s="511"/>
      <c r="P2042" s="511"/>
    </row>
    <row r="2043" spans="6:16" x14ac:dyDescent="0.2">
      <c r="F2043" s="536"/>
      <c r="G2043" s="522"/>
      <c r="H2043" s="508"/>
      <c r="I2043" s="438"/>
      <c r="J2043" s="509"/>
      <c r="K2043" s="438"/>
      <c r="L2043" s="508"/>
      <c r="M2043" s="438"/>
      <c r="N2043" s="509"/>
      <c r="O2043" s="511"/>
      <c r="P2043" s="511"/>
    </row>
    <row r="2044" spans="6:16" x14ac:dyDescent="0.2">
      <c r="F2044" s="536"/>
      <c r="G2044" s="522"/>
      <c r="H2044" s="508"/>
      <c r="I2044" s="438"/>
      <c r="J2044" s="509"/>
      <c r="K2044" s="438"/>
      <c r="L2044" s="508"/>
      <c r="M2044" s="438"/>
      <c r="N2044" s="509"/>
      <c r="O2044" s="511"/>
      <c r="P2044" s="511"/>
    </row>
    <row r="2045" spans="6:16" x14ac:dyDescent="0.2">
      <c r="F2045" s="536"/>
      <c r="G2045" s="522"/>
      <c r="H2045" s="508"/>
      <c r="I2045" s="438"/>
      <c r="J2045" s="509"/>
      <c r="K2045" s="438"/>
      <c r="L2045" s="508"/>
      <c r="M2045" s="438"/>
      <c r="N2045" s="509"/>
      <c r="O2045" s="511"/>
      <c r="P2045" s="511"/>
    </row>
    <row r="2046" spans="6:16" x14ac:dyDescent="0.2">
      <c r="F2046" s="536"/>
      <c r="G2046" s="522"/>
      <c r="H2046" s="508"/>
      <c r="I2046" s="438"/>
      <c r="J2046" s="509"/>
      <c r="K2046" s="438"/>
      <c r="L2046" s="508"/>
      <c r="M2046" s="438"/>
      <c r="N2046" s="509"/>
      <c r="O2046" s="511"/>
      <c r="P2046" s="511"/>
    </row>
    <row r="2047" spans="6:16" x14ac:dyDescent="0.2">
      <c r="F2047" s="536"/>
      <c r="G2047" s="522"/>
      <c r="H2047" s="508"/>
      <c r="I2047" s="438"/>
      <c r="J2047" s="509"/>
      <c r="K2047" s="438"/>
      <c r="L2047" s="508"/>
      <c r="M2047" s="438"/>
      <c r="N2047" s="509"/>
      <c r="O2047" s="511"/>
      <c r="P2047" s="511"/>
    </row>
    <row r="2048" spans="6:16" x14ac:dyDescent="0.2">
      <c r="F2048" s="536"/>
      <c r="G2048" s="522"/>
      <c r="H2048" s="508"/>
      <c r="I2048" s="438"/>
      <c r="J2048" s="509"/>
      <c r="K2048" s="438"/>
      <c r="L2048" s="508"/>
      <c r="M2048" s="438"/>
      <c r="N2048" s="509"/>
      <c r="O2048" s="511"/>
      <c r="P2048" s="511"/>
    </row>
    <row r="2049" spans="6:16" x14ac:dyDescent="0.2">
      <c r="F2049" s="536"/>
      <c r="G2049" s="522"/>
      <c r="H2049" s="508"/>
      <c r="I2049" s="438"/>
      <c r="J2049" s="509"/>
      <c r="K2049" s="438"/>
      <c r="L2049" s="508"/>
      <c r="M2049" s="438"/>
      <c r="N2049" s="509"/>
      <c r="O2049" s="511"/>
      <c r="P2049" s="511"/>
    </row>
    <row r="2050" spans="6:16" x14ac:dyDescent="0.2">
      <c r="F2050" s="536"/>
      <c r="G2050" s="522"/>
      <c r="H2050" s="508"/>
      <c r="I2050" s="438"/>
      <c r="J2050" s="509"/>
      <c r="K2050" s="438"/>
      <c r="L2050" s="508"/>
      <c r="M2050" s="438"/>
      <c r="N2050" s="509"/>
      <c r="O2050" s="511"/>
      <c r="P2050" s="511"/>
    </row>
    <row r="2051" spans="6:16" x14ac:dyDescent="0.2">
      <c r="F2051" s="536"/>
      <c r="G2051" s="522"/>
      <c r="H2051" s="508"/>
      <c r="I2051" s="438"/>
      <c r="J2051" s="509"/>
      <c r="K2051" s="438"/>
      <c r="L2051" s="508"/>
      <c r="M2051" s="438"/>
      <c r="N2051" s="509"/>
      <c r="O2051" s="511"/>
      <c r="P2051" s="511"/>
    </row>
    <row r="2052" spans="6:16" x14ac:dyDescent="0.2">
      <c r="F2052" s="536"/>
      <c r="G2052" s="522"/>
      <c r="H2052" s="508"/>
      <c r="I2052" s="438"/>
      <c r="J2052" s="509"/>
      <c r="K2052" s="438"/>
      <c r="L2052" s="508"/>
      <c r="M2052" s="438"/>
      <c r="N2052" s="509"/>
      <c r="O2052" s="511"/>
      <c r="P2052" s="511"/>
    </row>
    <row r="2053" spans="6:16" x14ac:dyDescent="0.2">
      <c r="F2053" s="536"/>
      <c r="G2053" s="522"/>
      <c r="H2053" s="508"/>
      <c r="I2053" s="438"/>
      <c r="J2053" s="509"/>
      <c r="K2053" s="438"/>
      <c r="L2053" s="508"/>
      <c r="M2053" s="438"/>
      <c r="N2053" s="509"/>
      <c r="O2053" s="511"/>
      <c r="P2053" s="511"/>
    </row>
    <row r="2054" spans="6:16" x14ac:dyDescent="0.2">
      <c r="F2054" s="536"/>
      <c r="G2054" s="522"/>
      <c r="H2054" s="508"/>
      <c r="I2054" s="438"/>
      <c r="J2054" s="509"/>
      <c r="K2054" s="438"/>
      <c r="L2054" s="508"/>
      <c r="M2054" s="438"/>
      <c r="N2054" s="509"/>
      <c r="O2054" s="511"/>
      <c r="P2054" s="511"/>
    </row>
    <row r="2055" spans="6:16" x14ac:dyDescent="0.2">
      <c r="F2055" s="536"/>
      <c r="G2055" s="522"/>
      <c r="H2055" s="508"/>
      <c r="I2055" s="438"/>
      <c r="J2055" s="509"/>
      <c r="K2055" s="438"/>
      <c r="L2055" s="508"/>
      <c r="M2055" s="438"/>
      <c r="N2055" s="509"/>
      <c r="O2055" s="511"/>
      <c r="P2055" s="511"/>
    </row>
    <row r="2056" spans="6:16" x14ac:dyDescent="0.2">
      <c r="F2056" s="536"/>
      <c r="G2056" s="522"/>
      <c r="H2056" s="508"/>
      <c r="I2056" s="438"/>
      <c r="J2056" s="509"/>
      <c r="K2056" s="438"/>
      <c r="L2056" s="508"/>
      <c r="M2056" s="438"/>
      <c r="N2056" s="509"/>
      <c r="O2056" s="511"/>
      <c r="P2056" s="511"/>
    </row>
    <row r="2057" spans="6:16" x14ac:dyDescent="0.2">
      <c r="F2057" s="536"/>
      <c r="G2057" s="522"/>
      <c r="H2057" s="508"/>
      <c r="I2057" s="438"/>
      <c r="J2057" s="509"/>
      <c r="K2057" s="438"/>
      <c r="L2057" s="508"/>
      <c r="M2057" s="438"/>
      <c r="N2057" s="509"/>
      <c r="O2057" s="511"/>
      <c r="P2057" s="511"/>
    </row>
    <row r="2058" spans="6:16" x14ac:dyDescent="0.2">
      <c r="F2058" s="536"/>
      <c r="G2058" s="522"/>
      <c r="H2058" s="508"/>
      <c r="I2058" s="438"/>
      <c r="J2058" s="509"/>
      <c r="K2058" s="438"/>
      <c r="L2058" s="508"/>
      <c r="M2058" s="438"/>
      <c r="N2058" s="509"/>
      <c r="O2058" s="511"/>
      <c r="P2058" s="511"/>
    </row>
    <row r="2059" spans="6:16" x14ac:dyDescent="0.2">
      <c r="F2059" s="536"/>
      <c r="G2059" s="522"/>
      <c r="H2059" s="508"/>
      <c r="I2059" s="438"/>
      <c r="J2059" s="509"/>
      <c r="K2059" s="438"/>
      <c r="L2059" s="508"/>
      <c r="M2059" s="438"/>
      <c r="N2059" s="509"/>
      <c r="O2059" s="511"/>
      <c r="P2059" s="511"/>
    </row>
    <row r="2060" spans="6:16" x14ac:dyDescent="0.2">
      <c r="F2060" s="536"/>
      <c r="G2060" s="522"/>
      <c r="H2060" s="508"/>
      <c r="I2060" s="438"/>
      <c r="J2060" s="509"/>
      <c r="K2060" s="438"/>
      <c r="L2060" s="508"/>
      <c r="M2060" s="438"/>
      <c r="N2060" s="509"/>
      <c r="O2060" s="511"/>
      <c r="P2060" s="511"/>
    </row>
    <row r="2061" spans="6:16" x14ac:dyDescent="0.2">
      <c r="F2061" s="536"/>
      <c r="G2061" s="522"/>
      <c r="H2061" s="508"/>
      <c r="I2061" s="438"/>
      <c r="J2061" s="509"/>
      <c r="K2061" s="438"/>
      <c r="L2061" s="508"/>
      <c r="M2061" s="438"/>
      <c r="N2061" s="509"/>
      <c r="O2061" s="511"/>
      <c r="P2061" s="511"/>
    </row>
    <row r="2062" spans="6:16" x14ac:dyDescent="0.2">
      <c r="F2062" s="536"/>
      <c r="G2062" s="522"/>
      <c r="H2062" s="508"/>
      <c r="I2062" s="438"/>
      <c r="J2062" s="509"/>
      <c r="K2062" s="438"/>
      <c r="L2062" s="508"/>
      <c r="M2062" s="438"/>
      <c r="N2062" s="509"/>
      <c r="O2062" s="511"/>
      <c r="P2062" s="511"/>
    </row>
    <row r="2063" spans="6:16" x14ac:dyDescent="0.2">
      <c r="F2063" s="536"/>
      <c r="G2063" s="522"/>
      <c r="H2063" s="508"/>
      <c r="I2063" s="438"/>
      <c r="J2063" s="509"/>
      <c r="K2063" s="438"/>
      <c r="L2063" s="508"/>
      <c r="M2063" s="438"/>
      <c r="N2063" s="509"/>
      <c r="O2063" s="511"/>
      <c r="P2063" s="511"/>
    </row>
    <row r="2064" spans="6:16" x14ac:dyDescent="0.2">
      <c r="F2064" s="536"/>
      <c r="G2064" s="522"/>
      <c r="H2064" s="508"/>
      <c r="I2064" s="438"/>
      <c r="J2064" s="509"/>
      <c r="K2064" s="438"/>
      <c r="L2064" s="508"/>
      <c r="M2064" s="438"/>
      <c r="N2064" s="509"/>
      <c r="O2064" s="511"/>
      <c r="P2064" s="511"/>
    </row>
    <row r="2065" spans="6:16" x14ac:dyDescent="0.2">
      <c r="F2065" s="536"/>
      <c r="G2065" s="522"/>
      <c r="H2065" s="508"/>
      <c r="I2065" s="438"/>
      <c r="J2065" s="509"/>
      <c r="K2065" s="438"/>
      <c r="L2065" s="508"/>
      <c r="M2065" s="438"/>
      <c r="N2065" s="509"/>
      <c r="O2065" s="511"/>
      <c r="P2065" s="511"/>
    </row>
    <row r="2066" spans="6:16" x14ac:dyDescent="0.2">
      <c r="F2066" s="536"/>
      <c r="G2066" s="522"/>
      <c r="H2066" s="508"/>
      <c r="I2066" s="438"/>
      <c r="J2066" s="509"/>
      <c r="K2066" s="438"/>
      <c r="L2066" s="508"/>
      <c r="M2066" s="438"/>
      <c r="N2066" s="509"/>
      <c r="O2066" s="511"/>
      <c r="P2066" s="511"/>
    </row>
    <row r="2067" spans="6:16" x14ac:dyDescent="0.2">
      <c r="F2067" s="536"/>
      <c r="G2067" s="522"/>
      <c r="H2067" s="508"/>
      <c r="I2067" s="438"/>
      <c r="J2067" s="509"/>
      <c r="K2067" s="438"/>
      <c r="L2067" s="508"/>
      <c r="M2067" s="438"/>
      <c r="N2067" s="509"/>
      <c r="O2067" s="511"/>
      <c r="P2067" s="511"/>
    </row>
    <row r="2068" spans="6:16" x14ac:dyDescent="0.2">
      <c r="F2068" s="536"/>
      <c r="G2068" s="522"/>
      <c r="H2068" s="508"/>
      <c r="I2068" s="438"/>
      <c r="J2068" s="509"/>
      <c r="K2068" s="438"/>
      <c r="L2068" s="508"/>
      <c r="M2068" s="438"/>
      <c r="N2068" s="509"/>
      <c r="O2068" s="511"/>
      <c r="P2068" s="511"/>
    </row>
    <row r="2069" spans="6:16" x14ac:dyDescent="0.2">
      <c r="F2069" s="536"/>
      <c r="G2069" s="522"/>
      <c r="H2069" s="508"/>
      <c r="I2069" s="438"/>
      <c r="J2069" s="509"/>
      <c r="K2069" s="438"/>
      <c r="L2069" s="508"/>
      <c r="M2069" s="438"/>
      <c r="N2069" s="509"/>
      <c r="O2069" s="511"/>
      <c r="P2069" s="511"/>
    </row>
    <row r="2070" spans="6:16" x14ac:dyDescent="0.2">
      <c r="F2070" s="536"/>
      <c r="G2070" s="522"/>
      <c r="H2070" s="508"/>
      <c r="I2070" s="438"/>
      <c r="J2070" s="509"/>
      <c r="K2070" s="438"/>
      <c r="L2070" s="508"/>
      <c r="M2070" s="438"/>
      <c r="N2070" s="509"/>
      <c r="O2070" s="511"/>
      <c r="P2070" s="511"/>
    </row>
    <row r="2071" spans="6:16" x14ac:dyDescent="0.2">
      <c r="F2071" s="536"/>
      <c r="G2071" s="522"/>
      <c r="H2071" s="508"/>
      <c r="I2071" s="438"/>
      <c r="J2071" s="509"/>
      <c r="K2071" s="438"/>
      <c r="L2071" s="508"/>
      <c r="M2071" s="438"/>
      <c r="N2071" s="509"/>
      <c r="O2071" s="511"/>
      <c r="P2071" s="511"/>
    </row>
    <row r="2072" spans="6:16" x14ac:dyDescent="0.2">
      <c r="F2072" s="536"/>
      <c r="G2072" s="522"/>
      <c r="H2072" s="508"/>
      <c r="I2072" s="438"/>
      <c r="J2072" s="509"/>
      <c r="K2072" s="438"/>
      <c r="L2072" s="508"/>
      <c r="M2072" s="438"/>
      <c r="N2072" s="509"/>
      <c r="O2072" s="511"/>
      <c r="P2072" s="511"/>
    </row>
    <row r="2073" spans="6:16" x14ac:dyDescent="0.2">
      <c r="F2073" s="536"/>
      <c r="G2073" s="522"/>
      <c r="H2073" s="508"/>
      <c r="I2073" s="438"/>
      <c r="J2073" s="509"/>
      <c r="K2073" s="438"/>
      <c r="L2073" s="508"/>
      <c r="M2073" s="438"/>
      <c r="N2073" s="509"/>
      <c r="O2073" s="511"/>
      <c r="P2073" s="511"/>
    </row>
    <row r="2074" spans="6:16" x14ac:dyDescent="0.2">
      <c r="F2074" s="536"/>
      <c r="G2074" s="522"/>
      <c r="H2074" s="508"/>
      <c r="I2074" s="438"/>
      <c r="J2074" s="509"/>
      <c r="K2074" s="438"/>
      <c r="L2074" s="508"/>
      <c r="M2074" s="438"/>
      <c r="N2074" s="509"/>
      <c r="O2074" s="511"/>
      <c r="P2074" s="511"/>
    </row>
    <row r="2075" spans="6:16" x14ac:dyDescent="0.2">
      <c r="F2075" s="536"/>
      <c r="G2075" s="522"/>
      <c r="H2075" s="508"/>
      <c r="I2075" s="438"/>
      <c r="J2075" s="509"/>
      <c r="K2075" s="438"/>
      <c r="L2075" s="508"/>
      <c r="M2075" s="438"/>
      <c r="N2075" s="509"/>
      <c r="O2075" s="511"/>
      <c r="P2075" s="511"/>
    </row>
    <row r="2076" spans="6:16" x14ac:dyDescent="0.2">
      <c r="F2076" s="536"/>
      <c r="G2076" s="522"/>
      <c r="H2076" s="508"/>
      <c r="I2076" s="438"/>
      <c r="J2076" s="509"/>
      <c r="K2076" s="438"/>
      <c r="L2076" s="508"/>
      <c r="M2076" s="438"/>
      <c r="N2076" s="509"/>
      <c r="O2076" s="511"/>
      <c r="P2076" s="511"/>
    </row>
    <row r="2077" spans="6:16" x14ac:dyDescent="0.2">
      <c r="F2077" s="536"/>
      <c r="G2077" s="522"/>
      <c r="H2077" s="508"/>
      <c r="I2077" s="438"/>
      <c r="J2077" s="509"/>
      <c r="K2077" s="438"/>
      <c r="L2077" s="508"/>
      <c r="M2077" s="438"/>
      <c r="N2077" s="509"/>
      <c r="O2077" s="511"/>
      <c r="P2077" s="511"/>
    </row>
    <row r="2078" spans="6:16" x14ac:dyDescent="0.2">
      <c r="F2078" s="536"/>
      <c r="G2078" s="522"/>
      <c r="H2078" s="508"/>
      <c r="I2078" s="438"/>
      <c r="J2078" s="509"/>
      <c r="K2078" s="438"/>
      <c r="L2078" s="508"/>
      <c r="M2078" s="438"/>
      <c r="N2078" s="509"/>
      <c r="O2078" s="511"/>
      <c r="P2078" s="511"/>
    </row>
    <row r="2079" spans="6:16" x14ac:dyDescent="0.2">
      <c r="F2079" s="536"/>
      <c r="G2079" s="522"/>
      <c r="H2079" s="508"/>
      <c r="I2079" s="438"/>
      <c r="J2079" s="509"/>
      <c r="K2079" s="438"/>
      <c r="L2079" s="508"/>
      <c r="M2079" s="438"/>
      <c r="N2079" s="509"/>
      <c r="O2079" s="511"/>
      <c r="P2079" s="511"/>
    </row>
    <row r="2080" spans="6:16" x14ac:dyDescent="0.2">
      <c r="F2080" s="536"/>
      <c r="G2080" s="522"/>
      <c r="H2080" s="508"/>
      <c r="I2080" s="438"/>
      <c r="J2080" s="509"/>
      <c r="K2080" s="438"/>
      <c r="L2080" s="508"/>
      <c r="M2080" s="438"/>
      <c r="N2080" s="509"/>
      <c r="O2080" s="511"/>
      <c r="P2080" s="511"/>
    </row>
    <row r="2081" spans="6:16" x14ac:dyDescent="0.2">
      <c r="F2081" s="536"/>
      <c r="G2081" s="522"/>
      <c r="H2081" s="508"/>
      <c r="I2081" s="438"/>
      <c r="J2081" s="509"/>
      <c r="K2081" s="438"/>
      <c r="L2081" s="508"/>
      <c r="M2081" s="438"/>
      <c r="N2081" s="509"/>
      <c r="O2081" s="511"/>
      <c r="P2081" s="511"/>
    </row>
    <row r="2082" spans="6:16" x14ac:dyDescent="0.2">
      <c r="F2082" s="536"/>
      <c r="G2082" s="522"/>
      <c r="H2082" s="508"/>
      <c r="I2082" s="438"/>
      <c r="J2082" s="509"/>
      <c r="K2082" s="438"/>
      <c r="L2082" s="508"/>
      <c r="M2082" s="438"/>
      <c r="N2082" s="509"/>
      <c r="O2082" s="511"/>
      <c r="P2082" s="511"/>
    </row>
    <row r="2083" spans="6:16" x14ac:dyDescent="0.2">
      <c r="F2083" s="536"/>
      <c r="G2083" s="522"/>
      <c r="H2083" s="508"/>
      <c r="I2083" s="438"/>
      <c r="J2083" s="509"/>
      <c r="K2083" s="438"/>
      <c r="L2083" s="508"/>
      <c r="M2083" s="438"/>
      <c r="N2083" s="509"/>
      <c r="O2083" s="511"/>
      <c r="P2083" s="511"/>
    </row>
    <row r="2084" spans="6:16" x14ac:dyDescent="0.2">
      <c r="F2084" s="536"/>
      <c r="G2084" s="522"/>
      <c r="H2084" s="508"/>
      <c r="I2084" s="438"/>
      <c r="J2084" s="509"/>
      <c r="K2084" s="438"/>
      <c r="L2084" s="508"/>
      <c r="M2084" s="438"/>
      <c r="N2084" s="509"/>
      <c r="O2084" s="511"/>
      <c r="P2084" s="511"/>
    </row>
    <row r="2085" spans="6:16" x14ac:dyDescent="0.2">
      <c r="F2085" s="536"/>
      <c r="G2085" s="522"/>
      <c r="H2085" s="508"/>
      <c r="I2085" s="438"/>
      <c r="J2085" s="509"/>
      <c r="K2085" s="438"/>
      <c r="L2085" s="508"/>
      <c r="M2085" s="438"/>
      <c r="N2085" s="509"/>
      <c r="O2085" s="511"/>
      <c r="P2085" s="511"/>
    </row>
    <row r="2086" spans="6:16" x14ac:dyDescent="0.2">
      <c r="F2086" s="536"/>
      <c r="G2086" s="522"/>
      <c r="H2086" s="508"/>
      <c r="I2086" s="438"/>
      <c r="J2086" s="509"/>
      <c r="K2086" s="438"/>
      <c r="L2086" s="508"/>
      <c r="M2086" s="438"/>
      <c r="N2086" s="509"/>
      <c r="O2086" s="511"/>
      <c r="P2086" s="511"/>
    </row>
    <row r="2087" spans="6:16" x14ac:dyDescent="0.2">
      <c r="F2087" s="536"/>
      <c r="G2087" s="522"/>
      <c r="H2087" s="508"/>
      <c r="I2087" s="438"/>
      <c r="J2087" s="509"/>
      <c r="K2087" s="438"/>
      <c r="L2087" s="508"/>
      <c r="M2087" s="438"/>
      <c r="N2087" s="509"/>
      <c r="O2087" s="511"/>
      <c r="P2087" s="511"/>
    </row>
    <row r="2088" spans="6:16" x14ac:dyDescent="0.2">
      <c r="F2088" s="536"/>
      <c r="G2088" s="522"/>
      <c r="H2088" s="508"/>
      <c r="I2088" s="438"/>
      <c r="J2088" s="509"/>
      <c r="K2088" s="438"/>
      <c r="L2088" s="508"/>
      <c r="M2088" s="438"/>
      <c r="N2088" s="509"/>
      <c r="O2088" s="511"/>
      <c r="P2088" s="511"/>
    </row>
    <row r="2089" spans="6:16" x14ac:dyDescent="0.2">
      <c r="F2089" s="536"/>
      <c r="G2089" s="522"/>
      <c r="H2089" s="508"/>
      <c r="I2089" s="438"/>
      <c r="J2089" s="509"/>
      <c r="K2089" s="438"/>
      <c r="L2089" s="508"/>
      <c r="M2089" s="438"/>
      <c r="N2089" s="509"/>
      <c r="O2089" s="511"/>
      <c r="P2089" s="511"/>
    </row>
    <row r="2090" spans="6:16" x14ac:dyDescent="0.2">
      <c r="F2090" s="536"/>
      <c r="G2090" s="522"/>
      <c r="H2090" s="508"/>
      <c r="I2090" s="438"/>
      <c r="J2090" s="509"/>
      <c r="K2090" s="438"/>
      <c r="L2090" s="508"/>
      <c r="M2090" s="438"/>
      <c r="N2090" s="509"/>
      <c r="O2090" s="511"/>
      <c r="P2090" s="511"/>
    </row>
    <row r="2091" spans="6:16" x14ac:dyDescent="0.2">
      <c r="F2091" s="536"/>
      <c r="G2091" s="522"/>
      <c r="H2091" s="508"/>
      <c r="I2091" s="438"/>
      <c r="J2091" s="509"/>
      <c r="K2091" s="438"/>
      <c r="L2091" s="508"/>
      <c r="M2091" s="438"/>
      <c r="N2091" s="509"/>
      <c r="O2091" s="511"/>
      <c r="P2091" s="511"/>
    </row>
    <row r="2092" spans="6:16" x14ac:dyDescent="0.2">
      <c r="F2092" s="536"/>
      <c r="G2092" s="522"/>
      <c r="H2092" s="508"/>
      <c r="I2092" s="438"/>
      <c r="J2092" s="509"/>
      <c r="K2092" s="438"/>
      <c r="L2092" s="508"/>
      <c r="M2092" s="438"/>
      <c r="N2092" s="509"/>
      <c r="O2092" s="511"/>
      <c r="P2092" s="511"/>
    </row>
    <row r="2093" spans="6:16" x14ac:dyDescent="0.2">
      <c r="F2093" s="536"/>
      <c r="G2093" s="522"/>
      <c r="H2093" s="508"/>
      <c r="I2093" s="438"/>
      <c r="J2093" s="509"/>
      <c r="K2093" s="438"/>
      <c r="L2093" s="508"/>
      <c r="M2093" s="438"/>
      <c r="N2093" s="509"/>
      <c r="O2093" s="511"/>
      <c r="P2093" s="511"/>
    </row>
    <row r="2094" spans="6:16" x14ac:dyDescent="0.2">
      <c r="F2094" s="536"/>
      <c r="G2094" s="522"/>
      <c r="H2094" s="508"/>
      <c r="I2094" s="438"/>
      <c r="J2094" s="509"/>
      <c r="K2094" s="438"/>
      <c r="L2094" s="508"/>
      <c r="M2094" s="438"/>
      <c r="N2094" s="509"/>
      <c r="O2094" s="511"/>
      <c r="P2094" s="511"/>
    </row>
    <row r="2095" spans="6:16" x14ac:dyDescent="0.2">
      <c r="F2095" s="536"/>
      <c r="G2095" s="522"/>
      <c r="H2095" s="508"/>
      <c r="I2095" s="438"/>
      <c r="J2095" s="509"/>
      <c r="K2095" s="438"/>
      <c r="L2095" s="508"/>
      <c r="M2095" s="438"/>
      <c r="N2095" s="509"/>
      <c r="O2095" s="511"/>
      <c r="P2095" s="511"/>
    </row>
    <row r="2096" spans="6:16" x14ac:dyDescent="0.2">
      <c r="F2096" s="536"/>
      <c r="G2096" s="522"/>
      <c r="H2096" s="508"/>
      <c r="I2096" s="438"/>
      <c r="J2096" s="509"/>
      <c r="K2096" s="438"/>
      <c r="L2096" s="508"/>
      <c r="M2096" s="438"/>
      <c r="N2096" s="509"/>
      <c r="O2096" s="511"/>
      <c r="P2096" s="511"/>
    </row>
    <row r="2097" spans="6:16" x14ac:dyDescent="0.2">
      <c r="F2097" s="536"/>
      <c r="G2097" s="522"/>
      <c r="H2097" s="508"/>
      <c r="I2097" s="438"/>
      <c r="J2097" s="509"/>
      <c r="K2097" s="438"/>
      <c r="L2097" s="508"/>
      <c r="M2097" s="438"/>
      <c r="N2097" s="509"/>
      <c r="O2097" s="511"/>
      <c r="P2097" s="511"/>
    </row>
    <row r="2098" spans="6:16" x14ac:dyDescent="0.2">
      <c r="F2098" s="536"/>
      <c r="G2098" s="522"/>
      <c r="H2098" s="508"/>
      <c r="I2098" s="438"/>
      <c r="J2098" s="509"/>
      <c r="K2098" s="438"/>
      <c r="L2098" s="508"/>
      <c r="M2098" s="438"/>
      <c r="N2098" s="509"/>
      <c r="O2098" s="511"/>
      <c r="P2098" s="511"/>
    </row>
    <row r="2099" spans="6:16" x14ac:dyDescent="0.2">
      <c r="F2099" s="536"/>
      <c r="G2099" s="522"/>
      <c r="H2099" s="508"/>
      <c r="I2099" s="438"/>
      <c r="J2099" s="509"/>
      <c r="K2099" s="438"/>
      <c r="L2099" s="508"/>
      <c r="M2099" s="438"/>
      <c r="N2099" s="509"/>
      <c r="O2099" s="511"/>
      <c r="P2099" s="511"/>
    </row>
    <row r="2100" spans="6:16" x14ac:dyDescent="0.2">
      <c r="F2100" s="536"/>
      <c r="G2100" s="522"/>
      <c r="H2100" s="508"/>
      <c r="I2100" s="438"/>
      <c r="J2100" s="509"/>
      <c r="K2100" s="438"/>
      <c r="L2100" s="508"/>
      <c r="M2100" s="438"/>
      <c r="N2100" s="509"/>
      <c r="O2100" s="511"/>
      <c r="P2100" s="511"/>
    </row>
    <row r="2101" spans="6:16" x14ac:dyDescent="0.2">
      <c r="F2101" s="536"/>
      <c r="G2101" s="522"/>
      <c r="H2101" s="508"/>
      <c r="I2101" s="438"/>
      <c r="J2101" s="509"/>
      <c r="K2101" s="438"/>
      <c r="L2101" s="508"/>
      <c r="M2101" s="438"/>
      <c r="N2101" s="509"/>
      <c r="O2101" s="511"/>
      <c r="P2101" s="511"/>
    </row>
    <row r="2102" spans="6:16" x14ac:dyDescent="0.2">
      <c r="F2102" s="536"/>
      <c r="G2102" s="522"/>
      <c r="H2102" s="508"/>
      <c r="I2102" s="438"/>
      <c r="J2102" s="509"/>
      <c r="K2102" s="438"/>
      <c r="L2102" s="508"/>
      <c r="M2102" s="438"/>
      <c r="N2102" s="509"/>
      <c r="O2102" s="511"/>
      <c r="P2102" s="511"/>
    </row>
    <row r="2103" spans="6:16" x14ac:dyDescent="0.2">
      <c r="F2103" s="536"/>
      <c r="G2103" s="522"/>
      <c r="H2103" s="508"/>
      <c r="I2103" s="438"/>
      <c r="J2103" s="509"/>
      <c r="K2103" s="438"/>
      <c r="L2103" s="508"/>
      <c r="M2103" s="438"/>
      <c r="N2103" s="509"/>
      <c r="O2103" s="511"/>
      <c r="P2103" s="511"/>
    </row>
    <row r="2104" spans="6:16" x14ac:dyDescent="0.2">
      <c r="F2104" s="536"/>
      <c r="G2104" s="522"/>
      <c r="H2104" s="508"/>
      <c r="I2104" s="438"/>
      <c r="J2104" s="509"/>
      <c r="K2104" s="438"/>
      <c r="L2104" s="508"/>
      <c r="M2104" s="438"/>
      <c r="N2104" s="509"/>
      <c r="O2104" s="511"/>
      <c r="P2104" s="511"/>
    </row>
    <row r="2105" spans="6:16" x14ac:dyDescent="0.2">
      <c r="F2105" s="536"/>
      <c r="G2105" s="522"/>
      <c r="H2105" s="508"/>
      <c r="I2105" s="438"/>
      <c r="J2105" s="509"/>
      <c r="K2105" s="438"/>
      <c r="L2105" s="508"/>
      <c r="M2105" s="438"/>
      <c r="N2105" s="509"/>
      <c r="O2105" s="511"/>
      <c r="P2105" s="511"/>
    </row>
    <row r="2106" spans="6:16" x14ac:dyDescent="0.2">
      <c r="F2106" s="536"/>
      <c r="G2106" s="522"/>
      <c r="H2106" s="508"/>
      <c r="I2106" s="438"/>
      <c r="J2106" s="509"/>
      <c r="K2106" s="438"/>
      <c r="L2106" s="508"/>
      <c r="M2106" s="438"/>
      <c r="N2106" s="509"/>
      <c r="O2106" s="511"/>
      <c r="P2106" s="511"/>
    </row>
    <row r="2107" spans="6:16" x14ac:dyDescent="0.2">
      <c r="F2107" s="536"/>
      <c r="G2107" s="522"/>
      <c r="H2107" s="508"/>
      <c r="I2107" s="438"/>
      <c r="J2107" s="509"/>
      <c r="K2107" s="438"/>
      <c r="L2107" s="508"/>
      <c r="M2107" s="438"/>
      <c r="N2107" s="509"/>
      <c r="O2107" s="511"/>
      <c r="P2107" s="511"/>
    </row>
    <row r="2108" spans="6:16" x14ac:dyDescent="0.2">
      <c r="F2108" s="536"/>
      <c r="G2108" s="522"/>
      <c r="H2108" s="508"/>
      <c r="I2108" s="438"/>
      <c r="J2108" s="509"/>
      <c r="K2108" s="438"/>
      <c r="L2108" s="508"/>
      <c r="M2108" s="438"/>
      <c r="N2108" s="509"/>
      <c r="O2108" s="511"/>
      <c r="P2108" s="511"/>
    </row>
    <row r="2109" spans="6:16" x14ac:dyDescent="0.2">
      <c r="F2109" s="536"/>
      <c r="G2109" s="522"/>
      <c r="H2109" s="508"/>
      <c r="I2109" s="438"/>
      <c r="J2109" s="509"/>
      <c r="K2109" s="438"/>
      <c r="L2109" s="508"/>
      <c r="M2109" s="438"/>
      <c r="N2109" s="509"/>
      <c r="O2109" s="511"/>
      <c r="P2109" s="511"/>
    </row>
    <row r="2110" spans="6:16" x14ac:dyDescent="0.2">
      <c r="F2110" s="536"/>
      <c r="G2110" s="522"/>
      <c r="H2110" s="508"/>
      <c r="I2110" s="438"/>
      <c r="J2110" s="509"/>
      <c r="K2110" s="438"/>
      <c r="L2110" s="508"/>
      <c r="M2110" s="438"/>
      <c r="N2110" s="509"/>
      <c r="O2110" s="511"/>
      <c r="P2110" s="511"/>
    </row>
    <row r="2111" spans="6:16" x14ac:dyDescent="0.2">
      <c r="F2111" s="536"/>
      <c r="G2111" s="522"/>
      <c r="H2111" s="508"/>
      <c r="I2111" s="438"/>
      <c r="J2111" s="509"/>
      <c r="K2111" s="438"/>
      <c r="L2111" s="508"/>
      <c r="M2111" s="438"/>
      <c r="N2111" s="509"/>
      <c r="O2111" s="511"/>
      <c r="P2111" s="511"/>
    </row>
    <row r="2112" spans="6:16" x14ac:dyDescent="0.2">
      <c r="F2112" s="536"/>
      <c r="G2112" s="522"/>
      <c r="H2112" s="508"/>
      <c r="I2112" s="438"/>
      <c r="J2112" s="509"/>
      <c r="K2112" s="438"/>
      <c r="L2112" s="508"/>
      <c r="M2112" s="438"/>
      <c r="N2112" s="509"/>
      <c r="O2112" s="511"/>
      <c r="P2112" s="511"/>
    </row>
    <row r="2113" spans="6:16" x14ac:dyDescent="0.2">
      <c r="F2113" s="536"/>
      <c r="G2113" s="522"/>
      <c r="H2113" s="508"/>
      <c r="I2113" s="438"/>
      <c r="J2113" s="509"/>
      <c r="K2113" s="438"/>
      <c r="L2113" s="508"/>
      <c r="M2113" s="438"/>
      <c r="N2113" s="509"/>
      <c r="O2113" s="511"/>
      <c r="P2113" s="511"/>
    </row>
    <row r="2114" spans="6:16" x14ac:dyDescent="0.2">
      <c r="F2114" s="536"/>
      <c r="G2114" s="522"/>
      <c r="H2114" s="508"/>
      <c r="I2114" s="438"/>
      <c r="J2114" s="509"/>
      <c r="K2114" s="438"/>
      <c r="L2114" s="508"/>
      <c r="M2114" s="438"/>
      <c r="N2114" s="509"/>
      <c r="O2114" s="511"/>
      <c r="P2114" s="511"/>
    </row>
    <row r="2115" spans="6:16" x14ac:dyDescent="0.2">
      <c r="F2115" s="536"/>
      <c r="G2115" s="522"/>
      <c r="H2115" s="508"/>
      <c r="I2115" s="438"/>
      <c r="J2115" s="509"/>
      <c r="K2115" s="438"/>
      <c r="L2115" s="508"/>
      <c r="M2115" s="438"/>
      <c r="N2115" s="509"/>
      <c r="O2115" s="511"/>
      <c r="P2115" s="511"/>
    </row>
    <row r="2116" spans="6:16" x14ac:dyDescent="0.2">
      <c r="F2116" s="536"/>
      <c r="G2116" s="522"/>
      <c r="H2116" s="508"/>
      <c r="I2116" s="438"/>
      <c r="J2116" s="509"/>
      <c r="K2116" s="438"/>
      <c r="L2116" s="508"/>
      <c r="M2116" s="438"/>
      <c r="N2116" s="509"/>
      <c r="O2116" s="511"/>
      <c r="P2116" s="511"/>
    </row>
    <row r="2117" spans="6:16" x14ac:dyDescent="0.2">
      <c r="F2117" s="536"/>
      <c r="G2117" s="522"/>
      <c r="H2117" s="508"/>
      <c r="I2117" s="438"/>
      <c r="J2117" s="509"/>
      <c r="K2117" s="438"/>
      <c r="L2117" s="508"/>
      <c r="M2117" s="438"/>
      <c r="N2117" s="509"/>
      <c r="O2117" s="511"/>
      <c r="P2117" s="511"/>
    </row>
    <row r="2118" spans="6:16" x14ac:dyDescent="0.2">
      <c r="F2118" s="536"/>
      <c r="G2118" s="522"/>
      <c r="H2118" s="508"/>
      <c r="I2118" s="438"/>
      <c r="J2118" s="509"/>
      <c r="K2118" s="438"/>
      <c r="L2118" s="508"/>
      <c r="M2118" s="438"/>
      <c r="N2118" s="509"/>
      <c r="O2118" s="511"/>
      <c r="P2118" s="511"/>
    </row>
    <row r="2119" spans="6:16" x14ac:dyDescent="0.2">
      <c r="F2119" s="536"/>
      <c r="G2119" s="522"/>
      <c r="H2119" s="508"/>
      <c r="I2119" s="438"/>
      <c r="J2119" s="509"/>
      <c r="K2119" s="438"/>
      <c r="L2119" s="508"/>
      <c r="M2119" s="438"/>
      <c r="N2119" s="509"/>
      <c r="O2119" s="511"/>
      <c r="P2119" s="511"/>
    </row>
    <row r="2120" spans="6:16" x14ac:dyDescent="0.2">
      <c r="F2120" s="536"/>
      <c r="G2120" s="522"/>
      <c r="H2120" s="508"/>
      <c r="I2120" s="438"/>
      <c r="J2120" s="509"/>
      <c r="K2120" s="438"/>
      <c r="L2120" s="508"/>
      <c r="M2120" s="438"/>
      <c r="N2120" s="509"/>
      <c r="O2120" s="511"/>
      <c r="P2120" s="511"/>
    </row>
    <row r="2121" spans="6:16" x14ac:dyDescent="0.2">
      <c r="F2121" s="536"/>
      <c r="G2121" s="522"/>
      <c r="H2121" s="508"/>
      <c r="I2121" s="438"/>
      <c r="J2121" s="509"/>
      <c r="K2121" s="438"/>
      <c r="L2121" s="508"/>
      <c r="M2121" s="438"/>
      <c r="N2121" s="509"/>
      <c r="O2121" s="511"/>
      <c r="P2121" s="511"/>
    </row>
    <row r="2122" spans="6:16" x14ac:dyDescent="0.2">
      <c r="F2122" s="536"/>
      <c r="G2122" s="522"/>
      <c r="H2122" s="508"/>
      <c r="I2122" s="438"/>
      <c r="J2122" s="509"/>
      <c r="K2122" s="438"/>
      <c r="L2122" s="508"/>
      <c r="M2122" s="438"/>
      <c r="N2122" s="509"/>
      <c r="O2122" s="511"/>
      <c r="P2122" s="511"/>
    </row>
    <row r="2123" spans="6:16" x14ac:dyDescent="0.2">
      <c r="F2123" s="536"/>
      <c r="G2123" s="522"/>
      <c r="H2123" s="508"/>
      <c r="I2123" s="438"/>
      <c r="J2123" s="509"/>
      <c r="K2123" s="438"/>
      <c r="L2123" s="508"/>
      <c r="M2123" s="438"/>
      <c r="N2123" s="509"/>
      <c r="O2123" s="511"/>
      <c r="P2123" s="511"/>
    </row>
    <row r="2124" spans="6:16" x14ac:dyDescent="0.2">
      <c r="F2124" s="536"/>
      <c r="G2124" s="522"/>
      <c r="H2124" s="508"/>
      <c r="I2124" s="438"/>
      <c r="J2124" s="509"/>
      <c r="K2124" s="438"/>
      <c r="L2124" s="508"/>
      <c r="M2124" s="438"/>
      <c r="N2124" s="509"/>
      <c r="O2124" s="511"/>
      <c r="P2124" s="511"/>
    </row>
    <row r="2125" spans="6:16" x14ac:dyDescent="0.2">
      <c r="F2125" s="536"/>
      <c r="G2125" s="522"/>
      <c r="H2125" s="508"/>
      <c r="I2125" s="438"/>
      <c r="J2125" s="509"/>
      <c r="K2125" s="438"/>
      <c r="L2125" s="508"/>
      <c r="M2125" s="438"/>
      <c r="N2125" s="509"/>
      <c r="O2125" s="511"/>
      <c r="P2125" s="511"/>
    </row>
    <row r="2126" spans="6:16" x14ac:dyDescent="0.2">
      <c r="F2126" s="536"/>
      <c r="G2126" s="522"/>
      <c r="H2126" s="508"/>
      <c r="I2126" s="438"/>
      <c r="J2126" s="509"/>
      <c r="K2126" s="438"/>
      <c r="L2126" s="508"/>
      <c r="M2126" s="438"/>
      <c r="N2126" s="509"/>
      <c r="O2126" s="511"/>
      <c r="P2126" s="511"/>
    </row>
    <row r="2127" spans="6:16" x14ac:dyDescent="0.2">
      <c r="F2127" s="536"/>
      <c r="G2127" s="522"/>
      <c r="H2127" s="508"/>
      <c r="I2127" s="438"/>
      <c r="J2127" s="509"/>
      <c r="K2127" s="438"/>
      <c r="L2127" s="508"/>
      <c r="M2127" s="438"/>
      <c r="N2127" s="509"/>
      <c r="O2127" s="511"/>
      <c r="P2127" s="511"/>
    </row>
    <row r="2128" spans="6:16" x14ac:dyDescent="0.2">
      <c r="F2128" s="536"/>
      <c r="G2128" s="522"/>
      <c r="H2128" s="508"/>
      <c r="I2128" s="438"/>
      <c r="J2128" s="509"/>
      <c r="K2128" s="438"/>
      <c r="L2128" s="508"/>
      <c r="M2128" s="438"/>
      <c r="N2128" s="509"/>
      <c r="O2128" s="511"/>
      <c r="P2128" s="511"/>
    </row>
    <row r="2129" spans="6:16" x14ac:dyDescent="0.2">
      <c r="F2129" s="536"/>
      <c r="G2129" s="522"/>
      <c r="H2129" s="508"/>
      <c r="I2129" s="438"/>
      <c r="J2129" s="509"/>
      <c r="K2129" s="438"/>
      <c r="L2129" s="508"/>
      <c r="M2129" s="438"/>
      <c r="N2129" s="509"/>
      <c r="O2129" s="511"/>
      <c r="P2129" s="511"/>
    </row>
    <row r="2130" spans="6:16" x14ac:dyDescent="0.2">
      <c r="F2130" s="536"/>
      <c r="G2130" s="522"/>
      <c r="H2130" s="508"/>
      <c r="I2130" s="438"/>
      <c r="J2130" s="509"/>
      <c r="K2130" s="438"/>
      <c r="L2130" s="508"/>
      <c r="M2130" s="438"/>
      <c r="N2130" s="509"/>
      <c r="O2130" s="511"/>
      <c r="P2130" s="511"/>
    </row>
    <row r="2131" spans="6:16" x14ac:dyDescent="0.2">
      <c r="F2131" s="536"/>
      <c r="G2131" s="522"/>
      <c r="H2131" s="508"/>
      <c r="I2131" s="438"/>
      <c r="J2131" s="509"/>
      <c r="K2131" s="438"/>
      <c r="L2131" s="508"/>
      <c r="M2131" s="438"/>
      <c r="N2131" s="509"/>
      <c r="O2131" s="511"/>
      <c r="P2131" s="511"/>
    </row>
    <row r="2132" spans="6:16" x14ac:dyDescent="0.2">
      <c r="F2132" s="536"/>
      <c r="G2132" s="522"/>
      <c r="H2132" s="508"/>
      <c r="I2132" s="438"/>
      <c r="J2132" s="509"/>
      <c r="K2132" s="438"/>
      <c r="L2132" s="508"/>
      <c r="M2132" s="438"/>
      <c r="N2132" s="509"/>
      <c r="O2132" s="511"/>
      <c r="P2132" s="511"/>
    </row>
    <row r="2133" spans="6:16" x14ac:dyDescent="0.2">
      <c r="F2133" s="536"/>
      <c r="G2133" s="522"/>
      <c r="H2133" s="508"/>
      <c r="I2133" s="438"/>
      <c r="J2133" s="509"/>
      <c r="K2133" s="438"/>
      <c r="L2133" s="508"/>
      <c r="M2133" s="438"/>
      <c r="N2133" s="509"/>
      <c r="O2133" s="511"/>
      <c r="P2133" s="511"/>
    </row>
    <row r="2134" spans="6:16" x14ac:dyDescent="0.2">
      <c r="F2134" s="536"/>
      <c r="G2134" s="522"/>
      <c r="H2134" s="508"/>
      <c r="I2134" s="438"/>
      <c r="J2134" s="509"/>
      <c r="K2134" s="438"/>
      <c r="L2134" s="508"/>
      <c r="M2134" s="438"/>
      <c r="N2134" s="509"/>
      <c r="O2134" s="511"/>
      <c r="P2134" s="511"/>
    </row>
    <row r="2135" spans="6:16" x14ac:dyDescent="0.2">
      <c r="F2135" s="536"/>
      <c r="G2135" s="522"/>
      <c r="H2135" s="508"/>
      <c r="I2135" s="438"/>
      <c r="J2135" s="509"/>
      <c r="K2135" s="438"/>
      <c r="L2135" s="508"/>
      <c r="M2135" s="438"/>
      <c r="N2135" s="509"/>
      <c r="O2135" s="511"/>
      <c r="P2135" s="511"/>
    </row>
    <row r="2136" spans="6:16" x14ac:dyDescent="0.2">
      <c r="F2136" s="536"/>
      <c r="G2136" s="522"/>
      <c r="H2136" s="508"/>
      <c r="I2136" s="438"/>
      <c r="J2136" s="509"/>
      <c r="K2136" s="438"/>
      <c r="L2136" s="508"/>
      <c r="M2136" s="438"/>
      <c r="N2136" s="509"/>
      <c r="O2136" s="511"/>
      <c r="P2136" s="511"/>
    </row>
    <row r="2137" spans="6:16" x14ac:dyDescent="0.2">
      <c r="F2137" s="536"/>
      <c r="G2137" s="522"/>
      <c r="H2137" s="438"/>
      <c r="I2137" s="438"/>
      <c r="J2137" s="509"/>
      <c r="K2137" s="438"/>
      <c r="L2137" s="508"/>
      <c r="M2137" s="438"/>
      <c r="N2137" s="509"/>
      <c r="O2137" s="511"/>
      <c r="P2137" s="511"/>
    </row>
    <row r="2138" spans="6:16" x14ac:dyDescent="0.2">
      <c r="F2138" s="537"/>
      <c r="G2138" s="523"/>
      <c r="I2138" s="438"/>
      <c r="J2138" s="438"/>
      <c r="K2138" s="438"/>
      <c r="L2138" s="438"/>
      <c r="M2138" s="438"/>
      <c r="N2138" s="438"/>
      <c r="O2138" s="438"/>
      <c r="P2138" s="438"/>
    </row>
  </sheetData>
  <mergeCells count="3046">
    <mergeCell ref="K21:N21"/>
    <mergeCell ref="O21:P21"/>
    <mergeCell ref="Y36:AB36"/>
    <mergeCell ref="Y38:AB38"/>
    <mergeCell ref="Y39:AB39"/>
    <mergeCell ref="Y40:AB40"/>
    <mergeCell ref="Y41:AB41"/>
    <mergeCell ref="Y42:AB42"/>
    <mergeCell ref="Y37:AB37"/>
    <mergeCell ref="X43:AB45"/>
    <mergeCell ref="Z49:AB53"/>
    <mergeCell ref="O1528:P1528"/>
    <mergeCell ref="O1529:P1529"/>
    <mergeCell ref="O1530:P1530"/>
    <mergeCell ref="O1531:P1531"/>
    <mergeCell ref="O1523:P1523"/>
    <mergeCell ref="O1524:P1524"/>
    <mergeCell ref="O1525:P1525"/>
    <mergeCell ref="O1526:P1526"/>
    <mergeCell ref="O1527:P1527"/>
    <mergeCell ref="O1518:P1518"/>
    <mergeCell ref="O1519:P1519"/>
    <mergeCell ref="O1520:P1520"/>
    <mergeCell ref="O1521:P1521"/>
    <mergeCell ref="O1522:P1522"/>
    <mergeCell ref="O1513:P1513"/>
    <mergeCell ref="O1514:P1514"/>
    <mergeCell ref="O1515:P1515"/>
    <mergeCell ref="O1516:P1516"/>
    <mergeCell ref="O1517:P1517"/>
    <mergeCell ref="O1508:P1508"/>
    <mergeCell ref="O1509:P1509"/>
    <mergeCell ref="O1510:P1510"/>
    <mergeCell ref="O1511:P1511"/>
    <mergeCell ref="O1512:P1512"/>
    <mergeCell ref="O1503:P1503"/>
    <mergeCell ref="O1504:P1504"/>
    <mergeCell ref="O1505:P1505"/>
    <mergeCell ref="O1506:P1506"/>
    <mergeCell ref="O1507:P1507"/>
    <mergeCell ref="O1498:P1498"/>
    <mergeCell ref="O1499:P1499"/>
    <mergeCell ref="O1500:P1500"/>
    <mergeCell ref="O1501:P1501"/>
    <mergeCell ref="O1502:P1502"/>
    <mergeCell ref="O1493:P1493"/>
    <mergeCell ref="O1494:P1494"/>
    <mergeCell ref="O1495:P1495"/>
    <mergeCell ref="O1496:P1496"/>
    <mergeCell ref="O1497:P1497"/>
    <mergeCell ref="O1488:P1488"/>
    <mergeCell ref="O1489:P1489"/>
    <mergeCell ref="O1490:P1490"/>
    <mergeCell ref="O1491:P1491"/>
    <mergeCell ref="O1492:P1492"/>
    <mergeCell ref="O1483:P1483"/>
    <mergeCell ref="O1484:P1484"/>
    <mergeCell ref="O1485:P1485"/>
    <mergeCell ref="O1486:P1486"/>
    <mergeCell ref="O1487:P1487"/>
    <mergeCell ref="O1478:P1478"/>
    <mergeCell ref="O1479:P1479"/>
    <mergeCell ref="O1480:P1480"/>
    <mergeCell ref="O1481:P1481"/>
    <mergeCell ref="O1482:P1482"/>
    <mergeCell ref="O1473:P1473"/>
    <mergeCell ref="O1474:P1474"/>
    <mergeCell ref="O1475:P1475"/>
    <mergeCell ref="O1476:P1476"/>
    <mergeCell ref="O1477:P1477"/>
    <mergeCell ref="O1468:P1468"/>
    <mergeCell ref="O1469:P1469"/>
    <mergeCell ref="O1470:P1470"/>
    <mergeCell ref="O1471:P1471"/>
    <mergeCell ref="O1472:P1472"/>
    <mergeCell ref="O1463:P1463"/>
    <mergeCell ref="O1464:P1464"/>
    <mergeCell ref="O1465:P1465"/>
    <mergeCell ref="O1466:P1466"/>
    <mergeCell ref="O1467:P1467"/>
    <mergeCell ref="O1458:P1458"/>
    <mergeCell ref="O1459:P1459"/>
    <mergeCell ref="O1460:P1460"/>
    <mergeCell ref="O1461:P1461"/>
    <mergeCell ref="O1462:P1462"/>
    <mergeCell ref="O1453:P1453"/>
    <mergeCell ref="O1454:P1454"/>
    <mergeCell ref="O1455:P1455"/>
    <mergeCell ref="O1456:P1456"/>
    <mergeCell ref="O1457:P1457"/>
    <mergeCell ref="O1448:P1448"/>
    <mergeCell ref="O1449:P1449"/>
    <mergeCell ref="O1450:P1450"/>
    <mergeCell ref="O1451:P1451"/>
    <mergeCell ref="O1452:P1452"/>
    <mergeCell ref="O1443:P1443"/>
    <mergeCell ref="O1444:P1444"/>
    <mergeCell ref="O1445:P1445"/>
    <mergeCell ref="O1446:P1446"/>
    <mergeCell ref="O1447:P1447"/>
    <mergeCell ref="O1438:P1438"/>
    <mergeCell ref="O1439:P1439"/>
    <mergeCell ref="O1440:P1440"/>
    <mergeCell ref="O1441:P1441"/>
    <mergeCell ref="O1442:P1442"/>
    <mergeCell ref="O1433:P1433"/>
    <mergeCell ref="O1434:P1434"/>
    <mergeCell ref="O1435:P1435"/>
    <mergeCell ref="O1436:P1436"/>
    <mergeCell ref="O1437:P1437"/>
    <mergeCell ref="O1428:P1428"/>
    <mergeCell ref="O1429:P1429"/>
    <mergeCell ref="O1430:P1430"/>
    <mergeCell ref="O1431:P1431"/>
    <mergeCell ref="O1432:P1432"/>
    <mergeCell ref="O1423:P1423"/>
    <mergeCell ref="O1424:P1424"/>
    <mergeCell ref="O1425:P1425"/>
    <mergeCell ref="O1426:P1426"/>
    <mergeCell ref="O1427:P1427"/>
    <mergeCell ref="O1418:P1418"/>
    <mergeCell ref="O1419:P1419"/>
    <mergeCell ref="O1420:P1420"/>
    <mergeCell ref="O1421:P1421"/>
    <mergeCell ref="O1422:P1422"/>
    <mergeCell ref="O1413:P1413"/>
    <mergeCell ref="O1414:P1414"/>
    <mergeCell ref="O1415:P1415"/>
    <mergeCell ref="O1416:P1416"/>
    <mergeCell ref="O1417:P1417"/>
    <mergeCell ref="O1408:P1408"/>
    <mergeCell ref="O1409:P1409"/>
    <mergeCell ref="O1410:P1410"/>
    <mergeCell ref="O1411:P1411"/>
    <mergeCell ref="O1412:P1412"/>
    <mergeCell ref="O1403:P1403"/>
    <mergeCell ref="O1404:P1404"/>
    <mergeCell ref="O1405:P1405"/>
    <mergeCell ref="O1406:P1406"/>
    <mergeCell ref="O1407:P1407"/>
    <mergeCell ref="O1398:P1398"/>
    <mergeCell ref="O1399:P1399"/>
    <mergeCell ref="O1400:P1400"/>
    <mergeCell ref="O1401:P1401"/>
    <mergeCell ref="O1402:P1402"/>
    <mergeCell ref="O1393:P1393"/>
    <mergeCell ref="O1394:P1394"/>
    <mergeCell ref="O1395:P1395"/>
    <mergeCell ref="O1396:P1396"/>
    <mergeCell ref="O1397:P1397"/>
    <mergeCell ref="O1388:P1388"/>
    <mergeCell ref="O1389:P1389"/>
    <mergeCell ref="O1390:P1390"/>
    <mergeCell ref="O1391:P1391"/>
    <mergeCell ref="O1392:P1392"/>
    <mergeCell ref="O1383:P1383"/>
    <mergeCell ref="O1384:P1384"/>
    <mergeCell ref="O1385:P1385"/>
    <mergeCell ref="O1386:P1386"/>
    <mergeCell ref="O1387:P1387"/>
    <mergeCell ref="O1378:P1378"/>
    <mergeCell ref="O1379:P1379"/>
    <mergeCell ref="O1380:P1380"/>
    <mergeCell ref="O1381:P1381"/>
    <mergeCell ref="O1382:P1382"/>
    <mergeCell ref="O1373:P1373"/>
    <mergeCell ref="O1374:P1374"/>
    <mergeCell ref="O1375:P1375"/>
    <mergeCell ref="O1376:P1376"/>
    <mergeCell ref="O1377:P1377"/>
    <mergeCell ref="O1368:P1368"/>
    <mergeCell ref="O1369:P1369"/>
    <mergeCell ref="O1370:P1370"/>
    <mergeCell ref="O1371:P1371"/>
    <mergeCell ref="O1372:P1372"/>
    <mergeCell ref="O1363:P1363"/>
    <mergeCell ref="O1364:P1364"/>
    <mergeCell ref="O1365:P1365"/>
    <mergeCell ref="O1366:P1366"/>
    <mergeCell ref="O1367:P1367"/>
    <mergeCell ref="O1358:P1358"/>
    <mergeCell ref="O1359:P1359"/>
    <mergeCell ref="O1360:P1360"/>
    <mergeCell ref="O1361:P1361"/>
    <mergeCell ref="O1362:P1362"/>
    <mergeCell ref="O1353:P1353"/>
    <mergeCell ref="O1354:P1354"/>
    <mergeCell ref="O1355:P1355"/>
    <mergeCell ref="O1356:P1356"/>
    <mergeCell ref="O1357:P1357"/>
    <mergeCell ref="O1348:P1348"/>
    <mergeCell ref="O1349:P1349"/>
    <mergeCell ref="O1350:P1350"/>
    <mergeCell ref="O1351:P1351"/>
    <mergeCell ref="O1352:P1352"/>
    <mergeCell ref="O1343:P1343"/>
    <mergeCell ref="O1344:P1344"/>
    <mergeCell ref="O1345:P1345"/>
    <mergeCell ref="O1346:P1346"/>
    <mergeCell ref="O1347:P1347"/>
    <mergeCell ref="O1338:P1338"/>
    <mergeCell ref="O1339:P1339"/>
    <mergeCell ref="O1340:P1340"/>
    <mergeCell ref="O1341:P1341"/>
    <mergeCell ref="O1342:P1342"/>
    <mergeCell ref="O1333:P1333"/>
    <mergeCell ref="O1334:P1334"/>
    <mergeCell ref="O1335:P1335"/>
    <mergeCell ref="O1336:P1336"/>
    <mergeCell ref="O1337:P1337"/>
    <mergeCell ref="O1328:P1328"/>
    <mergeCell ref="O1329:P1329"/>
    <mergeCell ref="O1330:P1330"/>
    <mergeCell ref="O1331:P1331"/>
    <mergeCell ref="O1332:P1332"/>
    <mergeCell ref="O1323:P1323"/>
    <mergeCell ref="O1324:P1324"/>
    <mergeCell ref="O1325:P1325"/>
    <mergeCell ref="O1326:P1326"/>
    <mergeCell ref="O1327:P1327"/>
    <mergeCell ref="O1318:P1318"/>
    <mergeCell ref="O1319:P1319"/>
    <mergeCell ref="O1320:P1320"/>
    <mergeCell ref="O1321:P1321"/>
    <mergeCell ref="O1322:P1322"/>
    <mergeCell ref="O1313:P1313"/>
    <mergeCell ref="O1314:P1314"/>
    <mergeCell ref="O1315:P1315"/>
    <mergeCell ref="O1316:P1316"/>
    <mergeCell ref="O1317:P1317"/>
    <mergeCell ref="O1308:P1308"/>
    <mergeCell ref="O1309:P1309"/>
    <mergeCell ref="O1310:P1310"/>
    <mergeCell ref="O1311:P1311"/>
    <mergeCell ref="O1312:P1312"/>
    <mergeCell ref="O1303:P1303"/>
    <mergeCell ref="O1304:P1304"/>
    <mergeCell ref="O1305:P1305"/>
    <mergeCell ref="O1306:P1306"/>
    <mergeCell ref="O1307:P1307"/>
    <mergeCell ref="O1298:P1298"/>
    <mergeCell ref="O1299:P1299"/>
    <mergeCell ref="O1300:P1300"/>
    <mergeCell ref="O1301:P1301"/>
    <mergeCell ref="O1302:P1302"/>
    <mergeCell ref="O1293:P1293"/>
    <mergeCell ref="O1294:P1294"/>
    <mergeCell ref="O1295:P1295"/>
    <mergeCell ref="O1296:P1296"/>
    <mergeCell ref="O1297:P1297"/>
    <mergeCell ref="O1288:P1288"/>
    <mergeCell ref="O1289:P1289"/>
    <mergeCell ref="O1290:P1290"/>
    <mergeCell ref="O1291:P1291"/>
    <mergeCell ref="O1292:P1292"/>
    <mergeCell ref="O1283:P1283"/>
    <mergeCell ref="O1284:P1284"/>
    <mergeCell ref="O1285:P1285"/>
    <mergeCell ref="O1286:P1286"/>
    <mergeCell ref="O1287:P1287"/>
    <mergeCell ref="O1278:P1278"/>
    <mergeCell ref="O1279:P1279"/>
    <mergeCell ref="O1280:P1280"/>
    <mergeCell ref="O1281:P1281"/>
    <mergeCell ref="O1282:P1282"/>
    <mergeCell ref="O1273:P1273"/>
    <mergeCell ref="O1274:P1274"/>
    <mergeCell ref="O1275:P1275"/>
    <mergeCell ref="O1276:P1276"/>
    <mergeCell ref="O1277:P1277"/>
    <mergeCell ref="O1268:P1268"/>
    <mergeCell ref="O1269:P1269"/>
    <mergeCell ref="O1270:P1270"/>
    <mergeCell ref="O1271:P1271"/>
    <mergeCell ref="O1272:P1272"/>
    <mergeCell ref="O1263:P1263"/>
    <mergeCell ref="O1264:P1264"/>
    <mergeCell ref="O1265:P1265"/>
    <mergeCell ref="O1266:P1266"/>
    <mergeCell ref="O1267:P1267"/>
    <mergeCell ref="O1258:P1258"/>
    <mergeCell ref="O1259:P1259"/>
    <mergeCell ref="O1260:P1260"/>
    <mergeCell ref="O1261:P1261"/>
    <mergeCell ref="O1262:P1262"/>
    <mergeCell ref="O1253:P1253"/>
    <mergeCell ref="O1254:P1254"/>
    <mergeCell ref="O1255:P1255"/>
    <mergeCell ref="O1256:P1256"/>
    <mergeCell ref="O1257:P1257"/>
    <mergeCell ref="O1248:P1248"/>
    <mergeCell ref="O1249:P1249"/>
    <mergeCell ref="O1250:P1250"/>
    <mergeCell ref="O1251:P1251"/>
    <mergeCell ref="O1252:P1252"/>
    <mergeCell ref="O1243:P1243"/>
    <mergeCell ref="O1244:P1244"/>
    <mergeCell ref="O1245:P1245"/>
    <mergeCell ref="O1246:P1246"/>
    <mergeCell ref="O1247:P1247"/>
    <mergeCell ref="O1238:P1238"/>
    <mergeCell ref="O1239:P1239"/>
    <mergeCell ref="O1240:P1240"/>
    <mergeCell ref="O1241:P1241"/>
    <mergeCell ref="O1242:P1242"/>
    <mergeCell ref="O1233:P1233"/>
    <mergeCell ref="O1234:P1234"/>
    <mergeCell ref="O1235:P1235"/>
    <mergeCell ref="O1236:P1236"/>
    <mergeCell ref="O1237:P1237"/>
    <mergeCell ref="O1228:P1228"/>
    <mergeCell ref="O1229:P1229"/>
    <mergeCell ref="O1230:P1230"/>
    <mergeCell ref="O1231:P1231"/>
    <mergeCell ref="O1232:P1232"/>
    <mergeCell ref="O1223:P1223"/>
    <mergeCell ref="O1224:P1224"/>
    <mergeCell ref="O1225:P1225"/>
    <mergeCell ref="O1226:P1226"/>
    <mergeCell ref="O1227:P1227"/>
    <mergeCell ref="O1218:P1218"/>
    <mergeCell ref="O1219:P1219"/>
    <mergeCell ref="O1220:P1220"/>
    <mergeCell ref="O1221:P1221"/>
    <mergeCell ref="O1222:P1222"/>
    <mergeCell ref="O1213:P1213"/>
    <mergeCell ref="O1214:P1214"/>
    <mergeCell ref="O1215:P1215"/>
    <mergeCell ref="O1216:P1216"/>
    <mergeCell ref="O1217:P1217"/>
    <mergeCell ref="O1208:P1208"/>
    <mergeCell ref="O1209:P1209"/>
    <mergeCell ref="O1210:P1210"/>
    <mergeCell ref="O1211:P1211"/>
    <mergeCell ref="O1212:P1212"/>
    <mergeCell ref="O1203:P1203"/>
    <mergeCell ref="O1204:P1204"/>
    <mergeCell ref="O1205:P1205"/>
    <mergeCell ref="O1206:P1206"/>
    <mergeCell ref="O1207:P1207"/>
    <mergeCell ref="O1198:P1198"/>
    <mergeCell ref="O1199:P1199"/>
    <mergeCell ref="O1200:P1200"/>
    <mergeCell ref="O1201:P1201"/>
    <mergeCell ref="O1202:P1202"/>
    <mergeCell ref="O1193:P1193"/>
    <mergeCell ref="O1194:P1194"/>
    <mergeCell ref="O1195:P1195"/>
    <mergeCell ref="O1196:P1196"/>
    <mergeCell ref="O1197:P1197"/>
    <mergeCell ref="O1188:P1188"/>
    <mergeCell ref="O1189:P1189"/>
    <mergeCell ref="O1190:P1190"/>
    <mergeCell ref="O1191:P1191"/>
    <mergeCell ref="O1192:P1192"/>
    <mergeCell ref="O1183:P1183"/>
    <mergeCell ref="O1184:P1184"/>
    <mergeCell ref="O1185:P1185"/>
    <mergeCell ref="O1186:P1186"/>
    <mergeCell ref="O1187:P1187"/>
    <mergeCell ref="O1178:P1178"/>
    <mergeCell ref="O1179:P1179"/>
    <mergeCell ref="O1180:P1180"/>
    <mergeCell ref="O1181:P1181"/>
    <mergeCell ref="O1182:P1182"/>
    <mergeCell ref="O1173:P1173"/>
    <mergeCell ref="O1174:P1174"/>
    <mergeCell ref="O1175:P1175"/>
    <mergeCell ref="O1176:P1176"/>
    <mergeCell ref="O1177:P1177"/>
    <mergeCell ref="O1168:P1168"/>
    <mergeCell ref="O1169:P1169"/>
    <mergeCell ref="O1170:P1170"/>
    <mergeCell ref="O1171:P1171"/>
    <mergeCell ref="O1172:P1172"/>
    <mergeCell ref="O1163:P1163"/>
    <mergeCell ref="O1164:P1164"/>
    <mergeCell ref="O1165:P1165"/>
    <mergeCell ref="O1166:P1166"/>
    <mergeCell ref="O1167:P1167"/>
    <mergeCell ref="O1158:P1158"/>
    <mergeCell ref="O1159:P1159"/>
    <mergeCell ref="O1160:P1160"/>
    <mergeCell ref="O1161:P1161"/>
    <mergeCell ref="O1162:P1162"/>
    <mergeCell ref="O1153:P1153"/>
    <mergeCell ref="O1154:P1154"/>
    <mergeCell ref="O1155:P1155"/>
    <mergeCell ref="O1156:P1156"/>
    <mergeCell ref="O1157:P1157"/>
    <mergeCell ref="O1148:P1148"/>
    <mergeCell ref="O1149:P1149"/>
    <mergeCell ref="O1150:P1150"/>
    <mergeCell ref="O1151:P1151"/>
    <mergeCell ref="O1152:P1152"/>
    <mergeCell ref="O1143:P1143"/>
    <mergeCell ref="O1144:P1144"/>
    <mergeCell ref="O1145:P1145"/>
    <mergeCell ref="O1146:P1146"/>
    <mergeCell ref="O1147:P1147"/>
    <mergeCell ref="O1138:P1138"/>
    <mergeCell ref="O1139:P1139"/>
    <mergeCell ref="O1140:P1140"/>
    <mergeCell ref="O1141:P1141"/>
    <mergeCell ref="O1142:P1142"/>
    <mergeCell ref="O1133:P1133"/>
    <mergeCell ref="O1134:P1134"/>
    <mergeCell ref="O1135:P1135"/>
    <mergeCell ref="O1136:P1136"/>
    <mergeCell ref="O1137:P1137"/>
    <mergeCell ref="O1128:P1128"/>
    <mergeCell ref="O1129:P1129"/>
    <mergeCell ref="O1130:P1130"/>
    <mergeCell ref="O1131:P1131"/>
    <mergeCell ref="O1132:P1132"/>
    <mergeCell ref="O1123:P1123"/>
    <mergeCell ref="O1124:P1124"/>
    <mergeCell ref="O1125:P1125"/>
    <mergeCell ref="O1126:P1126"/>
    <mergeCell ref="O1127:P1127"/>
    <mergeCell ref="O1118:P1118"/>
    <mergeCell ref="O1119:P1119"/>
    <mergeCell ref="O1120:P1120"/>
    <mergeCell ref="O1121:P1121"/>
    <mergeCell ref="O1122:P1122"/>
    <mergeCell ref="O1113:P1113"/>
    <mergeCell ref="O1114:P1114"/>
    <mergeCell ref="O1115:P1115"/>
    <mergeCell ref="O1116:P1116"/>
    <mergeCell ref="O1117:P1117"/>
    <mergeCell ref="O1108:P1108"/>
    <mergeCell ref="O1109:P1109"/>
    <mergeCell ref="O1110:P1110"/>
    <mergeCell ref="O1111:P1111"/>
    <mergeCell ref="O1112:P1112"/>
    <mergeCell ref="O1103:P1103"/>
    <mergeCell ref="O1104:P1104"/>
    <mergeCell ref="O1105:P1105"/>
    <mergeCell ref="O1106:P1106"/>
    <mergeCell ref="O1107:P1107"/>
    <mergeCell ref="O1098:P1098"/>
    <mergeCell ref="O1099:P1099"/>
    <mergeCell ref="O1100:P1100"/>
    <mergeCell ref="O1101:P1101"/>
    <mergeCell ref="O1102:P1102"/>
    <mergeCell ref="O1093:P1093"/>
    <mergeCell ref="O1094:P1094"/>
    <mergeCell ref="O1095:P1095"/>
    <mergeCell ref="O1096:P1096"/>
    <mergeCell ref="O1097:P1097"/>
    <mergeCell ref="O1088:P1088"/>
    <mergeCell ref="O1089:P1089"/>
    <mergeCell ref="O1090:P1090"/>
    <mergeCell ref="O1091:P1091"/>
    <mergeCell ref="O1092:P1092"/>
    <mergeCell ref="O1083:P1083"/>
    <mergeCell ref="O1084:P1084"/>
    <mergeCell ref="O1085:P1085"/>
    <mergeCell ref="O1086:P1086"/>
    <mergeCell ref="O1087:P1087"/>
    <mergeCell ref="O1078:P1078"/>
    <mergeCell ref="O1079:P1079"/>
    <mergeCell ref="O1080:P1080"/>
    <mergeCell ref="O1081:P1081"/>
    <mergeCell ref="O1082:P1082"/>
    <mergeCell ref="O1073:P1073"/>
    <mergeCell ref="O1074:P1074"/>
    <mergeCell ref="O1075:P1075"/>
    <mergeCell ref="O1076:P1076"/>
    <mergeCell ref="O1077:P1077"/>
    <mergeCell ref="O1068:P1068"/>
    <mergeCell ref="O1069:P1069"/>
    <mergeCell ref="O1070:P1070"/>
    <mergeCell ref="O1071:P1071"/>
    <mergeCell ref="O1072:P1072"/>
    <mergeCell ref="O1063:P1063"/>
    <mergeCell ref="O1064:P1064"/>
    <mergeCell ref="O1065:P1065"/>
    <mergeCell ref="O1066:P1066"/>
    <mergeCell ref="O1067:P1067"/>
    <mergeCell ref="O1058:P1058"/>
    <mergeCell ref="O1059:P1059"/>
    <mergeCell ref="O1060:P1060"/>
    <mergeCell ref="O1061:P1061"/>
    <mergeCell ref="O1062:P1062"/>
    <mergeCell ref="O1053:P1053"/>
    <mergeCell ref="O1054:P1054"/>
    <mergeCell ref="O1055:P1055"/>
    <mergeCell ref="O1056:P1056"/>
    <mergeCell ref="O1057:P1057"/>
    <mergeCell ref="O1048:P1048"/>
    <mergeCell ref="O1049:P1049"/>
    <mergeCell ref="O1050:P1050"/>
    <mergeCell ref="O1051:P1051"/>
    <mergeCell ref="O1052:P1052"/>
    <mergeCell ref="O1043:P1043"/>
    <mergeCell ref="O1044:P1044"/>
    <mergeCell ref="O1045:P1045"/>
    <mergeCell ref="O1046:P1046"/>
    <mergeCell ref="O1047:P1047"/>
    <mergeCell ref="O1038:P1038"/>
    <mergeCell ref="O1039:P1039"/>
    <mergeCell ref="O1040:P1040"/>
    <mergeCell ref="O1041:P1041"/>
    <mergeCell ref="O1042:P1042"/>
    <mergeCell ref="O1033:P1033"/>
    <mergeCell ref="O1034:P1034"/>
    <mergeCell ref="O1035:P1035"/>
    <mergeCell ref="O1036:P1036"/>
    <mergeCell ref="O1037:P1037"/>
    <mergeCell ref="O1028:P1028"/>
    <mergeCell ref="O1029:P1029"/>
    <mergeCell ref="O1030:P1030"/>
    <mergeCell ref="O1031:P1031"/>
    <mergeCell ref="O1032:P1032"/>
    <mergeCell ref="O1023:P1023"/>
    <mergeCell ref="O1024:P1024"/>
    <mergeCell ref="O1025:P1025"/>
    <mergeCell ref="O1026:P1026"/>
    <mergeCell ref="O1027:P1027"/>
    <mergeCell ref="O1018:P1018"/>
    <mergeCell ref="O1019:P1019"/>
    <mergeCell ref="O1020:P1020"/>
    <mergeCell ref="O1021:P1021"/>
    <mergeCell ref="O1022:P1022"/>
    <mergeCell ref="O1013:P1013"/>
    <mergeCell ref="O1014:P1014"/>
    <mergeCell ref="O1015:P1015"/>
    <mergeCell ref="O1016:P1016"/>
    <mergeCell ref="O1017:P1017"/>
    <mergeCell ref="O1008:P1008"/>
    <mergeCell ref="O1009:P1009"/>
    <mergeCell ref="O1010:P1010"/>
    <mergeCell ref="O1011:P1011"/>
    <mergeCell ref="O1012:P1012"/>
    <mergeCell ref="O1003:P1003"/>
    <mergeCell ref="O1004:P1004"/>
    <mergeCell ref="O1005:P1005"/>
    <mergeCell ref="O1006:P1006"/>
    <mergeCell ref="O1007:P1007"/>
    <mergeCell ref="O998:P998"/>
    <mergeCell ref="O999:P999"/>
    <mergeCell ref="O1000:P1000"/>
    <mergeCell ref="O1001:P1001"/>
    <mergeCell ref="O1002:P1002"/>
    <mergeCell ref="O993:P993"/>
    <mergeCell ref="O994:P994"/>
    <mergeCell ref="O995:P995"/>
    <mergeCell ref="O996:P996"/>
    <mergeCell ref="O997:P997"/>
    <mergeCell ref="O988:P988"/>
    <mergeCell ref="O989:P989"/>
    <mergeCell ref="O990:P990"/>
    <mergeCell ref="O991:P991"/>
    <mergeCell ref="O992:P992"/>
    <mergeCell ref="O983:P983"/>
    <mergeCell ref="O984:P984"/>
    <mergeCell ref="O985:P985"/>
    <mergeCell ref="O986:P986"/>
    <mergeCell ref="O987:P987"/>
    <mergeCell ref="O978:P978"/>
    <mergeCell ref="O979:P979"/>
    <mergeCell ref="O980:P980"/>
    <mergeCell ref="O981:P981"/>
    <mergeCell ref="O982:P982"/>
    <mergeCell ref="O973:P973"/>
    <mergeCell ref="O974:P974"/>
    <mergeCell ref="O975:P975"/>
    <mergeCell ref="O976:P976"/>
    <mergeCell ref="O977:P977"/>
    <mergeCell ref="O968:P968"/>
    <mergeCell ref="O969:P969"/>
    <mergeCell ref="O970:P970"/>
    <mergeCell ref="O971:P971"/>
    <mergeCell ref="O972:P972"/>
    <mergeCell ref="O963:P963"/>
    <mergeCell ref="O964:P964"/>
    <mergeCell ref="O965:P965"/>
    <mergeCell ref="O966:P966"/>
    <mergeCell ref="O967:P967"/>
    <mergeCell ref="O958:P958"/>
    <mergeCell ref="O959:P959"/>
    <mergeCell ref="O960:P960"/>
    <mergeCell ref="O961:P961"/>
    <mergeCell ref="O962:P962"/>
    <mergeCell ref="O953:P953"/>
    <mergeCell ref="O954:P954"/>
    <mergeCell ref="O955:P955"/>
    <mergeCell ref="O956:P956"/>
    <mergeCell ref="O957:P957"/>
    <mergeCell ref="O948:P948"/>
    <mergeCell ref="O949:P949"/>
    <mergeCell ref="O950:P950"/>
    <mergeCell ref="O951:P951"/>
    <mergeCell ref="O952:P952"/>
    <mergeCell ref="O943:P943"/>
    <mergeCell ref="O944:P944"/>
    <mergeCell ref="O945:P945"/>
    <mergeCell ref="O946:P946"/>
    <mergeCell ref="O947:P947"/>
    <mergeCell ref="O938:P938"/>
    <mergeCell ref="O939:P939"/>
    <mergeCell ref="O940:P940"/>
    <mergeCell ref="O941:P941"/>
    <mergeCell ref="O942:P942"/>
    <mergeCell ref="O933:P933"/>
    <mergeCell ref="O934:P934"/>
    <mergeCell ref="O935:P935"/>
    <mergeCell ref="O936:P936"/>
    <mergeCell ref="O937:P937"/>
    <mergeCell ref="O928:P928"/>
    <mergeCell ref="O929:P929"/>
    <mergeCell ref="O930:P930"/>
    <mergeCell ref="O931:P931"/>
    <mergeCell ref="O932:P932"/>
    <mergeCell ref="O923:P923"/>
    <mergeCell ref="O924:P924"/>
    <mergeCell ref="O925:P925"/>
    <mergeCell ref="O926:P926"/>
    <mergeCell ref="O927:P927"/>
    <mergeCell ref="O918:P918"/>
    <mergeCell ref="O919:P919"/>
    <mergeCell ref="O920:P920"/>
    <mergeCell ref="O921:P921"/>
    <mergeCell ref="O922:P922"/>
    <mergeCell ref="O913:P913"/>
    <mergeCell ref="O914:P914"/>
    <mergeCell ref="O915:P915"/>
    <mergeCell ref="O916:P916"/>
    <mergeCell ref="O917:P917"/>
    <mergeCell ref="O908:P908"/>
    <mergeCell ref="O909:P909"/>
    <mergeCell ref="O910:P910"/>
    <mergeCell ref="O911:P911"/>
    <mergeCell ref="O912:P912"/>
    <mergeCell ref="O903:P903"/>
    <mergeCell ref="O904:P904"/>
    <mergeCell ref="O905:P905"/>
    <mergeCell ref="O906:P906"/>
    <mergeCell ref="O907:P907"/>
    <mergeCell ref="O898:P898"/>
    <mergeCell ref="O899:P899"/>
    <mergeCell ref="O900:P900"/>
    <mergeCell ref="O901:P901"/>
    <mergeCell ref="O902:P902"/>
    <mergeCell ref="O893:P893"/>
    <mergeCell ref="O894:P894"/>
    <mergeCell ref="O895:P895"/>
    <mergeCell ref="O896:P896"/>
    <mergeCell ref="O897:P897"/>
    <mergeCell ref="O888:P888"/>
    <mergeCell ref="O889:P889"/>
    <mergeCell ref="O890:P890"/>
    <mergeCell ref="O891:P891"/>
    <mergeCell ref="O892:P892"/>
    <mergeCell ref="O883:P883"/>
    <mergeCell ref="O884:P884"/>
    <mergeCell ref="O885:P885"/>
    <mergeCell ref="O886:P886"/>
    <mergeCell ref="O887:P887"/>
    <mergeCell ref="O878:P878"/>
    <mergeCell ref="O879:P879"/>
    <mergeCell ref="O880:P880"/>
    <mergeCell ref="O881:P881"/>
    <mergeCell ref="O882:P882"/>
    <mergeCell ref="O873:P873"/>
    <mergeCell ref="O874:P874"/>
    <mergeCell ref="O875:P875"/>
    <mergeCell ref="O876:P876"/>
    <mergeCell ref="O877:P877"/>
    <mergeCell ref="O868:P868"/>
    <mergeCell ref="O869:P869"/>
    <mergeCell ref="O870:P870"/>
    <mergeCell ref="O871:P871"/>
    <mergeCell ref="O872:P872"/>
    <mergeCell ref="O863:P863"/>
    <mergeCell ref="O864:P864"/>
    <mergeCell ref="O865:P865"/>
    <mergeCell ref="O866:P866"/>
    <mergeCell ref="O867:P867"/>
    <mergeCell ref="O858:P858"/>
    <mergeCell ref="O859:P859"/>
    <mergeCell ref="O860:P860"/>
    <mergeCell ref="O861:P861"/>
    <mergeCell ref="O862:P862"/>
    <mergeCell ref="O853:P853"/>
    <mergeCell ref="O854:P854"/>
    <mergeCell ref="O855:P855"/>
    <mergeCell ref="O856:P856"/>
    <mergeCell ref="O857:P857"/>
    <mergeCell ref="O848:P848"/>
    <mergeCell ref="O849:P849"/>
    <mergeCell ref="O850:P850"/>
    <mergeCell ref="O851:P851"/>
    <mergeCell ref="O852:P852"/>
    <mergeCell ref="O843:P843"/>
    <mergeCell ref="O844:P844"/>
    <mergeCell ref="O845:P845"/>
    <mergeCell ref="O846:P846"/>
    <mergeCell ref="O847:P847"/>
    <mergeCell ref="O838:P838"/>
    <mergeCell ref="O839:P839"/>
    <mergeCell ref="O840:P840"/>
    <mergeCell ref="O841:P841"/>
    <mergeCell ref="O842:P842"/>
    <mergeCell ref="O833:P833"/>
    <mergeCell ref="O834:P834"/>
    <mergeCell ref="O835:P835"/>
    <mergeCell ref="O836:P836"/>
    <mergeCell ref="O837:P837"/>
    <mergeCell ref="O828:P828"/>
    <mergeCell ref="O829:P829"/>
    <mergeCell ref="O830:P830"/>
    <mergeCell ref="O831:P831"/>
    <mergeCell ref="O832:P832"/>
    <mergeCell ref="O823:P823"/>
    <mergeCell ref="O824:P824"/>
    <mergeCell ref="O825:P825"/>
    <mergeCell ref="O826:P826"/>
    <mergeCell ref="O827:P827"/>
    <mergeCell ref="O818:P818"/>
    <mergeCell ref="O819:P819"/>
    <mergeCell ref="O820:P820"/>
    <mergeCell ref="O821:P821"/>
    <mergeCell ref="O822:P822"/>
    <mergeCell ref="O813:P813"/>
    <mergeCell ref="O814:P814"/>
    <mergeCell ref="O815:P815"/>
    <mergeCell ref="O816:P816"/>
    <mergeCell ref="O817:P817"/>
    <mergeCell ref="O808:P808"/>
    <mergeCell ref="O809:P809"/>
    <mergeCell ref="O810:P810"/>
    <mergeCell ref="O811:P811"/>
    <mergeCell ref="O812:P812"/>
    <mergeCell ref="O803:P803"/>
    <mergeCell ref="O804:P804"/>
    <mergeCell ref="O805:P805"/>
    <mergeCell ref="O806:P806"/>
    <mergeCell ref="O807:P807"/>
    <mergeCell ref="O798:P798"/>
    <mergeCell ref="O799:P799"/>
    <mergeCell ref="O800:P800"/>
    <mergeCell ref="O801:P801"/>
    <mergeCell ref="O802:P802"/>
    <mergeCell ref="O793:P793"/>
    <mergeCell ref="O794:P794"/>
    <mergeCell ref="O795:P795"/>
    <mergeCell ref="O796:P796"/>
    <mergeCell ref="O797:P797"/>
    <mergeCell ref="O788:P788"/>
    <mergeCell ref="O789:P789"/>
    <mergeCell ref="O790:P790"/>
    <mergeCell ref="O791:P791"/>
    <mergeCell ref="O792:P792"/>
    <mergeCell ref="O783:P783"/>
    <mergeCell ref="O784:P784"/>
    <mergeCell ref="O785:P785"/>
    <mergeCell ref="O786:P786"/>
    <mergeCell ref="O787:P787"/>
    <mergeCell ref="O778:P778"/>
    <mergeCell ref="O779:P779"/>
    <mergeCell ref="O780:P780"/>
    <mergeCell ref="O781:P781"/>
    <mergeCell ref="O782:P782"/>
    <mergeCell ref="O773:P773"/>
    <mergeCell ref="O774:P774"/>
    <mergeCell ref="O775:P775"/>
    <mergeCell ref="O776:P776"/>
    <mergeCell ref="O777:P777"/>
    <mergeCell ref="O768:P768"/>
    <mergeCell ref="O769:P769"/>
    <mergeCell ref="O770:P770"/>
    <mergeCell ref="O771:P771"/>
    <mergeCell ref="O772:P772"/>
    <mergeCell ref="O763:P763"/>
    <mergeCell ref="O764:P764"/>
    <mergeCell ref="O765:P765"/>
    <mergeCell ref="O766:P766"/>
    <mergeCell ref="O767:P767"/>
    <mergeCell ref="O758:P758"/>
    <mergeCell ref="O759:P759"/>
    <mergeCell ref="O760:P760"/>
    <mergeCell ref="O761:P761"/>
    <mergeCell ref="O762:P762"/>
    <mergeCell ref="O753:P753"/>
    <mergeCell ref="O754:P754"/>
    <mergeCell ref="O755:P755"/>
    <mergeCell ref="O756:P756"/>
    <mergeCell ref="O757:P757"/>
    <mergeCell ref="O748:P748"/>
    <mergeCell ref="O749:P749"/>
    <mergeCell ref="O750:P750"/>
    <mergeCell ref="O751:P751"/>
    <mergeCell ref="O752:P752"/>
    <mergeCell ref="O743:P743"/>
    <mergeCell ref="O744:P744"/>
    <mergeCell ref="O745:P745"/>
    <mergeCell ref="O746:P746"/>
    <mergeCell ref="O747:P747"/>
    <mergeCell ref="O738:P738"/>
    <mergeCell ref="O739:P739"/>
    <mergeCell ref="O740:P740"/>
    <mergeCell ref="O741:P741"/>
    <mergeCell ref="O742:P742"/>
    <mergeCell ref="O733:P733"/>
    <mergeCell ref="O734:P734"/>
    <mergeCell ref="O735:P735"/>
    <mergeCell ref="O736:P736"/>
    <mergeCell ref="O737:P737"/>
    <mergeCell ref="O728:P728"/>
    <mergeCell ref="O729:P729"/>
    <mergeCell ref="O730:P730"/>
    <mergeCell ref="O731:P731"/>
    <mergeCell ref="O732:P732"/>
    <mergeCell ref="O723:P723"/>
    <mergeCell ref="O724:P724"/>
    <mergeCell ref="O725:P725"/>
    <mergeCell ref="O726:P726"/>
    <mergeCell ref="O727:P727"/>
    <mergeCell ref="O718:P718"/>
    <mergeCell ref="O719:P719"/>
    <mergeCell ref="O720:P720"/>
    <mergeCell ref="O721:P721"/>
    <mergeCell ref="O722:P722"/>
    <mergeCell ref="O713:P713"/>
    <mergeCell ref="O714:P714"/>
    <mergeCell ref="O715:P715"/>
    <mergeCell ref="O716:P716"/>
    <mergeCell ref="O717:P717"/>
    <mergeCell ref="O708:P708"/>
    <mergeCell ref="O709:P709"/>
    <mergeCell ref="O710:P710"/>
    <mergeCell ref="O711:P711"/>
    <mergeCell ref="O712:P712"/>
    <mergeCell ref="O703:P703"/>
    <mergeCell ref="O704:P704"/>
    <mergeCell ref="O705:P705"/>
    <mergeCell ref="O706:P706"/>
    <mergeCell ref="O707:P707"/>
    <mergeCell ref="O698:P698"/>
    <mergeCell ref="O699:P699"/>
    <mergeCell ref="O700:P700"/>
    <mergeCell ref="O701:P701"/>
    <mergeCell ref="O702:P702"/>
    <mergeCell ref="O693:P693"/>
    <mergeCell ref="O694:P694"/>
    <mergeCell ref="O695:P695"/>
    <mergeCell ref="O696:P696"/>
    <mergeCell ref="O697:P697"/>
    <mergeCell ref="O688:P688"/>
    <mergeCell ref="O689:P689"/>
    <mergeCell ref="O690:P690"/>
    <mergeCell ref="O691:P691"/>
    <mergeCell ref="O692:P692"/>
    <mergeCell ref="O683:P683"/>
    <mergeCell ref="O684:P684"/>
    <mergeCell ref="O685:P685"/>
    <mergeCell ref="O686:P686"/>
    <mergeCell ref="O687:P687"/>
    <mergeCell ref="O678:P678"/>
    <mergeCell ref="O679:P679"/>
    <mergeCell ref="O680:P680"/>
    <mergeCell ref="O681:P681"/>
    <mergeCell ref="O682:P682"/>
    <mergeCell ref="O673:P673"/>
    <mergeCell ref="O674:P674"/>
    <mergeCell ref="O675:P675"/>
    <mergeCell ref="O676:P676"/>
    <mergeCell ref="O677:P677"/>
    <mergeCell ref="O668:P668"/>
    <mergeCell ref="O669:P669"/>
    <mergeCell ref="O670:P670"/>
    <mergeCell ref="O671:P671"/>
    <mergeCell ref="O672:P672"/>
    <mergeCell ref="O663:P663"/>
    <mergeCell ref="O664:P664"/>
    <mergeCell ref="O665:P665"/>
    <mergeCell ref="O666:P666"/>
    <mergeCell ref="O667:P667"/>
    <mergeCell ref="O658:P658"/>
    <mergeCell ref="O659:P659"/>
    <mergeCell ref="O660:P660"/>
    <mergeCell ref="O661:P661"/>
    <mergeCell ref="O662:P662"/>
    <mergeCell ref="O653:P653"/>
    <mergeCell ref="O654:P654"/>
    <mergeCell ref="O655:P655"/>
    <mergeCell ref="O656:P656"/>
    <mergeCell ref="O657:P657"/>
    <mergeCell ref="O648:P648"/>
    <mergeCell ref="O649:P649"/>
    <mergeCell ref="O650:P650"/>
    <mergeCell ref="O651:P651"/>
    <mergeCell ref="O652:P652"/>
    <mergeCell ref="O643:P643"/>
    <mergeCell ref="O644:P644"/>
    <mergeCell ref="O645:P645"/>
    <mergeCell ref="O646:P646"/>
    <mergeCell ref="O647:P647"/>
    <mergeCell ref="O638:P638"/>
    <mergeCell ref="O639:P639"/>
    <mergeCell ref="O640:P640"/>
    <mergeCell ref="O641:P641"/>
    <mergeCell ref="O642:P642"/>
    <mergeCell ref="O633:P633"/>
    <mergeCell ref="O634:P634"/>
    <mergeCell ref="O635:P635"/>
    <mergeCell ref="O636:P636"/>
    <mergeCell ref="O637:P637"/>
    <mergeCell ref="O628:P628"/>
    <mergeCell ref="O629:P629"/>
    <mergeCell ref="O630:P630"/>
    <mergeCell ref="O631:P631"/>
    <mergeCell ref="O632:P632"/>
    <mergeCell ref="O623:P623"/>
    <mergeCell ref="O624:P624"/>
    <mergeCell ref="O625:P625"/>
    <mergeCell ref="O626:P626"/>
    <mergeCell ref="O627:P627"/>
    <mergeCell ref="O618:P618"/>
    <mergeCell ref="O619:P619"/>
    <mergeCell ref="O620:P620"/>
    <mergeCell ref="O621:P621"/>
    <mergeCell ref="O622:P622"/>
    <mergeCell ref="O613:P613"/>
    <mergeCell ref="O614:P614"/>
    <mergeCell ref="O615:P615"/>
    <mergeCell ref="O616:P616"/>
    <mergeCell ref="O617:P617"/>
    <mergeCell ref="O608:P608"/>
    <mergeCell ref="O609:P609"/>
    <mergeCell ref="O610:P610"/>
    <mergeCell ref="O611:P611"/>
    <mergeCell ref="O612:P612"/>
    <mergeCell ref="O603:P603"/>
    <mergeCell ref="O604:P604"/>
    <mergeCell ref="O605:P605"/>
    <mergeCell ref="O606:P606"/>
    <mergeCell ref="O607:P607"/>
    <mergeCell ref="O598:P598"/>
    <mergeCell ref="O599:P599"/>
    <mergeCell ref="O600:P600"/>
    <mergeCell ref="O601:P601"/>
    <mergeCell ref="O602:P602"/>
    <mergeCell ref="O593:P593"/>
    <mergeCell ref="O594:P594"/>
    <mergeCell ref="O595:P595"/>
    <mergeCell ref="O596:P596"/>
    <mergeCell ref="O597:P597"/>
    <mergeCell ref="O588:P588"/>
    <mergeCell ref="O589:P589"/>
    <mergeCell ref="O590:P590"/>
    <mergeCell ref="O591:P591"/>
    <mergeCell ref="O592:P592"/>
    <mergeCell ref="O583:P583"/>
    <mergeCell ref="O584:P584"/>
    <mergeCell ref="O585:P585"/>
    <mergeCell ref="O586:P586"/>
    <mergeCell ref="O587:P587"/>
    <mergeCell ref="O578:P578"/>
    <mergeCell ref="O579:P579"/>
    <mergeCell ref="O580:P580"/>
    <mergeCell ref="O581:P581"/>
    <mergeCell ref="O582:P582"/>
    <mergeCell ref="O573:P573"/>
    <mergeCell ref="O574:P574"/>
    <mergeCell ref="O575:P575"/>
    <mergeCell ref="O576:P576"/>
    <mergeCell ref="O577:P577"/>
    <mergeCell ref="O568:P568"/>
    <mergeCell ref="O569:P569"/>
    <mergeCell ref="O570:P570"/>
    <mergeCell ref="O571:P571"/>
    <mergeCell ref="O572:P572"/>
    <mergeCell ref="O563:P563"/>
    <mergeCell ref="O564:P564"/>
    <mergeCell ref="O565:P565"/>
    <mergeCell ref="O566:P566"/>
    <mergeCell ref="O567:P567"/>
    <mergeCell ref="O558:P558"/>
    <mergeCell ref="O559:P559"/>
    <mergeCell ref="O560:P560"/>
    <mergeCell ref="O561:P561"/>
    <mergeCell ref="O562:P562"/>
    <mergeCell ref="O553:P553"/>
    <mergeCell ref="O554:P554"/>
    <mergeCell ref="O555:P555"/>
    <mergeCell ref="O556:P556"/>
    <mergeCell ref="O557:P557"/>
    <mergeCell ref="O548:P548"/>
    <mergeCell ref="O549:P549"/>
    <mergeCell ref="O550:P550"/>
    <mergeCell ref="O551:P551"/>
    <mergeCell ref="O552:P552"/>
    <mergeCell ref="O543:P543"/>
    <mergeCell ref="O544:P544"/>
    <mergeCell ref="O545:P545"/>
    <mergeCell ref="O546:P546"/>
    <mergeCell ref="O547:P547"/>
    <mergeCell ref="O538:P538"/>
    <mergeCell ref="O539:P539"/>
    <mergeCell ref="O540:P540"/>
    <mergeCell ref="O541:P541"/>
    <mergeCell ref="O542:P542"/>
    <mergeCell ref="O533:P533"/>
    <mergeCell ref="O534:P534"/>
    <mergeCell ref="O535:P535"/>
    <mergeCell ref="O536:P536"/>
    <mergeCell ref="O537:P537"/>
    <mergeCell ref="O528:P528"/>
    <mergeCell ref="O529:P529"/>
    <mergeCell ref="O530:P530"/>
    <mergeCell ref="O531:P531"/>
    <mergeCell ref="O532:P532"/>
    <mergeCell ref="O523:P523"/>
    <mergeCell ref="O524:P524"/>
    <mergeCell ref="O525:P525"/>
    <mergeCell ref="O526:P526"/>
    <mergeCell ref="O527:P527"/>
    <mergeCell ref="O518:P518"/>
    <mergeCell ref="O519:P519"/>
    <mergeCell ref="O520:P520"/>
    <mergeCell ref="O521:P521"/>
    <mergeCell ref="O522:P522"/>
    <mergeCell ref="O513:P513"/>
    <mergeCell ref="O514:P514"/>
    <mergeCell ref="O515:P515"/>
    <mergeCell ref="O516:P516"/>
    <mergeCell ref="O517:P517"/>
    <mergeCell ref="O508:P508"/>
    <mergeCell ref="O509:P509"/>
    <mergeCell ref="O510:P510"/>
    <mergeCell ref="O511:P511"/>
    <mergeCell ref="O512:P512"/>
    <mergeCell ref="O503:P503"/>
    <mergeCell ref="O504:P504"/>
    <mergeCell ref="O505:P505"/>
    <mergeCell ref="O506:P506"/>
    <mergeCell ref="O507:P507"/>
    <mergeCell ref="O498:P498"/>
    <mergeCell ref="O499:P499"/>
    <mergeCell ref="O500:P500"/>
    <mergeCell ref="O501:P501"/>
    <mergeCell ref="O502:P502"/>
    <mergeCell ref="O493:P493"/>
    <mergeCell ref="O494:P494"/>
    <mergeCell ref="O495:P495"/>
    <mergeCell ref="O496:P496"/>
    <mergeCell ref="O497:P497"/>
    <mergeCell ref="O488:P488"/>
    <mergeCell ref="O489:P489"/>
    <mergeCell ref="O490:P490"/>
    <mergeCell ref="O491:P491"/>
    <mergeCell ref="O492:P492"/>
    <mergeCell ref="O483:P483"/>
    <mergeCell ref="O484:P484"/>
    <mergeCell ref="O485:P485"/>
    <mergeCell ref="O486:P486"/>
    <mergeCell ref="O487:P487"/>
    <mergeCell ref="O478:P478"/>
    <mergeCell ref="O479:P479"/>
    <mergeCell ref="O480:P480"/>
    <mergeCell ref="O481:P481"/>
    <mergeCell ref="O482:P482"/>
    <mergeCell ref="O473:P473"/>
    <mergeCell ref="O474:P474"/>
    <mergeCell ref="O475:P475"/>
    <mergeCell ref="O476:P476"/>
    <mergeCell ref="O477:P477"/>
    <mergeCell ref="O468:P468"/>
    <mergeCell ref="O469:P469"/>
    <mergeCell ref="O470:P470"/>
    <mergeCell ref="O471:P471"/>
    <mergeCell ref="O472:P472"/>
    <mergeCell ref="O463:P463"/>
    <mergeCell ref="O464:P464"/>
    <mergeCell ref="O465:P465"/>
    <mergeCell ref="O466:P466"/>
    <mergeCell ref="O467:P467"/>
    <mergeCell ref="O458:P458"/>
    <mergeCell ref="O459:P459"/>
    <mergeCell ref="O460:P460"/>
    <mergeCell ref="O461:P461"/>
    <mergeCell ref="O462:P462"/>
    <mergeCell ref="O453:P453"/>
    <mergeCell ref="O454:P454"/>
    <mergeCell ref="O455:P455"/>
    <mergeCell ref="O456:P456"/>
    <mergeCell ref="O457:P457"/>
    <mergeCell ref="O448:P448"/>
    <mergeCell ref="O449:P449"/>
    <mergeCell ref="O450:P450"/>
    <mergeCell ref="O451:P451"/>
    <mergeCell ref="O452:P452"/>
    <mergeCell ref="O443:P443"/>
    <mergeCell ref="O444:P444"/>
    <mergeCell ref="O445:P445"/>
    <mergeCell ref="O446:P446"/>
    <mergeCell ref="O447:P447"/>
    <mergeCell ref="O438:P438"/>
    <mergeCell ref="O439:P439"/>
    <mergeCell ref="O440:P440"/>
    <mergeCell ref="O441:P441"/>
    <mergeCell ref="O442:P442"/>
    <mergeCell ref="O433:P433"/>
    <mergeCell ref="O434:P434"/>
    <mergeCell ref="O435:P435"/>
    <mergeCell ref="O436:P436"/>
    <mergeCell ref="O437:P437"/>
    <mergeCell ref="O428:P428"/>
    <mergeCell ref="O429:P429"/>
    <mergeCell ref="O430:P430"/>
    <mergeCell ref="O431:P431"/>
    <mergeCell ref="O432:P432"/>
    <mergeCell ref="O423:P423"/>
    <mergeCell ref="O424:P424"/>
    <mergeCell ref="O425:P425"/>
    <mergeCell ref="O426:P426"/>
    <mergeCell ref="O427:P427"/>
    <mergeCell ref="O418:P418"/>
    <mergeCell ref="O419:P419"/>
    <mergeCell ref="O420:P420"/>
    <mergeCell ref="O421:P421"/>
    <mergeCell ref="O422:P422"/>
    <mergeCell ref="O413:P413"/>
    <mergeCell ref="O414:P414"/>
    <mergeCell ref="O415:P415"/>
    <mergeCell ref="O416:P416"/>
    <mergeCell ref="O417:P417"/>
    <mergeCell ref="O408:P408"/>
    <mergeCell ref="O409:P409"/>
    <mergeCell ref="O410:P410"/>
    <mergeCell ref="O411:P411"/>
    <mergeCell ref="O412:P412"/>
    <mergeCell ref="O403:P403"/>
    <mergeCell ref="O404:P404"/>
    <mergeCell ref="O405:P405"/>
    <mergeCell ref="O406:P406"/>
    <mergeCell ref="O407:P407"/>
    <mergeCell ref="O398:P398"/>
    <mergeCell ref="O399:P399"/>
    <mergeCell ref="O400:P400"/>
    <mergeCell ref="O401:P401"/>
    <mergeCell ref="O402:P402"/>
    <mergeCell ref="O393:P393"/>
    <mergeCell ref="O394:P394"/>
    <mergeCell ref="O395:P395"/>
    <mergeCell ref="O396:P396"/>
    <mergeCell ref="O397:P397"/>
    <mergeCell ref="O388:P388"/>
    <mergeCell ref="O389:P389"/>
    <mergeCell ref="O390:P390"/>
    <mergeCell ref="O391:P391"/>
    <mergeCell ref="O392:P392"/>
    <mergeCell ref="O383:P383"/>
    <mergeCell ref="O384:P384"/>
    <mergeCell ref="O385:P385"/>
    <mergeCell ref="O386:P386"/>
    <mergeCell ref="O387:P387"/>
    <mergeCell ref="O378:P378"/>
    <mergeCell ref="O379:P379"/>
    <mergeCell ref="O380:P380"/>
    <mergeCell ref="O381:P381"/>
    <mergeCell ref="O382:P382"/>
    <mergeCell ref="O373:P373"/>
    <mergeCell ref="O374:P374"/>
    <mergeCell ref="O375:P375"/>
    <mergeCell ref="O376:P376"/>
    <mergeCell ref="O377:P377"/>
    <mergeCell ref="O368:P368"/>
    <mergeCell ref="O369:P369"/>
    <mergeCell ref="O370:P370"/>
    <mergeCell ref="O371:P371"/>
    <mergeCell ref="O372:P372"/>
    <mergeCell ref="O363:P363"/>
    <mergeCell ref="O364:P364"/>
    <mergeCell ref="O365:P365"/>
    <mergeCell ref="O366:P366"/>
    <mergeCell ref="O367:P367"/>
    <mergeCell ref="O358:P358"/>
    <mergeCell ref="O359:P359"/>
    <mergeCell ref="O360:P360"/>
    <mergeCell ref="O361:P361"/>
    <mergeCell ref="O362:P362"/>
    <mergeCell ref="O353:P353"/>
    <mergeCell ref="O354:P354"/>
    <mergeCell ref="O355:P355"/>
    <mergeCell ref="O356:P356"/>
    <mergeCell ref="O357:P357"/>
    <mergeCell ref="O348:P348"/>
    <mergeCell ref="O349:P349"/>
    <mergeCell ref="O350:P350"/>
    <mergeCell ref="O351:P351"/>
    <mergeCell ref="O352:P352"/>
    <mergeCell ref="O343:P343"/>
    <mergeCell ref="O344:P344"/>
    <mergeCell ref="O345:P345"/>
    <mergeCell ref="O346:P346"/>
    <mergeCell ref="O347:P347"/>
    <mergeCell ref="O338:P338"/>
    <mergeCell ref="O339:P339"/>
    <mergeCell ref="O340:P340"/>
    <mergeCell ref="O341:P341"/>
    <mergeCell ref="O342:P342"/>
    <mergeCell ref="O333:P333"/>
    <mergeCell ref="O334:P334"/>
    <mergeCell ref="O335:P335"/>
    <mergeCell ref="O336:P336"/>
    <mergeCell ref="O337:P337"/>
    <mergeCell ref="O328:P328"/>
    <mergeCell ref="O329:P329"/>
    <mergeCell ref="O330:P330"/>
    <mergeCell ref="O331:P331"/>
    <mergeCell ref="O332:P332"/>
    <mergeCell ref="O323:P323"/>
    <mergeCell ref="O324:P324"/>
    <mergeCell ref="O325:P325"/>
    <mergeCell ref="O326:P326"/>
    <mergeCell ref="O327:P327"/>
    <mergeCell ref="O318:P318"/>
    <mergeCell ref="O319:P319"/>
    <mergeCell ref="O320:P320"/>
    <mergeCell ref="O321:P321"/>
    <mergeCell ref="O322:P322"/>
    <mergeCell ref="O313:P313"/>
    <mergeCell ref="O314:P314"/>
    <mergeCell ref="O315:P315"/>
    <mergeCell ref="O316:P316"/>
    <mergeCell ref="O317:P317"/>
    <mergeCell ref="O308:P308"/>
    <mergeCell ref="O309:P309"/>
    <mergeCell ref="O310:P310"/>
    <mergeCell ref="O311:P311"/>
    <mergeCell ref="O312:P312"/>
    <mergeCell ref="O303:P303"/>
    <mergeCell ref="O304:P304"/>
    <mergeCell ref="O305:P305"/>
    <mergeCell ref="O306:P306"/>
    <mergeCell ref="O307:P307"/>
    <mergeCell ref="O298:P298"/>
    <mergeCell ref="O299:P299"/>
    <mergeCell ref="O300:P300"/>
    <mergeCell ref="O301:P301"/>
    <mergeCell ref="O302:P302"/>
    <mergeCell ref="O293:P293"/>
    <mergeCell ref="O294:P294"/>
    <mergeCell ref="O295:P295"/>
    <mergeCell ref="O296:P296"/>
    <mergeCell ref="O297:P297"/>
    <mergeCell ref="O288:P288"/>
    <mergeCell ref="O289:P289"/>
    <mergeCell ref="O290:P290"/>
    <mergeCell ref="O291:P291"/>
    <mergeCell ref="O292:P292"/>
    <mergeCell ref="O283:P283"/>
    <mergeCell ref="O284:P284"/>
    <mergeCell ref="O285:P285"/>
    <mergeCell ref="O286:P286"/>
    <mergeCell ref="O287:P287"/>
    <mergeCell ref="O278:P278"/>
    <mergeCell ref="O279:P279"/>
    <mergeCell ref="O280:P280"/>
    <mergeCell ref="O281:P281"/>
    <mergeCell ref="O282:P282"/>
    <mergeCell ref="O273:P273"/>
    <mergeCell ref="O274:P274"/>
    <mergeCell ref="O275:P275"/>
    <mergeCell ref="O276:P276"/>
    <mergeCell ref="O277:P277"/>
    <mergeCell ref="O268:P268"/>
    <mergeCell ref="O269:P269"/>
    <mergeCell ref="O270:P270"/>
    <mergeCell ref="O271:P271"/>
    <mergeCell ref="O272:P272"/>
    <mergeCell ref="O263:P263"/>
    <mergeCell ref="O264:P264"/>
    <mergeCell ref="O265:P265"/>
    <mergeCell ref="O266:P266"/>
    <mergeCell ref="O267:P267"/>
    <mergeCell ref="O258:P258"/>
    <mergeCell ref="O259:P259"/>
    <mergeCell ref="O260:P260"/>
    <mergeCell ref="O261:P261"/>
    <mergeCell ref="O262:P262"/>
    <mergeCell ref="O253:P253"/>
    <mergeCell ref="O254:P254"/>
    <mergeCell ref="O255:P255"/>
    <mergeCell ref="O256:P256"/>
    <mergeCell ref="O257:P257"/>
    <mergeCell ref="O248:P248"/>
    <mergeCell ref="O249:P249"/>
    <mergeCell ref="O250:P250"/>
    <mergeCell ref="O251:P251"/>
    <mergeCell ref="O252:P252"/>
    <mergeCell ref="O243:P243"/>
    <mergeCell ref="O244:P244"/>
    <mergeCell ref="O245:P245"/>
    <mergeCell ref="O246:P246"/>
    <mergeCell ref="O247:P247"/>
    <mergeCell ref="O238:P238"/>
    <mergeCell ref="O239:P239"/>
    <mergeCell ref="O240:P240"/>
    <mergeCell ref="O241:P241"/>
    <mergeCell ref="O242:P242"/>
    <mergeCell ref="O233:P233"/>
    <mergeCell ref="O234:P234"/>
    <mergeCell ref="O235:P235"/>
    <mergeCell ref="O236:P236"/>
    <mergeCell ref="O237:P237"/>
    <mergeCell ref="O228:P228"/>
    <mergeCell ref="O229:P229"/>
    <mergeCell ref="O230:P230"/>
    <mergeCell ref="O231:P231"/>
    <mergeCell ref="O232:P232"/>
    <mergeCell ref="O223:P223"/>
    <mergeCell ref="O224:P224"/>
    <mergeCell ref="O225:P225"/>
    <mergeCell ref="O226:P226"/>
    <mergeCell ref="O227:P227"/>
    <mergeCell ref="O218:P218"/>
    <mergeCell ref="O219:P219"/>
    <mergeCell ref="O220:P220"/>
    <mergeCell ref="O221:P221"/>
    <mergeCell ref="O222:P222"/>
    <mergeCell ref="O213:P213"/>
    <mergeCell ref="O214:P214"/>
    <mergeCell ref="O215:P215"/>
    <mergeCell ref="O216:P216"/>
    <mergeCell ref="O217:P217"/>
    <mergeCell ref="O208:P208"/>
    <mergeCell ref="O209:P209"/>
    <mergeCell ref="O210:P210"/>
    <mergeCell ref="O211:P211"/>
    <mergeCell ref="O212:P212"/>
    <mergeCell ref="O203:P203"/>
    <mergeCell ref="O204:P204"/>
    <mergeCell ref="O205:P205"/>
    <mergeCell ref="O206:P206"/>
    <mergeCell ref="O207:P207"/>
    <mergeCell ref="O198:P198"/>
    <mergeCell ref="O199:P199"/>
    <mergeCell ref="O200:P200"/>
    <mergeCell ref="O201:P201"/>
    <mergeCell ref="O202:P202"/>
    <mergeCell ref="O193:P193"/>
    <mergeCell ref="O194:P194"/>
    <mergeCell ref="O195:P195"/>
    <mergeCell ref="O196:P196"/>
    <mergeCell ref="O197:P197"/>
    <mergeCell ref="O188:P188"/>
    <mergeCell ref="O189:P189"/>
    <mergeCell ref="O190:P190"/>
    <mergeCell ref="O191:P191"/>
    <mergeCell ref="O192:P192"/>
    <mergeCell ref="O183:P183"/>
    <mergeCell ref="O184:P184"/>
    <mergeCell ref="O185:P185"/>
    <mergeCell ref="O186:P186"/>
    <mergeCell ref="O187:P187"/>
    <mergeCell ref="O178:P178"/>
    <mergeCell ref="O179:P179"/>
    <mergeCell ref="O180:P180"/>
    <mergeCell ref="O181:P181"/>
    <mergeCell ref="O182:P182"/>
    <mergeCell ref="O173:P173"/>
    <mergeCell ref="O174:P174"/>
    <mergeCell ref="O175:P175"/>
    <mergeCell ref="O176:P176"/>
    <mergeCell ref="O177:P177"/>
    <mergeCell ref="O168:P168"/>
    <mergeCell ref="O169:P169"/>
    <mergeCell ref="O170:P170"/>
    <mergeCell ref="O171:P171"/>
    <mergeCell ref="O172:P172"/>
    <mergeCell ref="O163:P163"/>
    <mergeCell ref="O164:P164"/>
    <mergeCell ref="O165:P165"/>
    <mergeCell ref="O166:P166"/>
    <mergeCell ref="O167:P167"/>
    <mergeCell ref="O158:P158"/>
    <mergeCell ref="O159:P159"/>
    <mergeCell ref="O160:P160"/>
    <mergeCell ref="O161:P161"/>
    <mergeCell ref="O162:P162"/>
    <mergeCell ref="O153:P153"/>
    <mergeCell ref="O154:P154"/>
    <mergeCell ref="O155:P155"/>
    <mergeCell ref="O156:P156"/>
    <mergeCell ref="O157:P157"/>
    <mergeCell ref="O148:P148"/>
    <mergeCell ref="O149:P149"/>
    <mergeCell ref="O150:P150"/>
    <mergeCell ref="O151:P151"/>
    <mergeCell ref="O152:P152"/>
    <mergeCell ref="O143:P143"/>
    <mergeCell ref="O144:P144"/>
    <mergeCell ref="O145:P145"/>
    <mergeCell ref="O146:P146"/>
    <mergeCell ref="O147:P147"/>
    <mergeCell ref="O138:P138"/>
    <mergeCell ref="O139:P139"/>
    <mergeCell ref="O140:P140"/>
    <mergeCell ref="O141:P141"/>
    <mergeCell ref="O142:P142"/>
    <mergeCell ref="O133:P133"/>
    <mergeCell ref="O134:P134"/>
    <mergeCell ref="O135:P135"/>
    <mergeCell ref="O136:P136"/>
    <mergeCell ref="O137:P137"/>
    <mergeCell ref="O128:P128"/>
    <mergeCell ref="O129:P129"/>
    <mergeCell ref="O130:P130"/>
    <mergeCell ref="O131:P131"/>
    <mergeCell ref="O132:P132"/>
    <mergeCell ref="O123:P123"/>
    <mergeCell ref="O124:P124"/>
    <mergeCell ref="O125:P125"/>
    <mergeCell ref="O126:P126"/>
    <mergeCell ref="O127:P127"/>
    <mergeCell ref="O118:P118"/>
    <mergeCell ref="O119:P119"/>
    <mergeCell ref="O120:P120"/>
    <mergeCell ref="O121:P121"/>
    <mergeCell ref="O122:P122"/>
    <mergeCell ref="O113:P113"/>
    <mergeCell ref="O114:P114"/>
    <mergeCell ref="O115:P115"/>
    <mergeCell ref="O116:P116"/>
    <mergeCell ref="O117:P117"/>
    <mergeCell ref="O79:P79"/>
    <mergeCell ref="O80:P80"/>
    <mergeCell ref="O81:P81"/>
    <mergeCell ref="O82:P82"/>
    <mergeCell ref="O73:P73"/>
    <mergeCell ref="O74:P74"/>
    <mergeCell ref="O75:P75"/>
    <mergeCell ref="O76:P76"/>
    <mergeCell ref="O77:P77"/>
    <mergeCell ref="O108:P108"/>
    <mergeCell ref="O109:P109"/>
    <mergeCell ref="O110:P110"/>
    <mergeCell ref="O111:P111"/>
    <mergeCell ref="O112:P112"/>
    <mergeCell ref="O103:P103"/>
    <mergeCell ref="O104:P104"/>
    <mergeCell ref="O105:P105"/>
    <mergeCell ref="O106:P106"/>
    <mergeCell ref="O107:P107"/>
    <mergeCell ref="O98:P98"/>
    <mergeCell ref="O99:P99"/>
    <mergeCell ref="O100:P100"/>
    <mergeCell ref="O101:P101"/>
    <mergeCell ref="O102:P102"/>
    <mergeCell ref="O93:P93"/>
    <mergeCell ref="O94:P94"/>
    <mergeCell ref="O95:P95"/>
    <mergeCell ref="O96:P96"/>
    <mergeCell ref="O97:P97"/>
    <mergeCell ref="O38:P38"/>
    <mergeCell ref="O39:P39"/>
    <mergeCell ref="O40:P40"/>
    <mergeCell ref="O41:P41"/>
    <mergeCell ref="O42:P42"/>
    <mergeCell ref="O35:P35"/>
    <mergeCell ref="O36:P36"/>
    <mergeCell ref="O37:P37"/>
    <mergeCell ref="O63:P63"/>
    <mergeCell ref="O64:P64"/>
    <mergeCell ref="O65:P65"/>
    <mergeCell ref="O66:P66"/>
    <mergeCell ref="O67:P67"/>
    <mergeCell ref="O58:P58"/>
    <mergeCell ref="O59:P59"/>
    <mergeCell ref="O60:P60"/>
    <mergeCell ref="O61:P61"/>
    <mergeCell ref="O62:P62"/>
    <mergeCell ref="O55:P55"/>
    <mergeCell ref="O56:P56"/>
    <mergeCell ref="O57:P57"/>
    <mergeCell ref="F1509:G1509"/>
    <mergeCell ref="F1510:G1510"/>
    <mergeCell ref="F1511:G1511"/>
    <mergeCell ref="F1512:G1512"/>
    <mergeCell ref="F1513:G1513"/>
    <mergeCell ref="F1504:G1504"/>
    <mergeCell ref="O68:P68"/>
    <mergeCell ref="O69:P69"/>
    <mergeCell ref="O70:P70"/>
    <mergeCell ref="O71:P71"/>
    <mergeCell ref="O72:P72"/>
    <mergeCell ref="O48:P48"/>
    <mergeCell ref="O49:P49"/>
    <mergeCell ref="O50:P50"/>
    <mergeCell ref="O51:P51"/>
    <mergeCell ref="O52:P52"/>
    <mergeCell ref="O43:P43"/>
    <mergeCell ref="O44:P44"/>
    <mergeCell ref="O45:P45"/>
    <mergeCell ref="O46:P46"/>
    <mergeCell ref="O47:P47"/>
    <mergeCell ref="O88:P88"/>
    <mergeCell ref="O89:P89"/>
    <mergeCell ref="O90:P90"/>
    <mergeCell ref="O91:P91"/>
    <mergeCell ref="O92:P92"/>
    <mergeCell ref="O83:P83"/>
    <mergeCell ref="O84:P84"/>
    <mergeCell ref="O85:P85"/>
    <mergeCell ref="O86:P86"/>
    <mergeCell ref="O87:P87"/>
    <mergeCell ref="O78:P78"/>
    <mergeCell ref="F1529:G1529"/>
    <mergeCell ref="F1530:G1530"/>
    <mergeCell ref="F1531:G1531"/>
    <mergeCell ref="F1532:G1532"/>
    <mergeCell ref="F1524:G1524"/>
    <mergeCell ref="F1525:G1525"/>
    <mergeCell ref="F1526:G1526"/>
    <mergeCell ref="F1527:G1527"/>
    <mergeCell ref="F1528:G1528"/>
    <mergeCell ref="F1519:G1519"/>
    <mergeCell ref="F1520:G1520"/>
    <mergeCell ref="F1521:G1521"/>
    <mergeCell ref="F1522:G1522"/>
    <mergeCell ref="F1523:G1523"/>
    <mergeCell ref="F1514:G1514"/>
    <mergeCell ref="F1515:G1515"/>
    <mergeCell ref="F1516:G1516"/>
    <mergeCell ref="F1517:G1517"/>
    <mergeCell ref="F1518:G1518"/>
    <mergeCell ref="F1505:G1505"/>
    <mergeCell ref="F1506:G1506"/>
    <mergeCell ref="F1507:G1507"/>
    <mergeCell ref="F1508:G1508"/>
    <mergeCell ref="F1499:G1499"/>
    <mergeCell ref="F1500:G1500"/>
    <mergeCell ref="F1501:G1501"/>
    <mergeCell ref="F1502:G1502"/>
    <mergeCell ref="F1503:G1503"/>
    <mergeCell ref="F1494:G1494"/>
    <mergeCell ref="F1495:G1495"/>
    <mergeCell ref="F1496:G1496"/>
    <mergeCell ref="F1497:G1497"/>
    <mergeCell ref="F1498:G1498"/>
    <mergeCell ref="F1489:G1489"/>
    <mergeCell ref="F1490:G1490"/>
    <mergeCell ref="F1491:G1491"/>
    <mergeCell ref="F1492:G1492"/>
    <mergeCell ref="F1493:G1493"/>
    <mergeCell ref="F1484:G1484"/>
    <mergeCell ref="F1485:G1485"/>
    <mergeCell ref="F1486:G1486"/>
    <mergeCell ref="F1487:G1487"/>
    <mergeCell ref="F1488:G1488"/>
    <mergeCell ref="F1479:G1479"/>
    <mergeCell ref="F1480:G1480"/>
    <mergeCell ref="F1481:G1481"/>
    <mergeCell ref="F1482:G1482"/>
    <mergeCell ref="F1483:G1483"/>
    <mergeCell ref="F1474:G1474"/>
    <mergeCell ref="F1475:G1475"/>
    <mergeCell ref="F1476:G1476"/>
    <mergeCell ref="F1477:G1477"/>
    <mergeCell ref="F1478:G1478"/>
    <mergeCell ref="F1469:G1469"/>
    <mergeCell ref="F1470:G1470"/>
    <mergeCell ref="F1471:G1471"/>
    <mergeCell ref="F1472:G1472"/>
    <mergeCell ref="F1473:G1473"/>
    <mergeCell ref="F1464:G1464"/>
    <mergeCell ref="F1465:G1465"/>
    <mergeCell ref="F1466:G1466"/>
    <mergeCell ref="F1467:G1467"/>
    <mergeCell ref="F1468:G1468"/>
    <mergeCell ref="F1459:G1459"/>
    <mergeCell ref="F1460:G1460"/>
    <mergeCell ref="F1461:G1461"/>
    <mergeCell ref="F1462:G1462"/>
    <mergeCell ref="F1463:G1463"/>
    <mergeCell ref="F1454:G1454"/>
    <mergeCell ref="F1455:G1455"/>
    <mergeCell ref="F1456:G1456"/>
    <mergeCell ref="F1457:G1457"/>
    <mergeCell ref="F1458:G1458"/>
    <mergeCell ref="F1449:G1449"/>
    <mergeCell ref="F1450:G1450"/>
    <mergeCell ref="F1451:G1451"/>
    <mergeCell ref="F1452:G1452"/>
    <mergeCell ref="F1453:G1453"/>
    <mergeCell ref="F1444:G1444"/>
    <mergeCell ref="F1445:G1445"/>
    <mergeCell ref="F1446:G1446"/>
    <mergeCell ref="F1447:G1447"/>
    <mergeCell ref="F1448:G1448"/>
    <mergeCell ref="F1439:G1439"/>
    <mergeCell ref="F1440:G1440"/>
    <mergeCell ref="F1441:G1441"/>
    <mergeCell ref="F1442:G1442"/>
    <mergeCell ref="F1443:G1443"/>
    <mergeCell ref="F1434:G1434"/>
    <mergeCell ref="F1435:G1435"/>
    <mergeCell ref="F1436:G1436"/>
    <mergeCell ref="F1437:G1437"/>
    <mergeCell ref="F1438:G1438"/>
    <mergeCell ref="F1429:G1429"/>
    <mergeCell ref="F1430:G1430"/>
    <mergeCell ref="F1431:G1431"/>
    <mergeCell ref="F1432:G1432"/>
    <mergeCell ref="F1433:G1433"/>
    <mergeCell ref="F1424:G1424"/>
    <mergeCell ref="F1425:G1425"/>
    <mergeCell ref="F1426:G1426"/>
    <mergeCell ref="F1427:G1427"/>
    <mergeCell ref="F1428:G1428"/>
    <mergeCell ref="F1419:G1419"/>
    <mergeCell ref="F1420:G1420"/>
    <mergeCell ref="F1421:G1421"/>
    <mergeCell ref="F1422:G1422"/>
    <mergeCell ref="F1423:G1423"/>
    <mergeCell ref="F1414:G1414"/>
    <mergeCell ref="F1415:G1415"/>
    <mergeCell ref="F1416:G1416"/>
    <mergeCell ref="F1417:G1417"/>
    <mergeCell ref="F1418:G1418"/>
    <mergeCell ref="F1409:G1409"/>
    <mergeCell ref="F1410:G1410"/>
    <mergeCell ref="F1411:G1411"/>
    <mergeCell ref="F1412:G1412"/>
    <mergeCell ref="F1413:G1413"/>
    <mergeCell ref="F1404:G1404"/>
    <mergeCell ref="F1405:G1405"/>
    <mergeCell ref="F1406:G1406"/>
    <mergeCell ref="F1407:G1407"/>
    <mergeCell ref="F1408:G1408"/>
    <mergeCell ref="F1399:G1399"/>
    <mergeCell ref="F1400:G1400"/>
    <mergeCell ref="F1401:G1401"/>
    <mergeCell ref="F1402:G1402"/>
    <mergeCell ref="F1403:G1403"/>
    <mergeCell ref="F1394:G1394"/>
    <mergeCell ref="F1395:G1395"/>
    <mergeCell ref="F1396:G1396"/>
    <mergeCell ref="F1397:G1397"/>
    <mergeCell ref="F1398:G1398"/>
    <mergeCell ref="F1389:G1389"/>
    <mergeCell ref="F1390:G1390"/>
    <mergeCell ref="F1391:G1391"/>
    <mergeCell ref="F1392:G1392"/>
    <mergeCell ref="F1393:G1393"/>
    <mergeCell ref="F1384:G1384"/>
    <mergeCell ref="F1385:G1385"/>
    <mergeCell ref="F1386:G1386"/>
    <mergeCell ref="F1387:G1387"/>
    <mergeCell ref="F1388:G1388"/>
    <mergeCell ref="F1379:G1379"/>
    <mergeCell ref="F1380:G1380"/>
    <mergeCell ref="F1381:G1381"/>
    <mergeCell ref="F1382:G1382"/>
    <mergeCell ref="F1383:G1383"/>
    <mergeCell ref="F1374:G1374"/>
    <mergeCell ref="F1375:G1375"/>
    <mergeCell ref="F1376:G1376"/>
    <mergeCell ref="F1377:G1377"/>
    <mergeCell ref="F1378:G1378"/>
    <mergeCell ref="F1369:G1369"/>
    <mergeCell ref="F1370:G1370"/>
    <mergeCell ref="F1371:G1371"/>
    <mergeCell ref="F1372:G1372"/>
    <mergeCell ref="F1373:G1373"/>
    <mergeCell ref="F1364:G1364"/>
    <mergeCell ref="F1365:G1365"/>
    <mergeCell ref="F1366:G1366"/>
    <mergeCell ref="F1367:G1367"/>
    <mergeCell ref="F1368:G1368"/>
    <mergeCell ref="F1359:G1359"/>
    <mergeCell ref="F1360:G1360"/>
    <mergeCell ref="F1361:G1361"/>
    <mergeCell ref="F1362:G1362"/>
    <mergeCell ref="F1363:G1363"/>
    <mergeCell ref="F1354:G1354"/>
    <mergeCell ref="F1355:G1355"/>
    <mergeCell ref="F1356:G1356"/>
    <mergeCell ref="F1357:G1357"/>
    <mergeCell ref="F1358:G1358"/>
    <mergeCell ref="F1349:G1349"/>
    <mergeCell ref="F1350:G1350"/>
    <mergeCell ref="F1351:G1351"/>
    <mergeCell ref="F1352:G1352"/>
    <mergeCell ref="F1353:G1353"/>
    <mergeCell ref="F1344:G1344"/>
    <mergeCell ref="F1345:G1345"/>
    <mergeCell ref="F1346:G1346"/>
    <mergeCell ref="F1347:G1347"/>
    <mergeCell ref="F1348:G1348"/>
    <mergeCell ref="F1339:G1339"/>
    <mergeCell ref="F1340:G1340"/>
    <mergeCell ref="F1341:G1341"/>
    <mergeCell ref="F1342:G1342"/>
    <mergeCell ref="F1343:G1343"/>
    <mergeCell ref="F1334:G1334"/>
    <mergeCell ref="F1335:G1335"/>
    <mergeCell ref="F1336:G1336"/>
    <mergeCell ref="F1337:G1337"/>
    <mergeCell ref="F1338:G1338"/>
    <mergeCell ref="F1329:G1329"/>
    <mergeCell ref="F1330:G1330"/>
    <mergeCell ref="F1331:G1331"/>
    <mergeCell ref="F1332:G1332"/>
    <mergeCell ref="F1333:G1333"/>
    <mergeCell ref="F1324:G1324"/>
    <mergeCell ref="F1325:G1325"/>
    <mergeCell ref="F1326:G1326"/>
    <mergeCell ref="F1327:G1327"/>
    <mergeCell ref="F1328:G1328"/>
    <mergeCell ref="F1319:G1319"/>
    <mergeCell ref="F1320:G1320"/>
    <mergeCell ref="F1321:G1321"/>
    <mergeCell ref="F1322:G1322"/>
    <mergeCell ref="F1323:G1323"/>
    <mergeCell ref="F1314:G1314"/>
    <mergeCell ref="F1315:G1315"/>
    <mergeCell ref="F1316:G1316"/>
    <mergeCell ref="F1317:G1317"/>
    <mergeCell ref="F1318:G1318"/>
    <mergeCell ref="F1309:G1309"/>
    <mergeCell ref="F1310:G1310"/>
    <mergeCell ref="F1311:G1311"/>
    <mergeCell ref="F1312:G1312"/>
    <mergeCell ref="F1313:G1313"/>
    <mergeCell ref="F1304:G1304"/>
    <mergeCell ref="F1305:G1305"/>
    <mergeCell ref="F1306:G1306"/>
    <mergeCell ref="F1307:G1307"/>
    <mergeCell ref="F1308:G1308"/>
    <mergeCell ref="F1299:G1299"/>
    <mergeCell ref="F1300:G1300"/>
    <mergeCell ref="F1301:G1301"/>
    <mergeCell ref="F1302:G1302"/>
    <mergeCell ref="F1303:G1303"/>
    <mergeCell ref="F1294:G1294"/>
    <mergeCell ref="F1295:G1295"/>
    <mergeCell ref="F1296:G1296"/>
    <mergeCell ref="F1297:G1297"/>
    <mergeCell ref="F1298:G1298"/>
    <mergeCell ref="F1289:G1289"/>
    <mergeCell ref="F1290:G1290"/>
    <mergeCell ref="F1291:G1291"/>
    <mergeCell ref="F1292:G1292"/>
    <mergeCell ref="F1293:G1293"/>
    <mergeCell ref="F1284:G1284"/>
    <mergeCell ref="F1285:G1285"/>
    <mergeCell ref="F1286:G1286"/>
    <mergeCell ref="F1287:G1287"/>
    <mergeCell ref="F1288:G1288"/>
    <mergeCell ref="F1279:G1279"/>
    <mergeCell ref="F1280:G1280"/>
    <mergeCell ref="F1281:G1281"/>
    <mergeCell ref="F1282:G1282"/>
    <mergeCell ref="F1283:G1283"/>
    <mergeCell ref="F1274:G1274"/>
    <mergeCell ref="F1275:G1275"/>
    <mergeCell ref="F1276:G1276"/>
    <mergeCell ref="F1277:G1277"/>
    <mergeCell ref="F1278:G1278"/>
    <mergeCell ref="F1269:G1269"/>
    <mergeCell ref="F1270:G1270"/>
    <mergeCell ref="F1271:G1271"/>
    <mergeCell ref="F1272:G1272"/>
    <mergeCell ref="F1273:G1273"/>
    <mergeCell ref="F1264:G1264"/>
    <mergeCell ref="F1265:G1265"/>
    <mergeCell ref="F1266:G1266"/>
    <mergeCell ref="F1267:G1267"/>
    <mergeCell ref="F1268:G1268"/>
    <mergeCell ref="F1259:G1259"/>
    <mergeCell ref="F1260:G1260"/>
    <mergeCell ref="F1261:G1261"/>
    <mergeCell ref="F1262:G1262"/>
    <mergeCell ref="F1263:G1263"/>
    <mergeCell ref="F1254:G1254"/>
    <mergeCell ref="F1255:G1255"/>
    <mergeCell ref="F1256:G1256"/>
    <mergeCell ref="F1257:G1257"/>
    <mergeCell ref="F1258:G1258"/>
    <mergeCell ref="F1249:G1249"/>
    <mergeCell ref="F1250:G1250"/>
    <mergeCell ref="F1251:G1251"/>
    <mergeCell ref="F1252:G1252"/>
    <mergeCell ref="F1253:G1253"/>
    <mergeCell ref="F1244:G1244"/>
    <mergeCell ref="F1245:G1245"/>
    <mergeCell ref="F1246:G1246"/>
    <mergeCell ref="F1247:G1247"/>
    <mergeCell ref="F1248:G1248"/>
    <mergeCell ref="F1239:G1239"/>
    <mergeCell ref="F1240:G1240"/>
    <mergeCell ref="F1241:G1241"/>
    <mergeCell ref="F1242:G1242"/>
    <mergeCell ref="F1243:G1243"/>
    <mergeCell ref="F1234:G1234"/>
    <mergeCell ref="F1235:G1235"/>
    <mergeCell ref="F1236:G1236"/>
    <mergeCell ref="F1237:G1237"/>
    <mergeCell ref="F1238:G1238"/>
    <mergeCell ref="F1229:G1229"/>
    <mergeCell ref="F1230:G1230"/>
    <mergeCell ref="F1231:G1231"/>
    <mergeCell ref="F1232:G1232"/>
    <mergeCell ref="F1233:G1233"/>
    <mergeCell ref="F1224:G1224"/>
    <mergeCell ref="F1225:G1225"/>
    <mergeCell ref="F1226:G1226"/>
    <mergeCell ref="F1227:G1227"/>
    <mergeCell ref="F1228:G1228"/>
    <mergeCell ref="F1219:G1219"/>
    <mergeCell ref="F1220:G1220"/>
    <mergeCell ref="F1221:G1221"/>
    <mergeCell ref="F1222:G1222"/>
    <mergeCell ref="F1223:G1223"/>
    <mergeCell ref="F1214:G1214"/>
    <mergeCell ref="F1215:G1215"/>
    <mergeCell ref="F1216:G1216"/>
    <mergeCell ref="F1217:G1217"/>
    <mergeCell ref="F1218:G1218"/>
    <mergeCell ref="F1209:G1209"/>
    <mergeCell ref="F1210:G1210"/>
    <mergeCell ref="F1211:G1211"/>
    <mergeCell ref="F1212:G1212"/>
    <mergeCell ref="F1213:G1213"/>
    <mergeCell ref="F1204:G1204"/>
    <mergeCell ref="F1205:G1205"/>
    <mergeCell ref="F1206:G1206"/>
    <mergeCell ref="F1207:G1207"/>
    <mergeCell ref="F1208:G1208"/>
    <mergeCell ref="F1199:G1199"/>
    <mergeCell ref="F1200:G1200"/>
    <mergeCell ref="F1201:G1201"/>
    <mergeCell ref="F1202:G1202"/>
    <mergeCell ref="F1203:G1203"/>
    <mergeCell ref="F1194:G1194"/>
    <mergeCell ref="F1195:G1195"/>
    <mergeCell ref="F1196:G1196"/>
    <mergeCell ref="F1197:G1197"/>
    <mergeCell ref="F1198:G1198"/>
    <mergeCell ref="F1189:G1189"/>
    <mergeCell ref="F1190:G1190"/>
    <mergeCell ref="F1191:G1191"/>
    <mergeCell ref="F1192:G1192"/>
    <mergeCell ref="F1193:G1193"/>
    <mergeCell ref="F1184:G1184"/>
    <mergeCell ref="F1185:G1185"/>
    <mergeCell ref="F1186:G1186"/>
    <mergeCell ref="F1187:G1187"/>
    <mergeCell ref="F1188:G1188"/>
    <mergeCell ref="F1179:G1179"/>
    <mergeCell ref="F1180:G1180"/>
    <mergeCell ref="F1181:G1181"/>
    <mergeCell ref="F1182:G1182"/>
    <mergeCell ref="F1183:G1183"/>
    <mergeCell ref="F1174:G1174"/>
    <mergeCell ref="F1175:G1175"/>
    <mergeCell ref="F1176:G1176"/>
    <mergeCell ref="F1177:G1177"/>
    <mergeCell ref="F1178:G1178"/>
    <mergeCell ref="F1169:G1169"/>
    <mergeCell ref="F1170:G1170"/>
    <mergeCell ref="F1171:G1171"/>
    <mergeCell ref="F1172:G1172"/>
    <mergeCell ref="F1173:G1173"/>
    <mergeCell ref="F1164:G1164"/>
    <mergeCell ref="F1165:G1165"/>
    <mergeCell ref="F1166:G1166"/>
    <mergeCell ref="F1167:G1167"/>
    <mergeCell ref="F1168:G1168"/>
    <mergeCell ref="F1159:G1159"/>
    <mergeCell ref="F1160:G1160"/>
    <mergeCell ref="F1161:G1161"/>
    <mergeCell ref="F1162:G1162"/>
    <mergeCell ref="F1163:G1163"/>
    <mergeCell ref="F1154:G1154"/>
    <mergeCell ref="F1155:G1155"/>
    <mergeCell ref="F1156:G1156"/>
    <mergeCell ref="F1157:G1157"/>
    <mergeCell ref="F1158:G1158"/>
    <mergeCell ref="F1149:G1149"/>
    <mergeCell ref="F1150:G1150"/>
    <mergeCell ref="F1151:G1151"/>
    <mergeCell ref="F1152:G1152"/>
    <mergeCell ref="F1153:G1153"/>
    <mergeCell ref="F1144:G1144"/>
    <mergeCell ref="F1145:G1145"/>
    <mergeCell ref="F1146:G1146"/>
    <mergeCell ref="F1147:G1147"/>
    <mergeCell ref="F1148:G1148"/>
    <mergeCell ref="F1139:G1139"/>
    <mergeCell ref="F1140:G1140"/>
    <mergeCell ref="F1141:G1141"/>
    <mergeCell ref="F1142:G1142"/>
    <mergeCell ref="F1143:G1143"/>
    <mergeCell ref="F1134:G1134"/>
    <mergeCell ref="F1135:G1135"/>
    <mergeCell ref="F1136:G1136"/>
    <mergeCell ref="F1137:G1137"/>
    <mergeCell ref="F1138:G1138"/>
    <mergeCell ref="F1129:G1129"/>
    <mergeCell ref="F1130:G1130"/>
    <mergeCell ref="F1131:G1131"/>
    <mergeCell ref="F1132:G1132"/>
    <mergeCell ref="F1133:G1133"/>
    <mergeCell ref="F1124:G1124"/>
    <mergeCell ref="F1125:G1125"/>
    <mergeCell ref="F1126:G1126"/>
    <mergeCell ref="F1127:G1127"/>
    <mergeCell ref="F1128:G1128"/>
    <mergeCell ref="F1119:G1119"/>
    <mergeCell ref="F1120:G1120"/>
    <mergeCell ref="F1121:G1121"/>
    <mergeCell ref="F1122:G1122"/>
    <mergeCell ref="F1123:G1123"/>
    <mergeCell ref="F1114:G1114"/>
    <mergeCell ref="F1115:G1115"/>
    <mergeCell ref="F1116:G1116"/>
    <mergeCell ref="F1117:G1117"/>
    <mergeCell ref="F1118:G1118"/>
    <mergeCell ref="F1109:G1109"/>
    <mergeCell ref="F1110:G1110"/>
    <mergeCell ref="F1111:G1111"/>
    <mergeCell ref="F1112:G1112"/>
    <mergeCell ref="F1113:G1113"/>
    <mergeCell ref="F1104:G1104"/>
    <mergeCell ref="F1105:G1105"/>
    <mergeCell ref="F1106:G1106"/>
    <mergeCell ref="F1107:G1107"/>
    <mergeCell ref="F1108:G1108"/>
    <mergeCell ref="F1099:G1099"/>
    <mergeCell ref="F1100:G1100"/>
    <mergeCell ref="F1101:G1101"/>
    <mergeCell ref="F1102:G1102"/>
    <mergeCell ref="F1103:G1103"/>
    <mergeCell ref="F1094:G1094"/>
    <mergeCell ref="F1095:G1095"/>
    <mergeCell ref="F1096:G1096"/>
    <mergeCell ref="F1097:G1097"/>
    <mergeCell ref="F1098:G1098"/>
    <mergeCell ref="F1089:G1089"/>
    <mergeCell ref="F1090:G1090"/>
    <mergeCell ref="F1091:G1091"/>
    <mergeCell ref="F1092:G1092"/>
    <mergeCell ref="F1093:G1093"/>
    <mergeCell ref="F1084:G1084"/>
    <mergeCell ref="F1085:G1085"/>
    <mergeCell ref="F1086:G1086"/>
    <mergeCell ref="F1087:G1087"/>
    <mergeCell ref="F1088:G1088"/>
    <mergeCell ref="F1079:G1079"/>
    <mergeCell ref="F1080:G1080"/>
    <mergeCell ref="F1081:G1081"/>
    <mergeCell ref="F1082:G1082"/>
    <mergeCell ref="F1083:G1083"/>
    <mergeCell ref="F1074:G1074"/>
    <mergeCell ref="F1075:G1075"/>
    <mergeCell ref="F1076:G1076"/>
    <mergeCell ref="F1077:G1077"/>
    <mergeCell ref="F1078:G1078"/>
    <mergeCell ref="F1069:G1069"/>
    <mergeCell ref="F1070:G1070"/>
    <mergeCell ref="F1071:G1071"/>
    <mergeCell ref="F1072:G1072"/>
    <mergeCell ref="F1073:G1073"/>
    <mergeCell ref="F1064:G1064"/>
    <mergeCell ref="F1065:G1065"/>
    <mergeCell ref="F1066:G1066"/>
    <mergeCell ref="F1067:G1067"/>
    <mergeCell ref="F1068:G1068"/>
    <mergeCell ref="F1059:G1059"/>
    <mergeCell ref="F1060:G1060"/>
    <mergeCell ref="F1061:G1061"/>
    <mergeCell ref="F1062:G1062"/>
    <mergeCell ref="F1063:G1063"/>
    <mergeCell ref="F1054:G1054"/>
    <mergeCell ref="F1055:G1055"/>
    <mergeCell ref="F1056:G1056"/>
    <mergeCell ref="F1057:G1057"/>
    <mergeCell ref="F1058:G1058"/>
    <mergeCell ref="F1049:G1049"/>
    <mergeCell ref="F1050:G1050"/>
    <mergeCell ref="F1051:G1051"/>
    <mergeCell ref="F1052:G1052"/>
    <mergeCell ref="F1053:G1053"/>
    <mergeCell ref="F1044:G1044"/>
    <mergeCell ref="F1045:G1045"/>
    <mergeCell ref="F1046:G1046"/>
    <mergeCell ref="F1047:G1047"/>
    <mergeCell ref="F1048:G1048"/>
    <mergeCell ref="F1039:G1039"/>
    <mergeCell ref="F1040:G1040"/>
    <mergeCell ref="F1041:G1041"/>
    <mergeCell ref="F1042:G1042"/>
    <mergeCell ref="F1043:G1043"/>
    <mergeCell ref="F1034:G1034"/>
    <mergeCell ref="F1035:G1035"/>
    <mergeCell ref="F1036:G1036"/>
    <mergeCell ref="F1037:G1037"/>
    <mergeCell ref="F1038:G1038"/>
    <mergeCell ref="F1029:G1029"/>
    <mergeCell ref="F1030:G1030"/>
    <mergeCell ref="F1031:G1031"/>
    <mergeCell ref="F1032:G1032"/>
    <mergeCell ref="F1033:G1033"/>
    <mergeCell ref="F1024:G1024"/>
    <mergeCell ref="F1025:G1025"/>
    <mergeCell ref="F1026:G1026"/>
    <mergeCell ref="F1027:G1027"/>
    <mergeCell ref="F1028:G1028"/>
    <mergeCell ref="F1019:G1019"/>
    <mergeCell ref="F1020:G1020"/>
    <mergeCell ref="F1021:G1021"/>
    <mergeCell ref="F1022:G1022"/>
    <mergeCell ref="F1023:G1023"/>
    <mergeCell ref="F1014:G1014"/>
    <mergeCell ref="F1015:G1015"/>
    <mergeCell ref="F1016:G1016"/>
    <mergeCell ref="F1017:G1017"/>
    <mergeCell ref="F1018:G1018"/>
    <mergeCell ref="F1009:G1009"/>
    <mergeCell ref="F1010:G1010"/>
    <mergeCell ref="F1011:G1011"/>
    <mergeCell ref="F1012:G1012"/>
    <mergeCell ref="F1013:G1013"/>
    <mergeCell ref="F1004:G1004"/>
    <mergeCell ref="F1005:G1005"/>
    <mergeCell ref="F1006:G1006"/>
    <mergeCell ref="F1007:G1007"/>
    <mergeCell ref="F1008:G1008"/>
    <mergeCell ref="F999:G999"/>
    <mergeCell ref="F1000:G1000"/>
    <mergeCell ref="F1001:G1001"/>
    <mergeCell ref="F1002:G1002"/>
    <mergeCell ref="F1003:G1003"/>
    <mergeCell ref="F994:G994"/>
    <mergeCell ref="F995:G995"/>
    <mergeCell ref="F996:G996"/>
    <mergeCell ref="F997:G997"/>
    <mergeCell ref="F998:G998"/>
    <mergeCell ref="F989:G989"/>
    <mergeCell ref="F990:G990"/>
    <mergeCell ref="F991:G991"/>
    <mergeCell ref="F992:G992"/>
    <mergeCell ref="F993:G993"/>
    <mergeCell ref="F984:G984"/>
    <mergeCell ref="F985:G985"/>
    <mergeCell ref="F986:G986"/>
    <mergeCell ref="F987:G987"/>
    <mergeCell ref="F988:G988"/>
    <mergeCell ref="F979:G979"/>
    <mergeCell ref="F980:G980"/>
    <mergeCell ref="F981:G981"/>
    <mergeCell ref="F982:G982"/>
    <mergeCell ref="F983:G983"/>
    <mergeCell ref="F974:G974"/>
    <mergeCell ref="F975:G975"/>
    <mergeCell ref="F976:G976"/>
    <mergeCell ref="F977:G977"/>
    <mergeCell ref="F978:G978"/>
    <mergeCell ref="F969:G969"/>
    <mergeCell ref="F970:G970"/>
    <mergeCell ref="F971:G971"/>
    <mergeCell ref="F972:G972"/>
    <mergeCell ref="F973:G973"/>
    <mergeCell ref="F964:G964"/>
    <mergeCell ref="F965:G965"/>
    <mergeCell ref="F966:G966"/>
    <mergeCell ref="F967:G967"/>
    <mergeCell ref="F968:G968"/>
    <mergeCell ref="F959:G959"/>
    <mergeCell ref="F960:G960"/>
    <mergeCell ref="F961:G961"/>
    <mergeCell ref="F962:G962"/>
    <mergeCell ref="F963:G963"/>
    <mergeCell ref="F954:G954"/>
    <mergeCell ref="F955:G955"/>
    <mergeCell ref="F956:G956"/>
    <mergeCell ref="F957:G957"/>
    <mergeCell ref="F958:G958"/>
    <mergeCell ref="F949:G949"/>
    <mergeCell ref="F950:G950"/>
    <mergeCell ref="F951:G951"/>
    <mergeCell ref="F952:G952"/>
    <mergeCell ref="F953:G953"/>
    <mergeCell ref="F944:G944"/>
    <mergeCell ref="F945:G945"/>
    <mergeCell ref="F946:G946"/>
    <mergeCell ref="F947:G947"/>
    <mergeCell ref="F948:G948"/>
    <mergeCell ref="F939:G939"/>
    <mergeCell ref="F940:G940"/>
    <mergeCell ref="F941:G941"/>
    <mergeCell ref="F942:G942"/>
    <mergeCell ref="F943:G943"/>
    <mergeCell ref="F934:G934"/>
    <mergeCell ref="F935:G935"/>
    <mergeCell ref="F936:G936"/>
    <mergeCell ref="F937:G937"/>
    <mergeCell ref="F938:G938"/>
    <mergeCell ref="F929:G929"/>
    <mergeCell ref="F930:G930"/>
    <mergeCell ref="F931:G931"/>
    <mergeCell ref="F932:G932"/>
    <mergeCell ref="F933:G933"/>
    <mergeCell ref="F924:G924"/>
    <mergeCell ref="F925:G925"/>
    <mergeCell ref="F926:G926"/>
    <mergeCell ref="F927:G927"/>
    <mergeCell ref="F928:G928"/>
    <mergeCell ref="F919:G919"/>
    <mergeCell ref="F920:G920"/>
    <mergeCell ref="F921:G921"/>
    <mergeCell ref="F922:G922"/>
    <mergeCell ref="F923:G923"/>
    <mergeCell ref="F914:G914"/>
    <mergeCell ref="F915:G915"/>
    <mergeCell ref="F916:G916"/>
    <mergeCell ref="F917:G917"/>
    <mergeCell ref="F918:G918"/>
    <mergeCell ref="F909:G909"/>
    <mergeCell ref="F910:G910"/>
    <mergeCell ref="F911:G911"/>
    <mergeCell ref="F912:G912"/>
    <mergeCell ref="F913:G913"/>
    <mergeCell ref="F904:G904"/>
    <mergeCell ref="F905:G905"/>
    <mergeCell ref="F906:G906"/>
    <mergeCell ref="F907:G907"/>
    <mergeCell ref="F908:G908"/>
    <mergeCell ref="F899:G899"/>
    <mergeCell ref="F900:G900"/>
    <mergeCell ref="F901:G901"/>
    <mergeCell ref="F902:G902"/>
    <mergeCell ref="F903:G903"/>
    <mergeCell ref="F894:G894"/>
    <mergeCell ref="F895:G895"/>
    <mergeCell ref="F896:G896"/>
    <mergeCell ref="F897:G897"/>
    <mergeCell ref="F898:G898"/>
    <mergeCell ref="F889:G889"/>
    <mergeCell ref="F890:G890"/>
    <mergeCell ref="F891:G891"/>
    <mergeCell ref="F892:G892"/>
    <mergeCell ref="F893:G893"/>
    <mergeCell ref="F884:G884"/>
    <mergeCell ref="F885:G885"/>
    <mergeCell ref="F886:G886"/>
    <mergeCell ref="F887:G887"/>
    <mergeCell ref="F888:G888"/>
    <mergeCell ref="F879:G879"/>
    <mergeCell ref="F880:G880"/>
    <mergeCell ref="F881:G881"/>
    <mergeCell ref="F882:G882"/>
    <mergeCell ref="F883:G883"/>
    <mergeCell ref="F874:G874"/>
    <mergeCell ref="F875:G875"/>
    <mergeCell ref="F876:G876"/>
    <mergeCell ref="F877:G877"/>
    <mergeCell ref="F878:G878"/>
    <mergeCell ref="F869:G869"/>
    <mergeCell ref="F870:G870"/>
    <mergeCell ref="F871:G871"/>
    <mergeCell ref="F872:G872"/>
    <mergeCell ref="F873:G873"/>
    <mergeCell ref="F864:G864"/>
    <mergeCell ref="F865:G865"/>
    <mergeCell ref="F866:G866"/>
    <mergeCell ref="F867:G867"/>
    <mergeCell ref="F868:G868"/>
    <mergeCell ref="F859:G859"/>
    <mergeCell ref="F860:G860"/>
    <mergeCell ref="F861:G861"/>
    <mergeCell ref="F862:G862"/>
    <mergeCell ref="F863:G863"/>
    <mergeCell ref="F854:G854"/>
    <mergeCell ref="F855:G855"/>
    <mergeCell ref="F856:G856"/>
    <mergeCell ref="F857:G857"/>
    <mergeCell ref="F858:G858"/>
    <mergeCell ref="F849:G849"/>
    <mergeCell ref="F850:G850"/>
    <mergeCell ref="F851:G851"/>
    <mergeCell ref="F852:G852"/>
    <mergeCell ref="F853:G853"/>
    <mergeCell ref="F844:G844"/>
    <mergeCell ref="F845:G845"/>
    <mergeCell ref="F846:G846"/>
    <mergeCell ref="F847:G847"/>
    <mergeCell ref="F848:G848"/>
    <mergeCell ref="F839:G839"/>
    <mergeCell ref="F840:G840"/>
    <mergeCell ref="F841:G841"/>
    <mergeCell ref="F842:G842"/>
    <mergeCell ref="F843:G843"/>
    <mergeCell ref="F834:G834"/>
    <mergeCell ref="F835:G835"/>
    <mergeCell ref="F836:G836"/>
    <mergeCell ref="F837:G837"/>
    <mergeCell ref="F838:G838"/>
    <mergeCell ref="F829:G829"/>
    <mergeCell ref="F830:G830"/>
    <mergeCell ref="F831:G831"/>
    <mergeCell ref="F832:G832"/>
    <mergeCell ref="F833:G833"/>
    <mergeCell ref="F824:G824"/>
    <mergeCell ref="F825:G825"/>
    <mergeCell ref="F826:G826"/>
    <mergeCell ref="F827:G827"/>
    <mergeCell ref="F828:G828"/>
    <mergeCell ref="F819:G819"/>
    <mergeCell ref="F820:G820"/>
    <mergeCell ref="F821:G821"/>
    <mergeCell ref="F822:G822"/>
    <mergeCell ref="F823:G823"/>
    <mergeCell ref="F814:G814"/>
    <mergeCell ref="F815:G815"/>
    <mergeCell ref="F816:G816"/>
    <mergeCell ref="F817:G817"/>
    <mergeCell ref="F818:G818"/>
    <mergeCell ref="F809:G809"/>
    <mergeCell ref="F810:G810"/>
    <mergeCell ref="F811:G811"/>
    <mergeCell ref="F812:G812"/>
    <mergeCell ref="F813:G813"/>
    <mergeCell ref="F804:G804"/>
    <mergeCell ref="F805:G805"/>
    <mergeCell ref="F806:G806"/>
    <mergeCell ref="F807:G807"/>
    <mergeCell ref="F808:G808"/>
    <mergeCell ref="F799:G799"/>
    <mergeCell ref="F800:G800"/>
    <mergeCell ref="F801:G801"/>
    <mergeCell ref="F802:G802"/>
    <mergeCell ref="F803:G803"/>
    <mergeCell ref="F794:G794"/>
    <mergeCell ref="F795:G795"/>
    <mergeCell ref="F796:G796"/>
    <mergeCell ref="F797:G797"/>
    <mergeCell ref="F798:G798"/>
    <mergeCell ref="F789:G789"/>
    <mergeCell ref="F790:G790"/>
    <mergeCell ref="F791:G791"/>
    <mergeCell ref="F792:G792"/>
    <mergeCell ref="F793:G793"/>
    <mergeCell ref="F784:G784"/>
    <mergeCell ref="F785:G785"/>
    <mergeCell ref="F786:G786"/>
    <mergeCell ref="F787:G787"/>
    <mergeCell ref="F788:G788"/>
    <mergeCell ref="F779:G779"/>
    <mergeCell ref="F780:G780"/>
    <mergeCell ref="F781:G781"/>
    <mergeCell ref="F782:G782"/>
    <mergeCell ref="F783:G783"/>
    <mergeCell ref="F774:G774"/>
    <mergeCell ref="F775:G775"/>
    <mergeCell ref="F776:G776"/>
    <mergeCell ref="F777:G777"/>
    <mergeCell ref="F778:G778"/>
    <mergeCell ref="F769:G769"/>
    <mergeCell ref="F770:G770"/>
    <mergeCell ref="F771:G771"/>
    <mergeCell ref="F772:G772"/>
    <mergeCell ref="F773:G773"/>
    <mergeCell ref="F764:G764"/>
    <mergeCell ref="F765:G765"/>
    <mergeCell ref="F766:G766"/>
    <mergeCell ref="F767:G767"/>
    <mergeCell ref="F768:G768"/>
    <mergeCell ref="F759:G759"/>
    <mergeCell ref="F760:G760"/>
    <mergeCell ref="F761:G761"/>
    <mergeCell ref="F762:G762"/>
    <mergeCell ref="F763:G763"/>
    <mergeCell ref="F754:G754"/>
    <mergeCell ref="F755:G755"/>
    <mergeCell ref="F756:G756"/>
    <mergeCell ref="F757:G757"/>
    <mergeCell ref="F758:G758"/>
    <mergeCell ref="F749:G749"/>
    <mergeCell ref="F750:G750"/>
    <mergeCell ref="F751:G751"/>
    <mergeCell ref="F752:G752"/>
    <mergeCell ref="F753:G753"/>
    <mergeCell ref="F744:G744"/>
    <mergeCell ref="F745:G745"/>
    <mergeCell ref="F746:G746"/>
    <mergeCell ref="F747:G747"/>
    <mergeCell ref="F748:G748"/>
    <mergeCell ref="F739:G739"/>
    <mergeCell ref="F740:G740"/>
    <mergeCell ref="F741:G741"/>
    <mergeCell ref="F742:G742"/>
    <mergeCell ref="F743:G743"/>
    <mergeCell ref="F734:G734"/>
    <mergeCell ref="F735:G735"/>
    <mergeCell ref="F736:G736"/>
    <mergeCell ref="F737:G737"/>
    <mergeCell ref="F738:G738"/>
    <mergeCell ref="F729:G729"/>
    <mergeCell ref="F730:G730"/>
    <mergeCell ref="F731:G731"/>
    <mergeCell ref="F732:G732"/>
    <mergeCell ref="F733:G733"/>
    <mergeCell ref="F724:G724"/>
    <mergeCell ref="F725:G725"/>
    <mergeCell ref="F726:G726"/>
    <mergeCell ref="F727:G727"/>
    <mergeCell ref="F728:G728"/>
    <mergeCell ref="F719:G719"/>
    <mergeCell ref="F720:G720"/>
    <mergeCell ref="F721:G721"/>
    <mergeCell ref="F722:G722"/>
    <mergeCell ref="F723:G723"/>
    <mergeCell ref="F714:G714"/>
    <mergeCell ref="F715:G715"/>
    <mergeCell ref="F716:G716"/>
    <mergeCell ref="F717:G717"/>
    <mergeCell ref="F718:G718"/>
    <mergeCell ref="F709:G709"/>
    <mergeCell ref="F710:G710"/>
    <mergeCell ref="F711:G711"/>
    <mergeCell ref="F712:G712"/>
    <mergeCell ref="F713:G713"/>
    <mergeCell ref="F704:G704"/>
    <mergeCell ref="F705:G705"/>
    <mergeCell ref="F706:G706"/>
    <mergeCell ref="F707:G707"/>
    <mergeCell ref="F708:G708"/>
    <mergeCell ref="F699:G699"/>
    <mergeCell ref="F700:G700"/>
    <mergeCell ref="F701:G701"/>
    <mergeCell ref="F702:G702"/>
    <mergeCell ref="F703:G703"/>
    <mergeCell ref="F694:G694"/>
    <mergeCell ref="F695:G695"/>
    <mergeCell ref="F696:G696"/>
    <mergeCell ref="F697:G697"/>
    <mergeCell ref="F698:G698"/>
    <mergeCell ref="F689:G689"/>
    <mergeCell ref="F690:G690"/>
    <mergeCell ref="F691:G691"/>
    <mergeCell ref="F692:G692"/>
    <mergeCell ref="F693:G693"/>
    <mergeCell ref="F684:G684"/>
    <mergeCell ref="F685:G685"/>
    <mergeCell ref="F686:G686"/>
    <mergeCell ref="F687:G687"/>
    <mergeCell ref="F688:G688"/>
    <mergeCell ref="F679:G679"/>
    <mergeCell ref="F680:G680"/>
    <mergeCell ref="F681:G681"/>
    <mergeCell ref="F682:G682"/>
    <mergeCell ref="F683:G683"/>
    <mergeCell ref="F674:G674"/>
    <mergeCell ref="F675:G675"/>
    <mergeCell ref="F676:G676"/>
    <mergeCell ref="F677:G677"/>
    <mergeCell ref="F678:G678"/>
    <mergeCell ref="F669:G669"/>
    <mergeCell ref="F670:G670"/>
    <mergeCell ref="F671:G671"/>
    <mergeCell ref="F672:G672"/>
    <mergeCell ref="F673:G673"/>
    <mergeCell ref="F664:G664"/>
    <mergeCell ref="F665:G665"/>
    <mergeCell ref="F666:G666"/>
    <mergeCell ref="F667:G667"/>
    <mergeCell ref="F668:G668"/>
    <mergeCell ref="F659:G659"/>
    <mergeCell ref="F660:G660"/>
    <mergeCell ref="F661:G661"/>
    <mergeCell ref="F662:G662"/>
    <mergeCell ref="F663:G663"/>
    <mergeCell ref="F654:G654"/>
    <mergeCell ref="F655:G655"/>
    <mergeCell ref="F656:G656"/>
    <mergeCell ref="F657:G657"/>
    <mergeCell ref="F658:G658"/>
    <mergeCell ref="F649:G649"/>
    <mergeCell ref="F650:G650"/>
    <mergeCell ref="F651:G651"/>
    <mergeCell ref="F652:G652"/>
    <mergeCell ref="F653:G653"/>
    <mergeCell ref="F644:G644"/>
    <mergeCell ref="F645:G645"/>
    <mergeCell ref="F646:G646"/>
    <mergeCell ref="F647:G647"/>
    <mergeCell ref="F648:G648"/>
    <mergeCell ref="F639:G639"/>
    <mergeCell ref="F640:G640"/>
    <mergeCell ref="F641:G641"/>
    <mergeCell ref="F642:G642"/>
    <mergeCell ref="F643:G643"/>
    <mergeCell ref="F634:G634"/>
    <mergeCell ref="F635:G635"/>
    <mergeCell ref="F636:G636"/>
    <mergeCell ref="F637:G637"/>
    <mergeCell ref="F638:G638"/>
    <mergeCell ref="F629:G629"/>
    <mergeCell ref="F630:G630"/>
    <mergeCell ref="F631:G631"/>
    <mergeCell ref="F632:G632"/>
    <mergeCell ref="F633:G633"/>
    <mergeCell ref="F624:G624"/>
    <mergeCell ref="F625:G625"/>
    <mergeCell ref="F626:G626"/>
    <mergeCell ref="F627:G627"/>
    <mergeCell ref="F628:G628"/>
    <mergeCell ref="F619:G619"/>
    <mergeCell ref="F620:G620"/>
    <mergeCell ref="F621:G621"/>
    <mergeCell ref="F622:G622"/>
    <mergeCell ref="F623:G623"/>
    <mergeCell ref="F614:G614"/>
    <mergeCell ref="F615:G615"/>
    <mergeCell ref="F616:G616"/>
    <mergeCell ref="F617:G617"/>
    <mergeCell ref="F618:G618"/>
    <mergeCell ref="F609:G609"/>
    <mergeCell ref="F610:G610"/>
    <mergeCell ref="F611:G611"/>
    <mergeCell ref="F612:G612"/>
    <mergeCell ref="F613:G613"/>
    <mergeCell ref="F604:G604"/>
    <mergeCell ref="F605:G605"/>
    <mergeCell ref="F606:G606"/>
    <mergeCell ref="F607:G607"/>
    <mergeCell ref="F608:G608"/>
    <mergeCell ref="F599:G599"/>
    <mergeCell ref="F600:G600"/>
    <mergeCell ref="F601:G601"/>
    <mergeCell ref="F602:G602"/>
    <mergeCell ref="F603:G603"/>
    <mergeCell ref="F594:G594"/>
    <mergeCell ref="F595:G595"/>
    <mergeCell ref="F596:G596"/>
    <mergeCell ref="F597:G597"/>
    <mergeCell ref="F598:G598"/>
    <mergeCell ref="F589:G589"/>
    <mergeCell ref="F590:G590"/>
    <mergeCell ref="F591:G591"/>
    <mergeCell ref="F592:G592"/>
    <mergeCell ref="F593:G593"/>
    <mergeCell ref="F584:G584"/>
    <mergeCell ref="F585:G585"/>
    <mergeCell ref="F586:G586"/>
    <mergeCell ref="F587:G587"/>
    <mergeCell ref="F588:G588"/>
    <mergeCell ref="F579:G579"/>
    <mergeCell ref="F580:G580"/>
    <mergeCell ref="F581:G581"/>
    <mergeCell ref="F582:G582"/>
    <mergeCell ref="F583:G583"/>
    <mergeCell ref="F574:G574"/>
    <mergeCell ref="F575:G575"/>
    <mergeCell ref="F576:G576"/>
    <mergeCell ref="F577:G577"/>
    <mergeCell ref="F578:G578"/>
    <mergeCell ref="F569:G569"/>
    <mergeCell ref="F570:G570"/>
    <mergeCell ref="F571:G571"/>
    <mergeCell ref="F572:G572"/>
    <mergeCell ref="F573:G573"/>
    <mergeCell ref="F564:G564"/>
    <mergeCell ref="F565:G565"/>
    <mergeCell ref="F566:G566"/>
    <mergeCell ref="F567:G567"/>
    <mergeCell ref="F568:G568"/>
    <mergeCell ref="F559:G559"/>
    <mergeCell ref="F560:G560"/>
    <mergeCell ref="F561:G561"/>
    <mergeCell ref="F562:G562"/>
    <mergeCell ref="F563:G563"/>
    <mergeCell ref="F554:G554"/>
    <mergeCell ref="F555:G555"/>
    <mergeCell ref="F556:G556"/>
    <mergeCell ref="F557:G557"/>
    <mergeCell ref="F558:G558"/>
    <mergeCell ref="F549:G549"/>
    <mergeCell ref="F550:G550"/>
    <mergeCell ref="F551:G551"/>
    <mergeCell ref="F552:G552"/>
    <mergeCell ref="F553:G553"/>
    <mergeCell ref="F544:G544"/>
    <mergeCell ref="F545:G545"/>
    <mergeCell ref="F546:G546"/>
    <mergeCell ref="F547:G547"/>
    <mergeCell ref="F548:G548"/>
    <mergeCell ref="F539:G539"/>
    <mergeCell ref="F540:G540"/>
    <mergeCell ref="F541:G541"/>
    <mergeCell ref="F542:G542"/>
    <mergeCell ref="F543:G543"/>
    <mergeCell ref="F534:G534"/>
    <mergeCell ref="F535:G535"/>
    <mergeCell ref="F536:G536"/>
    <mergeCell ref="F537:G537"/>
    <mergeCell ref="F538:G538"/>
    <mergeCell ref="F529:G529"/>
    <mergeCell ref="F530:G530"/>
    <mergeCell ref="F531:G531"/>
    <mergeCell ref="F532:G532"/>
    <mergeCell ref="F533:G533"/>
    <mergeCell ref="F524:G524"/>
    <mergeCell ref="F525:G525"/>
    <mergeCell ref="F526:G526"/>
    <mergeCell ref="F527:G527"/>
    <mergeCell ref="F528:G528"/>
    <mergeCell ref="F519:G519"/>
    <mergeCell ref="F520:G520"/>
    <mergeCell ref="F521:G521"/>
    <mergeCell ref="F522:G522"/>
    <mergeCell ref="F523:G523"/>
    <mergeCell ref="F514:G514"/>
    <mergeCell ref="F515:G515"/>
    <mergeCell ref="F516:G516"/>
    <mergeCell ref="F517:G517"/>
    <mergeCell ref="F518:G518"/>
    <mergeCell ref="F509:G509"/>
    <mergeCell ref="F510:G510"/>
    <mergeCell ref="F511:G511"/>
    <mergeCell ref="F512:G512"/>
    <mergeCell ref="F513:G513"/>
    <mergeCell ref="F504:G504"/>
    <mergeCell ref="F505:G505"/>
    <mergeCell ref="F506:G506"/>
    <mergeCell ref="F507:G507"/>
    <mergeCell ref="F508:G508"/>
    <mergeCell ref="F499:G499"/>
    <mergeCell ref="F500:G500"/>
    <mergeCell ref="F501:G501"/>
    <mergeCell ref="F502:G502"/>
    <mergeCell ref="F503:G503"/>
    <mergeCell ref="F494:G494"/>
    <mergeCell ref="F495:G495"/>
    <mergeCell ref="F496:G496"/>
    <mergeCell ref="F497:G497"/>
    <mergeCell ref="F498:G498"/>
    <mergeCell ref="F489:G489"/>
    <mergeCell ref="F490:G490"/>
    <mergeCell ref="F491:G491"/>
    <mergeCell ref="F492:G492"/>
    <mergeCell ref="F493:G493"/>
    <mergeCell ref="F484:G484"/>
    <mergeCell ref="F485:G485"/>
    <mergeCell ref="F486:G486"/>
    <mergeCell ref="F487:G487"/>
    <mergeCell ref="F488:G488"/>
    <mergeCell ref="F479:G479"/>
    <mergeCell ref="F480:G480"/>
    <mergeCell ref="F481:G481"/>
    <mergeCell ref="F482:G482"/>
    <mergeCell ref="F483:G483"/>
    <mergeCell ref="F474:G474"/>
    <mergeCell ref="F475:G475"/>
    <mergeCell ref="F476:G476"/>
    <mergeCell ref="F477:G477"/>
    <mergeCell ref="F478:G478"/>
    <mergeCell ref="F469:G469"/>
    <mergeCell ref="F470:G470"/>
    <mergeCell ref="F471:G471"/>
    <mergeCell ref="F472:G472"/>
    <mergeCell ref="F473:G473"/>
    <mergeCell ref="F464:G464"/>
    <mergeCell ref="F465:G465"/>
    <mergeCell ref="F466:G466"/>
    <mergeCell ref="F467:G467"/>
    <mergeCell ref="F468:G468"/>
    <mergeCell ref="F459:G459"/>
    <mergeCell ref="F460:G460"/>
    <mergeCell ref="F461:G461"/>
    <mergeCell ref="F462:G462"/>
    <mergeCell ref="F463:G463"/>
    <mergeCell ref="F454:G454"/>
    <mergeCell ref="F455:G455"/>
    <mergeCell ref="F456:G456"/>
    <mergeCell ref="F457:G457"/>
    <mergeCell ref="F458:G458"/>
    <mergeCell ref="F449:G449"/>
    <mergeCell ref="F450:G450"/>
    <mergeCell ref="F451:G451"/>
    <mergeCell ref="F452:G452"/>
    <mergeCell ref="F453:G453"/>
    <mergeCell ref="F444:G444"/>
    <mergeCell ref="F445:G445"/>
    <mergeCell ref="F446:G446"/>
    <mergeCell ref="F447:G447"/>
    <mergeCell ref="F448:G448"/>
    <mergeCell ref="F439:G439"/>
    <mergeCell ref="F440:G440"/>
    <mergeCell ref="F441:G441"/>
    <mergeCell ref="F442:G442"/>
    <mergeCell ref="F443:G443"/>
    <mergeCell ref="F434:G434"/>
    <mergeCell ref="F435:G435"/>
    <mergeCell ref="F436:G436"/>
    <mergeCell ref="F437:G437"/>
    <mergeCell ref="F438:G438"/>
    <mergeCell ref="F429:G429"/>
    <mergeCell ref="F430:G430"/>
    <mergeCell ref="F431:G431"/>
    <mergeCell ref="F432:G432"/>
    <mergeCell ref="F433:G433"/>
    <mergeCell ref="F424:G424"/>
    <mergeCell ref="F425:G425"/>
    <mergeCell ref="F426:G426"/>
    <mergeCell ref="F427:G427"/>
    <mergeCell ref="F428:G428"/>
    <mergeCell ref="F419:G419"/>
    <mergeCell ref="F420:G420"/>
    <mergeCell ref="F421:G421"/>
    <mergeCell ref="F422:G422"/>
    <mergeCell ref="F423:G423"/>
    <mergeCell ref="F414:G414"/>
    <mergeCell ref="F415:G415"/>
    <mergeCell ref="F416:G416"/>
    <mergeCell ref="F417:G417"/>
    <mergeCell ref="F418:G418"/>
    <mergeCell ref="F409:G409"/>
    <mergeCell ref="F410:G410"/>
    <mergeCell ref="F411:G411"/>
    <mergeCell ref="F412:G412"/>
    <mergeCell ref="F413:G413"/>
    <mergeCell ref="F404:G404"/>
    <mergeCell ref="F405:G405"/>
    <mergeCell ref="F406:G406"/>
    <mergeCell ref="F407:G407"/>
    <mergeCell ref="F408:G408"/>
    <mergeCell ref="F399:G399"/>
    <mergeCell ref="F400:G400"/>
    <mergeCell ref="F401:G401"/>
    <mergeCell ref="F402:G402"/>
    <mergeCell ref="F403:G403"/>
    <mergeCell ref="F394:G394"/>
    <mergeCell ref="F395:G395"/>
    <mergeCell ref="F396:G396"/>
    <mergeCell ref="F397:G397"/>
    <mergeCell ref="F398:G398"/>
    <mergeCell ref="F389:G389"/>
    <mergeCell ref="F390:G390"/>
    <mergeCell ref="F391:G391"/>
    <mergeCell ref="F392:G392"/>
    <mergeCell ref="F393:G393"/>
    <mergeCell ref="F384:G384"/>
    <mergeCell ref="F385:G385"/>
    <mergeCell ref="F386:G386"/>
    <mergeCell ref="F387:G387"/>
    <mergeCell ref="F388:G388"/>
    <mergeCell ref="F379:G379"/>
    <mergeCell ref="F380:G380"/>
    <mergeCell ref="F381:G381"/>
    <mergeCell ref="F382:G382"/>
    <mergeCell ref="F383:G383"/>
    <mergeCell ref="F374:G374"/>
    <mergeCell ref="F375:G375"/>
    <mergeCell ref="F376:G376"/>
    <mergeCell ref="F377:G377"/>
    <mergeCell ref="F378:G378"/>
    <mergeCell ref="F369:G369"/>
    <mergeCell ref="F370:G370"/>
    <mergeCell ref="F371:G371"/>
    <mergeCell ref="F372:G372"/>
    <mergeCell ref="F373:G373"/>
    <mergeCell ref="F364:G364"/>
    <mergeCell ref="F365:G365"/>
    <mergeCell ref="F366:G366"/>
    <mergeCell ref="F367:G367"/>
    <mergeCell ref="F368:G368"/>
    <mergeCell ref="F359:G359"/>
    <mergeCell ref="F360:G360"/>
    <mergeCell ref="F361:G361"/>
    <mergeCell ref="F362:G362"/>
    <mergeCell ref="F363:G363"/>
    <mergeCell ref="F354:G354"/>
    <mergeCell ref="F355:G355"/>
    <mergeCell ref="F356:G356"/>
    <mergeCell ref="F357:G357"/>
    <mergeCell ref="F358:G358"/>
    <mergeCell ref="F349:G349"/>
    <mergeCell ref="F350:G350"/>
    <mergeCell ref="F351:G351"/>
    <mergeCell ref="F352:G352"/>
    <mergeCell ref="F353:G353"/>
    <mergeCell ref="F344:G344"/>
    <mergeCell ref="F345:G345"/>
    <mergeCell ref="F346:G346"/>
    <mergeCell ref="F347:G347"/>
    <mergeCell ref="F348:G348"/>
    <mergeCell ref="F339:G339"/>
    <mergeCell ref="F340:G340"/>
    <mergeCell ref="F341:G341"/>
    <mergeCell ref="F342:G342"/>
    <mergeCell ref="F343:G343"/>
    <mergeCell ref="F334:G334"/>
    <mergeCell ref="F335:G335"/>
    <mergeCell ref="F336:G336"/>
    <mergeCell ref="F337:G337"/>
    <mergeCell ref="F338:G338"/>
    <mergeCell ref="F329:G329"/>
    <mergeCell ref="F330:G330"/>
    <mergeCell ref="F331:G331"/>
    <mergeCell ref="F332:G332"/>
    <mergeCell ref="F333:G333"/>
    <mergeCell ref="F324:G324"/>
    <mergeCell ref="F325:G325"/>
    <mergeCell ref="F326:G326"/>
    <mergeCell ref="F327:G327"/>
    <mergeCell ref="F328:G328"/>
    <mergeCell ref="F319:G319"/>
    <mergeCell ref="F320:G320"/>
    <mergeCell ref="F321:G321"/>
    <mergeCell ref="F322:G322"/>
    <mergeCell ref="F323:G323"/>
    <mergeCell ref="F314:G314"/>
    <mergeCell ref="F315:G315"/>
    <mergeCell ref="F316:G316"/>
    <mergeCell ref="F317:G317"/>
    <mergeCell ref="F318:G318"/>
    <mergeCell ref="F309:G309"/>
    <mergeCell ref="F310:G310"/>
    <mergeCell ref="F311:G311"/>
    <mergeCell ref="F312:G312"/>
    <mergeCell ref="F313:G313"/>
    <mergeCell ref="F304:G304"/>
    <mergeCell ref="F305:G305"/>
    <mergeCell ref="F306:G306"/>
    <mergeCell ref="F307:G307"/>
    <mergeCell ref="F308:G308"/>
    <mergeCell ref="F299:G299"/>
    <mergeCell ref="F300:G300"/>
    <mergeCell ref="F301:G301"/>
    <mergeCell ref="F302:G302"/>
    <mergeCell ref="F303:G303"/>
    <mergeCell ref="F294:G294"/>
    <mergeCell ref="F295:G295"/>
    <mergeCell ref="F296:G296"/>
    <mergeCell ref="F297:G297"/>
    <mergeCell ref="F298:G298"/>
    <mergeCell ref="F289:G289"/>
    <mergeCell ref="F290:G290"/>
    <mergeCell ref="F291:G291"/>
    <mergeCell ref="F292:G292"/>
    <mergeCell ref="F293:G293"/>
    <mergeCell ref="F284:G284"/>
    <mergeCell ref="F285:G285"/>
    <mergeCell ref="F286:G286"/>
    <mergeCell ref="F287:G287"/>
    <mergeCell ref="F288:G288"/>
    <mergeCell ref="F279:G279"/>
    <mergeCell ref="F280:G280"/>
    <mergeCell ref="F281:G281"/>
    <mergeCell ref="F282:G282"/>
    <mergeCell ref="F283:G283"/>
    <mergeCell ref="F274:G274"/>
    <mergeCell ref="F275:G275"/>
    <mergeCell ref="F276:G276"/>
    <mergeCell ref="F277:G277"/>
    <mergeCell ref="F278:G278"/>
    <mergeCell ref="F269:G269"/>
    <mergeCell ref="F270:G270"/>
    <mergeCell ref="F271:G271"/>
    <mergeCell ref="F272:G272"/>
    <mergeCell ref="F273:G273"/>
    <mergeCell ref="F264:G264"/>
    <mergeCell ref="F265:G265"/>
    <mergeCell ref="F266:G266"/>
    <mergeCell ref="F267:G267"/>
    <mergeCell ref="F268:G268"/>
    <mergeCell ref="F259:G259"/>
    <mergeCell ref="F260:G260"/>
    <mergeCell ref="F261:G261"/>
    <mergeCell ref="F262:G262"/>
    <mergeCell ref="F263:G263"/>
    <mergeCell ref="F254:G254"/>
    <mergeCell ref="F255:G255"/>
    <mergeCell ref="F256:G256"/>
    <mergeCell ref="F257:G257"/>
    <mergeCell ref="F258:G258"/>
    <mergeCell ref="F249:G249"/>
    <mergeCell ref="F250:G250"/>
    <mergeCell ref="F251:G251"/>
    <mergeCell ref="F252:G252"/>
    <mergeCell ref="F253:G253"/>
    <mergeCell ref="F244:G244"/>
    <mergeCell ref="F245:G245"/>
    <mergeCell ref="F246:G246"/>
    <mergeCell ref="F247:G247"/>
    <mergeCell ref="F248:G248"/>
    <mergeCell ref="F239:G239"/>
    <mergeCell ref="F240:G240"/>
    <mergeCell ref="F241:G241"/>
    <mergeCell ref="F242:G242"/>
    <mergeCell ref="F243:G243"/>
    <mergeCell ref="F234:G234"/>
    <mergeCell ref="F235:G235"/>
    <mergeCell ref="F236:G236"/>
    <mergeCell ref="F237:G237"/>
    <mergeCell ref="F238:G238"/>
    <mergeCell ref="F229:G229"/>
    <mergeCell ref="F230:G230"/>
    <mergeCell ref="F231:G231"/>
    <mergeCell ref="F232:G232"/>
    <mergeCell ref="F233:G233"/>
    <mergeCell ref="F224:G224"/>
    <mergeCell ref="F225:G225"/>
    <mergeCell ref="F226:G226"/>
    <mergeCell ref="F227:G227"/>
    <mergeCell ref="F228:G228"/>
    <mergeCell ref="F219:G219"/>
    <mergeCell ref="F220:G220"/>
    <mergeCell ref="F221:G221"/>
    <mergeCell ref="F222:G222"/>
    <mergeCell ref="F223:G223"/>
    <mergeCell ref="F214:G214"/>
    <mergeCell ref="F215:G215"/>
    <mergeCell ref="F216:G216"/>
    <mergeCell ref="F217:G217"/>
    <mergeCell ref="F218:G218"/>
    <mergeCell ref="F209:G209"/>
    <mergeCell ref="F210:G210"/>
    <mergeCell ref="F211:G211"/>
    <mergeCell ref="F212:G212"/>
    <mergeCell ref="F213:G213"/>
    <mergeCell ref="F204:G204"/>
    <mergeCell ref="F205:G205"/>
    <mergeCell ref="F206:G206"/>
    <mergeCell ref="F207:G207"/>
    <mergeCell ref="F208:G208"/>
    <mergeCell ref="F199:G199"/>
    <mergeCell ref="F200:G200"/>
    <mergeCell ref="F201:G201"/>
    <mergeCell ref="F202:G202"/>
    <mergeCell ref="F203:G203"/>
    <mergeCell ref="F194:G194"/>
    <mergeCell ref="F195:G195"/>
    <mergeCell ref="F196:G196"/>
    <mergeCell ref="F197:G197"/>
    <mergeCell ref="F198:G198"/>
    <mergeCell ref="F189:G189"/>
    <mergeCell ref="F190:G190"/>
    <mergeCell ref="F191:G191"/>
    <mergeCell ref="F192:G192"/>
    <mergeCell ref="F193:G193"/>
    <mergeCell ref="F184:G184"/>
    <mergeCell ref="F185:G185"/>
    <mergeCell ref="F186:G186"/>
    <mergeCell ref="F187:G187"/>
    <mergeCell ref="F188:G188"/>
    <mergeCell ref="F179:G179"/>
    <mergeCell ref="F180:G180"/>
    <mergeCell ref="F181:G181"/>
    <mergeCell ref="F182:G182"/>
    <mergeCell ref="F183:G183"/>
    <mergeCell ref="F174:G174"/>
    <mergeCell ref="F175:G175"/>
    <mergeCell ref="F176:G176"/>
    <mergeCell ref="F177:G177"/>
    <mergeCell ref="F178:G178"/>
    <mergeCell ref="F169:G169"/>
    <mergeCell ref="F170:G170"/>
    <mergeCell ref="F171:G171"/>
    <mergeCell ref="F172:G172"/>
    <mergeCell ref="F173:G173"/>
    <mergeCell ref="F164:G164"/>
    <mergeCell ref="F165:G165"/>
    <mergeCell ref="F166:G166"/>
    <mergeCell ref="F167:G167"/>
    <mergeCell ref="F168:G168"/>
    <mergeCell ref="F159:G159"/>
    <mergeCell ref="F160:G160"/>
    <mergeCell ref="F161:G161"/>
    <mergeCell ref="F162:G162"/>
    <mergeCell ref="F163:G163"/>
    <mergeCell ref="F154:G154"/>
    <mergeCell ref="F155:G155"/>
    <mergeCell ref="F156:G156"/>
    <mergeCell ref="F157:G157"/>
    <mergeCell ref="F158:G158"/>
    <mergeCell ref="F149:G149"/>
    <mergeCell ref="F150:G150"/>
    <mergeCell ref="F151:G151"/>
    <mergeCell ref="F152:G152"/>
    <mergeCell ref="F153:G153"/>
    <mergeCell ref="F144:G144"/>
    <mergeCell ref="F145:G145"/>
    <mergeCell ref="F146:G146"/>
    <mergeCell ref="F147:G147"/>
    <mergeCell ref="F148:G148"/>
    <mergeCell ref="F139:G139"/>
    <mergeCell ref="F140:G140"/>
    <mergeCell ref="F141:G141"/>
    <mergeCell ref="F142:G142"/>
    <mergeCell ref="F143:G143"/>
    <mergeCell ref="F134:G134"/>
    <mergeCell ref="F135:G135"/>
    <mergeCell ref="F136:G136"/>
    <mergeCell ref="F137:G137"/>
    <mergeCell ref="F138:G138"/>
    <mergeCell ref="F129:G129"/>
    <mergeCell ref="F130:G130"/>
    <mergeCell ref="F131:G131"/>
    <mergeCell ref="F132:G132"/>
    <mergeCell ref="F133:G133"/>
    <mergeCell ref="F124:G124"/>
    <mergeCell ref="F125:G125"/>
    <mergeCell ref="F126:G126"/>
    <mergeCell ref="F127:G127"/>
    <mergeCell ref="F128:G128"/>
    <mergeCell ref="F119:G119"/>
    <mergeCell ref="F120:G120"/>
    <mergeCell ref="F121:G121"/>
    <mergeCell ref="F122:G122"/>
    <mergeCell ref="F123:G123"/>
    <mergeCell ref="F114:G114"/>
    <mergeCell ref="F115:G115"/>
    <mergeCell ref="F116:G116"/>
    <mergeCell ref="F117:G117"/>
    <mergeCell ref="F118:G118"/>
    <mergeCell ref="F109:G109"/>
    <mergeCell ref="F110:G110"/>
    <mergeCell ref="F111:G111"/>
    <mergeCell ref="F112:G112"/>
    <mergeCell ref="F113:G113"/>
    <mergeCell ref="F104:G104"/>
    <mergeCell ref="F105:G105"/>
    <mergeCell ref="F106:G106"/>
    <mergeCell ref="F107:G107"/>
    <mergeCell ref="F108:G108"/>
    <mergeCell ref="F99:G99"/>
    <mergeCell ref="F100:G100"/>
    <mergeCell ref="F101:G101"/>
    <mergeCell ref="F102:G102"/>
    <mergeCell ref="F103:G103"/>
    <mergeCell ref="F94:G94"/>
    <mergeCell ref="F95:G95"/>
    <mergeCell ref="F96:G96"/>
    <mergeCell ref="F97:G97"/>
    <mergeCell ref="F98:G98"/>
    <mergeCell ref="F89:G89"/>
    <mergeCell ref="F90:G90"/>
    <mergeCell ref="F91:G91"/>
    <mergeCell ref="F92:G92"/>
    <mergeCell ref="F93:G93"/>
    <mergeCell ref="F84:G84"/>
    <mergeCell ref="F85:G85"/>
    <mergeCell ref="F86:G86"/>
    <mergeCell ref="F87:G87"/>
    <mergeCell ref="F88:G88"/>
    <mergeCell ref="F79:G79"/>
    <mergeCell ref="F80:G80"/>
    <mergeCell ref="F81:G81"/>
    <mergeCell ref="F82:G82"/>
    <mergeCell ref="F83:G83"/>
    <mergeCell ref="C1:AG2"/>
    <mergeCell ref="C22:AG24"/>
    <mergeCell ref="F25:J26"/>
    <mergeCell ref="L25:P26"/>
    <mergeCell ref="T25:U26"/>
    <mergeCell ref="V4:Y4"/>
    <mergeCell ref="J4:M4"/>
    <mergeCell ref="O33:P33"/>
    <mergeCell ref="O34:P34"/>
    <mergeCell ref="P6:T6"/>
    <mergeCell ref="T27:U28"/>
    <mergeCell ref="T29:U30"/>
    <mergeCell ref="C21:H21"/>
    <mergeCell ref="T31:U32"/>
    <mergeCell ref="Q31:S32"/>
    <mergeCell ref="O28:P28"/>
    <mergeCell ref="O29:P29"/>
    <mergeCell ref="O30:P30"/>
    <mergeCell ref="O31:P31"/>
    <mergeCell ref="O32:P32"/>
    <mergeCell ref="F74:G74"/>
    <mergeCell ref="F75:G75"/>
    <mergeCell ref="F76:G76"/>
    <mergeCell ref="F77:G77"/>
    <mergeCell ref="F78:G78"/>
    <mergeCell ref="F69:G69"/>
    <mergeCell ref="F70:G70"/>
    <mergeCell ref="F71:G71"/>
    <mergeCell ref="F72:G72"/>
    <mergeCell ref="F73:G73"/>
    <mergeCell ref="F64:G64"/>
    <mergeCell ref="F65:G65"/>
    <mergeCell ref="F66:G66"/>
    <mergeCell ref="F67:G67"/>
    <mergeCell ref="F68:G68"/>
    <mergeCell ref="F59:G59"/>
    <mergeCell ref="Q29:S30"/>
    <mergeCell ref="F38:G38"/>
    <mergeCell ref="F39:G39"/>
    <mergeCell ref="F40:G40"/>
    <mergeCell ref="F41:G41"/>
    <mergeCell ref="F42:G42"/>
    <mergeCell ref="F43:G43"/>
    <mergeCell ref="F54:G54"/>
    <mergeCell ref="F55:G55"/>
    <mergeCell ref="F56:G56"/>
    <mergeCell ref="F57:G57"/>
    <mergeCell ref="F58:G58"/>
    <mergeCell ref="F49:G49"/>
    <mergeCell ref="F50:G50"/>
    <mergeCell ref="F51:G51"/>
    <mergeCell ref="F52:G52"/>
    <mergeCell ref="F60:G60"/>
    <mergeCell ref="F61:G61"/>
    <mergeCell ref="F62:G62"/>
    <mergeCell ref="F63:G63"/>
    <mergeCell ref="F7:H18"/>
    <mergeCell ref="L7:N18"/>
    <mergeCell ref="R7:T18"/>
    <mergeCell ref="F45:G45"/>
    <mergeCell ref="F46:G46"/>
    <mergeCell ref="F47:G47"/>
    <mergeCell ref="F48:G48"/>
    <mergeCell ref="D4:G4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Q27:S28"/>
    <mergeCell ref="Q25:S26"/>
    <mergeCell ref="P4:S4"/>
    <mergeCell ref="C19:H20"/>
    <mergeCell ref="I19:J20"/>
    <mergeCell ref="J6:N6"/>
    <mergeCell ref="D6:H6"/>
    <mergeCell ref="I21:J21"/>
    <mergeCell ref="F53:G53"/>
    <mergeCell ref="F44:G44"/>
    <mergeCell ref="O53:P53"/>
    <mergeCell ref="O54:P54"/>
  </mergeCells>
  <phoneticPr fontId="48" type="noConversion"/>
  <dataValidations disablePrompts="1" count="1">
    <dataValidation allowBlank="1" showErrorMessage="1" promptTitle="TRAFO" prompt="$A$1:$B$2112" sqref="H27 L27" xr:uid="{719E19D5-6D0D-E244-B1E7-C1ACC81F39D6}"/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771F-3EE9-784B-8E9F-876CACC41682}">
  <dimension ref="B1:Q49"/>
  <sheetViews>
    <sheetView zoomScale="81" zoomScaleNormal="138" workbookViewId="0">
      <selection activeCell="M5" sqref="M5"/>
    </sheetView>
  </sheetViews>
  <sheetFormatPr baseColWidth="10" defaultRowHeight="16" x14ac:dyDescent="0.2"/>
  <cols>
    <col min="1" max="1" width="10.83203125" style="288"/>
    <col min="2" max="2" width="55" style="288" customWidth="1"/>
    <col min="3" max="4" width="20.5" style="288" customWidth="1"/>
    <col min="5" max="5" width="44" style="288" bestFit="1" customWidth="1"/>
    <col min="6" max="6" width="19.1640625" style="288" customWidth="1"/>
    <col min="7" max="7" width="16" style="288" customWidth="1"/>
    <col min="8" max="8" width="89.5" style="288" customWidth="1"/>
    <col min="9" max="9" width="21.6640625" style="288" customWidth="1"/>
    <col min="10" max="11" width="10.83203125" style="288"/>
    <col min="12" max="12" width="59.83203125" style="288" customWidth="1"/>
    <col min="13" max="17" width="12.1640625" style="288" bestFit="1" customWidth="1"/>
    <col min="18" max="19" width="10.83203125" style="288"/>
    <col min="20" max="20" width="28.33203125" style="288" customWidth="1"/>
    <col min="21" max="16384" width="10.83203125" style="288"/>
  </cols>
  <sheetData>
    <row r="1" spans="2:17" ht="17" thickBot="1" x14ac:dyDescent="0.25">
      <c r="B1" s="1205" t="s">
        <v>157</v>
      </c>
      <c r="C1" s="1206"/>
      <c r="D1" s="1206"/>
      <c r="E1" s="1206"/>
      <c r="F1" s="1206"/>
      <c r="G1" s="1206"/>
      <c r="H1" s="1206"/>
      <c r="I1" s="1207"/>
    </row>
    <row r="2" spans="2:17" ht="17" thickBot="1" x14ac:dyDescent="0.25">
      <c r="B2" s="507" t="s">
        <v>232</v>
      </c>
      <c r="C2" s="1205">
        <v>2019</v>
      </c>
      <c r="D2" s="1206"/>
      <c r="E2" s="304">
        <v>2020</v>
      </c>
      <c r="F2" s="304">
        <v>2021</v>
      </c>
      <c r="G2" s="304">
        <v>2022</v>
      </c>
      <c r="H2" s="304">
        <v>2023</v>
      </c>
      <c r="I2" s="305">
        <v>2024</v>
      </c>
      <c r="L2" s="1208" t="s">
        <v>208</v>
      </c>
      <c r="M2" s="1209"/>
    </row>
    <row r="3" spans="2:17" x14ac:dyDescent="0.2">
      <c r="B3" s="231" t="s">
        <v>158</v>
      </c>
      <c r="C3" s="1222">
        <f>'Restructuration cap'!V7</f>
        <v>0.14345934185477291</v>
      </c>
      <c r="D3" s="1223"/>
      <c r="E3" s="361">
        <f>'Restructuration cap'!X7</f>
        <v>-2.7777777777777776E-2</v>
      </c>
      <c r="F3" s="361">
        <f>'Restructuration cap'!Y7</f>
        <v>9.0565151322751211E-2</v>
      </c>
      <c r="G3" s="361">
        <f>'Restructuration cap'!Z7</f>
        <v>8.6481961799549312E-2</v>
      </c>
      <c r="H3" s="361">
        <f>'Restructuration cap'!AA7</f>
        <v>8.2957468489637115E-2</v>
      </c>
      <c r="I3" s="362">
        <f>'Restructuration cap'!AB7</f>
        <v>7.9555332779773211E-2</v>
      </c>
      <c r="L3" s="234" t="s">
        <v>209</v>
      </c>
      <c r="M3" s="371">
        <f>Rates!I21</f>
        <v>0.15</v>
      </c>
    </row>
    <row r="4" spans="2:17" x14ac:dyDescent="0.2">
      <c r="B4" s="231" t="s">
        <v>4</v>
      </c>
      <c r="C4" s="1224">
        <f>'Restructuration cap'!W6</f>
        <v>972</v>
      </c>
      <c r="D4" s="1225"/>
      <c r="E4" s="769">
        <f>'Restructuration cap'!X6</f>
        <v>945</v>
      </c>
      <c r="F4" s="769">
        <f>'Restructuration cap'!Y6</f>
        <v>1030.5840679999999</v>
      </c>
      <c r="G4" s="769">
        <f>'Restructuration cap'!Z6</f>
        <v>1119.711</v>
      </c>
      <c r="H4" s="769">
        <f>'Restructuration cap'!AA6</f>
        <v>1212.5993900000001</v>
      </c>
      <c r="I4" s="770">
        <f>'Restructuration cap'!AB6</f>
        <v>1309.0681380000001</v>
      </c>
      <c r="L4" s="369" t="s">
        <v>282</v>
      </c>
      <c r="M4" s="372">
        <f>Rates!T25</f>
        <v>1.3880999999999999</v>
      </c>
    </row>
    <row r="5" spans="2:17" ht="17" thickBot="1" x14ac:dyDescent="0.25">
      <c r="B5" s="233" t="s">
        <v>159</v>
      </c>
      <c r="C5" s="1226">
        <f>'Restructuration cap'!W15</f>
        <v>264.5</v>
      </c>
      <c r="D5" s="1227"/>
      <c r="E5" s="771">
        <f>'Restructuration cap'!X15</f>
        <v>242.527635</v>
      </c>
      <c r="F5" s="771">
        <f>'Restructuration cap'!Y15</f>
        <v>277.23638954861195</v>
      </c>
      <c r="G5" s="771">
        <f>'Restructuration cap'!Z15</f>
        <v>300.43749638700001</v>
      </c>
      <c r="H5" s="771">
        <f>'Restructuration cap'!AA15</f>
        <v>324.85416398161004</v>
      </c>
      <c r="I5" s="403">
        <f>'Restructuration cap'!AB15</f>
        <v>350.67055467116404</v>
      </c>
      <c r="L5" s="369" t="s">
        <v>212</v>
      </c>
      <c r="M5" s="354">
        <f>Rates!T27</f>
        <v>6.1749999999999999E-2</v>
      </c>
    </row>
    <row r="6" spans="2:17" x14ac:dyDescent="0.2">
      <c r="B6" s="319" t="s">
        <v>45</v>
      </c>
      <c r="C6" s="1228">
        <f>C4-C5</f>
        <v>707.5</v>
      </c>
      <c r="D6" s="1229"/>
      <c r="E6" s="404">
        <f t="shared" ref="E6:I6" si="0">E4-E5</f>
        <v>702.47236499999997</v>
      </c>
      <c r="F6" s="404">
        <f t="shared" si="0"/>
        <v>753.34767845138799</v>
      </c>
      <c r="G6" s="404">
        <f t="shared" si="0"/>
        <v>819.273503613</v>
      </c>
      <c r="H6" s="404">
        <f t="shared" si="0"/>
        <v>887.74522601838999</v>
      </c>
      <c r="I6" s="405">
        <f t="shared" si="0"/>
        <v>958.39758332883605</v>
      </c>
      <c r="L6" s="369" t="s">
        <v>214</v>
      </c>
      <c r="M6" s="354">
        <f>'Coverage ratios'!B24</f>
        <v>0.25</v>
      </c>
    </row>
    <row r="7" spans="2:17" x14ac:dyDescent="0.2">
      <c r="B7" s="231" t="s">
        <v>160</v>
      </c>
      <c r="C7" s="1230">
        <f>'Restructuration cap'!W21</f>
        <v>273.89999999999998</v>
      </c>
      <c r="D7" s="1231"/>
      <c r="E7" s="773">
        <f>'Restructuration cap'!X21</f>
        <v>266.58544499999999</v>
      </c>
      <c r="F7" s="773">
        <f>'Restructuration cap'!Y21</f>
        <v>285.85928644556799</v>
      </c>
      <c r="G7" s="773">
        <f>'Restructuration cap'!Z21</f>
        <v>303.52677903599999</v>
      </c>
      <c r="H7" s="773">
        <f>'Restructuration cap'!AA21</f>
        <v>321.06721608664003</v>
      </c>
      <c r="I7" s="774">
        <f>'Restructuration cap'!AB21</f>
        <v>338.36269603768801</v>
      </c>
      <c r="L7" s="369" t="s">
        <v>277</v>
      </c>
      <c r="M7" s="354">
        <f>Q20</f>
        <v>7.8726461825954649E-2</v>
      </c>
      <c r="N7" s="386"/>
      <c r="O7" s="386"/>
      <c r="P7" s="386"/>
      <c r="Q7" s="386"/>
    </row>
    <row r="8" spans="2:17" ht="17" thickBot="1" x14ac:dyDescent="0.25">
      <c r="B8" s="231" t="s">
        <v>161</v>
      </c>
      <c r="C8" s="1224">
        <f>'Restructuration cap'!W23</f>
        <v>0</v>
      </c>
      <c r="D8" s="1225"/>
      <c r="E8" s="769">
        <f>'Restructuration cap'!X23</f>
        <v>0</v>
      </c>
      <c r="F8" s="769">
        <f>'Restructuration cap'!Y23</f>
        <v>0</v>
      </c>
      <c r="G8" s="769">
        <f>'Restructuration cap'!Z23</f>
        <v>0</v>
      </c>
      <c r="H8" s="769">
        <f>'Restructuration cap'!AA23</f>
        <v>0</v>
      </c>
      <c r="I8" s="770">
        <f>'Restructuration cap'!AB23</f>
        <v>0</v>
      </c>
      <c r="L8" s="370" t="s">
        <v>215</v>
      </c>
      <c r="M8" s="373">
        <f>'Coverage ratios'!B23</f>
        <v>0.42</v>
      </c>
    </row>
    <row r="9" spans="2:17" x14ac:dyDescent="0.2">
      <c r="B9" s="231" t="s">
        <v>162</v>
      </c>
      <c r="C9" s="1224">
        <f>'Restructuration cap'!W25</f>
        <v>4.3</v>
      </c>
      <c r="D9" s="1225"/>
      <c r="E9" s="769">
        <f>'Restructuration cap'!X25</f>
        <v>4.3378696436357878</v>
      </c>
      <c r="F9" s="769">
        <f>'Restructuration cap'!Y25</f>
        <v>4.7307294643300315</v>
      </c>
      <c r="G9" s="769">
        <f>'Restructuration cap'!Z25</f>
        <v>5.1398522291482234</v>
      </c>
      <c r="H9" s="769">
        <f>'Restructuration cap'!AA25</f>
        <v>5.5662413584891786</v>
      </c>
      <c r="I9" s="770">
        <f>'Restructuration cap'!AB25</f>
        <v>6.0090655420963222</v>
      </c>
    </row>
    <row r="10" spans="2:17" ht="17" thickBot="1" x14ac:dyDescent="0.25">
      <c r="B10" s="231" t="s">
        <v>235</v>
      </c>
      <c r="C10" s="1238">
        <f>'Restructuration cap'!W27</f>
        <v>193.9</v>
      </c>
      <c r="D10" s="1239"/>
      <c r="E10" s="649">
        <f>'Restructuration cap'!X27</f>
        <v>209.38792766534857</v>
      </c>
      <c r="F10" s="649">
        <f>'Restructuration cap'!Y27</f>
        <v>228.35117701951816</v>
      </c>
      <c r="G10" s="649">
        <f>'Restructuration cap'!Z27</f>
        <v>248.09943478740223</v>
      </c>
      <c r="H10" s="649">
        <f>'Restructuration cap'!AA27</f>
        <v>268.68113583107493</v>
      </c>
      <c r="I10" s="650">
        <f>'Restructuration cap'!AB27</f>
        <v>290.05615300376354</v>
      </c>
    </row>
    <row r="11" spans="2:17" ht="17" thickBot="1" x14ac:dyDescent="0.25">
      <c r="B11" s="231" t="s">
        <v>339</v>
      </c>
      <c r="C11" s="1238">
        <f>'Restructuration cap'!W62</f>
        <v>22.9</v>
      </c>
      <c r="D11" s="1239"/>
      <c r="E11" s="649">
        <f>'Restructuration cap'!X62</f>
        <v>26.294682216207288</v>
      </c>
      <c r="F11" s="649">
        <f>'Restructuration cap'!Y62</f>
        <v>30.192590080844013</v>
      </c>
      <c r="G11" s="649">
        <f>'Restructuration cap'!Z62</f>
        <v>34.668321461135619</v>
      </c>
      <c r="H11" s="649">
        <f>'Restructuration cap'!AA62</f>
        <v>39.807532567243683</v>
      </c>
      <c r="I11" s="650">
        <f>'Restructuration cap'!AB62</f>
        <v>45.708577234366594</v>
      </c>
      <c r="L11" s="341">
        <v>43830</v>
      </c>
      <c r="M11" s="303">
        <v>2020</v>
      </c>
      <c r="N11" s="303">
        <v>2021</v>
      </c>
      <c r="O11" s="303">
        <v>2022</v>
      </c>
      <c r="P11" s="303">
        <v>2023</v>
      </c>
      <c r="Q11" s="303">
        <v>2024</v>
      </c>
    </row>
    <row r="12" spans="2:17" ht="17" thickBot="1" x14ac:dyDescent="0.25">
      <c r="B12" s="653" t="s">
        <v>323</v>
      </c>
      <c r="C12" s="1236">
        <f>C6-C7-C8-C9-C10-C11</f>
        <v>212.5</v>
      </c>
      <c r="D12" s="1237"/>
      <c r="E12" s="651">
        <f>E6-E7-E8-E9-E10-E11</f>
        <v>195.86644047480834</v>
      </c>
      <c r="F12" s="651">
        <f>F6-F7-F8-F9-F10-F11</f>
        <v>204.21389544112782</v>
      </c>
      <c r="G12" s="651">
        <f t="shared" ref="G12:H12" si="1">G6-G7-G8-G9-G10-G11</f>
        <v>227.83911609931391</v>
      </c>
      <c r="H12" s="651">
        <f t="shared" si="1"/>
        <v>252.62310017494224</v>
      </c>
      <c r="I12" s="652">
        <f>I6-I7-I8-I9-I10-I11</f>
        <v>278.26109151092157</v>
      </c>
      <c r="L12" s="290" t="s">
        <v>233</v>
      </c>
      <c r="M12" s="293">
        <f>'Leverage and Restructuration'!B31</f>
        <v>1784.912</v>
      </c>
      <c r="N12" s="293">
        <f>'Leverage and Restructuration'!C31</f>
        <v>1863.0901071859848</v>
      </c>
      <c r="O12" s="293">
        <f>'Leverage and Restructuration'!D31</f>
        <v>1941.2682143719696</v>
      </c>
      <c r="P12" s="293">
        <f>'Leverage and Restructuration'!E31</f>
        <v>2019.4463215579544</v>
      </c>
      <c r="Q12" s="293">
        <f>'Leverage and Restructuration'!F31</f>
        <v>2097.624428743939</v>
      </c>
    </row>
    <row r="13" spans="2:17" ht="17" thickBot="1" x14ac:dyDescent="0.25">
      <c r="B13" s="231"/>
      <c r="C13" s="1240"/>
      <c r="D13" s="1241"/>
      <c r="E13" s="363"/>
      <c r="F13" s="363"/>
      <c r="G13" s="363"/>
      <c r="H13" s="363"/>
      <c r="I13" s="364"/>
      <c r="L13" s="725" t="s">
        <v>432</v>
      </c>
      <c r="M13" s="539">
        <f>'Leverage and Restructuration'!C13</f>
        <v>0.15366483734134695</v>
      </c>
      <c r="N13" s="539">
        <f>'Leverage and Restructuration'!D13</f>
        <v>0.17473142510367107</v>
      </c>
      <c r="O13" s="539">
        <f>'Leverage and Restructuration'!E13</f>
        <v>0.19579801286599519</v>
      </c>
      <c r="P13" s="539">
        <f>'Leverage and Restructuration'!F13</f>
        <v>0.2168646006283193</v>
      </c>
      <c r="Q13" s="539">
        <f>'Leverage and Restructuration'!G13</f>
        <v>0.23793118839064342</v>
      </c>
    </row>
    <row r="14" spans="2:17" ht="17" thickBot="1" x14ac:dyDescent="0.25">
      <c r="B14" s="231" t="s">
        <v>163</v>
      </c>
      <c r="C14" s="1224">
        <f>'Restructuration cap'!W66</f>
        <v>31.4</v>
      </c>
      <c r="D14" s="1225"/>
      <c r="E14" s="773">
        <f>E12*$M$3</f>
        <v>29.379966071221251</v>
      </c>
      <c r="F14" s="773">
        <f t="shared" ref="F14:H14" si="2">F12*$M$3</f>
        <v>30.63208431616917</v>
      </c>
      <c r="G14" s="773">
        <f t="shared" si="2"/>
        <v>34.175867414897084</v>
      </c>
      <c r="H14" s="773">
        <f t="shared" si="2"/>
        <v>37.893465026241337</v>
      </c>
      <c r="I14" s="774">
        <f>I12*$M$3</f>
        <v>41.739163726638232</v>
      </c>
      <c r="L14" s="430" t="s">
        <v>394</v>
      </c>
      <c r="M14" s="736">
        <f>'Leverage and Restructuration'!C17</f>
        <v>999.99975800000004</v>
      </c>
      <c r="N14" s="736">
        <f>'Leverage and Restructuration'!D17</f>
        <v>1078.177865185985</v>
      </c>
      <c r="O14" s="736">
        <f>'Leverage and Restructuration'!E17</f>
        <v>1156.3559723719695</v>
      </c>
      <c r="P14" s="736">
        <f>'Leverage and Restructuration'!F17</f>
        <v>1234.5340795579546</v>
      </c>
      <c r="Q14" s="736">
        <f>'Leverage and Restructuration'!G17</f>
        <v>1312.7121867439391</v>
      </c>
    </row>
    <row r="15" spans="2:17" x14ac:dyDescent="0.2">
      <c r="B15" s="231" t="s">
        <v>164</v>
      </c>
      <c r="C15" s="1224">
        <f>'Restructuration cap'!W83</f>
        <v>4.3</v>
      </c>
      <c r="D15" s="1225"/>
      <c r="E15" s="769">
        <f>'Restructuration cap'!X83</f>
        <v>4.3378696436357878</v>
      </c>
      <c r="F15" s="769">
        <f>'Restructuration cap'!Y83</f>
        <v>4.7307294643300315</v>
      </c>
      <c r="G15" s="769">
        <f>'Restructuration cap'!Z83</f>
        <v>5.1398522291482234</v>
      </c>
      <c r="H15" s="769">
        <f>'Restructuration cap'!AA83</f>
        <v>5.5662413584891786</v>
      </c>
      <c r="I15" s="770">
        <f>'Restructuration cap'!AB83</f>
        <v>6.0090655420963222</v>
      </c>
    </row>
    <row r="16" spans="2:17" ht="17" thickBot="1" x14ac:dyDescent="0.25">
      <c r="B16" s="231" t="s">
        <v>165</v>
      </c>
      <c r="C16" s="1232">
        <f>'Restructuration cap'!W77</f>
        <v>38.11545043755325</v>
      </c>
      <c r="D16" s="1233"/>
      <c r="E16" s="355">
        <f>NWC!W40</f>
        <v>-31.070582135053769</v>
      </c>
      <c r="F16" s="355">
        <f>NWC!X40</f>
        <v>-67.906951488092545</v>
      </c>
      <c r="G16" s="355">
        <f>NWC!Y40</f>
        <v>-11.315827520552489</v>
      </c>
      <c r="H16" s="355">
        <f>NWC!Z40</f>
        <v>-56.049906948867488</v>
      </c>
      <c r="I16" s="358">
        <f>'Restructuration cap'!AB77</f>
        <v>-41.585817023141573</v>
      </c>
    </row>
    <row r="17" spans="2:17" ht="17" thickBot="1" x14ac:dyDescent="0.25">
      <c r="B17" s="233" t="s">
        <v>103</v>
      </c>
      <c r="C17" s="1226">
        <f>'Restructuration cap'!W80</f>
        <v>-73.400000000000006</v>
      </c>
      <c r="D17" s="1227"/>
      <c r="E17" s="771">
        <f>'Restructuration cap'!X80</f>
        <v>-32.272559907640527</v>
      </c>
      <c r="F17" s="771">
        <f>'Restructuration cap'!Y80</f>
        <v>-37.861599425828601</v>
      </c>
      <c r="G17" s="771">
        <f>'Restructuration cap'!Z80</f>
        <v>-44.560317603709144</v>
      </c>
      <c r="H17" s="771">
        <f>'Restructuration cap'!AA80</f>
        <v>-52.5897847459212</v>
      </c>
      <c r="I17" s="403">
        <f>'Restructuration cap'!AB80</f>
        <v>-62.215116255777673</v>
      </c>
      <c r="L17" s="374" t="s">
        <v>218</v>
      </c>
      <c r="M17" s="303">
        <v>2020</v>
      </c>
      <c r="N17" s="303">
        <v>2021</v>
      </c>
      <c r="O17" s="303">
        <v>2022</v>
      </c>
      <c r="P17" s="303">
        <v>2023</v>
      </c>
      <c r="Q17" s="303">
        <v>2024</v>
      </c>
    </row>
    <row r="18" spans="2:17" ht="17" thickBot="1" x14ac:dyDescent="0.25">
      <c r="B18" s="232" t="s">
        <v>267</v>
      </c>
      <c r="C18" s="1234">
        <f>C12-C14+C15-C16+C17</f>
        <v>73.88454956244675</v>
      </c>
      <c r="D18" s="1235"/>
      <c r="E18" s="357">
        <f t="shared" ref="E18:H18" si="3">E12-E14+E15-E16+E17</f>
        <v>169.62236627463614</v>
      </c>
      <c r="F18" s="357">
        <f t="shared" si="3"/>
        <v>208.35789265155262</v>
      </c>
      <c r="G18" s="357">
        <f t="shared" si="3"/>
        <v>165.55861083040841</v>
      </c>
      <c r="H18" s="357">
        <f t="shared" si="3"/>
        <v>223.75599871013637</v>
      </c>
      <c r="I18" s="356">
        <f>I12-I14+I15-I16+I17</f>
        <v>221.90169409374357</v>
      </c>
      <c r="L18" s="327" t="s">
        <v>219</v>
      </c>
      <c r="M18" s="353">
        <f>Rates!O21</f>
        <v>8.5925862124040919E-3</v>
      </c>
      <c r="N18" s="353">
        <f>Rates!H4</f>
        <v>8.298840306739684E-3</v>
      </c>
      <c r="O18" s="353">
        <f>Rates!N4</f>
        <v>7.8365680386221787E-3</v>
      </c>
      <c r="P18" s="353">
        <f>Rates!T4</f>
        <v>7.4303251698633454E-3</v>
      </c>
      <c r="Q18" s="353">
        <f>Rates!Z4</f>
        <v>7.4303251698633454E-3</v>
      </c>
    </row>
    <row r="19" spans="2:17" ht="17" thickBot="1" x14ac:dyDescent="0.25">
      <c r="B19" s="231" t="s">
        <v>166</v>
      </c>
      <c r="C19" s="359"/>
      <c r="D19" s="360"/>
      <c r="E19" s="360"/>
      <c r="F19" s="360"/>
      <c r="G19" s="360"/>
      <c r="H19" s="360"/>
      <c r="I19" s="365">
        <f>((I18-'Restructuration cap'!AB69)*(1+'Restructuration cap'!AH32))/(M7-'Restructuration cap'!AH32)</f>
        <v>3635.8099920429204</v>
      </c>
      <c r="L19" s="430" t="s">
        <v>213</v>
      </c>
      <c r="M19" s="728">
        <f>$M$5</f>
        <v>6.1749999999999999E-2</v>
      </c>
      <c r="N19" s="728">
        <f t="shared" ref="N19:Q19" si="4">$M$5</f>
        <v>6.1749999999999999E-2</v>
      </c>
      <c r="O19" s="728">
        <f t="shared" si="4"/>
        <v>6.1749999999999999E-2</v>
      </c>
      <c r="P19" s="728">
        <f t="shared" si="4"/>
        <v>6.1749999999999999E-2</v>
      </c>
      <c r="Q19" s="728">
        <f t="shared" si="4"/>
        <v>6.1749999999999999E-2</v>
      </c>
    </row>
    <row r="20" spans="2:17" ht="17" thickBot="1" x14ac:dyDescent="0.25">
      <c r="B20" s="317" t="s">
        <v>268</v>
      </c>
      <c r="C20" s="1236">
        <f>C18-'Restructuration cap'!V69</f>
        <v>73.88454956244675</v>
      </c>
      <c r="D20" s="1237"/>
      <c r="E20" s="366">
        <f>E18-'Restructuration cap'!W69</f>
        <v>169.62236627463614</v>
      </c>
      <c r="F20" s="366">
        <f>F18-'Restructuration cap'!X69</f>
        <v>208.35789265155262</v>
      </c>
      <c r="G20" s="366">
        <f>G18-'Restructuration cap'!Y69</f>
        <v>165.55861083040841</v>
      </c>
      <c r="H20" s="366">
        <f>H18-'Restructuration cap'!Z69</f>
        <v>223.75599871013637</v>
      </c>
      <c r="I20" s="367">
        <f>I18-'Restructuration cap'!AB69+I19-'Restructuration cap'!AB69</f>
        <v>3857.711686136664</v>
      </c>
      <c r="L20" s="430" t="s">
        <v>211</v>
      </c>
      <c r="M20" s="727">
        <f>M18+M21*M19</f>
        <v>8.4405454897729396E-2</v>
      </c>
      <c r="N20" s="727">
        <f>N18+N21*N19</f>
        <v>8.2929710715044735E-2</v>
      </c>
      <c r="O20" s="727">
        <f>O18+O21*O19</f>
        <v>8.1321731418453752E-2</v>
      </c>
      <c r="P20" s="727">
        <f t="shared" ref="P20:Q20" si="5">P18+P21*P19</f>
        <v>7.9804426648766011E-2</v>
      </c>
      <c r="Q20" s="727">
        <f t="shared" si="5"/>
        <v>7.8726461825954649E-2</v>
      </c>
    </row>
    <row r="21" spans="2:17" ht="17" thickBot="1" x14ac:dyDescent="0.25">
      <c r="B21" s="302" t="s">
        <v>240</v>
      </c>
      <c r="C21" s="318"/>
      <c r="D21" s="406"/>
      <c r="E21" s="811">
        <f>F21/(1+M20)^(1/4) +E20/((1+M20)^(1/4))</f>
        <v>3414.4814886517779</v>
      </c>
      <c r="F21" s="811">
        <f>NPV(N20,F20:$I$20)</f>
        <v>3314.7349580657137</v>
      </c>
      <c r="G21" s="811">
        <f>NPV(O20,G20:$I$20)</f>
        <v>3395.6335900195045</v>
      </c>
      <c r="H21" s="811">
        <f>NPV(P20,H20:$I$20)</f>
        <v>3515.7831545821573</v>
      </c>
      <c r="I21" s="812">
        <f>NPV(Q20,I20:$I$20)</f>
        <v>3576.1722945098941</v>
      </c>
      <c r="L21" s="729" t="s">
        <v>210</v>
      </c>
      <c r="M21" s="726">
        <f>$M$4/(1+(1-$M$3)*M13)</f>
        <v>1.2277387641348227</v>
      </c>
      <c r="N21" s="726">
        <f t="shared" ref="N21:Q21" si="6">$M$4/(1+(1-$M$3)*N13)</f>
        <v>1.2085970916324704</v>
      </c>
      <c r="O21" s="726">
        <f t="shared" si="6"/>
        <v>1.1900431316571916</v>
      </c>
      <c r="P21" s="726">
        <f t="shared" si="6"/>
        <v>1.1720502263789905</v>
      </c>
      <c r="Q21" s="726">
        <f t="shared" si="6"/>
        <v>1.154593306171519</v>
      </c>
    </row>
    <row r="22" spans="2:17" x14ac:dyDescent="0.2">
      <c r="F22" s="745"/>
      <c r="G22" s="745"/>
      <c r="H22" s="745"/>
      <c r="I22" s="769"/>
    </row>
    <row r="23" spans="2:17" x14ac:dyDescent="0.2">
      <c r="E23" s="600"/>
    </row>
    <row r="24" spans="2:17" x14ac:dyDescent="0.2">
      <c r="F24" s="600"/>
    </row>
    <row r="25" spans="2:17" ht="17" thickBot="1" x14ac:dyDescent="0.25"/>
    <row r="26" spans="2:17" ht="19" thickBot="1" x14ac:dyDescent="0.25">
      <c r="B26" s="1210" t="s">
        <v>167</v>
      </c>
      <c r="C26" s="1211"/>
      <c r="D26" s="1211"/>
      <c r="E26" s="1211"/>
      <c r="F26" s="1211"/>
      <c r="G26" s="1211"/>
      <c r="H26" s="1211"/>
      <c r="I26" s="1212"/>
    </row>
    <row r="27" spans="2:17" ht="17" thickBot="1" x14ac:dyDescent="0.25">
      <c r="B27" s="349" t="s">
        <v>232</v>
      </c>
      <c r="C27" s="306"/>
      <c r="D27" s="307"/>
      <c r="E27" s="308">
        <v>2020</v>
      </c>
      <c r="F27" s="308">
        <v>2021</v>
      </c>
      <c r="G27" s="308">
        <v>2022</v>
      </c>
      <c r="H27" s="308">
        <v>2023</v>
      </c>
      <c r="I27" s="309">
        <v>2024</v>
      </c>
    </row>
    <row r="28" spans="2:17" x14ac:dyDescent="0.2">
      <c r="B28" s="232" t="s">
        <v>168</v>
      </c>
      <c r="C28" s="687"/>
      <c r="D28" s="688"/>
      <c r="E28" s="291">
        <f>'Coverage ratios'!R7</f>
        <v>15.092582559998229</v>
      </c>
      <c r="F28" s="291">
        <f>'Coverage ratios'!R17</f>
        <v>15.955782049148898</v>
      </c>
      <c r="G28" s="291">
        <f>'Coverage ratios'!R27</f>
        <v>16.578176074777851</v>
      </c>
      <c r="H28" s="291">
        <f>'Coverage ratios'!R37</f>
        <v>17.197461161520252</v>
      </c>
      <c r="I28" s="292">
        <f>'Coverage ratios'!R47</f>
        <v>18.28650761578545</v>
      </c>
    </row>
    <row r="29" spans="2:17" x14ac:dyDescent="0.2">
      <c r="B29" s="231" t="s">
        <v>169</v>
      </c>
      <c r="C29" s="690"/>
      <c r="D29" s="691"/>
      <c r="E29" s="585">
        <f>E28*M3</f>
        <v>2.2638873839997342</v>
      </c>
      <c r="F29" s="585">
        <f>F28*M3</f>
        <v>2.3933673073723347</v>
      </c>
      <c r="G29" s="585">
        <f>G28*M3</f>
        <v>2.4867264112166776</v>
      </c>
      <c r="H29" s="585">
        <f>H28*M3</f>
        <v>2.5796191742280379</v>
      </c>
      <c r="I29" s="578">
        <f>I28*M3</f>
        <v>2.7429761423678172</v>
      </c>
    </row>
    <row r="30" spans="2:17" x14ac:dyDescent="0.2">
      <c r="B30" s="231" t="s">
        <v>170</v>
      </c>
      <c r="C30" s="690"/>
      <c r="D30" s="691"/>
      <c r="E30" s="691"/>
      <c r="F30" s="691"/>
      <c r="G30" s="691"/>
      <c r="H30" s="691"/>
      <c r="I30" s="695">
        <f>Q12*M3</f>
        <v>314.64366431159084</v>
      </c>
    </row>
    <row r="31" spans="2:17" x14ac:dyDescent="0.2">
      <c r="B31" s="231" t="s">
        <v>171</v>
      </c>
      <c r="C31" s="690"/>
      <c r="D31" s="691"/>
      <c r="E31" s="585">
        <f>E29+E30</f>
        <v>2.2638873839997342</v>
      </c>
      <c r="F31" s="585">
        <f t="shared" ref="F31:G31" si="7">F29+F30</f>
        <v>2.3933673073723347</v>
      </c>
      <c r="G31" s="585">
        <f t="shared" si="7"/>
        <v>2.4867264112166776</v>
      </c>
      <c r="H31" s="585">
        <f>H29+H30</f>
        <v>2.5796191742280379</v>
      </c>
      <c r="I31" s="578">
        <f>I29+I30</f>
        <v>317.38664045395865</v>
      </c>
    </row>
    <row r="32" spans="2:17" x14ac:dyDescent="0.2">
      <c r="B32" s="231" t="s">
        <v>55</v>
      </c>
      <c r="C32" s="690"/>
      <c r="D32" s="691"/>
      <c r="E32" s="142">
        <f>'Coverage ratios'!N49*(M14/M12) + 'WACC CALCULATION'!$J$7*(1-M14/M12)</f>
        <v>1.553203023613834E-2</v>
      </c>
      <c r="F32" s="142">
        <f>'Coverage ratios'!O49*(N14/N12) + 'WACC CALCULATION'!$J$7*(1-N14/N12)</f>
        <v>1.5462352572797194E-2</v>
      </c>
      <c r="G32" s="142">
        <f>'Coverage ratios'!P49*(O14/O12) + 'WACC CALCULATION'!$J$7*(1-O14/O12)</f>
        <v>1.5398286980773987E-2</v>
      </c>
      <c r="H32" s="142">
        <f>'Coverage ratios'!Q49*(P14/P12) + 'WACC CALCULATION'!$J$7*(1-P14/P12)</f>
        <v>1.5339181685706093E-2</v>
      </c>
      <c r="I32" s="139">
        <f>'Coverage ratios'!R49*(Q14/Q12) + 'WACC CALCULATION'!$J$7*(1-Q14/Q12)</f>
        <v>1.5284482079311311E-2</v>
      </c>
    </row>
    <row r="33" spans="2:10" ht="17" thickBot="1" x14ac:dyDescent="0.25">
      <c r="B33" s="231" t="s">
        <v>241</v>
      </c>
      <c r="C33" s="690"/>
      <c r="D33" s="691"/>
      <c r="E33" s="310">
        <f>E31/((1+E32)^(E2-2019.75))</f>
        <v>2.2551810462847692</v>
      </c>
      <c r="F33" s="310">
        <f>F31/((1+F32)^(F2-2019.75))</f>
        <v>2.3478998644340918</v>
      </c>
      <c r="G33" s="310">
        <f>G31/((1+G32)^(G2-2019.75))</f>
        <v>2.4026806321470073</v>
      </c>
      <c r="H33" s="310">
        <f>H31/((1+H32)^(H2-2019.75))</f>
        <v>2.4551010523057508</v>
      </c>
      <c r="I33" s="311">
        <f>I31/((1+I32)^(I2-2019.75))</f>
        <v>297.57107360301671</v>
      </c>
    </row>
    <row r="34" spans="2:10" ht="17" thickBot="1" x14ac:dyDescent="0.25">
      <c r="B34" s="302" t="s">
        <v>172</v>
      </c>
      <c r="C34" s="694"/>
      <c r="D34" s="125"/>
      <c r="E34" s="813">
        <f>NPV(M18,F33:$I33)+E33</f>
        <v>296.89731864068671</v>
      </c>
      <c r="F34" s="813">
        <f>NPV(N18,G33:$I33)+F33</f>
        <v>297.4295318854177</v>
      </c>
      <c r="G34" s="813">
        <f>NPV(O18,H33:I33)+G33</f>
        <v>297.80014924166085</v>
      </c>
      <c r="H34" s="813">
        <f>NPV(Q18,I33)+H33</f>
        <v>297.83143246544154</v>
      </c>
      <c r="I34" s="813">
        <f>I33</f>
        <v>297.57107360301671</v>
      </c>
    </row>
    <row r="35" spans="2:10" ht="20" customHeight="1" x14ac:dyDescent="0.2">
      <c r="J35" s="289"/>
    </row>
    <row r="36" spans="2:10" x14ac:dyDescent="0.2">
      <c r="J36" s="289"/>
    </row>
    <row r="37" spans="2:10" ht="17" thickBot="1" x14ac:dyDescent="0.25">
      <c r="J37" s="289"/>
    </row>
    <row r="38" spans="2:10" ht="20" thickBot="1" x14ac:dyDescent="0.25">
      <c r="B38" s="312" t="s">
        <v>173</v>
      </c>
      <c r="C38" s="313"/>
      <c r="D38" s="313"/>
      <c r="E38" s="313"/>
      <c r="F38" s="313"/>
      <c r="G38" s="313"/>
      <c r="H38" s="313"/>
      <c r="I38" s="314"/>
      <c r="J38" s="289"/>
    </row>
    <row r="39" spans="2:10" ht="19" thickBot="1" x14ac:dyDescent="0.25">
      <c r="B39" s="349" t="s">
        <v>232</v>
      </c>
      <c r="C39" s="315"/>
      <c r="D39" s="315"/>
      <c r="E39" s="308">
        <v>2020</v>
      </c>
      <c r="F39" s="308">
        <v>2021</v>
      </c>
      <c r="G39" s="308">
        <v>2022</v>
      </c>
      <c r="H39" s="308">
        <v>2023</v>
      </c>
      <c r="I39" s="309">
        <v>2024</v>
      </c>
    </row>
    <row r="40" spans="2:10" ht="17" thickBot="1" x14ac:dyDescent="0.25">
      <c r="B40" s="234" t="s">
        <v>174</v>
      </c>
      <c r="C40" s="295"/>
      <c r="D40" s="296"/>
      <c r="E40" s="300">
        <f>('Coverage ratios'!$R$5-'Coverage ratios'!$D$17)/(1+'Coverage ratios'!$R$6)*(1-M8)</f>
        <v>0</v>
      </c>
      <c r="F40" s="300">
        <f>('Coverage ratios'!R15-'Coverage ratios'!D17)/(1+'Coverage ratios'!R16)*(1-M8)</f>
        <v>0</v>
      </c>
      <c r="G40" s="300">
        <f>('Coverage ratios'!R25-'Coverage ratios'!D17)/(1+'Coverage ratios'!R26)*(1-M8)</f>
        <v>0</v>
      </c>
      <c r="H40" s="300">
        <f>('Coverage ratios'!R35-'Coverage ratios'!D17)/(1+'Coverage ratios'!R35)*(1-M8)</f>
        <v>0</v>
      </c>
      <c r="I40" s="139">
        <f>('Coverage ratios'!R45-'Coverage ratios'!D17)/(1+'Coverage ratios'!R46)*(1-M8)</f>
        <v>0</v>
      </c>
    </row>
    <row r="41" spans="2:10" ht="17" thickBot="1" x14ac:dyDescent="0.25">
      <c r="B41" s="316" t="s">
        <v>242</v>
      </c>
      <c r="C41" s="294"/>
      <c r="D41" s="299"/>
      <c r="E41" s="111">
        <f>(E40*($M$6)*E21+(1-E40)*F41)/(1+M18)</f>
        <v>0</v>
      </c>
      <c r="F41" s="111">
        <f>(F40*($M$6)*F21+(1-F40)*G41)/(1+N18)</f>
        <v>0</v>
      </c>
      <c r="G41" s="111">
        <f>(G40*($M$6)*G21+(1-G40)*H41)/(1+O18)</f>
        <v>0</v>
      </c>
      <c r="H41" s="579">
        <f>(H40*($M$6)*H21+(1-H40)*I41)/(1+P18)</f>
        <v>0</v>
      </c>
      <c r="I41" s="112">
        <f>(I40*($M$6)*I21+(1-I40)*J38)/(1+Q18)</f>
        <v>0</v>
      </c>
    </row>
    <row r="44" spans="2:10" ht="17" thickBot="1" x14ac:dyDescent="0.25"/>
    <row r="45" spans="2:10" ht="19" thickBot="1" x14ac:dyDescent="0.25">
      <c r="B45" s="1202" t="s">
        <v>380</v>
      </c>
      <c r="C45" s="1203"/>
      <c r="D45" s="1203"/>
      <c r="E45" s="1204"/>
    </row>
    <row r="46" spans="2:10" x14ac:dyDescent="0.2">
      <c r="B46" s="235" t="s">
        <v>54</v>
      </c>
      <c r="C46" s="1213">
        <f>E21</f>
        <v>3414.4814886517779</v>
      </c>
      <c r="D46" s="1214"/>
      <c r="E46" s="1215"/>
    </row>
    <row r="47" spans="2:10" x14ac:dyDescent="0.2">
      <c r="B47" s="236" t="s">
        <v>175</v>
      </c>
      <c r="C47" s="1216">
        <f>E34</f>
        <v>296.89731864068671</v>
      </c>
      <c r="D47" s="1217"/>
      <c r="E47" s="1218"/>
      <c r="H47" s="580"/>
    </row>
    <row r="48" spans="2:10" ht="17" thickBot="1" x14ac:dyDescent="0.25">
      <c r="B48" s="236" t="s">
        <v>176</v>
      </c>
      <c r="C48" s="1219">
        <f>E41</f>
        <v>0</v>
      </c>
      <c r="D48" s="1220"/>
      <c r="E48" s="1221"/>
    </row>
    <row r="49" spans="2:5" ht="17" thickBot="1" x14ac:dyDescent="0.25">
      <c r="B49" s="316" t="s">
        <v>243</v>
      </c>
      <c r="C49" s="1199">
        <f>C46+C47-C48</f>
        <v>3711.3788072924644</v>
      </c>
      <c r="D49" s="1200"/>
      <c r="E49" s="1201"/>
    </row>
  </sheetData>
  <mergeCells count="26">
    <mergeCell ref="C17:D17"/>
    <mergeCell ref="C18:D18"/>
    <mergeCell ref="C20:D20"/>
    <mergeCell ref="C9:D9"/>
    <mergeCell ref="C10:D10"/>
    <mergeCell ref="C12:D12"/>
    <mergeCell ref="C14:D14"/>
    <mergeCell ref="C15:D15"/>
    <mergeCell ref="C13:D13"/>
    <mergeCell ref="C11:D11"/>
    <mergeCell ref="C49:E49"/>
    <mergeCell ref="B45:E45"/>
    <mergeCell ref="B1:I1"/>
    <mergeCell ref="L2:M2"/>
    <mergeCell ref="B26:I26"/>
    <mergeCell ref="C46:E46"/>
    <mergeCell ref="C47:E47"/>
    <mergeCell ref="C48:E48"/>
    <mergeCell ref="C3:D3"/>
    <mergeCell ref="C4:D4"/>
    <mergeCell ref="C5:D5"/>
    <mergeCell ref="C2:D2"/>
    <mergeCell ref="C6:D6"/>
    <mergeCell ref="C7:D7"/>
    <mergeCell ref="C8:D8"/>
    <mergeCell ref="C16:D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4130-2F27-1A4B-A7AB-49E62F4B138B}">
  <dimension ref="B1:Z306"/>
  <sheetViews>
    <sheetView topLeftCell="E4" zoomScale="75" zoomScaleNormal="75" workbookViewId="0">
      <selection activeCell="A39" sqref="A39"/>
    </sheetView>
  </sheetViews>
  <sheetFormatPr baseColWidth="10" defaultRowHeight="16" x14ac:dyDescent="0.2"/>
  <cols>
    <col min="1" max="1" width="11.6640625" customWidth="1"/>
    <col min="2" max="2" width="31.1640625" customWidth="1"/>
    <col min="3" max="3" width="22.6640625" customWidth="1"/>
    <col min="4" max="4" width="29.6640625" customWidth="1"/>
    <col min="5" max="5" width="18.6640625" customWidth="1"/>
    <col min="6" max="6" width="28.83203125" customWidth="1"/>
    <col min="7" max="7" width="23.1640625" customWidth="1"/>
    <col min="8" max="8" width="28.33203125" customWidth="1"/>
    <col min="9" max="9" width="22.1640625" customWidth="1"/>
    <col min="10" max="10" width="18.5" customWidth="1"/>
    <col min="14" max="14" width="31" style="6" customWidth="1"/>
    <col min="15" max="15" width="20.1640625" customWidth="1"/>
    <col min="16" max="16" width="22.83203125" customWidth="1"/>
    <col min="17" max="17" width="15.33203125" customWidth="1"/>
    <col min="18" max="18" width="29.83203125" customWidth="1"/>
    <col min="19" max="19" width="17.6640625" customWidth="1"/>
  </cols>
  <sheetData>
    <row r="1" spans="14:26" ht="17" thickBot="1" x14ac:dyDescent="0.25">
      <c r="N1" s="331" t="s">
        <v>220</v>
      </c>
      <c r="O1" s="329" t="s">
        <v>166</v>
      </c>
      <c r="P1" s="329" t="s">
        <v>328</v>
      </c>
      <c r="Q1" s="329" t="s">
        <v>325</v>
      </c>
      <c r="R1" s="329" t="s">
        <v>431</v>
      </c>
      <c r="S1" s="333" t="s">
        <v>221</v>
      </c>
    </row>
    <row r="2" spans="14:26" ht="17" thickBot="1" x14ac:dyDescent="0.25">
      <c r="N2" s="808">
        <f>G41</f>
        <v>1.6676405000000002E-2</v>
      </c>
      <c r="O2" s="334">
        <f>('Restructuration cap'!$AB$86*(1+N2))/($Y$3-N2)</f>
        <v>3635.8099920429213</v>
      </c>
      <c r="P2" s="334">
        <f>'Restructuration cap'!$AB$86</f>
        <v>221.90169409374363</v>
      </c>
      <c r="Q2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2" s="334">
        <f>((P2+O2)/((1+'APV CALCULATION '!$M$20)^(1/4+4)))</f>
        <v>2733.7894869551383</v>
      </c>
      <c r="S2" s="810">
        <f>Q2+R2+'APV CALCULATION '!$C$47-'APV CALCULATION '!$C$48</f>
        <v>3711.0022822750943</v>
      </c>
    </row>
    <row r="3" spans="14:26" ht="17" thickBot="1" x14ac:dyDescent="0.25">
      <c r="N3" s="808">
        <f>N2+0.025%</f>
        <v>1.6926405000000002E-2</v>
      </c>
      <c r="O3" s="334">
        <f>('Restructuration cap'!$AB$86*(1+N3))/($Y$3-N3)</f>
        <v>3651.41560749163</v>
      </c>
      <c r="P3" s="334">
        <f>'Restructuration cap'!$AB$86</f>
        <v>221.90169409374363</v>
      </c>
      <c r="Q3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3" s="334">
        <f>((P3+O3)/((1+'APV CALCULATION '!$N$20)^(4)))/((1+'APV CALCULATION '!$M$20)^(1/4))</f>
        <v>2759.841091137851</v>
      </c>
      <c r="S3" s="335">
        <f>Q3+R3+'APV CALCULATION '!$C$47</f>
        <v>3737.0538864578075</v>
      </c>
      <c r="U3" s="1074" t="s">
        <v>222</v>
      </c>
      <c r="V3" s="1075"/>
      <c r="W3" s="1075"/>
      <c r="X3" s="1096"/>
      <c r="Y3" s="1065">
        <f>'APV CALCULATION '!Q20</f>
        <v>7.8726461825954649E-2</v>
      </c>
      <c r="Z3" s="1076"/>
    </row>
    <row r="4" spans="14:26" x14ac:dyDescent="0.2">
      <c r="N4" s="808">
        <f t="shared" ref="N4:N47" si="0">N3+0.025%</f>
        <v>1.7176405000000002E-2</v>
      </c>
      <c r="O4" s="334">
        <f>('Restructuration cap'!$AB$86*(1+N4))/($Y$3-N4)</f>
        <v>3667.1479946790946</v>
      </c>
      <c r="P4" s="334">
        <f>'Restructuration cap'!$AB$86</f>
        <v>221.90169409374363</v>
      </c>
      <c r="Q4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4" s="334">
        <f>((P4+O4)/((1+'APV CALCULATION '!$N$20)^(4)))/((1+'APV CALCULATION '!$M$20)^(1/4))</f>
        <v>2771.0508333926064</v>
      </c>
      <c r="S4" s="335">
        <f>Q4+R4+'APV CALCULATION '!$C$47</f>
        <v>3748.2636287125624</v>
      </c>
    </row>
    <row r="5" spans="14:26" x14ac:dyDescent="0.2">
      <c r="N5" s="808">
        <f t="shared" si="0"/>
        <v>1.7426405000000002E-2</v>
      </c>
      <c r="O5" s="334">
        <f>('Restructuration cap'!$AB$86*(1+N5))/($Y$3-N5)</f>
        <v>3683.0087046447261</v>
      </c>
      <c r="P5" s="334">
        <f>'Restructuration cap'!$AB$86</f>
        <v>221.90169409374363</v>
      </c>
      <c r="Q5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5" s="334">
        <f>((P5+O5)/((1+'APV CALCULATION '!$N$20)^(4)))/((1+'APV CALCULATION '!$M$20)^(1/4))</f>
        <v>2782.35200902308</v>
      </c>
      <c r="S5" s="335">
        <f>Q5+R5+'APV CALCULATION '!$C$47</f>
        <v>3759.5648043430365</v>
      </c>
    </row>
    <row r="6" spans="14:26" x14ac:dyDescent="0.2">
      <c r="N6" s="808">
        <f t="shared" si="0"/>
        <v>1.7676405000000003E-2</v>
      </c>
      <c r="O6" s="334">
        <f>('Restructuration cap'!$AB$86*(1+N6))/($Y$3-N6)</f>
        <v>3698.9993138339646</v>
      </c>
      <c r="P6" s="334">
        <f>'Restructuration cap'!$AB$86</f>
        <v>221.90169409374363</v>
      </c>
      <c r="Q6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6" s="334">
        <f>((P6+O6)/((1+'APV CALCULATION '!$N$20)^(4)))/((1+'APV CALCULATION '!$M$20)^(1/4))</f>
        <v>2793.7457412883723</v>
      </c>
      <c r="S6" s="335">
        <f>Q6+R6+'APV CALCULATION '!$C$47</f>
        <v>3770.9585366083284</v>
      </c>
    </row>
    <row r="7" spans="14:26" x14ac:dyDescent="0.2">
      <c r="N7" s="808">
        <f t="shared" si="0"/>
        <v>1.7926405000000003E-2</v>
      </c>
      <c r="O7" s="334">
        <f>('Restructuration cap'!$AB$86*(1+N7))/($Y$3-N7)</f>
        <v>3715.1214246206023</v>
      </c>
      <c r="P7" s="334">
        <f>'Restructuration cap'!$AB$86</f>
        <v>221.90169409374363</v>
      </c>
      <c r="Q7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7" s="334">
        <f>((P7+O7)/((1+'APV CALCULATION '!$N$20)^(4)))/((1+'APV CALCULATION '!$M$20)^(1/4))</f>
        <v>2805.2331719222184</v>
      </c>
      <c r="S7" s="335">
        <f>Q7+R7+'APV CALCULATION '!$C$47</f>
        <v>3782.4459672421744</v>
      </c>
    </row>
    <row r="8" spans="14:26" x14ac:dyDescent="0.2">
      <c r="N8" s="808">
        <f t="shared" si="0"/>
        <v>1.8176405000000003E-2</v>
      </c>
      <c r="O8" s="334">
        <f>('Restructuration cap'!$AB$86*(1+N8))/($Y$3-N8)</f>
        <v>3731.376665842055</v>
      </c>
      <c r="P8" s="334">
        <f>'Restructuration cap'!$AB$86</f>
        <v>221.90169409374363</v>
      </c>
      <c r="Q8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8" s="334">
        <f>((P8+O8)/((1+'APV CALCULATION '!$N$20)^(4)))/((1+'APV CALCULATION '!$M$20)^(1/4))</f>
        <v>2816.8154615143881</v>
      </c>
      <c r="S8" s="335">
        <f>Q8+R8+'APV CALCULATION '!$C$47</f>
        <v>3794.0282568343446</v>
      </c>
    </row>
    <row r="9" spans="14:26" x14ac:dyDescent="0.2">
      <c r="N9" s="808">
        <f t="shared" si="0"/>
        <v>1.8426405000000003E-2</v>
      </c>
      <c r="O9" s="334">
        <f>('Restructuration cap'!$AB$86*(1+N9))/($Y$3-N9)</f>
        <v>3747.7666933479427</v>
      </c>
      <c r="P9" s="334">
        <f>'Restructuration cap'!$AB$86</f>
        <v>221.90169409374363</v>
      </c>
      <c r="Q9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9" s="334">
        <f>((P9+O9)/((1+'APV CALCULATION '!$N$20)^(4)))/((1+'APV CALCULATION '!$M$20)^(1/4))</f>
        <v>2828.4937899015599</v>
      </c>
      <c r="S9" s="335">
        <f>Q9+R9+'APV CALCULATION '!$C$47</f>
        <v>3805.7065852215164</v>
      </c>
    </row>
    <row r="10" spans="14:26" x14ac:dyDescent="0.2">
      <c r="N10" s="808">
        <f t="shared" si="0"/>
        <v>1.8676405000000004E-2</v>
      </c>
      <c r="O10" s="334">
        <f>('Restructuration cap'!$AB$86*(1+N10))/($Y$3-N10)</f>
        <v>3764.2931905623705</v>
      </c>
      <c r="P10" s="334">
        <f>'Restructuration cap'!$AB$86</f>
        <v>221.90169409374363</v>
      </c>
      <c r="Q10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10" s="334">
        <f>((P10+O10)/((1+'APV CALCULATION '!$N$20)^(4)))/((1+'APV CALCULATION '!$M$20)^(1/4))</f>
        <v>2840.2693565679633</v>
      </c>
      <c r="S10" s="335">
        <f>Q10+R10+'APV CALCULATION '!$C$47</f>
        <v>3817.4821518879198</v>
      </c>
    </row>
    <row r="11" spans="14:26" x14ac:dyDescent="0.2">
      <c r="N11" s="808">
        <f t="shared" si="0"/>
        <v>1.8926405000000004E-2</v>
      </c>
      <c r="O11" s="334">
        <f>('Restructuration cap'!$AB$86*(1+N11))/($Y$3-N11)</f>
        <v>3780.9578690603271</v>
      </c>
      <c r="P11" s="334">
        <f>'Restructuration cap'!$AB$86</f>
        <v>221.90169409374363</v>
      </c>
      <c r="Q11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11" s="334">
        <f>((P11+O11)/((1+'APV CALCULATION '!$N$20)^(4)))/((1+'APV CALCULATION '!$M$20)^(1/4))</f>
        <v>2852.1433810560779</v>
      </c>
      <c r="S11" s="335">
        <f>Q11+R11+'APV CALCULATION '!$C$47</f>
        <v>3829.3561763760345</v>
      </c>
    </row>
    <row r="12" spans="14:26" x14ac:dyDescent="0.2">
      <c r="N12" s="808">
        <f t="shared" si="0"/>
        <v>1.9176405000000004E-2</v>
      </c>
      <c r="O12" s="334">
        <f>('Restructuration cap'!$AB$86*(1+N12))/($Y$3-N12)</f>
        <v>3797.762469158582</v>
      </c>
      <c r="P12" s="334">
        <f>'Restructuration cap'!$AB$86</f>
        <v>221.90169409374363</v>
      </c>
      <c r="Q12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12" s="334">
        <f>((P12+O12)/((1+'APV CALCULATION '!$N$20)^(4)))/((1+'APV CALCULATION '!$M$20)^(1/4))</f>
        <v>2864.1171033876622</v>
      </c>
      <c r="S12" s="335">
        <f>Q12+R12+'APV CALCULATION '!$C$47</f>
        <v>3841.3298987076187</v>
      </c>
    </row>
    <row r="13" spans="14:26" x14ac:dyDescent="0.2">
      <c r="N13" s="808">
        <f t="shared" si="0"/>
        <v>1.9426405000000004E-2</v>
      </c>
      <c r="O13" s="334">
        <f>('Restructuration cap'!$AB$86*(1+N13))/($Y$3-N13)</f>
        <v>3814.7087605215479</v>
      </c>
      <c r="P13" s="334">
        <f>'Restructuration cap'!$AB$86</f>
        <v>221.90169409374363</v>
      </c>
      <c r="Q13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13" s="334">
        <f>((P13+O13)/((1+'APV CALCULATION '!$N$20)^(4)))/((1+'APV CALCULATION '!$M$20)^(1/4))</f>
        <v>2876.1917844954464</v>
      </c>
      <c r="S13" s="335">
        <f>Q13+R13+'APV CALCULATION '!$C$47</f>
        <v>3853.4045798154029</v>
      </c>
    </row>
    <row r="14" spans="14:26" x14ac:dyDescent="0.2">
      <c r="N14" s="808">
        <f t="shared" si="0"/>
        <v>1.9676405000000004E-2</v>
      </c>
      <c r="O14" s="334">
        <f>('Restructuration cap'!$AB$86*(1+N14))/($Y$3-N14)</f>
        <v>3831.7985427825242</v>
      </c>
      <c r="P14" s="334">
        <f>'Restructuration cap'!$AB$86</f>
        <v>221.90169409374363</v>
      </c>
      <c r="Q14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14" s="334">
        <f>((P14+O14)/((1+'APV CALCULATION '!$N$20)^(4)))/((1+'APV CALCULATION '!$M$20)^(1/4))</f>
        <v>2888.3687066657876</v>
      </c>
      <c r="S14" s="335">
        <f>Q14+R14+'APV CALCULATION '!$C$47</f>
        <v>3865.5815019857437</v>
      </c>
    </row>
    <row r="15" spans="14:26" x14ac:dyDescent="0.2">
      <c r="N15" s="808">
        <f t="shared" si="0"/>
        <v>1.9926405000000005E-2</v>
      </c>
      <c r="O15" s="334">
        <f>('Restructuration cap'!$AB$86*(1+N15))/($Y$3-N15)</f>
        <v>3849.0336461807874</v>
      </c>
      <c r="P15" s="334">
        <f>'Restructuration cap'!$AB$86</f>
        <v>221.90169409374363</v>
      </c>
      <c r="Q15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15" s="334">
        <f>((P15+O15)/((1+'APV CALCULATION '!$N$20)^(4)))/((1+'APV CALCULATION '!$M$20)^(1/4))</f>
        <v>2900.6491739926105</v>
      </c>
      <c r="S15" s="335">
        <f>Q15+R15+'APV CALCULATION '!$C$47</f>
        <v>3877.8619693125665</v>
      </c>
    </row>
    <row r="16" spans="14:26" x14ac:dyDescent="0.2">
      <c r="N16" s="808">
        <f t="shared" si="0"/>
        <v>2.0176405000000005E-2</v>
      </c>
      <c r="O16" s="334">
        <f>('Restructuration cap'!$AB$86*(1+N16))/($Y$3-N16)</f>
        <v>3866.4159322150076</v>
      </c>
      <c r="P16" s="334">
        <f>'Restructuration cap'!$AB$86</f>
        <v>221.90169409374363</v>
      </c>
      <c r="Q16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16" s="334">
        <f>((P16+O16)/((1+'APV CALCULATION '!$N$20)^(4)))/((1+'APV CALCULATION '!$M$20)^(1/4))</f>
        <v>2913.0345128429849</v>
      </c>
      <c r="S16" s="335">
        <f>Q16+R16+'APV CALCULATION '!$C$47</f>
        <v>3890.2473081629414</v>
      </c>
    </row>
    <row r="17" spans="14:19" x14ac:dyDescent="0.2">
      <c r="N17" s="808">
        <f t="shared" si="0"/>
        <v>2.0426405000000005E-2</v>
      </c>
      <c r="O17" s="334">
        <f>('Restructuration cap'!$AB$86*(1+N17))/($Y$3-N17)</f>
        <v>3883.9472943134783</v>
      </c>
      <c r="P17" s="334">
        <f>'Restructuration cap'!$AB$86</f>
        <v>221.90169409374363</v>
      </c>
      <c r="Q17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17" s="334">
        <f>((P17+O17)/((1+'APV CALCULATION '!$N$20)^(4)))/((1+'APV CALCULATION '!$M$20)^(1/4))</f>
        <v>2925.5260723346828</v>
      </c>
      <c r="S17" s="335">
        <f>Q17+R17+'APV CALCULATION '!$C$47</f>
        <v>3902.7388676546389</v>
      </c>
    </row>
    <row r="18" spans="14:19" x14ac:dyDescent="0.2">
      <c r="N18" s="808">
        <f t="shared" si="0"/>
        <v>2.0676405000000005E-2</v>
      </c>
      <c r="O18" s="334">
        <f>('Restructuration cap'!$AB$86*(1+N18))/($Y$3-N18)</f>
        <v>3901.6296585216528</v>
      </c>
      <c r="P18" s="334">
        <f>'Restructuration cap'!$AB$86</f>
        <v>221.90169409374363</v>
      </c>
      <c r="Q18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18" s="334">
        <f>((P18+O18)/((1+'APV CALCULATION '!$N$20)^(4)))/((1+'APV CALCULATION '!$M$20)^(1/4))</f>
        <v>2938.1252248260657</v>
      </c>
      <c r="S18" s="335">
        <f>Q18+R18+'APV CALCULATION '!$C$47</f>
        <v>3915.3380201460222</v>
      </c>
    </row>
    <row r="19" spans="14:19" x14ac:dyDescent="0.2">
      <c r="N19" s="808">
        <f t="shared" si="0"/>
        <v>2.0926405000000006E-2</v>
      </c>
      <c r="O19" s="334">
        <f>('Restructuration cap'!$AB$86*(1+N19))/($Y$3-N19)</f>
        <v>3919.4649842075432</v>
      </c>
      <c r="P19" s="334">
        <f>'Restructuration cap'!$AB$86</f>
        <v>221.90169409374363</v>
      </c>
      <c r="Q19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19" s="334">
        <f>((P19+O19)/((1+'APV CALCULATION '!$N$20)^(4)))/((1+'APV CALCULATION '!$M$20)^(1/4))</f>
        <v>2950.8333664186994</v>
      </c>
      <c r="S19" s="335">
        <f>Q19+R19+'APV CALCULATION '!$C$47</f>
        <v>3928.0461617386554</v>
      </c>
    </row>
    <row r="20" spans="14:19" x14ac:dyDescent="0.2">
      <c r="N20" s="808">
        <f t="shared" si="0"/>
        <v>2.1176405000000006E-2</v>
      </c>
      <c r="O20" s="334">
        <f>('Restructuration cap'!$AB$86*(1+N20))/($Y$3-N20)</f>
        <v>3937.4552647854839</v>
      </c>
      <c r="P20" s="334">
        <f>'Restructuration cap'!$AB$86</f>
        <v>221.90169409374363</v>
      </c>
      <c r="Q20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20" s="334">
        <f>((P20+O20)/((1+'APV CALCULATION '!$N$20)^(4)))/((1+'APV CALCULATION '!$M$20)^(1/4))</f>
        <v>2963.6519174730579</v>
      </c>
      <c r="S20" s="335">
        <f>Q20+R20+'APV CALCULATION '!$C$47</f>
        <v>3940.8647127930144</v>
      </c>
    </row>
    <row r="21" spans="14:19" x14ac:dyDescent="0.2">
      <c r="N21" s="808">
        <f t="shared" si="0"/>
        <v>2.1426405000000006E-2</v>
      </c>
      <c r="O21" s="334">
        <f>('Restructuration cap'!$AB$86*(1+N21))/($Y$3-N21)</f>
        <v>3955.6025284588554</v>
      </c>
      <c r="P21" s="334">
        <f>'Restructuration cap'!$AB$86</f>
        <v>221.90169409374363</v>
      </c>
      <c r="Q21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21" s="334">
        <f>((P21+O21)/((1+'APV CALCULATION '!$N$20)^(4)))/((1+'APV CALCULATION '!$M$20)^(1/4))</f>
        <v>2976.5823231377276</v>
      </c>
      <c r="S21" s="335">
        <f>Q21+R21+'APV CALCULATION '!$C$47</f>
        <v>3953.7951184576841</v>
      </c>
    </row>
    <row r="22" spans="14:19" x14ac:dyDescent="0.2">
      <c r="N22" s="808">
        <f t="shared" si="0"/>
        <v>2.1676405000000006E-2</v>
      </c>
      <c r="O22" s="334">
        <f>('Restructuration cap'!$AB$86*(1+N22))/($Y$3-N22)</f>
        <v>3973.9088389823364</v>
      </c>
      <c r="P22" s="334">
        <f>'Restructuration cap'!$AB$86</f>
        <v>221.90169409374363</v>
      </c>
      <c r="Q22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22" s="334">
        <f>((P22+O22)/((1+'APV CALCULATION '!$N$20)^(4)))/((1+'APV CALCULATION '!$M$20)^(1/4))</f>
        <v>2989.6260538925389</v>
      </c>
      <c r="S22" s="335">
        <f>Q22+R22+'APV CALCULATION '!$C$47</f>
        <v>3966.838849212495</v>
      </c>
    </row>
    <row r="23" spans="14:19" x14ac:dyDescent="0.2">
      <c r="N23" s="808">
        <f t="shared" si="0"/>
        <v>2.1926405000000006E-2</v>
      </c>
      <c r="O23" s="334">
        <f>('Restructuration cap'!$AB$86*(1+N23))/($Y$3-N23)</f>
        <v>3992.3762964442753</v>
      </c>
      <c r="P23" s="334">
        <f>'Restructuration cap'!$AB$86</f>
        <v>221.90169409374363</v>
      </c>
      <c r="Q23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23" s="334">
        <f>((P23+O23)/((1+'APV CALCULATION '!$N$20)^(4)))/((1+'APV CALCULATION '!$M$20)^(1/4))</f>
        <v>3002.7846061060222</v>
      </c>
      <c r="S23" s="335">
        <f>Q23+R23+'APV CALCULATION '!$C$47</f>
        <v>3979.9974014259788</v>
      </c>
    </row>
    <row r="24" spans="14:19" x14ac:dyDescent="0.2">
      <c r="N24" s="808">
        <f t="shared" si="0"/>
        <v>2.2176405000000007E-2</v>
      </c>
      <c r="O24" s="334">
        <f>('Restructuration cap'!$AB$86*(1+N24))/($Y$3-N24)</f>
        <v>4011.0070380698244</v>
      </c>
      <c r="P24" s="334">
        <f>'Restructuration cap'!$AB$86</f>
        <v>221.90169409374363</v>
      </c>
      <c r="Q24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24" s="334">
        <f>((P24+O24)/((1+'APV CALCULATION '!$N$20)^(4)))/((1+'APV CALCULATION '!$M$20)^(1/4))</f>
        <v>3016.0595026076635</v>
      </c>
      <c r="S24" s="335">
        <f>Q24+R24+'APV CALCULATION '!$C$47</f>
        <v>3993.2722979276195</v>
      </c>
    </row>
    <row r="25" spans="14:19" x14ac:dyDescent="0.2">
      <c r="N25" s="808">
        <f t="shared" si="0"/>
        <v>2.2426405000000007E-2</v>
      </c>
      <c r="O25" s="334">
        <f>('Restructuration cap'!$AB$86*(1+N25))/($Y$3-N25)</f>
        <v>4029.80323904547</v>
      </c>
      <c r="P25" s="334">
        <f>'Restructuration cap'!$AB$86</f>
        <v>221.90169409374363</v>
      </c>
      <c r="Q25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25" s="334">
        <f>((P25+O25)/((1+'APV CALCULATION '!$N$20)^(4)))/((1+'APV CALCULATION '!$M$20)^(1/4))</f>
        <v>3029.4522932754044</v>
      </c>
      <c r="S25" s="335">
        <f>Q25+R25+'APV CALCULATION '!$C$47</f>
        <v>4006.6650885953604</v>
      </c>
    </row>
    <row r="26" spans="14:19" x14ac:dyDescent="0.2">
      <c r="N26" s="808">
        <f t="shared" si="0"/>
        <v>2.2676405000000007E-2</v>
      </c>
      <c r="O26" s="334">
        <f>('Restructuration cap'!$AB$86*(1+N26))/($Y$3-N26)</f>
        <v>4048.7671133656222</v>
      </c>
      <c r="P26" s="334">
        <f>'Restructuration cap'!$AB$86</f>
        <v>221.90169409374363</v>
      </c>
      <c r="Q26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26" s="334">
        <f>((P26+O26)/((1+'APV CALCULATION '!$N$20)^(4)))/((1+'APV CALCULATION '!$M$20)^(1/4))</f>
        <v>3042.9645556388591</v>
      </c>
      <c r="S26" s="335">
        <f>Q26+R26+'APV CALCULATION '!$C$47</f>
        <v>4020.1773509588156</v>
      </c>
    </row>
    <row r="27" spans="14:19" x14ac:dyDescent="0.2">
      <c r="N27" s="808">
        <f t="shared" si="0"/>
        <v>2.2926405000000007E-2</v>
      </c>
      <c r="O27" s="334">
        <f>('Restructuration cap'!$AB$86*(1+N27))/($Y$3-N27)</f>
        <v>4067.9009147019724</v>
      </c>
      <c r="P27" s="334">
        <f>'Restructuration cap'!$AB$86</f>
        <v>221.90169409374363</v>
      </c>
      <c r="Q27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27" s="334">
        <f>((P27+O27)/((1+'APV CALCULATION '!$N$20)^(4)))/((1+'APV CALCULATION '!$M$20)^(1/4))</f>
        <v>3056.597895498755</v>
      </c>
      <c r="S27" s="335">
        <f>Q27+R27+'APV CALCULATION '!$C$47</f>
        <v>4033.810690818711</v>
      </c>
    </row>
    <row r="28" spans="14:19" x14ac:dyDescent="0.2">
      <c r="N28" s="808">
        <f t="shared" si="0"/>
        <v>2.3176405000000008E-2</v>
      </c>
      <c r="O28" s="334">
        <f>('Restructuration cap'!$AB$86*(1+N28))/($Y$3-N28)</f>
        <v>4087.206937296316</v>
      </c>
      <c r="P28" s="334">
        <f>'Restructuration cap'!$AB$86</f>
        <v>221.90169409374363</v>
      </c>
      <c r="Q28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28" s="334">
        <f>((P28+O28)/((1+'APV CALCULATION '!$N$20)^(4)))/((1+'APV CALCULATION '!$M$20)^(1/4))</f>
        <v>3070.3539475630914</v>
      </c>
      <c r="S28" s="335">
        <f>Q28+R28+'APV CALCULATION '!$C$47</f>
        <v>4047.5667428830475</v>
      </c>
    </row>
    <row r="29" spans="14:19" x14ac:dyDescent="0.2">
      <c r="N29" s="808">
        <f t="shared" si="0"/>
        <v>2.3426405000000008E-2</v>
      </c>
      <c r="O29" s="334">
        <f>('Restructuration cap'!$AB$86*(1+N29))/($Y$3-N29)</f>
        <v>4106.6875168775987</v>
      </c>
      <c r="P29" s="334">
        <f>'Restructuration cap'!$AB$86</f>
        <v>221.90169409374363</v>
      </c>
      <c r="Q29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29" s="334">
        <f>((P29+O29)/((1+'APV CALCULATION '!$N$20)^(4)))/((1+'APV CALCULATION '!$M$20)^(1/4))</f>
        <v>3084.2343761005627</v>
      </c>
      <c r="S29" s="335">
        <f>Q29+R29+'APV CALCULATION '!$C$47</f>
        <v>4061.4471714205192</v>
      </c>
    </row>
    <row r="30" spans="14:19" x14ac:dyDescent="0.2">
      <c r="N30" s="808">
        <f t="shared" si="0"/>
        <v>2.3676405000000008E-2</v>
      </c>
      <c r="O30" s="334">
        <f>('Restructuration cap'!$AB$86*(1+N30))/($Y$3-N30)</f>
        <v>4126.3450316039534</v>
      </c>
      <c r="P30" s="334">
        <f>'Restructuration cap'!$AB$86</f>
        <v>221.90169409374363</v>
      </c>
      <c r="Q30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30" s="334">
        <f>((P30+O30)/((1+'APV CALCULATION '!$N$20)^(4)))/((1+'APV CALCULATION '!$M$20)^(1/4))</f>
        <v>3098.2408756117788</v>
      </c>
      <c r="S30" s="335">
        <f>Q30+R30+'APV CALCULATION '!$C$47</f>
        <v>4075.4536709317354</v>
      </c>
    </row>
    <row r="31" spans="14:19" x14ac:dyDescent="0.2">
      <c r="N31" s="808">
        <f t="shared" si="0"/>
        <v>2.3926405000000008E-2</v>
      </c>
      <c r="O31" s="334">
        <f>('Restructuration cap'!$AB$86*(1+N31))/($Y$3-N31)</f>
        <v>4146.1819030305096</v>
      </c>
      <c r="P31" s="334">
        <f>'Restructuration cap'!$AB$86</f>
        <v>221.90169409374363</v>
      </c>
      <c r="Q31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31" s="334">
        <f>((P31+O31)/((1+'APV CALCULATION '!$N$20)^(4)))/((1+'APV CALCULATION '!$M$20)^(1/4))</f>
        <v>3112.375171518861</v>
      </c>
      <c r="S31" s="335">
        <f>Q31+R31+'APV CALCULATION '!$C$47</f>
        <v>4089.587966838817</v>
      </c>
    </row>
    <row r="32" spans="14:19" x14ac:dyDescent="0.2">
      <c r="N32" s="808">
        <f t="shared" si="0"/>
        <v>2.4176405000000008E-2</v>
      </c>
      <c r="O32" s="334">
        <f>('Restructuration cap'!$AB$86*(1+N32))/($Y$3-N32)</f>
        <v>4166.2005971038298</v>
      </c>
      <c r="P32" s="334">
        <f>'Restructuration cap'!$AB$86</f>
        <v>221.90169409374363</v>
      </c>
      <c r="Q32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32" s="334">
        <f>((P32+O32)/((1+'APV CALCULATION '!$N$20)^(4)))/((1+'APV CALCULATION '!$M$20)^(1/4))</f>
        <v>3126.6390208739995</v>
      </c>
      <c r="S32" s="335">
        <f>Q32+R32+'APV CALCULATION '!$C$47</f>
        <v>4103.8518161939555</v>
      </c>
    </row>
    <row r="33" spans="2:19" x14ac:dyDescent="0.2">
      <c r="N33" s="808">
        <f t="shared" si="0"/>
        <v>2.4426405000000009E-2</v>
      </c>
      <c r="O33" s="334">
        <f>('Restructuration cap'!$AB$86*(1+N33))/($Y$3-N33)</f>
        <v>4186.4036251838124</v>
      </c>
      <c r="P33" s="334">
        <f>'Restructuration cap'!$AB$86</f>
        <v>221.90169409374363</v>
      </c>
      <c r="Q33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33" s="334">
        <f>((P33+O33)/((1+'APV CALCULATION '!$N$20)^(4)))/((1+'APV CALCULATION '!$M$20)^(1/4))</f>
        <v>3141.0342130875902</v>
      </c>
      <c r="S33" s="335">
        <f>Q33+R33+'APV CALCULATION '!$C$47</f>
        <v>4118.2470084075467</v>
      </c>
    </row>
    <row r="34" spans="2:19" x14ac:dyDescent="0.2">
      <c r="N34" s="808">
        <f t="shared" si="0"/>
        <v>2.4676405000000009E-2</v>
      </c>
      <c r="O34" s="334">
        <f>('Restructuration cap'!$AB$86*(1+N34))/($Y$3-N34)</f>
        <v>4206.7935450939458</v>
      </c>
      <c r="P34" s="334">
        <f>'Restructuration cap'!$AB$86</f>
        <v>221.90169409374363</v>
      </c>
      <c r="Q34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34" s="334">
        <f>((P34+O34)/((1+'APV CALCULATION '!$N$20)^(4)))/((1+'APV CALCULATION '!$M$20)^(1/4))</f>
        <v>3155.562570676565</v>
      </c>
      <c r="S34" s="335">
        <f>Q34+R34+'APV CALCULATION '!$C$47</f>
        <v>4132.775365996521</v>
      </c>
    </row>
    <row r="35" spans="2:19" x14ac:dyDescent="0.2">
      <c r="N35" s="808">
        <f t="shared" si="0"/>
        <v>2.4926405000000009E-2</v>
      </c>
      <c r="O35" s="334">
        <f>('Restructuration cap'!$AB$86*(1+N35))/($Y$3-N35)</f>
        <v>4227.3729622008586</v>
      </c>
      <c r="P35" s="334">
        <f>'Restructuration cap'!$AB$86</f>
        <v>221.90169409374363</v>
      </c>
      <c r="Q35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35" s="334">
        <f>((P35+O35)/((1+'APV CALCULATION '!$N$20)^(4)))/((1+'APV CALCULATION '!$M$20)^(1/4))</f>
        <v>3170.2259500336027</v>
      </c>
      <c r="S35" s="335">
        <f>Q35+R35+'APV CALCULATION '!$C$47</f>
        <v>4147.4387453535592</v>
      </c>
    </row>
    <row r="36" spans="2:19" x14ac:dyDescent="0.2">
      <c r="N36" s="808">
        <f t="shared" si="0"/>
        <v>2.5176405000000009E-2</v>
      </c>
      <c r="O36" s="334">
        <f>('Restructuration cap'!$AB$86*(1+N36))/($Y$3-N36)</f>
        <v>4248.1445305240986</v>
      </c>
      <c r="P36" s="334">
        <f>'Restructuration cap'!$AB$86</f>
        <v>221.90169409374363</v>
      </c>
      <c r="Q36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36" s="334">
        <f>((P36+O36)/((1+'APV CALCULATION '!$N$20)^(4)))/((1+'APV CALCULATION '!$M$20)^(1/4))</f>
        <v>3185.0262422178739</v>
      </c>
      <c r="S36" s="335">
        <f>Q36+R36+'APV CALCULATION '!$C$47</f>
        <v>4162.23903753783</v>
      </c>
    </row>
    <row r="37" spans="2:19" x14ac:dyDescent="0.2">
      <c r="N37" s="808">
        <f t="shared" si="0"/>
        <v>2.542640500000001E-2</v>
      </c>
      <c r="O37" s="334">
        <f>('Restructuration cap'!$AB$86*(1+N37))/($Y$3-N37)</f>
        <v>4269.1109538771452</v>
      </c>
      <c r="P37" s="334">
        <f>'Restructuration cap'!$AB$86</f>
        <v>221.90169409374363</v>
      </c>
      <c r="Q37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37" s="334">
        <f>((P37+O37)/((1+'APV CALCULATION '!$N$20)^(4)))/((1+'APV CALCULATION '!$M$20)^(1/4))</f>
        <v>3199.9653737680428</v>
      </c>
      <c r="S37" s="335">
        <f>Q37+R37+'APV CALCULATION '!$C$47</f>
        <v>4177.1781690879989</v>
      </c>
    </row>
    <row r="38" spans="2:19" x14ac:dyDescent="0.2">
      <c r="N38" s="808">
        <f t="shared" si="0"/>
        <v>2.567640500000001E-2</v>
      </c>
      <c r="O38" s="334">
        <f>('Restructuration cap'!$AB$86*(1+N38))/($Y$3-N38)</f>
        <v>4290.274987040696</v>
      </c>
      <c r="P38" s="334">
        <f>'Restructuration cap'!$AB$86</f>
        <v>221.90169409374363</v>
      </c>
      <c r="Q38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38" s="334">
        <f>((P38+O38)/((1+'APV CALCULATION '!$N$20)^(4)))/((1+'APV CALCULATION '!$M$20)^(1/4))</f>
        <v>3215.0453075382675</v>
      </c>
      <c r="S38" s="335">
        <f>Q38+R38+'APV CALCULATION '!$C$47</f>
        <v>4192.2581028582235</v>
      </c>
    </row>
    <row r="39" spans="2:19" ht="17" thickBot="1" x14ac:dyDescent="0.25">
      <c r="N39" s="808">
        <f t="shared" si="0"/>
        <v>2.592640500000001E-2</v>
      </c>
      <c r="O39" s="334">
        <f>('Restructuration cap'!$AB$86*(1+N39))/($Y$3-N39)</f>
        <v>4311.6394369692634</v>
      </c>
      <c r="P39" s="334">
        <f>'Restructuration cap'!$AB$86</f>
        <v>221.90169409374363</v>
      </c>
      <c r="Q39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39" s="334">
        <f>((P39+O39)/((1+'APV CALCULATION '!$N$20)^(4)))/((1+'APV CALCULATION '!$M$20)^(1/4))</f>
        <v>3230.2680435579277</v>
      </c>
      <c r="S39" s="335">
        <f>Q39+R39+'APV CALCULATION '!$C$47</f>
        <v>4207.4808388778838</v>
      </c>
    </row>
    <row r="40" spans="2:19" ht="19" x14ac:dyDescent="0.25">
      <c r="B40" s="1245" t="s">
        <v>236</v>
      </c>
      <c r="C40" s="1246"/>
      <c r="D40" s="381"/>
      <c r="E40" s="378"/>
      <c r="F40" s="378"/>
      <c r="G40" s="379" t="s">
        <v>230</v>
      </c>
      <c r="H40" s="378"/>
      <c r="I40" s="378"/>
      <c r="J40" s="380"/>
      <c r="N40" s="808">
        <f t="shared" si="0"/>
        <v>2.617640500000001E-2</v>
      </c>
      <c r="O40" s="334">
        <f>('Restructuration cap'!$AB$86*(1+N40))/($Y$3-N40)</f>
        <v>4333.2071640322329</v>
      </c>
      <c r="P40" s="334">
        <f>'Restructuration cap'!$AB$86</f>
        <v>221.90169409374363</v>
      </c>
      <c r="Q40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40" s="334">
        <f>((P40+O40)/((1+'APV CALCULATION '!$N$20)^(4)))/((1+'APV CALCULATION '!$M$20)^(1/4))</f>
        <v>3245.6356199159159</v>
      </c>
      <c r="S40" s="335">
        <f>Q40+R40+'APV CALCULATION '!$C$47</f>
        <v>4222.8484152358724</v>
      </c>
    </row>
    <row r="41" spans="2:19" ht="17" thickBot="1" x14ac:dyDescent="0.25">
      <c r="B41" s="1247"/>
      <c r="C41" s="1248"/>
      <c r="D41" s="382">
        <f t="shared" ref="D41:E41" si="1">E41-0.1%</f>
        <v>1.3676404999999999E-2</v>
      </c>
      <c r="E41" s="383">
        <f t="shared" si="1"/>
        <v>1.4676405E-2</v>
      </c>
      <c r="F41" s="383">
        <f>G41-0.1%</f>
        <v>1.5676405000000001E-2</v>
      </c>
      <c r="G41" s="383">
        <f>'Restructuration cap'!AH32</f>
        <v>1.6676405000000002E-2</v>
      </c>
      <c r="H41" s="383">
        <f>G41+0.1%</f>
        <v>1.7676405000000003E-2</v>
      </c>
      <c r="I41" s="383">
        <f t="shared" ref="I41:J41" si="2">H41+0.1%</f>
        <v>1.8676405000000004E-2</v>
      </c>
      <c r="J41" s="384">
        <f t="shared" si="2"/>
        <v>1.9676405000000004E-2</v>
      </c>
      <c r="N41" s="808">
        <f t="shared" si="0"/>
        <v>2.642640500000001E-2</v>
      </c>
      <c r="O41" s="334">
        <f>('Restructuration cap'!$AB$86*(1+N41))/($Y$3-N41)</f>
        <v>4354.9810832905077</v>
      </c>
      <c r="P41" s="334">
        <f>'Restructuration cap'!$AB$86</f>
        <v>221.90169409374363</v>
      </c>
      <c r="Q41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41" s="334">
        <f>((P41+O41)/((1+'APV CALCULATION '!$N$20)^(4)))/((1+'APV CALCULATION '!$M$20)^(1/4))</f>
        <v>3261.1501136702768</v>
      </c>
      <c r="S41" s="335">
        <f>Q41+R41+'APV CALCULATION '!$C$47</f>
        <v>4238.3629089902333</v>
      </c>
    </row>
    <row r="42" spans="2:19" ht="19" customHeight="1" x14ac:dyDescent="0.2">
      <c r="B42" s="1242" t="s">
        <v>231</v>
      </c>
      <c r="C42" s="389">
        <f t="shared" ref="C42:C43" si="3">C43-0.1%</f>
        <v>7.5726461825954647E-2</v>
      </c>
      <c r="D42" s="542">
        <f>('Restructuration cap'!$AB$86*(1+D41)/($C$42-D41))</f>
        <v>3625.0814751593921</v>
      </c>
      <c r="E42" s="543">
        <f>('Restructuration cap'!$AB$86*(1+E41)/($C$42-E41))</f>
        <v>3688.0950638317227</v>
      </c>
      <c r="F42" s="543">
        <f>('Restructuration cap'!$AB$86*(1+F41)/($C$42-F41))</f>
        <v>3753.2073545537446</v>
      </c>
      <c r="G42" s="543">
        <f>('Restructuration cap'!$AB$86*(1+G41)/($C$42-G41))</f>
        <v>3820.5249705276597</v>
      </c>
      <c r="H42" s="543">
        <f>('Restructuration cap'!$AB$86*(1+H41)/($C$42-H41))</f>
        <v>3890.1618819391579</v>
      </c>
      <c r="I42" s="543">
        <f>('Restructuration cap'!$AB$86*(1+I41)/($C$42-I41))</f>
        <v>3962.2400498641737</v>
      </c>
      <c r="J42" s="544">
        <f>('Restructuration cap'!$AB$86*(1+J41)/($C$42-J41))</f>
        <v>4036.8901391040558</v>
      </c>
      <c r="N42" s="808">
        <f t="shared" si="0"/>
        <v>2.6676405000000011E-2</v>
      </c>
      <c r="O42" s="334">
        <f>('Restructuration cap'!$AB$86*(1+N42))/($Y$3-N42)</f>
        <v>4376.9641658099381</v>
      </c>
      <c r="P42" s="334">
        <f>'Restructuration cap'!$AB$86</f>
        <v>221.90169409374363</v>
      </c>
      <c r="Q42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42" s="334">
        <f>((P42+O42)/((1+'APV CALCULATION '!$N$20)^(4)))/((1+'APV CALCULATION '!$M$20)^(1/4))</f>
        <v>3276.8136417840633</v>
      </c>
      <c r="S42" s="335">
        <f>Q42+R42+'APV CALCULATION '!$C$47</f>
        <v>4254.0264371040194</v>
      </c>
    </row>
    <row r="43" spans="2:19" x14ac:dyDescent="0.2">
      <c r="B43" s="1243"/>
      <c r="C43" s="390">
        <f t="shared" si="3"/>
        <v>7.6726461825954648E-2</v>
      </c>
      <c r="D43" s="545">
        <f>('Restructuration cap'!$AB$86*(1+D41)/($C$43-D41))</f>
        <v>3567.5861824086469</v>
      </c>
      <c r="E43" s="414">
        <f>('Restructuration cap'!$AB$86*(1+E41)/($C$43-E41))</f>
        <v>3628.6576474539015</v>
      </c>
      <c r="F43" s="414">
        <f>('Restructuration cap'!$AB$86*(1+F41)/($C$43-F41))</f>
        <v>3691.7298138324704</v>
      </c>
      <c r="G43" s="414">
        <f>('Restructuration cap'!$AB$86*(1+G41)/($C$43-G41))</f>
        <v>3756.9026332232861</v>
      </c>
      <c r="H43" s="414">
        <f>('Restructuration cap'!$AB$86*(1+H41)/($C$43-H41))</f>
        <v>3824.2828279459482</v>
      </c>
      <c r="I43" s="414">
        <f>('Restructuration cap'!$AB$86*(1+I41)/($C$43-I41))</f>
        <v>3893.9844741333222</v>
      </c>
      <c r="J43" s="415">
        <f>('Restructuration cap'!$AB$86*(1+J41)/($C$43-J41))</f>
        <v>3966.1296462368955</v>
      </c>
      <c r="N43" s="808">
        <f t="shared" si="0"/>
        <v>2.6926405000000011E-2</v>
      </c>
      <c r="O43" s="334">
        <f>('Restructuration cap'!$AB$86*(1+N43))/($Y$3-N43)</f>
        <v>4399.1594400128015</v>
      </c>
      <c r="P43" s="334">
        <f>'Restructuration cap'!$AB$86</f>
        <v>221.90169409374363</v>
      </c>
      <c r="Q43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43" s="334">
        <f>((P43+O43)/((1+'APV CALCULATION '!$N$20)^(4)))/((1+'APV CALCULATION '!$M$20)^(1/4))</f>
        <v>3292.6283620883</v>
      </c>
      <c r="S43" s="335">
        <f>Q43+R43+'APV CALCULATION '!$C$47</f>
        <v>4269.8411574082565</v>
      </c>
    </row>
    <row r="44" spans="2:19" x14ac:dyDescent="0.2">
      <c r="B44" s="1243"/>
      <c r="C44" s="390">
        <f>C45-0.1%</f>
        <v>7.7726461825954649E-2</v>
      </c>
      <c r="D44" s="545">
        <f>('Restructuration cap'!$AB$86*(1+D41)/($C$44-D41))</f>
        <v>3511.8862133656376</v>
      </c>
      <c r="E44" s="414">
        <f>('Restructuration cap'!$AB$86*(1+E41)/($C$44-E41))</f>
        <v>3571.1056351302559</v>
      </c>
      <c r="F44" s="414">
        <f>('Restructuration cap'!$AB$86*(1+F41)/($C$44-F41))</f>
        <v>3632.2338197484123</v>
      </c>
      <c r="G44" s="414">
        <f>('Restructuration cap'!$AB$86*(1+G41)/($C$44-G41))</f>
        <v>3695.3645638332168</v>
      </c>
      <c r="H44" s="414">
        <f>('Restructuration cap'!$AB$86*(1+H41)/($C$44-H41))</f>
        <v>3760.597911892829</v>
      </c>
      <c r="I44" s="414">
        <f>('Restructuration cap'!$AB$86*(1+I41)/($C$44-I41))</f>
        <v>3828.0406853642357</v>
      </c>
      <c r="J44" s="415">
        <f>('Restructuration cap'!$AB$86*(1+J41)/($C$44-J41))</f>
        <v>3897.8070663274884</v>
      </c>
      <c r="N44" s="808">
        <f t="shared" si="0"/>
        <v>2.7176405000000011E-2</v>
      </c>
      <c r="O44" s="334">
        <f>('Restructuration cap'!$AB$86*(1+N44))/($Y$3-N44)</f>
        <v>4421.5699930685832</v>
      </c>
      <c r="P44" s="334">
        <f>'Restructuration cap'!$AB$86</f>
        <v>221.90169409374363</v>
      </c>
      <c r="Q44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44" s="334">
        <f>((P44+O44)/((1+'APV CALCULATION '!$N$20)^(4)))/((1+'APV CALCULATION '!$M$20)^(1/4))</f>
        <v>3308.5964742729529</v>
      </c>
      <c r="S44" s="335">
        <f>Q44+R44+'APV CALCULATION '!$C$47</f>
        <v>4285.809269592909</v>
      </c>
    </row>
    <row r="45" spans="2:19" x14ac:dyDescent="0.2">
      <c r="B45" s="1243"/>
      <c r="C45" s="391">
        <f>'APV CALCULATION '!M7</f>
        <v>7.8726461825954649E-2</v>
      </c>
      <c r="D45" s="545">
        <f>('Restructuration cap'!$AB$86*(1+D41)/($C$45-D41))</f>
        <v>3457.8987706988019</v>
      </c>
      <c r="E45" s="414">
        <f>('Restructuration cap'!$AB$86*(1+E41)/($C$45-E41))</f>
        <v>3515.3507176157541</v>
      </c>
      <c r="F45" s="414">
        <f>('Restructuration cap'!$AB$86*(1+F41)/($C$45-F41))</f>
        <v>3574.6250878518658</v>
      </c>
      <c r="G45" s="416">
        <f>('Restructuration cap'!$AB$86*(1+G41)/($C$45-G41))</f>
        <v>3635.8099920429213</v>
      </c>
      <c r="H45" s="414">
        <f>('Restructuration cap'!$AB$86*(1+H41)/($C$45-H41))</f>
        <v>3698.9993138339646</v>
      </c>
      <c r="I45" s="414">
        <f>('Restructuration cap'!$AB$86*(1+I41)/($C$45-I41))</f>
        <v>3764.2931905623705</v>
      </c>
      <c r="J45" s="415">
        <f>('Restructuration cap'!$AB$86*(1+J41)/($C$45-J41))</f>
        <v>3831.7985427825242</v>
      </c>
      <c r="N45" s="808">
        <f t="shared" si="0"/>
        <v>2.7426405000000011E-2</v>
      </c>
      <c r="O45" s="334">
        <f>('Restructuration cap'!$AB$86*(1+N45))/($Y$3-N45)</f>
        <v>4444.1989723254492</v>
      </c>
      <c r="P45" s="334">
        <f>'Restructuration cap'!$AB$86</f>
        <v>221.90169409374363</v>
      </c>
      <c r="Q45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45" s="334">
        <f>((P45+O45)/((1+'APV CALCULATION '!$N$20)^(4)))/((1+'APV CALCULATION '!$M$20)^(1/4))</f>
        <v>3324.7202209068892</v>
      </c>
      <c r="S45" s="335">
        <f>Q45+R45+'APV CALCULATION '!$C$47</f>
        <v>4301.9330162268452</v>
      </c>
    </row>
    <row r="46" spans="2:19" x14ac:dyDescent="0.2">
      <c r="B46" s="1243"/>
      <c r="C46" s="390">
        <f>C45+0.1%</f>
        <v>7.972646182595465E-2</v>
      </c>
      <c r="D46" s="545">
        <f>('Restructuration cap'!$AB$86*(1+D41)/($C$46-D41))</f>
        <v>3405.5460712937047</v>
      </c>
      <c r="E46" s="414">
        <f>('Restructuration cap'!$AB$86*(1+E41)/($C$46-E41))</f>
        <v>3461.3100158985935</v>
      </c>
      <c r="F46" s="414">
        <f>('Restructuration cap'!$AB$86*(1+F41)/($C$46-F41))</f>
        <v>3518.8152218658715</v>
      </c>
      <c r="G46" s="414">
        <f>('Restructuration cap'!$AB$86*(1+G41)/($C$46-G41))</f>
        <v>3578.1445405734748</v>
      </c>
      <c r="H46" s="414">
        <f>('Restructuration cap'!$AB$86*(1+H41)/($C$46-H41))</f>
        <v>3639.3861643374321</v>
      </c>
      <c r="I46" s="414">
        <f>('Restructuration cap'!$AB$86*(1+I41)/($C$46-I41))</f>
        <v>3702.6340638347106</v>
      </c>
      <c r="J46" s="415">
        <f>('Restructuration cap'!$AB$86*(1+J41)/($C$46-J41))</f>
        <v>3767.9884692319133</v>
      </c>
      <c r="N46" s="808">
        <f t="shared" si="0"/>
        <v>2.7676405000000012E-2</v>
      </c>
      <c r="O46" s="334">
        <f>('Restructuration cap'!$AB$86*(1+N46))/($Y$3-N46)</f>
        <v>4467.0495867837617</v>
      </c>
      <c r="P46" s="334">
        <f>'Restructuration cap'!$AB$86</f>
        <v>221.90169409374363</v>
      </c>
      <c r="Q46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46" s="334">
        <f>((P46+O46)/((1+'APV CALCULATION '!$N$20)^(4)))/((1+'APV CALCULATION '!$M$20)^(1/4))</f>
        <v>3341.0018884877991</v>
      </c>
      <c r="S46" s="335">
        <f>Q46+R46+'APV CALCULATION '!$C$47</f>
        <v>4318.2146838077551</v>
      </c>
    </row>
    <row r="47" spans="2:19" ht="17" thickBot="1" x14ac:dyDescent="0.25">
      <c r="B47" s="1243"/>
      <c r="C47" s="390">
        <f t="shared" ref="C47:C48" si="4">C46+0.1%</f>
        <v>8.0726461825954651E-2</v>
      </c>
      <c r="D47" s="545">
        <f>('Restructuration cap'!$AB$86*(1+D41)/($C$47-D41))</f>
        <v>3354.7549723370898</v>
      </c>
      <c r="E47" s="414">
        <f>('Restructuration cap'!$AB$86*(1+E41)/($C$47-E41))</f>
        <v>3408.9056701306658</v>
      </c>
      <c r="F47" s="414">
        <f>('Restructuration cap'!$AB$86*(1+F41)/($C$47-F41))</f>
        <v>3464.7212610983861</v>
      </c>
      <c r="G47" s="414">
        <f>('Restructuration cap'!$AB$86*(1+G41)/($C$47-G41))</f>
        <v>3522.2797261159876</v>
      </c>
      <c r="H47" s="414">
        <f>('Restructuration cap'!$AB$86*(1+H41)/($C$47-H41))</f>
        <v>3581.6639932950852</v>
      </c>
      <c r="I47" s="414">
        <f>('Restructuration cap'!$AB$86*(1+I41)/($C$47-I41))</f>
        <v>3642.9623366319411</v>
      </c>
      <c r="J47" s="415">
        <f>('Restructuration cap'!$AB$86*(1+J41)/($C$47-J41))</f>
        <v>3706.2688138354583</v>
      </c>
      <c r="N47" s="809">
        <f t="shared" si="0"/>
        <v>2.7926405000000012E-2</v>
      </c>
      <c r="O47" s="336">
        <f>('Restructuration cap'!$AB$86*(1+N47))/($Y$3-N47)</f>
        <v>4490.1251086131088</v>
      </c>
      <c r="P47" s="336">
        <f>'Restructuration cap'!$AB$86</f>
        <v>221.90169409374363</v>
      </c>
      <c r="Q47" s="336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47" s="336">
        <f>((P47+O47)/((1+'APV CALCULATION '!$N$20)^(4)))/((1+'APV CALCULATION '!$M$20)^(1/4))</f>
        <v>3357.4438085231168</v>
      </c>
      <c r="S47" s="337">
        <f>Q47+R47+'APV CALCULATION '!$C$47</f>
        <v>4334.6566038430728</v>
      </c>
    </row>
    <row r="48" spans="2:19" ht="17" thickBot="1" x14ac:dyDescent="0.25">
      <c r="B48" s="1244"/>
      <c r="C48" s="392">
        <f t="shared" si="4"/>
        <v>8.1726461825954652E-2</v>
      </c>
      <c r="D48" s="546">
        <f>('Restructuration cap'!$AB$86*(1+D41)/($C$48-D41))</f>
        <v>3305.4566303692463</v>
      </c>
      <c r="E48" s="417">
        <f>('Restructuration cap'!$AB$86*(1+E41)/($C$48-E41))</f>
        <v>3358.0644653427362</v>
      </c>
      <c r="F48" s="417">
        <f>('Restructuration cap'!$AB$86*(1+F41)/($C$48-F41))</f>
        <v>3412.2652689676283</v>
      </c>
      <c r="G48" s="417">
        <f>('Restructuration cap'!$AB$86*(1+G41)/($C$48-G41))</f>
        <v>3468.1325062981778</v>
      </c>
      <c r="H48" s="417">
        <f>('Restructuration cap'!$AB$86*(1+H41)/($C$48-H41))</f>
        <v>3525.7442303661051</v>
      </c>
      <c r="I48" s="417">
        <f>('Restructuration cap'!$AB$86*(1+I41)/($C$48-I41))</f>
        <v>3585.1834460166942</v>
      </c>
      <c r="J48" s="418">
        <f>('Restructuration cap'!$AB$86*(1+J41)/($C$48-J41))</f>
        <v>3646.5385089264519</v>
      </c>
    </row>
    <row r="49" spans="2:19" x14ac:dyDescent="0.2">
      <c r="B49" s="346"/>
      <c r="C49" s="346"/>
      <c r="D49" s="346"/>
      <c r="E49" s="346"/>
      <c r="F49" s="346"/>
      <c r="G49" s="346"/>
      <c r="H49" s="346"/>
      <c r="I49" s="347"/>
      <c r="J49" s="346"/>
    </row>
    <row r="50" spans="2:19" x14ac:dyDescent="0.2">
      <c r="B50" s="346"/>
      <c r="C50" s="346"/>
      <c r="D50" s="346"/>
      <c r="E50" s="346"/>
      <c r="F50" s="346"/>
      <c r="G50" s="346"/>
      <c r="H50" s="346"/>
      <c r="I50" s="347"/>
      <c r="J50" s="346"/>
    </row>
    <row r="51" spans="2:19" ht="17" thickBot="1" x14ac:dyDescent="0.25"/>
    <row r="52" spans="2:19" ht="17" thickBot="1" x14ac:dyDescent="0.25">
      <c r="N52" s="331" t="s">
        <v>211</v>
      </c>
      <c r="O52" s="328" t="s">
        <v>327</v>
      </c>
      <c r="P52" s="329" t="s">
        <v>328</v>
      </c>
      <c r="Q52" s="329" t="s">
        <v>326</v>
      </c>
      <c r="R52" s="329" t="s">
        <v>324</v>
      </c>
      <c r="S52" s="330" t="s">
        <v>329</v>
      </c>
    </row>
    <row r="53" spans="2:19" x14ac:dyDescent="0.2">
      <c r="N53" s="700">
        <f t="shared" ref="N53:N61" si="5">N54-0.05%</f>
        <v>7.3726461825954645E-2</v>
      </c>
      <c r="O53" s="597">
        <f>('Restructuration cap'!$AB$86*(1+'WACC CALCULATION'!$D$15))/(N53-'WACC CALCULATION'!$D$15)</f>
        <v>3954.4608571187323</v>
      </c>
      <c r="P53" s="598">
        <f>'Restructuration cap'!$AB$86</f>
        <v>221.90169409374363</v>
      </c>
      <c r="Q53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53" s="598">
        <f t="shared" ref="R53:R62" si="6">(P53+O53)/((1+N53)^(4+1/4))</f>
        <v>3086.740735356821</v>
      </c>
      <c r="S53" s="599">
        <f>Q53+R53+'APV CALCULATION '!$C$47-'APV CALCULATION '!$C$48</f>
        <v>4063.9535306767775</v>
      </c>
    </row>
    <row r="54" spans="2:19" x14ac:dyDescent="0.2">
      <c r="N54" s="332">
        <f t="shared" si="5"/>
        <v>7.4226461825954645E-2</v>
      </c>
      <c r="O54" s="590">
        <f>('Restructuration cap'!$AB$86*(1+'WACC CALCULATION'!$D$15))/(N54-'WACC CALCULATION'!$D$15)</f>
        <v>3920.1041503210486</v>
      </c>
      <c r="P54" s="334">
        <f>'Restructuration cap'!$AB$86</f>
        <v>221.90169409374363</v>
      </c>
      <c r="Q54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54" s="334">
        <f t="shared" si="6"/>
        <v>3055.2964857566753</v>
      </c>
      <c r="S54" s="335">
        <f>Q54+R54+'APV CALCULATION '!$C$47-'APV CALCULATION '!$C$48</f>
        <v>4032.5092810766319</v>
      </c>
    </row>
    <row r="55" spans="2:19" x14ac:dyDescent="0.2">
      <c r="N55" s="332">
        <f t="shared" si="5"/>
        <v>7.4726461825954646E-2</v>
      </c>
      <c r="O55" s="590">
        <f>('Restructuration cap'!$AB$86*(1+'WACC CALCULATION'!$D$15))/(N55-'WACC CALCULATION'!$D$15)</f>
        <v>3886.3392897449917</v>
      </c>
      <c r="P55" s="334">
        <f>'Restructuration cap'!$AB$86</f>
        <v>221.90169409374363</v>
      </c>
      <c r="Q55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55" s="334">
        <f t="shared" si="6"/>
        <v>3024.402974845802</v>
      </c>
      <c r="S55" s="335">
        <f>Q55+R55+'APV CALCULATION '!$C$47-'APV CALCULATION '!$C$48</f>
        <v>4001.6157701657585</v>
      </c>
    </row>
    <row r="56" spans="2:19" x14ac:dyDescent="0.2">
      <c r="N56" s="332">
        <f t="shared" si="5"/>
        <v>7.5226461825954646E-2</v>
      </c>
      <c r="O56" s="590">
        <f>('Restructuration cap'!$AB$86*(1+'WACC CALCULATION'!$D$15))/(N56-'WACC CALCULATION'!$D$15)</f>
        <v>3853.151112820608</v>
      </c>
      <c r="P56" s="334">
        <f>'Restructuration cap'!$AB$86</f>
        <v>221.90169409374363</v>
      </c>
      <c r="Q56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56" s="334">
        <f t="shared" si="6"/>
        <v>2994.0460712646091</v>
      </c>
      <c r="S56" s="335">
        <f>Q56+R56+'APV CALCULATION '!$C$47-'APV CALCULATION '!$C$48</f>
        <v>3971.2588665845651</v>
      </c>
    </row>
    <row r="57" spans="2:19" x14ac:dyDescent="0.2">
      <c r="N57" s="332">
        <f t="shared" si="5"/>
        <v>7.5726461825954647E-2</v>
      </c>
      <c r="O57" s="590">
        <f>('Restructuration cap'!$AB$86*(1+'WACC CALCULATION'!$D$15))/(N57-'WACC CALCULATION'!$D$15)</f>
        <v>3820.5249705276597</v>
      </c>
      <c r="P57" s="334">
        <f>'Restructuration cap'!$AB$86</f>
        <v>221.90169409374363</v>
      </c>
      <c r="Q57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57" s="334">
        <f t="shared" si="6"/>
        <v>2964.2121223396998</v>
      </c>
      <c r="S57" s="335">
        <f>Q57+R57+'APV CALCULATION '!$C$47-'APV CALCULATION '!$C$48</f>
        <v>3941.4249176596559</v>
      </c>
    </row>
    <row r="58" spans="2:19" x14ac:dyDescent="0.2">
      <c r="N58" s="332">
        <f t="shared" si="5"/>
        <v>7.6226461825954647E-2</v>
      </c>
      <c r="O58" s="590">
        <f>('Restructuration cap'!$AB$86*(1+'WACC CALCULATION'!$D$15))/(N58-'WACC CALCULATION'!$D$15)</f>
        <v>3788.4467058360419</v>
      </c>
      <c r="P58" s="334">
        <f>'Restructuration cap'!$AB$86</f>
        <v>221.90169409374363</v>
      </c>
      <c r="Q58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58" s="334">
        <f t="shared" si="6"/>
        <v>2934.887933987698</v>
      </c>
      <c r="S58" s="335">
        <f>Q58+R58+'APV CALCULATION '!$C$47-'APV CALCULATION '!$C$48</f>
        <v>3912.1007293076545</v>
      </c>
    </row>
    <row r="59" spans="2:19" x14ac:dyDescent="0.2">
      <c r="N59" s="332">
        <f t="shared" si="5"/>
        <v>7.6726461825954648E-2</v>
      </c>
      <c r="O59" s="590">
        <f>('Restructuration cap'!$AB$86*(1+'WACC CALCULATION'!$D$15))/(N59-'WACC CALCULATION'!$D$15)</f>
        <v>3756.9026332232861</v>
      </c>
      <c r="P59" s="334">
        <f>'Restructuration cap'!$AB$86</f>
        <v>221.90169409374363</v>
      </c>
      <c r="Q59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59" s="334">
        <f t="shared" si="6"/>
        <v>2906.060751623063</v>
      </c>
      <c r="S59" s="335">
        <f>Q59+R59+'APV CALCULATION '!$C$47-'APV CALCULATION '!$C$48</f>
        <v>3883.273546943019</v>
      </c>
    </row>
    <row r="60" spans="2:19" x14ac:dyDescent="0.2">
      <c r="N60" s="332">
        <f t="shared" si="5"/>
        <v>7.7226461825954648E-2</v>
      </c>
      <c r="O60" s="590">
        <f>('Restructuration cap'!$AB$86*(1+'WACC CALCULATION'!$D$15))/(N60-'WACC CALCULATION'!$D$15)</f>
        <v>3725.8795192068769</v>
      </c>
      <c r="P60" s="334">
        <f>'Restructuration cap'!$AB$86</f>
        <v>221.90169409374363</v>
      </c>
      <c r="Q60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60" s="334">
        <f t="shared" si="6"/>
        <v>2877.7182420118111</v>
      </c>
      <c r="S60" s="335">
        <f>Q60+R60+'APV CALCULATION '!$C$47-'APV CALCULATION '!$C$48</f>
        <v>3854.9310373317676</v>
      </c>
    </row>
    <row r="61" spans="2:19" x14ac:dyDescent="0.2">
      <c r="N61" s="332">
        <f t="shared" si="5"/>
        <v>7.7726461825954649E-2</v>
      </c>
      <c r="O61" s="590">
        <f>('Restructuration cap'!$AB$86*(1+'WACC CALCULATION'!$D$15))/(N61-'WACC CALCULATION'!$D$15)</f>
        <v>3695.3645638332168</v>
      </c>
      <c r="P61" s="334">
        <f>'Restructuration cap'!$AB$86</f>
        <v>221.90169409374363</v>
      </c>
      <c r="Q61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61" s="334">
        <f t="shared" si="6"/>
        <v>2849.8484760169777</v>
      </c>
      <c r="S61" s="335">
        <f>Q61+R61+'APV CALCULATION '!$C$47-'APV CALCULATION '!$C$48</f>
        <v>3827.0612713369337</v>
      </c>
    </row>
    <row r="62" spans="2:19" x14ac:dyDescent="0.2">
      <c r="N62" s="332">
        <f>N63-0.05%</f>
        <v>7.8226461825954649E-2</v>
      </c>
      <c r="O62" s="590">
        <f>('Restructuration cap'!$AB$86*(1+'WACC CALCULATION'!$D$15))/(N62-'WACC CALCULATION'!$D$15)</f>
        <v>3665.34538306883</v>
      </c>
      <c r="P62" s="334">
        <f>'Restructuration cap'!$AB$86</f>
        <v>221.90169409374363</v>
      </c>
      <c r="Q62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62" s="334">
        <f t="shared" si="6"/>
        <v>2822.4399121850615</v>
      </c>
      <c r="S62" s="335">
        <f>Q62+R62+'APV CALCULATION '!$C$47-'APV CALCULATION '!$C$48</f>
        <v>3799.652707505018</v>
      </c>
    </row>
    <row r="63" spans="2:19" x14ac:dyDescent="0.2">
      <c r="N63" s="332">
        <f>Y3</f>
        <v>7.8726461825954649E-2</v>
      </c>
      <c r="O63" s="590">
        <f>('Restructuration cap'!$AB$86*(1+'WACC CALCULATION'!$D$15))/(N63-'WACC CALCULATION'!$D$15)</f>
        <v>3635.8099920429213</v>
      </c>
      <c r="P63" s="334">
        <f>'Restructuration cap'!$AB$86</f>
        <v>221.90169409374363</v>
      </c>
      <c r="Q63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63" s="334">
        <f>(P63+O63)/((1+N63)^(4+1/4))</f>
        <v>2795.4813811260501</v>
      </c>
      <c r="S63" s="335">
        <f>Q63+R63+'APV CALCULATION '!$C$47-'APV CALCULATION '!$C$48</f>
        <v>3772.6941764460062</v>
      </c>
    </row>
    <row r="64" spans="2:19" x14ac:dyDescent="0.2">
      <c r="N64" s="332">
        <f>N63+0.05%</f>
        <v>7.922646182595465E-2</v>
      </c>
      <c r="O64" s="590">
        <f>('Restructuration cap'!$AB$86*(1+'WACC CALCULATION'!$D$15))/(N64-'WACC CALCULATION'!$D$15)</f>
        <v>3606.7467890936455</v>
      </c>
      <c r="P64" s="334">
        <f>'Restructuration cap'!$AB$86</f>
        <v>221.90169409374363</v>
      </c>
      <c r="Q64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64" s="334">
        <f t="shared" ref="R64:R103" si="7">(P64+O64)/((1+N64)^(4+1/4))</f>
        <v>2768.962070642579</v>
      </c>
      <c r="S64" s="335">
        <f>Q64+R64+'APV CALCULATION '!$C$47-'APV CALCULATION '!$C$48</f>
        <v>3746.1748659625355</v>
      </c>
    </row>
    <row r="65" spans="2:19" x14ac:dyDescent="0.2">
      <c r="N65" s="332">
        <f t="shared" ref="N65:N103" si="8">N64+0.05%</f>
        <v>7.972646182595465E-2</v>
      </c>
      <c r="O65" s="590">
        <f>('Restructuration cap'!$AB$86*(1+'WACC CALCULATION'!$D$15))/(N65-'WACC CALCULATION'!$D$15)</f>
        <v>3578.1445405734748</v>
      </c>
      <c r="P65" s="334">
        <f>'Restructuration cap'!$AB$86</f>
        <v>221.90169409374363</v>
      </c>
      <c r="Q65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65" s="334">
        <f t="shared" si="7"/>
        <v>2742.8715115666901</v>
      </c>
      <c r="S65" s="335">
        <f>Q65+R65+'APV CALCULATION '!$C$47-'APV CALCULATION '!$C$48</f>
        <v>3720.0843068866461</v>
      </c>
    </row>
    <row r="66" spans="2:19" x14ac:dyDescent="0.2">
      <c r="N66" s="332">
        <f t="shared" si="8"/>
        <v>8.0226461825954651E-2</v>
      </c>
      <c r="O66" s="590">
        <f>('Restructuration cap'!$AB$86*(1+'WACC CALCULATION'!$D$15))/(N66-'WACC CALCULATION'!$D$15)</f>
        <v>3549.992366371861</v>
      </c>
      <c r="P66" s="334">
        <f>'Restructuration cap'!$AB$86</f>
        <v>221.90169409374363</v>
      </c>
      <c r="Q66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66" s="334">
        <f t="shared" si="7"/>
        <v>2717.1995642651768</v>
      </c>
      <c r="S66" s="335">
        <f>Q66+R66+'APV CALCULATION '!$C$47-'APV CALCULATION '!$C$48</f>
        <v>3694.4123595851333</v>
      </c>
    </row>
    <row r="67" spans="2:19" x14ac:dyDescent="0.2">
      <c r="N67" s="332">
        <f t="shared" si="8"/>
        <v>8.0726461825954651E-2</v>
      </c>
      <c r="O67" s="590">
        <f>('Restructuration cap'!$AB$86*(1+'WACC CALCULATION'!$D$15))/(N67-'WACC CALCULATION'!$D$15)</f>
        <v>3522.2797261159876</v>
      </c>
      <c r="P67" s="334">
        <f>'Restructuration cap'!$AB$86</f>
        <v>221.90169409374363</v>
      </c>
      <c r="Q67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67" s="334">
        <f t="shared" si="7"/>
        <v>2691.9364057770163</v>
      </c>
      <c r="S67" s="335">
        <f>Q67+R67+'APV CALCULATION '!$C$47-'APV CALCULATION '!$C$48</f>
        <v>3669.1492010969723</v>
      </c>
    </row>
    <row r="68" spans="2:19" x14ac:dyDescent="0.2">
      <c r="N68" s="332">
        <f t="shared" si="8"/>
        <v>8.1226461825954652E-2</v>
      </c>
      <c r="O68" s="590">
        <f>('Restructuration cap'!$AB$86*(1+'WACC CALCULATION'!$D$15))/(N68-'WACC CALCULATION'!$D$15)</f>
        <v>3494.9964060128536</v>
      </c>
      <c r="P68" s="334">
        <f>'Restructuration cap'!$AB$86</f>
        <v>221.90169409374363</v>
      </c>
      <c r="Q68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68" s="334">
        <f t="shared" si="7"/>
        <v>2667.0725175485663</v>
      </c>
      <c r="S68" s="335">
        <f>Q68+R68+'APV CALCULATION '!$C$47-'APV CALCULATION '!$C$48</f>
        <v>3644.2853128685229</v>
      </c>
    </row>
    <row r="69" spans="2:19" x14ac:dyDescent="0.2">
      <c r="N69" s="332">
        <f t="shared" si="8"/>
        <v>8.1726461825954652E-2</v>
      </c>
      <c r="O69" s="590">
        <f>('Restructuration cap'!$AB$86*(1+'WACC CALCULATION'!$D$15))/(N69-'WACC CALCULATION'!$D$15)</f>
        <v>3468.1325062981778</v>
      </c>
      <c r="P69" s="334">
        <f>'Restructuration cap'!$AB$86</f>
        <v>221.90169409374363</v>
      </c>
      <c r="Q69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69" s="334">
        <f t="shared" si="7"/>
        <v>2642.5986737344274</v>
      </c>
      <c r="S69" s="335">
        <f>Q69+R69+'APV CALCULATION '!$C$47-'APV CALCULATION '!$C$48</f>
        <v>3619.8114690543835</v>
      </c>
    </row>
    <row r="70" spans="2:19" x14ac:dyDescent="0.2">
      <c r="N70" s="332">
        <f t="shared" si="8"/>
        <v>8.2226461825954653E-2</v>
      </c>
      <c r="O70" s="590">
        <f>('Restructuration cap'!$AB$86*(1+'WACC CALCULATION'!$D$15))/(N70-'WACC CALCULATION'!$D$15)</f>
        <v>3441.6784292597199</v>
      </c>
      <c r="P70" s="334">
        <f>'Restructuration cap'!$AB$86</f>
        <v>221.90169409374363</v>
      </c>
      <c r="Q70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70" s="334">
        <f t="shared" si="7"/>
        <v>2618.5059300337125</v>
      </c>
      <c r="S70" s="335">
        <f>Q70+R70+'APV CALCULATION '!$C$47-'APV CALCULATION '!$C$48</f>
        <v>3595.7187253536686</v>
      </c>
    </row>
    <row r="71" spans="2:19" x14ac:dyDescent="0.2">
      <c r="N71" s="332">
        <f t="shared" si="8"/>
        <v>8.2726461825954653E-2</v>
      </c>
      <c r="O71" s="590">
        <f>('Restructuration cap'!$AB$86*(1+'WACC CALCULATION'!$D$15))/(N71-'WACC CALCULATION'!$D$15)</f>
        <v>3415.6248678045895</v>
      </c>
      <c r="P71" s="334">
        <f>'Restructuration cap'!$AB$86</f>
        <v>221.90169409374363</v>
      </c>
      <c r="Q71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71" s="334">
        <f t="shared" si="7"/>
        <v>2594.7856130333962</v>
      </c>
      <c r="S71" s="335">
        <f>Q71+R71+'APV CALCULATION '!$C$47-'APV CALCULATION '!$C$48</f>
        <v>3571.9984083533527</v>
      </c>
    </row>
    <row r="72" spans="2:19" ht="17" thickBot="1" x14ac:dyDescent="0.25">
      <c r="N72" s="332">
        <f t="shared" si="8"/>
        <v>8.3226461825954653E-2</v>
      </c>
      <c r="O72" s="590">
        <f>('Restructuration cap'!$AB$86*(1+'WACC CALCULATION'!$D$15))/(N72-'WACC CALCULATION'!$D$15)</f>
        <v>3389.9627945419224</v>
      </c>
      <c r="P72" s="334">
        <f>'Restructuration cap'!$AB$86</f>
        <v>221.90169409374363</v>
      </c>
      <c r="Q72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72" s="334">
        <f t="shared" si="7"/>
        <v>2571.4293100320256</v>
      </c>
      <c r="S72" s="335">
        <f>Q72+R72+'APV CALCULATION '!$C$47-'APV CALCULATION '!$C$48</f>
        <v>3548.6421053519816</v>
      </c>
    </row>
    <row r="73" spans="2:19" ht="17" thickBot="1" x14ac:dyDescent="0.25">
      <c r="B73" s="344" t="s">
        <v>201</v>
      </c>
      <c r="C73" s="344" t="s">
        <v>223</v>
      </c>
      <c r="D73" s="344" t="s">
        <v>224</v>
      </c>
      <c r="E73" s="344" t="s">
        <v>225</v>
      </c>
      <c r="F73" s="345" t="s">
        <v>226</v>
      </c>
      <c r="G73" s="344" t="s">
        <v>229</v>
      </c>
      <c r="H73" s="344" t="s">
        <v>227</v>
      </c>
      <c r="I73" s="592" t="s">
        <v>228</v>
      </c>
      <c r="J73" s="344" t="s">
        <v>221</v>
      </c>
      <c r="N73" s="332">
        <f t="shared" si="8"/>
        <v>8.3726461825954654E-2</v>
      </c>
      <c r="O73" s="590">
        <f>('Restructuration cap'!$AB$86*(1+'WACC CALCULATION'!$D$15))/(N73-'WACC CALCULATION'!$D$15)</f>
        <v>3364.6834513540307</v>
      </c>
      <c r="P73" s="334">
        <f>'Restructuration cap'!$AB$86</f>
        <v>221.90169409374363</v>
      </c>
      <c r="Q73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73" s="334">
        <f t="shared" si="7"/>
        <v>2548.4288593187739</v>
      </c>
      <c r="S73" s="335">
        <f>Q73+R73+'APV CALCULATION '!$C$47-'APV CALCULATION '!$C$48</f>
        <v>3525.64165463873</v>
      </c>
    </row>
    <row r="74" spans="2:19" x14ac:dyDescent="0.2">
      <c r="B74" s="338">
        <v>0.1</v>
      </c>
      <c r="C74" s="342">
        <f>('Coverage ratios'!$R$7*B74)/(1+'Coverage ratios'!$R$9)</f>
        <v>1.4869045627531416</v>
      </c>
      <c r="D74" s="342">
        <f>('Coverage ratios'!$R$17*B74)/((1+'Coverage ratios'!$R$19)^2)</f>
        <v>1.5495605473655696</v>
      </c>
      <c r="E74" s="342">
        <f>('Coverage ratios'!$R$27*B74)/((1+'Coverage ratios'!$R$29)^3)</f>
        <v>1.5887884337889462</v>
      </c>
      <c r="F74" s="342">
        <f>('Coverage ratios'!$R$37*B74)/((1+'Coverage ratios'!$R$39)^4)</f>
        <v>1.6275436580094365</v>
      </c>
      <c r="G74" s="342">
        <f>('Coverage ratios'!$R$47*B74)/((1+'Coverage ratios'!$R$49)^5)</f>
        <v>1.7069317571698839</v>
      </c>
      <c r="H74" s="342">
        <f>B74*'APV CALCULATION '!$Q$12</f>
        <v>209.76244287439391</v>
      </c>
      <c r="I74" s="590">
        <f>((SUM(G74:H74)/(1+'APV CALCULATION '!$I$32^5))+F74/(1+'APV CALCULATION '!$H$32^4)+(E74/(1+'APV CALCULATION '!$G$32^3)+(D74/(1+'APV CALCULATION '!$F$32)^2)+(C74/(1+'APV CALCULATION '!$E$32))))</f>
        <v>217.65259358523369</v>
      </c>
      <c r="J74" s="342">
        <f>I74+'APV CALCULATION '!$E$21*(1+'APV CALCULATION '!$M$3-B74)-'APV CALCULATION '!$C$48</f>
        <v>3802.8581566695998</v>
      </c>
      <c r="N74" s="332">
        <f t="shared" si="8"/>
        <v>8.4226461825954654E-2</v>
      </c>
      <c r="O74" s="590">
        <f>('Restructuration cap'!$AB$86*(1+'WACC CALCULATION'!$D$15))/(N74-'WACC CALCULATION'!$D$15)</f>
        <v>3339.7783394307107</v>
      </c>
      <c r="P74" s="334">
        <f>'Restructuration cap'!$AB$86</f>
        <v>221.90169409374363</v>
      </c>
      <c r="Q74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74" s="334">
        <f t="shared" si="7"/>
        <v>2525.7763408841965</v>
      </c>
      <c r="S74" s="335">
        <f>Q74+R74+'APV CALCULATION '!$C$47-'APV CALCULATION '!$C$48</f>
        <v>3502.9891362041526</v>
      </c>
    </row>
    <row r="75" spans="2:19" x14ac:dyDescent="0.2">
      <c r="B75" s="339">
        <f t="shared" ref="B75:B138" si="9">B74+0.1%</f>
        <v>0.10100000000000001</v>
      </c>
      <c r="C75" s="342">
        <f>('Coverage ratios'!$R$7*B75)/(1+'Coverage ratios'!$R$9)</f>
        <v>1.501773608380673</v>
      </c>
      <c r="D75" s="342">
        <f>('Coverage ratios'!$R$17*B75)/((1+'Coverage ratios'!$R$19)^2)</f>
        <v>1.5650561528392253</v>
      </c>
      <c r="E75" s="342">
        <f>('Coverage ratios'!$R$27*B75)/((1+'Coverage ratios'!$R$29)^3)</f>
        <v>1.6046763181268355</v>
      </c>
      <c r="F75" s="342">
        <f>('Coverage ratios'!$R$37*B75)/((1+'Coverage ratios'!$R$39)^4)</f>
        <v>1.6438190945895308</v>
      </c>
      <c r="G75" s="342">
        <f>('Coverage ratios'!$R$47*B75)/((1+'Coverage ratios'!$R$49)^5)</f>
        <v>1.7240010747415828</v>
      </c>
      <c r="H75" s="342">
        <f>B75*'APV CALCULATION '!$Q$12</f>
        <v>211.86006730313784</v>
      </c>
      <c r="I75" s="590">
        <f>((SUM(G75:H75)/(1+'APV CALCULATION '!$I$32^5))+F75/(1+'APV CALCULATION '!$H$32^4)+(E75/(1+'APV CALCULATION '!$G$32^3)+(D75/(1+'APV CALCULATION '!$F$32)^2)+(C75/(1+'APV CALCULATION '!$E$32))))</f>
        <v>219.829119521086</v>
      </c>
      <c r="J75" s="342">
        <f>I75+'APV CALCULATION '!$E$21*(1+'APV CALCULATION '!$M$3-B75)-'APV CALCULATION '!$C$48</f>
        <v>3801.6202011168007</v>
      </c>
      <c r="N75" s="332">
        <f t="shared" si="8"/>
        <v>8.4726461825954655E-2</v>
      </c>
      <c r="O75" s="590">
        <f>('Restructuration cap'!$AB$86*(1+'WACC CALCULATION'!$D$15))/(N75-'WACC CALCULATION'!$D$15)</f>
        <v>3315.2392097428947</v>
      </c>
      <c r="P75" s="334">
        <f>'Restructuration cap'!$AB$86</f>
        <v>221.90169409374363</v>
      </c>
      <c r="Q75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75" s="334">
        <f t="shared" si="7"/>
        <v>2503.464067540528</v>
      </c>
      <c r="S75" s="335">
        <f>Q75+R75+'APV CALCULATION '!$C$47-'APV CALCULATION '!$C$48</f>
        <v>3480.6768628604841</v>
      </c>
    </row>
    <row r="76" spans="2:19" x14ac:dyDescent="0.2">
      <c r="B76" s="339">
        <f t="shared" si="9"/>
        <v>0.10200000000000001</v>
      </c>
      <c r="C76" s="342">
        <f>('Coverage ratios'!$R$7*B76)/(1+'Coverage ratios'!$R$9)</f>
        <v>1.5166426540082045</v>
      </c>
      <c r="D76" s="342">
        <f>('Coverage ratios'!$R$17*B76)/((1+'Coverage ratios'!$R$19)^2)</f>
        <v>1.5805517583128812</v>
      </c>
      <c r="E76" s="342">
        <f>('Coverage ratios'!$R$27*B76)/((1+'Coverage ratios'!$R$29)^3)</f>
        <v>1.6205642024647253</v>
      </c>
      <c r="F76" s="342">
        <f>('Coverage ratios'!$R$37*B76)/((1+'Coverage ratios'!$R$39)^4)</f>
        <v>1.6600945311696251</v>
      </c>
      <c r="G76" s="342">
        <f>('Coverage ratios'!$R$47*B76)/((1+'Coverage ratios'!$R$49)^5)</f>
        <v>1.7410703923132818</v>
      </c>
      <c r="H76" s="342">
        <f>B76*'APV CALCULATION '!$Q$12</f>
        <v>213.95769173188179</v>
      </c>
      <c r="I76" s="590">
        <f>((SUM(G76:H76)/(1+'APV CALCULATION '!$I$32^5))+F76/(1+'APV CALCULATION '!$H$32^4)+(E76/(1+'APV CALCULATION '!$G$32^3)+(D76/(1+'APV CALCULATION '!$F$32)^2)+(C76/(1+'APV CALCULATION '!$E$32))))</f>
        <v>222.00564545693834</v>
      </c>
      <c r="J76" s="342">
        <f>I76+'APV CALCULATION '!$E$21*(1+'APV CALCULATION '!$M$3-B76)-'APV CALCULATION '!$C$48</f>
        <v>3800.3822455640011</v>
      </c>
      <c r="N76" s="332">
        <f t="shared" si="8"/>
        <v>8.5226461825954655E-2</v>
      </c>
      <c r="O76" s="590">
        <f>('Restructuration cap'!$AB$86*(1+'WACC CALCULATION'!$D$15))/(N76-'WACC CALCULATION'!$D$15)</f>
        <v>3291.0580539332059</v>
      </c>
      <c r="P76" s="334">
        <f>'Restructuration cap'!$AB$86</f>
        <v>221.90169409374363</v>
      </c>
      <c r="Q76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76" s="334">
        <f t="shared" si="7"/>
        <v>2481.4845764305596</v>
      </c>
      <c r="S76" s="335">
        <f>Q76+R76+'APV CALCULATION '!$C$47-'APV CALCULATION '!$C$48</f>
        <v>3458.6973717505161</v>
      </c>
    </row>
    <row r="77" spans="2:19" x14ac:dyDescent="0.2">
      <c r="B77" s="339">
        <f t="shared" si="9"/>
        <v>0.10300000000000001</v>
      </c>
      <c r="C77" s="342">
        <f>('Coverage ratios'!$R$7*B77)/(1+'Coverage ratios'!$R$9)</f>
        <v>1.5315116996357359</v>
      </c>
      <c r="D77" s="342">
        <f>('Coverage ratios'!$R$17*B77)/((1+'Coverage ratios'!$R$19)^2)</f>
        <v>1.5960473637865367</v>
      </c>
      <c r="E77" s="342">
        <f>('Coverage ratios'!$R$27*B77)/((1+'Coverage ratios'!$R$29)^3)</f>
        <v>1.6364520868026147</v>
      </c>
      <c r="F77" s="342">
        <f>('Coverage ratios'!$R$37*B77)/((1+'Coverage ratios'!$R$39)^4)</f>
        <v>1.6763699677497197</v>
      </c>
      <c r="G77" s="342">
        <f>('Coverage ratios'!$R$47*B77)/((1+'Coverage ratios'!$R$49)^5)</f>
        <v>1.7581397098849807</v>
      </c>
      <c r="H77" s="342">
        <f>B77*'APV CALCULATION '!$Q$12</f>
        <v>216.05531616062572</v>
      </c>
      <c r="I77" s="590">
        <f>((SUM(G77:H77)/(1+'APV CALCULATION '!$I$32^5))+F77/(1+'APV CALCULATION '!$H$32^4)+(E77/(1+'APV CALCULATION '!$G$32^3)+(D77/(1+'APV CALCULATION '!$F$32)^2)+(C77/(1+'APV CALCULATION '!$E$32))))</f>
        <v>224.18217139279065</v>
      </c>
      <c r="J77" s="342">
        <f>I77+'APV CALCULATION '!$E$21*(1+'APV CALCULATION '!$M$3-B77)-'APV CALCULATION '!$C$48</f>
        <v>3799.144290011202</v>
      </c>
      <c r="N77" s="332">
        <f t="shared" si="8"/>
        <v>8.5726461825954656E-2</v>
      </c>
      <c r="O77" s="590">
        <f>('Restructuration cap'!$AB$86*(1+'WACC CALCULATION'!$D$15))/(N77-'WACC CALCULATION'!$D$15)</f>
        <v>3267.2270956022912</v>
      </c>
      <c r="P77" s="334">
        <f>'Restructuration cap'!$AB$86</f>
        <v>221.90169409374363</v>
      </c>
      <c r="Q77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77" s="334">
        <f t="shared" si="7"/>
        <v>2459.8306209054499</v>
      </c>
      <c r="S77" s="335">
        <f>Q77+R77+'APV CALCULATION '!$C$47-'APV CALCULATION '!$C$48</f>
        <v>3437.043416225406</v>
      </c>
    </row>
    <row r="78" spans="2:19" x14ac:dyDescent="0.2">
      <c r="B78" s="339">
        <f t="shared" si="9"/>
        <v>0.10400000000000001</v>
      </c>
      <c r="C78" s="342">
        <f>('Coverage ratios'!$R$7*B78)/(1+'Coverage ratios'!$R$9)</f>
        <v>1.5463807452632674</v>
      </c>
      <c r="D78" s="342">
        <f>('Coverage ratios'!$R$17*B78)/((1+'Coverage ratios'!$R$19)^2)</f>
        <v>1.6115429692601924</v>
      </c>
      <c r="E78" s="342">
        <f>('Coverage ratios'!$R$27*B78)/((1+'Coverage ratios'!$R$29)^3)</f>
        <v>1.6523399711405042</v>
      </c>
      <c r="F78" s="342">
        <f>('Coverage ratios'!$R$37*B78)/((1+'Coverage ratios'!$R$39)^4)</f>
        <v>1.692645404329814</v>
      </c>
      <c r="G78" s="342">
        <f>('Coverage ratios'!$R$47*B78)/((1+'Coverage ratios'!$R$49)^5)</f>
        <v>1.7752090274566794</v>
      </c>
      <c r="H78" s="342">
        <f>B78*'APV CALCULATION '!$Q$12</f>
        <v>218.15294058936968</v>
      </c>
      <c r="I78" s="590">
        <f>((SUM(G78:H78)/(1+'APV CALCULATION '!$I$32^5))+F78/(1+'APV CALCULATION '!$H$32^4)+(E78/(1+'APV CALCULATION '!$G$32^3)+(D78/(1+'APV CALCULATION '!$F$32)^2)+(C78/(1+'APV CALCULATION '!$E$32))))</f>
        <v>226.35869732864302</v>
      </c>
      <c r="J78" s="342">
        <f>I78+'APV CALCULATION '!$E$21*(1+'APV CALCULATION '!$M$3-B78)-'APV CALCULATION '!$C$48</f>
        <v>3797.9063344584019</v>
      </c>
      <c r="N78" s="332">
        <f t="shared" si="8"/>
        <v>8.6226461825954656E-2</v>
      </c>
      <c r="O78" s="590">
        <f>('Restructuration cap'!$AB$86*(1+'WACC CALCULATION'!$D$15))/(N78-'WACC CALCULATION'!$D$15)</f>
        <v>3243.7387819710143</v>
      </c>
      <c r="P78" s="334">
        <f>'Restructuration cap'!$AB$86</f>
        <v>221.90169409374363</v>
      </c>
      <c r="Q78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78" s="334">
        <f t="shared" si="7"/>
        <v>2438.4951627528749</v>
      </c>
      <c r="S78" s="335">
        <f>Q78+R78+'APV CALCULATION '!$C$47-'APV CALCULATION '!$C$48</f>
        <v>3415.7079580728314</v>
      </c>
    </row>
    <row r="79" spans="2:19" x14ac:dyDescent="0.2">
      <c r="B79" s="339">
        <f t="shared" si="9"/>
        <v>0.10500000000000001</v>
      </c>
      <c r="C79" s="342">
        <f>('Coverage ratios'!$R$7*B79)/(1+'Coverage ratios'!$R$9)</f>
        <v>1.5612497908907987</v>
      </c>
      <c r="D79" s="342">
        <f>('Coverage ratios'!$R$17*B79)/((1+'Coverage ratios'!$R$19)^2)</f>
        <v>1.6270385747338481</v>
      </c>
      <c r="E79" s="342">
        <f>('Coverage ratios'!$R$27*B79)/((1+'Coverage ratios'!$R$29)^3)</f>
        <v>1.6682278554783936</v>
      </c>
      <c r="F79" s="342">
        <f>('Coverage ratios'!$R$37*B79)/((1+'Coverage ratios'!$R$39)^4)</f>
        <v>1.7089208409099084</v>
      </c>
      <c r="G79" s="342">
        <f>('Coverage ratios'!$R$47*B79)/((1+'Coverage ratios'!$R$49)^5)</f>
        <v>1.7922783450283784</v>
      </c>
      <c r="H79" s="342">
        <f>B79*'APV CALCULATION '!$Q$12</f>
        <v>220.2505650181136</v>
      </c>
      <c r="I79" s="590">
        <f>((SUM(G79:H79)/(1+'APV CALCULATION '!$I$32^5))+F79/(1+'APV CALCULATION '!$H$32^4)+(E79/(1+'APV CALCULATION '!$G$32^3)+(D79/(1+'APV CALCULATION '!$F$32)^2)+(C79/(1+'APV CALCULATION '!$E$32))))</f>
        <v>228.53522326449536</v>
      </c>
      <c r="J79" s="342">
        <f>I79+'APV CALCULATION '!$E$21*(1+'APV CALCULATION '!$M$3-B79)-'APV CALCULATION '!$C$48</f>
        <v>3796.6683789056033</v>
      </c>
      <c r="N79" s="332">
        <f t="shared" si="8"/>
        <v>8.6726461825954657E-2</v>
      </c>
      <c r="O79" s="590">
        <f>('Restructuration cap'!$AB$86*(1+'WACC CALCULATION'!$D$15))/(N79-'WACC CALCULATION'!$D$15)</f>
        <v>3220.5857758997249</v>
      </c>
      <c r="P79" s="334">
        <f>'Restructuration cap'!$AB$86</f>
        <v>221.90169409374363</v>
      </c>
      <c r="Q79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79" s="334">
        <f t="shared" si="7"/>
        <v>2417.4713647580284</v>
      </c>
      <c r="S79" s="335">
        <f>Q79+R79+'APV CALCULATION '!$C$47-'APV CALCULATION '!$C$48</f>
        <v>3394.6841600779844</v>
      </c>
    </row>
    <row r="80" spans="2:19" x14ac:dyDescent="0.2">
      <c r="B80" s="339">
        <f t="shared" si="9"/>
        <v>0.10600000000000001</v>
      </c>
      <c r="C80" s="342">
        <f>('Coverage ratios'!$R$7*B80)/(1+'Coverage ratios'!$R$9)</f>
        <v>1.5761188365183303</v>
      </c>
      <c r="D80" s="342">
        <f>('Coverage ratios'!$R$17*B80)/((1+'Coverage ratios'!$R$19)^2)</f>
        <v>1.6425341802075037</v>
      </c>
      <c r="E80" s="342">
        <f>('Coverage ratios'!$R$27*B80)/((1+'Coverage ratios'!$R$29)^3)</f>
        <v>1.6841157398162832</v>
      </c>
      <c r="F80" s="342">
        <f>('Coverage ratios'!$R$37*B80)/((1+'Coverage ratios'!$R$39)^4)</f>
        <v>1.7251962774900025</v>
      </c>
      <c r="G80" s="342">
        <f>('Coverage ratios'!$R$47*B80)/((1+'Coverage ratios'!$R$49)^5)</f>
        <v>1.8093476626000771</v>
      </c>
      <c r="H80" s="342">
        <f>B80*'APV CALCULATION '!$Q$12</f>
        <v>222.34818944685756</v>
      </c>
      <c r="I80" s="590">
        <f>((SUM(G80:H80)/(1+'APV CALCULATION '!$I$32^5))+F80/(1+'APV CALCULATION '!$H$32^4)+(E80/(1+'APV CALCULATION '!$G$32^3)+(D80/(1+'APV CALCULATION '!$F$32)^2)+(C80/(1+'APV CALCULATION '!$E$32))))</f>
        <v>230.71174920034773</v>
      </c>
      <c r="J80" s="342">
        <f>I80+'APV CALCULATION '!$E$21*(1+'APV CALCULATION '!$M$3-B80)-'APV CALCULATION '!$C$48</f>
        <v>3795.4304233528032</v>
      </c>
      <c r="N80" s="332">
        <f t="shared" si="8"/>
        <v>8.7226461825954657E-2</v>
      </c>
      <c r="O80" s="590">
        <f>('Restructuration cap'!$AB$86*(1+'WACC CALCULATION'!$D$15))/(N80-'WACC CALCULATION'!$D$15)</f>
        <v>3197.7609482468933</v>
      </c>
      <c r="P80" s="334">
        <f>'Restructuration cap'!$AB$86</f>
        <v>221.90169409374363</v>
      </c>
      <c r="Q80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80" s="334">
        <f t="shared" si="7"/>
        <v>2396.7525835809297</v>
      </c>
      <c r="S80" s="335">
        <f>Q80+R80+'APV CALCULATION '!$C$47-'APV CALCULATION '!$C$48</f>
        <v>3373.9653789008862</v>
      </c>
    </row>
    <row r="81" spans="2:19" x14ac:dyDescent="0.2">
      <c r="B81" s="339">
        <f t="shared" si="9"/>
        <v>0.10700000000000001</v>
      </c>
      <c r="C81" s="342">
        <f>('Coverage ratios'!$R$7*B81)/(1+'Coverage ratios'!$R$9)</f>
        <v>1.5909878821458616</v>
      </c>
      <c r="D81" s="342">
        <f>('Coverage ratios'!$R$17*B81)/((1+'Coverage ratios'!$R$19)^2)</f>
        <v>1.6580297856811597</v>
      </c>
      <c r="E81" s="342">
        <f>('Coverage ratios'!$R$27*B81)/((1+'Coverage ratios'!$R$29)^3)</f>
        <v>1.7000036241541725</v>
      </c>
      <c r="F81" s="342">
        <f>('Coverage ratios'!$R$37*B81)/((1+'Coverage ratios'!$R$39)^4)</f>
        <v>1.741471714070097</v>
      </c>
      <c r="G81" s="342">
        <f>('Coverage ratios'!$R$47*B81)/((1+'Coverage ratios'!$R$49)^5)</f>
        <v>1.8264169801717758</v>
      </c>
      <c r="H81" s="342">
        <f>B81*'APV CALCULATION '!$Q$12</f>
        <v>224.44581387560149</v>
      </c>
      <c r="I81" s="590">
        <f>((SUM(G81:H81)/(1+'APV CALCULATION '!$I$32^5))+F81/(1+'APV CALCULATION '!$H$32^4)+(E81/(1+'APV CALCULATION '!$G$32^3)+(D81/(1+'APV CALCULATION '!$F$32)^2)+(C81/(1+'APV CALCULATION '!$E$32))))</f>
        <v>232.88827513620006</v>
      </c>
      <c r="J81" s="342">
        <f>I81+'APV CALCULATION '!$E$21*(1+'APV CALCULATION '!$M$3-B81)-'APV CALCULATION '!$C$48</f>
        <v>3794.1924678000046</v>
      </c>
      <c r="N81" s="332">
        <f t="shared" si="8"/>
        <v>8.7726461825954657E-2</v>
      </c>
      <c r="O81" s="590">
        <f>('Restructuration cap'!$AB$86*(1+'WACC CALCULATION'!$D$15))/(N81-'WACC CALCULATION'!$D$15)</f>
        <v>3175.257370550396</v>
      </c>
      <c r="P81" s="334">
        <f>'Restructuration cap'!$AB$86</f>
        <v>221.90169409374363</v>
      </c>
      <c r="Q81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81" s="334">
        <f t="shared" si="7"/>
        <v>2376.332362934505</v>
      </c>
      <c r="S81" s="335">
        <f>Q81+R81+'APV CALCULATION '!$C$47-'APV CALCULATION '!$C$48</f>
        <v>3353.5451582544611</v>
      </c>
    </row>
    <row r="82" spans="2:19" x14ac:dyDescent="0.2">
      <c r="B82" s="339">
        <f t="shared" si="9"/>
        <v>0.10800000000000001</v>
      </c>
      <c r="C82" s="342">
        <f>('Coverage ratios'!$R$7*B82)/(1+'Coverage ratios'!$R$9)</f>
        <v>1.6058569277733932</v>
      </c>
      <c r="D82" s="342">
        <f>('Coverage ratios'!$R$17*B82)/((1+'Coverage ratios'!$R$19)^2)</f>
        <v>1.6735253911548154</v>
      </c>
      <c r="E82" s="342">
        <f>('Coverage ratios'!$R$27*B82)/((1+'Coverage ratios'!$R$29)^3)</f>
        <v>1.7158915084920621</v>
      </c>
      <c r="F82" s="342">
        <f>('Coverage ratios'!$R$37*B82)/((1+'Coverage ratios'!$R$39)^4)</f>
        <v>1.7577471506501914</v>
      </c>
      <c r="G82" s="342">
        <f>('Coverage ratios'!$R$47*B82)/((1+'Coverage ratios'!$R$49)^5)</f>
        <v>1.8434862977434749</v>
      </c>
      <c r="H82" s="342">
        <f>B82*'APV CALCULATION '!$Q$12</f>
        <v>226.54343830434544</v>
      </c>
      <c r="I82" s="590">
        <f>((SUM(G82:H82)/(1+'APV CALCULATION '!$I$32^5))+F82/(1+'APV CALCULATION '!$H$32^4)+(E82/(1+'APV CALCULATION '!$G$32^3)+(D82/(1+'APV CALCULATION '!$F$32)^2)+(C82/(1+'APV CALCULATION '!$E$32))))</f>
        <v>235.0648010720524</v>
      </c>
      <c r="J82" s="342">
        <f>I82+'APV CALCULATION '!$E$21*(1+'APV CALCULATION '!$M$3-B82)-'APV CALCULATION '!$C$48</f>
        <v>3792.9545122472045</v>
      </c>
      <c r="N82" s="332">
        <f t="shared" si="8"/>
        <v>8.8226461825954658E-2</v>
      </c>
      <c r="O82" s="590">
        <f>('Restructuration cap'!$AB$86*(1+'WACC CALCULATION'!$D$15))/(N82-'WACC CALCULATION'!$D$15)</f>
        <v>3153.0683080156573</v>
      </c>
      <c r="P82" s="334">
        <f>'Restructuration cap'!$AB$86</f>
        <v>221.90169409374363</v>
      </c>
      <c r="Q82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82" s="334">
        <f t="shared" si="7"/>
        <v>2356.2044270486822</v>
      </c>
      <c r="S82" s="335">
        <f>Q82+R82+'APV CALCULATION '!$C$47-'APV CALCULATION '!$C$48</f>
        <v>3333.4172223686382</v>
      </c>
    </row>
    <row r="83" spans="2:19" x14ac:dyDescent="0.2">
      <c r="B83" s="339">
        <f t="shared" si="9"/>
        <v>0.10900000000000001</v>
      </c>
      <c r="C83" s="342">
        <f>('Coverage ratios'!$R$7*B83)/(1+'Coverage ratios'!$R$9)</f>
        <v>1.6207259734009243</v>
      </c>
      <c r="D83" s="342">
        <f>('Coverage ratios'!$R$17*B83)/((1+'Coverage ratios'!$R$19)^2)</f>
        <v>1.689020996628471</v>
      </c>
      <c r="E83" s="342">
        <f>('Coverage ratios'!$R$27*B83)/((1+'Coverage ratios'!$R$29)^3)</f>
        <v>1.7317793928299514</v>
      </c>
      <c r="F83" s="342">
        <f>('Coverage ratios'!$R$37*B83)/((1+'Coverage ratios'!$R$39)^4)</f>
        <v>1.7740225872302857</v>
      </c>
      <c r="G83" s="342">
        <f>('Coverage ratios'!$R$47*B83)/((1+'Coverage ratios'!$R$49)^5)</f>
        <v>1.8605556153151737</v>
      </c>
      <c r="H83" s="342">
        <f>B83*'APV CALCULATION '!$Q$12</f>
        <v>228.64106273308937</v>
      </c>
      <c r="I83" s="590">
        <f>((SUM(G83:H83)/(1+'APV CALCULATION '!$I$32^5))+F83/(1+'APV CALCULATION '!$H$32^4)+(E83/(1+'APV CALCULATION '!$G$32^3)+(D83/(1+'APV CALCULATION '!$F$32)^2)+(C83/(1+'APV CALCULATION '!$E$32))))</f>
        <v>237.24132700790474</v>
      </c>
      <c r="J83" s="342">
        <f>I83+'APV CALCULATION '!$E$21*(1+'APV CALCULATION '!$M$3-B83)-'APV CALCULATION '!$C$48</f>
        <v>3791.716556694405</v>
      </c>
      <c r="N83" s="332">
        <f t="shared" si="8"/>
        <v>8.8726461825954658E-2</v>
      </c>
      <c r="O83" s="590">
        <f>('Restructuration cap'!$AB$86*(1+'WACC CALCULATION'!$D$15))/(N83-'WACC CALCULATION'!$D$15)</f>
        <v>3131.1872127957586</v>
      </c>
      <c r="P83" s="334">
        <f>'Restructuration cap'!$AB$86</f>
        <v>221.90169409374363</v>
      </c>
      <c r="Q83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83" s="334">
        <f t="shared" si="7"/>
        <v>2336.3626744066491</v>
      </c>
      <c r="S83" s="335">
        <f>Q83+R83+'APV CALCULATION '!$C$47-'APV CALCULATION '!$C$48</f>
        <v>3313.5754697266057</v>
      </c>
    </row>
    <row r="84" spans="2:19" x14ac:dyDescent="0.2">
      <c r="B84" s="339">
        <f t="shared" si="9"/>
        <v>0.11000000000000001</v>
      </c>
      <c r="C84" s="342">
        <f>('Coverage ratios'!$R$7*B84)/(1+'Coverage ratios'!$R$9)</f>
        <v>1.6355950190284558</v>
      </c>
      <c r="D84" s="342">
        <f>('Coverage ratios'!$R$17*B84)/((1+'Coverage ratios'!$R$19)^2)</f>
        <v>1.7045166021021267</v>
      </c>
      <c r="E84" s="342">
        <f>('Coverage ratios'!$R$27*B84)/((1+'Coverage ratios'!$R$29)^3)</f>
        <v>1.747667277167841</v>
      </c>
      <c r="F84" s="342">
        <f>('Coverage ratios'!$R$37*B84)/((1+'Coverage ratios'!$R$39)^4)</f>
        <v>1.7902980238103801</v>
      </c>
      <c r="G84" s="342">
        <f>('Coverage ratios'!$R$47*B84)/((1+'Coverage ratios'!$R$49)^5)</f>
        <v>1.8776249328868724</v>
      </c>
      <c r="H84" s="342">
        <f>B84*'APV CALCULATION '!$Q$12</f>
        <v>230.73868716183333</v>
      </c>
      <c r="I84" s="590">
        <f>((SUM(G84:H84)/(1+'APV CALCULATION '!$I$32^5))+F84/(1+'APV CALCULATION '!$H$32^4)+(E84/(1+'APV CALCULATION '!$G$32^3)+(D84/(1+'APV CALCULATION '!$F$32)^2)+(C84/(1+'APV CALCULATION '!$E$32))))</f>
        <v>239.41785294375708</v>
      </c>
      <c r="J84" s="342">
        <f>I84+'APV CALCULATION '!$E$21*(1+'APV CALCULATION '!$M$3-B84)-'APV CALCULATION '!$C$48</f>
        <v>3790.4786011416054</v>
      </c>
      <c r="N84" s="332">
        <f t="shared" si="8"/>
        <v>8.9226461825954659E-2</v>
      </c>
      <c r="O84" s="590">
        <f>('Restructuration cap'!$AB$86*(1+'WACC CALCULATION'!$D$15))/(N84-'WACC CALCULATION'!$D$15)</f>
        <v>3109.607717549412</v>
      </c>
      <c r="P84" s="334">
        <f>'Restructuration cap'!$AB$86</f>
        <v>221.90169409374363</v>
      </c>
      <c r="Q84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84" s="334">
        <f t="shared" si="7"/>
        <v>2316.8011717400941</v>
      </c>
      <c r="S84" s="335">
        <f>Q84+R84+'APV CALCULATION '!$C$47-'APV CALCULATION '!$C$48</f>
        <v>3294.0139670600502</v>
      </c>
    </row>
    <row r="85" spans="2:19" x14ac:dyDescent="0.2">
      <c r="B85" s="339">
        <f t="shared" si="9"/>
        <v>0.11100000000000002</v>
      </c>
      <c r="C85" s="342">
        <f>('Coverage ratios'!$R$7*B85)/(1+'Coverage ratios'!$R$9)</f>
        <v>1.6504640646559872</v>
      </c>
      <c r="D85" s="342">
        <f>('Coverage ratios'!$R$17*B85)/((1+'Coverage ratios'!$R$19)^2)</f>
        <v>1.7200122075757824</v>
      </c>
      <c r="E85" s="342">
        <f>('Coverage ratios'!$R$27*B85)/((1+'Coverage ratios'!$R$29)^3)</f>
        <v>1.7635551615057303</v>
      </c>
      <c r="F85" s="342">
        <f>('Coverage ratios'!$R$37*B85)/((1+'Coverage ratios'!$R$39)^4)</f>
        <v>1.8065734603904746</v>
      </c>
      <c r="G85" s="342">
        <f>('Coverage ratios'!$R$47*B85)/((1+'Coverage ratios'!$R$49)^5)</f>
        <v>1.8946942504585713</v>
      </c>
      <c r="H85" s="342">
        <f>B85*'APV CALCULATION '!$Q$12</f>
        <v>232.83631159057725</v>
      </c>
      <c r="I85" s="590">
        <f>((SUM(G85:H85)/(1+'APV CALCULATION '!$I$32^5))+F85/(1+'APV CALCULATION '!$H$32^4)+(E85/(1+'APV CALCULATION '!$G$32^3)+(D85/(1+'APV CALCULATION '!$F$32)^2)+(C85/(1+'APV CALCULATION '!$E$32))))</f>
        <v>241.59437887960939</v>
      </c>
      <c r="J85" s="342">
        <f>I85+'APV CALCULATION '!$E$21*(1+'APV CALCULATION '!$M$3-B85)-'APV CALCULATION '!$C$48</f>
        <v>3789.2406455888063</v>
      </c>
      <c r="N85" s="332">
        <f t="shared" si="8"/>
        <v>8.9726461825954659E-2</v>
      </c>
      <c r="O85" s="590">
        <f>('Restructuration cap'!$AB$86*(1+'WACC CALCULATION'!$D$15))/(N85-'WACC CALCULATION'!$D$15)</f>
        <v>3088.323629263497</v>
      </c>
      <c r="P85" s="334">
        <f>'Restructuration cap'!$AB$86</f>
        <v>221.90169409374363</v>
      </c>
      <c r="Q85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85" s="334">
        <f t="shared" si="7"/>
        <v>2297.5141482710733</v>
      </c>
      <c r="S85" s="335">
        <f>Q85+R85+'APV CALCULATION '!$C$47-'APV CALCULATION '!$C$48</f>
        <v>3274.7269435910293</v>
      </c>
    </row>
    <row r="86" spans="2:19" x14ac:dyDescent="0.2">
      <c r="B86" s="339">
        <f t="shared" si="9"/>
        <v>0.11200000000000002</v>
      </c>
      <c r="C86" s="342">
        <f>('Coverage ratios'!$R$7*B86)/(1+'Coverage ratios'!$R$9)</f>
        <v>1.6653331102835187</v>
      </c>
      <c r="D86" s="342">
        <f>('Coverage ratios'!$R$17*B86)/((1+'Coverage ratios'!$R$19)^2)</f>
        <v>1.7355078130494379</v>
      </c>
      <c r="E86" s="342">
        <f>('Coverage ratios'!$R$27*B86)/((1+'Coverage ratios'!$R$29)^3)</f>
        <v>1.7794430458436199</v>
      </c>
      <c r="F86" s="342">
        <f>('Coverage ratios'!$R$37*B86)/((1+'Coverage ratios'!$R$39)^4)</f>
        <v>1.822848896970569</v>
      </c>
      <c r="G86" s="342">
        <f>('Coverage ratios'!$R$47*B86)/((1+'Coverage ratios'!$R$49)^5)</f>
        <v>1.9117635680302705</v>
      </c>
      <c r="H86" s="342">
        <f>B86*'APV CALCULATION '!$Q$12</f>
        <v>234.93393601932121</v>
      </c>
      <c r="I86" s="590">
        <f>((SUM(G86:H86)/(1+'APV CALCULATION '!$I$32^5))+F86/(1+'APV CALCULATION '!$H$32^4)+(E86/(1+'APV CALCULATION '!$G$32^3)+(D86/(1+'APV CALCULATION '!$F$32)^2)+(C86/(1+'APV CALCULATION '!$E$32))))</f>
        <v>243.77090481546173</v>
      </c>
      <c r="J86" s="342">
        <f>I86+'APV CALCULATION '!$E$21*(1+'APV CALCULATION '!$M$3-B86)-'APV CALCULATION '!$C$48</f>
        <v>3788.0026900360062</v>
      </c>
      <c r="N86" s="332">
        <f t="shared" si="8"/>
        <v>9.022646182595466E-2</v>
      </c>
      <c r="O86" s="590">
        <f>('Restructuration cap'!$AB$86*(1+'WACC CALCULATION'!$D$15))/(N86-'WACC CALCULATION'!$D$15)</f>
        <v>3067.3289233275686</v>
      </c>
      <c r="P86" s="334">
        <f>'Restructuration cap'!$AB$86</f>
        <v>221.90169409374363</v>
      </c>
      <c r="Q86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86" s="334">
        <f t="shared" si="7"/>
        <v>2278.4959901887332</v>
      </c>
      <c r="S86" s="335">
        <f>Q86+R86+'APV CALCULATION '!$C$47-'APV CALCULATION '!$C$48</f>
        <v>3255.7087855086893</v>
      </c>
    </row>
    <row r="87" spans="2:19" x14ac:dyDescent="0.2">
      <c r="B87" s="339">
        <f t="shared" si="9"/>
        <v>0.11300000000000002</v>
      </c>
      <c r="C87" s="342">
        <f>('Coverage ratios'!$R$7*B87)/(1+'Coverage ratios'!$R$9)</f>
        <v>1.68020215591105</v>
      </c>
      <c r="D87" s="342">
        <f>('Coverage ratios'!$R$17*B87)/((1+'Coverage ratios'!$R$19)^2)</f>
        <v>1.7510034185230938</v>
      </c>
      <c r="E87" s="342">
        <f>('Coverage ratios'!$R$27*B87)/((1+'Coverage ratios'!$R$29)^3)</f>
        <v>1.7953309301815092</v>
      </c>
      <c r="F87" s="342">
        <f>('Coverage ratios'!$R$37*B87)/((1+'Coverage ratios'!$R$39)^4)</f>
        <v>1.8391243335506633</v>
      </c>
      <c r="G87" s="342">
        <f>('Coverage ratios'!$R$47*B87)/((1+'Coverage ratios'!$R$49)^5)</f>
        <v>1.928832885601969</v>
      </c>
      <c r="H87" s="342">
        <f>B87*'APV CALCULATION '!$Q$12</f>
        <v>237.03156044806514</v>
      </c>
      <c r="I87" s="590">
        <f>((SUM(G87:H87)/(1+'APV CALCULATION '!$I$32^5))+F87/(1+'APV CALCULATION '!$H$32^4)+(E87/(1+'APV CALCULATION '!$G$32^3)+(D87/(1+'APV CALCULATION '!$F$32)^2)+(C87/(1+'APV CALCULATION '!$E$32))))</f>
        <v>245.94743075131404</v>
      </c>
      <c r="J87" s="342">
        <f>I87+'APV CALCULATION '!$E$21*(1+'APV CALCULATION '!$M$3-B87)-'APV CALCULATION '!$C$48</f>
        <v>3786.7647344832076</v>
      </c>
      <c r="N87" s="332">
        <f t="shared" si="8"/>
        <v>9.072646182595466E-2</v>
      </c>
      <c r="O87" s="590">
        <f>('Restructuration cap'!$AB$86*(1+'WACC CALCULATION'!$D$15))/(N87-'WACC CALCULATION'!$D$15)</f>
        <v>3046.6177378484208</v>
      </c>
      <c r="P87" s="334">
        <f>'Restructuration cap'!$AB$86</f>
        <v>221.90169409374363</v>
      </c>
      <c r="Q87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87" s="334">
        <f t="shared" si="7"/>
        <v>2259.7412353498057</v>
      </c>
      <c r="S87" s="335">
        <f>Q87+R87+'APV CALCULATION '!$C$47-'APV CALCULATION '!$C$48</f>
        <v>3236.9540306697618</v>
      </c>
    </row>
    <row r="88" spans="2:19" x14ac:dyDescent="0.2">
      <c r="B88" s="339">
        <f t="shared" si="9"/>
        <v>0.11400000000000002</v>
      </c>
      <c r="C88" s="342">
        <f>('Coverage ratios'!$R$7*B88)/(1+'Coverage ratios'!$R$9)</f>
        <v>1.6950712015385816</v>
      </c>
      <c r="D88" s="342">
        <f>('Coverage ratios'!$R$17*B88)/((1+'Coverage ratios'!$R$19)^2)</f>
        <v>1.7664990239967495</v>
      </c>
      <c r="E88" s="342">
        <f>('Coverage ratios'!$R$27*B88)/((1+'Coverage ratios'!$R$29)^3)</f>
        <v>1.8112188145193988</v>
      </c>
      <c r="F88" s="342">
        <f>('Coverage ratios'!$R$37*B88)/((1+'Coverage ratios'!$R$39)^4)</f>
        <v>1.8553997701307576</v>
      </c>
      <c r="G88" s="342">
        <f>('Coverage ratios'!$R$47*B88)/((1+'Coverage ratios'!$R$49)^5)</f>
        <v>1.9459022031736681</v>
      </c>
      <c r="H88" s="342">
        <f>B88*'APV CALCULATION '!$Q$12</f>
        <v>239.12918487680909</v>
      </c>
      <c r="I88" s="590">
        <f>((SUM(G88:H88)/(1+'APV CALCULATION '!$I$32^5))+F88/(1+'APV CALCULATION '!$H$32^4)+(E88/(1+'APV CALCULATION '!$G$32^3)+(D88/(1+'APV CALCULATION '!$F$32)^2)+(C88/(1+'APV CALCULATION '!$E$32))))</f>
        <v>248.12395668716641</v>
      </c>
      <c r="J88" s="342">
        <f>I88+'APV CALCULATION '!$E$21*(1+'APV CALCULATION '!$M$3-B88)-'APV CALCULATION '!$C$48</f>
        <v>3785.5267789304075</v>
      </c>
      <c r="N88" s="332">
        <f t="shared" si="8"/>
        <v>9.1226461825954661E-2</v>
      </c>
      <c r="O88" s="590">
        <f>('Restructuration cap'!$AB$86*(1+'WACC CALCULATION'!$D$15))/(N88-'WACC CALCULATION'!$D$15)</f>
        <v>3026.1843681934447</v>
      </c>
      <c r="P88" s="334">
        <f>'Restructuration cap'!$AB$86</f>
        <v>221.90169409374363</v>
      </c>
      <c r="Q88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88" s="334">
        <f t="shared" si="7"/>
        <v>2241.2445681923514</v>
      </c>
      <c r="S88" s="335">
        <f>Q88+R88+'APV CALCULATION '!$C$47-'APV CALCULATION '!$C$48</f>
        <v>3218.4573635123079</v>
      </c>
    </row>
    <row r="89" spans="2:19" x14ac:dyDescent="0.2">
      <c r="B89" s="339">
        <f t="shared" si="9"/>
        <v>0.11500000000000002</v>
      </c>
      <c r="C89" s="342">
        <f>('Coverage ratios'!$R$7*B89)/(1+'Coverage ratios'!$R$9)</f>
        <v>1.7099402471661131</v>
      </c>
      <c r="D89" s="342">
        <f>('Coverage ratios'!$R$17*B89)/((1+'Coverage ratios'!$R$19)^2)</f>
        <v>1.7819946294704052</v>
      </c>
      <c r="E89" s="342">
        <f>('Coverage ratios'!$R$27*B89)/((1+'Coverage ratios'!$R$29)^3)</f>
        <v>1.8271066988572882</v>
      </c>
      <c r="F89" s="342">
        <f>('Coverage ratios'!$R$37*B89)/((1+'Coverage ratios'!$R$39)^4)</f>
        <v>1.8716752067108522</v>
      </c>
      <c r="G89" s="342">
        <f>('Coverage ratios'!$R$47*B89)/((1+'Coverage ratios'!$R$49)^5)</f>
        <v>1.9629715207453666</v>
      </c>
      <c r="H89" s="342">
        <f>B89*'APV CALCULATION '!$Q$12</f>
        <v>241.22680930555302</v>
      </c>
      <c r="I89" s="590">
        <f>((SUM(G89:H89)/(1+'APV CALCULATION '!$I$32^5))+F89/(1+'APV CALCULATION '!$H$32^4)+(E89/(1+'APV CALCULATION '!$G$32^3)+(D89/(1+'APV CALCULATION '!$F$32)^2)+(C89/(1+'APV CALCULATION '!$E$32))))</f>
        <v>250.30048262301875</v>
      </c>
      <c r="J89" s="342">
        <f>I89+'APV CALCULATION '!$E$21*(1+'APV CALCULATION '!$M$3-B89)-'APV CALCULATION '!$C$48</f>
        <v>3784.2888233776084</v>
      </c>
      <c r="N89" s="332">
        <f t="shared" si="8"/>
        <v>9.1726461825954661E-2</v>
      </c>
      <c r="O89" s="590">
        <f>('Restructuration cap'!$AB$86*(1+'WACC CALCULATION'!$D$15))/(N89-'WACC CALCULATION'!$D$15)</f>
        <v>3006.0232617521042</v>
      </c>
      <c r="P89" s="334">
        <f>'Restructuration cap'!$AB$86</f>
        <v>221.90169409374363</v>
      </c>
      <c r="Q89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89" s="334">
        <f t="shared" si="7"/>
        <v>2223.0008148528295</v>
      </c>
      <c r="S89" s="335">
        <f>Q89+R89+'APV CALCULATION '!$C$47-'APV CALCULATION '!$C$48</f>
        <v>3200.2136101727856</v>
      </c>
    </row>
    <row r="90" spans="2:19" x14ac:dyDescent="0.2">
      <c r="B90" s="339">
        <f t="shared" si="9"/>
        <v>0.11600000000000002</v>
      </c>
      <c r="C90" s="342">
        <f>('Coverage ratios'!$R$7*B90)/(1+'Coverage ratios'!$R$9)</f>
        <v>1.7248092927936445</v>
      </c>
      <c r="D90" s="342">
        <f>('Coverage ratios'!$R$17*B90)/((1+'Coverage ratios'!$R$19)^2)</f>
        <v>1.7974902349440609</v>
      </c>
      <c r="E90" s="342">
        <f>('Coverage ratios'!$R$27*B90)/((1+'Coverage ratios'!$R$29)^3)</f>
        <v>1.8429945831951777</v>
      </c>
      <c r="F90" s="342">
        <f>('Coverage ratios'!$R$37*B90)/((1+'Coverage ratios'!$R$39)^4)</f>
        <v>1.8879506432909465</v>
      </c>
      <c r="G90" s="342">
        <f>('Coverage ratios'!$R$47*B90)/((1+'Coverage ratios'!$R$49)^5)</f>
        <v>1.9800408383170658</v>
      </c>
      <c r="H90" s="342">
        <f>B90*'APV CALCULATION '!$Q$12</f>
        <v>243.32443373429697</v>
      </c>
      <c r="I90" s="590">
        <f>((SUM(G90:H90)/(1+'APV CALCULATION '!$I$32^5))+F90/(1+'APV CALCULATION '!$H$32^4)+(E90/(1+'APV CALCULATION '!$G$32^3)+(D90/(1+'APV CALCULATION '!$F$32)^2)+(C90/(1+'APV CALCULATION '!$E$32))))</f>
        <v>252.47700855887109</v>
      </c>
      <c r="J90" s="342">
        <f>I90+'APV CALCULATION '!$E$21*(1+'APV CALCULATION '!$M$3-B90)-'APV CALCULATION '!$C$48</f>
        <v>3783.0508678248088</v>
      </c>
      <c r="N90" s="332">
        <f t="shared" si="8"/>
        <v>9.2226461825954661E-2</v>
      </c>
      <c r="O90" s="590">
        <f>('Restructuration cap'!$AB$86*(1+'WACC CALCULATION'!$D$15))/(N90-'WACC CALCULATION'!$D$15)</f>
        <v>2986.1290129054282</v>
      </c>
      <c r="P90" s="334">
        <f>'Restructuration cap'!$AB$86</f>
        <v>221.90169409374363</v>
      </c>
      <c r="Q90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90" s="334">
        <f t="shared" si="7"/>
        <v>2205.0049384770596</v>
      </c>
      <c r="S90" s="335">
        <f>Q90+R90+'APV CALCULATION '!$C$47-'APV CALCULATION '!$C$48</f>
        <v>3182.2177337970161</v>
      </c>
    </row>
    <row r="91" spans="2:19" x14ac:dyDescent="0.2">
      <c r="B91" s="339">
        <f t="shared" si="9"/>
        <v>0.11700000000000002</v>
      </c>
      <c r="C91" s="342">
        <f>('Coverage ratios'!$R$7*B91)/(1+'Coverage ratios'!$R$9)</f>
        <v>1.739678338421176</v>
      </c>
      <c r="D91" s="342">
        <f>('Coverage ratios'!$R$17*B91)/((1+'Coverage ratios'!$R$19)^2)</f>
        <v>1.8129858404177166</v>
      </c>
      <c r="E91" s="342">
        <f>('Coverage ratios'!$R$27*B91)/((1+'Coverage ratios'!$R$29)^3)</f>
        <v>1.8588824675330673</v>
      </c>
      <c r="F91" s="342">
        <f>('Coverage ratios'!$R$37*B91)/((1+'Coverage ratios'!$R$39)^4)</f>
        <v>1.9042260798710409</v>
      </c>
      <c r="G91" s="342">
        <f>('Coverage ratios'!$R$47*B91)/((1+'Coverage ratios'!$R$49)^5)</f>
        <v>1.9971101558887643</v>
      </c>
      <c r="H91" s="342">
        <f>B91*'APV CALCULATION '!$Q$12</f>
        <v>245.4220581630409</v>
      </c>
      <c r="I91" s="590">
        <f>((SUM(G91:H91)/(1+'APV CALCULATION '!$I$32^5))+F91/(1+'APV CALCULATION '!$H$32^4)+(E91/(1+'APV CALCULATION '!$G$32^3)+(D91/(1+'APV CALCULATION '!$F$32)^2)+(C91/(1+'APV CALCULATION '!$E$32))))</f>
        <v>254.65353449472346</v>
      </c>
      <c r="J91" s="342">
        <f>I91+'APV CALCULATION '!$E$21*(1+'APV CALCULATION '!$M$3-B91)-'APV CALCULATION '!$C$48</f>
        <v>3781.8129122720097</v>
      </c>
      <c r="N91" s="332">
        <f t="shared" si="8"/>
        <v>9.2726461825954662E-2</v>
      </c>
      <c r="O91" s="590">
        <f>('Restructuration cap'!$AB$86*(1+'WACC CALCULATION'!$D$15))/(N91-'WACC CALCULATION'!$D$15)</f>
        <v>2966.4963581939437</v>
      </c>
      <c r="P91" s="334">
        <f>'Restructuration cap'!$AB$86</f>
        <v>221.90169409374363</v>
      </c>
      <c r="Q91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91" s="334">
        <f t="shared" si="7"/>
        <v>2187.2520347161599</v>
      </c>
      <c r="S91" s="335">
        <f>Q91+R91+'APV CALCULATION '!$C$47-'APV CALCULATION '!$C$48</f>
        <v>3164.4648300361159</v>
      </c>
    </row>
    <row r="92" spans="2:19" x14ac:dyDescent="0.2">
      <c r="B92" s="339">
        <f t="shared" si="9"/>
        <v>0.11800000000000002</v>
      </c>
      <c r="C92" s="342">
        <f>('Coverage ratios'!$R$7*B92)/(1+'Coverage ratios'!$R$9)</f>
        <v>1.7545473840487074</v>
      </c>
      <c r="D92" s="342">
        <f>('Coverage ratios'!$R$17*B92)/((1+'Coverage ratios'!$R$19)^2)</f>
        <v>1.8284814458913725</v>
      </c>
      <c r="E92" s="342">
        <f>('Coverage ratios'!$R$27*B92)/((1+'Coverage ratios'!$R$29)^3)</f>
        <v>1.8747703518709569</v>
      </c>
      <c r="F92" s="342">
        <f>('Coverage ratios'!$R$37*B92)/((1+'Coverage ratios'!$R$39)^4)</f>
        <v>1.9205015164511354</v>
      </c>
      <c r="G92" s="342">
        <f>('Coverage ratios'!$R$47*B92)/((1+'Coverage ratios'!$R$49)^5)</f>
        <v>2.0141794734604632</v>
      </c>
      <c r="H92" s="342">
        <f>B92*'APV CALCULATION '!$Q$12</f>
        <v>247.51968259178486</v>
      </c>
      <c r="I92" s="590">
        <f>((SUM(G92:H92)/(1+'APV CALCULATION '!$I$32^5))+F92/(1+'APV CALCULATION '!$H$32^4)+(E92/(1+'APV CALCULATION '!$G$32^3)+(D92/(1+'APV CALCULATION '!$F$32)^2)+(C92/(1+'APV CALCULATION '!$E$32))))</f>
        <v>256.83006043057577</v>
      </c>
      <c r="J92" s="342">
        <f>I92+'APV CALCULATION '!$E$21*(1+'APV CALCULATION '!$M$3-B92)-'APV CALCULATION '!$C$48</f>
        <v>3780.5749567192101</v>
      </c>
      <c r="N92" s="332">
        <f t="shared" si="8"/>
        <v>9.3226461825954662E-2</v>
      </c>
      <c r="O92" s="590">
        <f>('Restructuration cap'!$AB$86*(1+'WACC CALCULATION'!$D$15))/(N92-'WACC CALCULATION'!$D$15)</f>
        <v>2947.1201716749802</v>
      </c>
      <c r="P92" s="334">
        <f>'Restructuration cap'!$AB$86</f>
        <v>221.90169409374363</v>
      </c>
      <c r="Q92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92" s="334">
        <f t="shared" si="7"/>
        <v>2169.737327398987</v>
      </c>
      <c r="S92" s="335">
        <f>Q92+R92+'APV CALCULATION '!$C$47-'APV CALCULATION '!$C$48</f>
        <v>3146.950122718943</v>
      </c>
    </row>
    <row r="93" spans="2:19" x14ac:dyDescent="0.2">
      <c r="B93" s="339">
        <f t="shared" si="9"/>
        <v>0.11900000000000002</v>
      </c>
      <c r="C93" s="342">
        <f>('Coverage ratios'!$R$7*B93)/(1+'Coverage ratios'!$R$9)</f>
        <v>1.7694164296762389</v>
      </c>
      <c r="D93" s="342">
        <f>('Coverage ratios'!$R$17*B93)/((1+'Coverage ratios'!$R$19)^2)</f>
        <v>1.8439770513650282</v>
      </c>
      <c r="E93" s="342">
        <f>('Coverage ratios'!$R$27*B93)/((1+'Coverage ratios'!$R$29)^3)</f>
        <v>1.8906582362088462</v>
      </c>
      <c r="F93" s="342">
        <f>('Coverage ratios'!$R$37*B93)/((1+'Coverage ratios'!$R$39)^4)</f>
        <v>1.9367769530312295</v>
      </c>
      <c r="G93" s="342">
        <f>('Coverage ratios'!$R$47*B93)/((1+'Coverage ratios'!$R$49)^5)</f>
        <v>2.0312487910321622</v>
      </c>
      <c r="H93" s="342">
        <f>B93*'APV CALCULATION '!$Q$12</f>
        <v>249.61730702052878</v>
      </c>
      <c r="I93" s="590">
        <f>((SUM(G93:H93)/(1+'APV CALCULATION '!$I$32^5))+F93/(1+'APV CALCULATION '!$H$32^4)+(E93/(1+'APV CALCULATION '!$G$32^3)+(D93/(1+'APV CALCULATION '!$F$32)^2)+(C93/(1+'APV CALCULATION '!$E$32))))</f>
        <v>259.00658636642811</v>
      </c>
      <c r="J93" s="342">
        <f>I93+'APV CALCULATION '!$E$21*(1+'APV CALCULATION '!$M$3-B93)-'APV CALCULATION '!$C$48</f>
        <v>3779.337001166411</v>
      </c>
      <c r="N93" s="332">
        <f t="shared" si="8"/>
        <v>9.3726461825954663E-2</v>
      </c>
      <c r="O93" s="590">
        <f>('Restructuration cap'!$AB$86*(1+'WACC CALCULATION'!$D$15))/(N93-'WACC CALCULATION'!$D$15)</f>
        <v>2927.995460460736</v>
      </c>
      <c r="P93" s="334">
        <f>'Restructuration cap'!$AB$86</f>
        <v>221.90169409374363</v>
      </c>
      <c r="Q93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93" s="334">
        <f t="shared" si="7"/>
        <v>2152.4561643730895</v>
      </c>
      <c r="S93" s="335">
        <f>Q93+R93+'APV CALCULATION '!$C$47-'APV CALCULATION '!$C$48</f>
        <v>3129.6689596930455</v>
      </c>
    </row>
    <row r="94" spans="2:19" x14ac:dyDescent="0.2">
      <c r="B94" s="339">
        <f t="shared" si="9"/>
        <v>0.12000000000000002</v>
      </c>
      <c r="C94" s="342">
        <f>('Coverage ratios'!$R$7*B94)/(1+'Coverage ratios'!$R$9)</f>
        <v>1.78428547530377</v>
      </c>
      <c r="D94" s="342">
        <f>('Coverage ratios'!$R$17*B94)/((1+'Coverage ratios'!$R$19)^2)</f>
        <v>1.8594726568386839</v>
      </c>
      <c r="E94" s="342">
        <f>('Coverage ratios'!$R$27*B94)/((1+'Coverage ratios'!$R$29)^3)</f>
        <v>1.9065461205467358</v>
      </c>
      <c r="F94" s="342">
        <f>('Coverage ratios'!$R$37*B94)/((1+'Coverage ratios'!$R$39)^4)</f>
        <v>1.9530523896113239</v>
      </c>
      <c r="G94" s="342">
        <f>('Coverage ratios'!$R$47*B94)/((1+'Coverage ratios'!$R$49)^5)</f>
        <v>2.0483181086038611</v>
      </c>
      <c r="H94" s="342">
        <f>B94*'APV CALCULATION '!$Q$12</f>
        <v>251.71493144927274</v>
      </c>
      <c r="I94" s="590">
        <f>((SUM(G94:H94)/(1+'APV CALCULATION '!$I$32^5))+F94/(1+'APV CALCULATION '!$H$32^4)+(E94/(1+'APV CALCULATION '!$G$32^3)+(D94/(1+'APV CALCULATION '!$F$32)^2)+(C94/(1+'APV CALCULATION '!$E$32))))</f>
        <v>261.18311230228051</v>
      </c>
      <c r="J94" s="342">
        <f>I94+'APV CALCULATION '!$E$21*(1+'APV CALCULATION '!$M$3-B94)-'APV CALCULATION '!$C$48</f>
        <v>3778.0990456136115</v>
      </c>
      <c r="N94" s="332">
        <f t="shared" si="8"/>
        <v>9.4226461825954663E-2</v>
      </c>
      <c r="O94" s="590">
        <f>('Restructuration cap'!$AB$86*(1+'WACC CALCULATION'!$D$15))/(N94-'WACC CALCULATION'!$D$15)</f>
        <v>2909.1173604289588</v>
      </c>
      <c r="P94" s="334">
        <f>'Restructuration cap'!$AB$86</f>
        <v>221.90169409374363</v>
      </c>
      <c r="Q94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94" s="334">
        <f t="shared" si="7"/>
        <v>2135.4040135065402</v>
      </c>
      <c r="S94" s="335">
        <f>Q94+R94+'APV CALCULATION '!$C$47-'APV CALCULATION '!$C$48</f>
        <v>3112.6168088264967</v>
      </c>
    </row>
    <row r="95" spans="2:19" x14ac:dyDescent="0.2">
      <c r="B95" s="339">
        <f t="shared" si="9"/>
        <v>0.12100000000000002</v>
      </c>
      <c r="C95" s="342">
        <f>('Coverage ratios'!$R$7*B95)/(1+'Coverage ratios'!$R$9)</f>
        <v>1.7991545209313016</v>
      </c>
      <c r="D95" s="342">
        <f>('Coverage ratios'!$R$17*B95)/((1+'Coverage ratios'!$R$19)^2)</f>
        <v>1.8749682623123394</v>
      </c>
      <c r="E95" s="342">
        <f>('Coverage ratios'!$R$27*B95)/((1+'Coverage ratios'!$R$29)^3)</f>
        <v>1.9224340048846251</v>
      </c>
      <c r="F95" s="342">
        <f>('Coverage ratios'!$R$37*B95)/((1+'Coverage ratios'!$R$39)^4)</f>
        <v>1.9693278261914184</v>
      </c>
      <c r="G95" s="342">
        <f>('Coverage ratios'!$R$47*B95)/((1+'Coverage ratios'!$R$49)^5)</f>
        <v>2.06538742617556</v>
      </c>
      <c r="H95" s="342">
        <f>B95*'APV CALCULATION '!$Q$12</f>
        <v>253.81255587801667</v>
      </c>
      <c r="I95" s="590">
        <f>((SUM(G95:H95)/(1+'APV CALCULATION '!$I$32^5))+F95/(1+'APV CALCULATION '!$H$32^4)+(E95/(1+'APV CALCULATION '!$G$32^3)+(D95/(1+'APV CALCULATION '!$F$32)^2)+(C95/(1+'APV CALCULATION '!$E$32))))</f>
        <v>263.35963823813279</v>
      </c>
      <c r="J95" s="342">
        <f>I95+'APV CALCULATION '!$E$21*(1+'APV CALCULATION '!$M$3-B95)-'APV CALCULATION '!$C$48</f>
        <v>3776.8610900608119</v>
      </c>
      <c r="N95" s="332">
        <f t="shared" si="8"/>
        <v>9.4726461825954664E-2</v>
      </c>
      <c r="O95" s="590">
        <f>('Restructuration cap'!$AB$86*(1+'WACC CALCULATION'!$D$15))/(N95-'WACC CALCULATION'!$D$15)</f>
        <v>2890.4811320984909</v>
      </c>
      <c r="P95" s="334">
        <f>'Restructuration cap'!$AB$86</f>
        <v>221.90169409374363</v>
      </c>
      <c r="Q95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95" s="334">
        <f t="shared" si="7"/>
        <v>2118.5764588434636</v>
      </c>
      <c r="S95" s="335">
        <f>Q95+R95+'APV CALCULATION '!$C$47-'APV CALCULATION '!$C$48</f>
        <v>3095.7892541634201</v>
      </c>
    </row>
    <row r="96" spans="2:19" x14ac:dyDescent="0.2">
      <c r="B96" s="339">
        <f t="shared" si="9"/>
        <v>0.12200000000000003</v>
      </c>
      <c r="C96" s="342">
        <f>('Coverage ratios'!$R$7*B96)/(1+'Coverage ratios'!$R$9)</f>
        <v>1.8140235665588329</v>
      </c>
      <c r="D96" s="342">
        <f>('Coverage ratios'!$R$17*B96)/((1+'Coverage ratios'!$R$19)^2)</f>
        <v>1.8904638677859951</v>
      </c>
      <c r="E96" s="342">
        <f>('Coverage ratios'!$R$27*B96)/((1+'Coverage ratios'!$R$29)^3)</f>
        <v>1.9383218892225147</v>
      </c>
      <c r="F96" s="342">
        <f>('Coverage ratios'!$R$37*B96)/((1+'Coverage ratios'!$R$39)^4)</f>
        <v>1.9856032627715126</v>
      </c>
      <c r="G96" s="342">
        <f>('Coverage ratios'!$R$47*B96)/((1+'Coverage ratios'!$R$49)^5)</f>
        <v>2.0824567437472585</v>
      </c>
      <c r="H96" s="342">
        <f>B96*'APV CALCULATION '!$Q$12</f>
        <v>255.91018030676062</v>
      </c>
      <c r="I96" s="590">
        <f>((SUM(G96:H96)/(1+'APV CALCULATION '!$I$32^5))+F96/(1+'APV CALCULATION '!$H$32^4)+(E96/(1+'APV CALCULATION '!$G$32^3)+(D96/(1+'APV CALCULATION '!$F$32)^2)+(C96/(1+'APV CALCULATION '!$E$32))))</f>
        <v>265.53616417398513</v>
      </c>
      <c r="J96" s="342">
        <f>I96+'APV CALCULATION '!$E$21*(1+'APV CALCULATION '!$M$3-B96)-'APV CALCULATION '!$C$48</f>
        <v>3775.6231345080123</v>
      </c>
      <c r="N96" s="332">
        <f t="shared" si="8"/>
        <v>9.5226461825954664E-2</v>
      </c>
      <c r="O96" s="590">
        <f>('Restructuration cap'!$AB$86*(1+'WACC CALCULATION'!$D$15))/(N96-'WACC CALCULATION'!$D$15)</f>
        <v>2872.0821566623367</v>
      </c>
      <c r="P96" s="334">
        <f>'Restructuration cap'!$AB$86</f>
        <v>221.90169409374363</v>
      </c>
      <c r="Q96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96" s="334">
        <f t="shared" si="7"/>
        <v>2101.9691969063661</v>
      </c>
      <c r="S96" s="335">
        <f>Q96+R96+'APV CALCULATION '!$C$47-'APV CALCULATION '!$C$48</f>
        <v>3079.1819922263221</v>
      </c>
    </row>
    <row r="97" spans="2:19" x14ac:dyDescent="0.2">
      <c r="B97" s="339">
        <f t="shared" si="9"/>
        <v>0.12300000000000003</v>
      </c>
      <c r="C97" s="342">
        <f>('Coverage ratios'!$R$7*B97)/(1+'Coverage ratios'!$R$9)</f>
        <v>1.8288926121863645</v>
      </c>
      <c r="D97" s="342">
        <f>('Coverage ratios'!$R$17*B97)/((1+'Coverage ratios'!$R$19)^2)</f>
        <v>1.9059594732596508</v>
      </c>
      <c r="E97" s="342">
        <f>('Coverage ratios'!$R$27*B97)/((1+'Coverage ratios'!$R$29)^3)</f>
        <v>1.954209773560404</v>
      </c>
      <c r="F97" s="342">
        <f>('Coverage ratios'!$R$37*B97)/((1+'Coverage ratios'!$R$39)^4)</f>
        <v>2.0018786993516073</v>
      </c>
      <c r="G97" s="342">
        <f>('Coverage ratios'!$R$47*B97)/((1+'Coverage ratios'!$R$49)^5)</f>
        <v>2.0995260613189575</v>
      </c>
      <c r="H97" s="342">
        <f>B97*'APV CALCULATION '!$Q$12</f>
        <v>258.00780473550458</v>
      </c>
      <c r="I97" s="590">
        <f>((SUM(G97:H97)/(1+'APV CALCULATION '!$I$32^5))+F97/(1+'APV CALCULATION '!$H$32^4)+(E97/(1+'APV CALCULATION '!$G$32^3)+(D97/(1+'APV CALCULATION '!$F$32)^2)+(C97/(1+'APV CALCULATION '!$E$32))))</f>
        <v>267.71269010983752</v>
      </c>
      <c r="J97" s="342">
        <f>I97+'APV CALCULATION '!$E$21*(1+'APV CALCULATION '!$M$3-B97)-'APV CALCULATION '!$C$48</f>
        <v>3774.3851789552132</v>
      </c>
      <c r="N97" s="332">
        <f t="shared" si="8"/>
        <v>9.5726461825954665E-2</v>
      </c>
      <c r="O97" s="590">
        <f>('Restructuration cap'!$AB$86*(1+'WACC CALCULATION'!$D$15))/(N97-'WACC CALCULATION'!$D$15)</f>
        <v>2853.9159321712791</v>
      </c>
      <c r="P97" s="334">
        <f>'Restructuration cap'!$AB$86</f>
        <v>221.90169409374363</v>
      </c>
      <c r="Q97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97" s="334">
        <f t="shared" si="7"/>
        <v>2085.57803313882</v>
      </c>
      <c r="S97" s="335">
        <f>Q97+R97+'APV CALCULATION '!$C$47-'APV CALCULATION '!$C$48</f>
        <v>3062.7908284587766</v>
      </c>
    </row>
    <row r="98" spans="2:19" x14ac:dyDescent="0.2">
      <c r="B98" s="339">
        <f t="shared" si="9"/>
        <v>0.12400000000000003</v>
      </c>
      <c r="C98" s="342">
        <f>('Coverage ratios'!$R$7*B98)/(1+'Coverage ratios'!$R$9)</f>
        <v>1.8437616578138958</v>
      </c>
      <c r="D98" s="342">
        <f>('Coverage ratios'!$R$17*B98)/((1+'Coverage ratios'!$R$19)^2)</f>
        <v>1.9214550787333067</v>
      </c>
      <c r="E98" s="342">
        <f>('Coverage ratios'!$R$27*B98)/((1+'Coverage ratios'!$R$29)^3)</f>
        <v>1.9700976578982936</v>
      </c>
      <c r="F98" s="342">
        <f>('Coverage ratios'!$R$37*B98)/((1+'Coverage ratios'!$R$39)^4)</f>
        <v>2.0181541359317015</v>
      </c>
      <c r="G98" s="342">
        <f>('Coverage ratios'!$R$47*B98)/((1+'Coverage ratios'!$R$49)^5)</f>
        <v>2.1165953788906569</v>
      </c>
      <c r="H98" s="342">
        <f>B98*'APV CALCULATION '!$Q$12</f>
        <v>260.10542916424851</v>
      </c>
      <c r="I98" s="590">
        <f>((SUM(G98:H98)/(1+'APV CALCULATION '!$I$32^5))+F98/(1+'APV CALCULATION '!$H$32^4)+(E98/(1+'APV CALCULATION '!$G$32^3)+(D98/(1+'APV CALCULATION '!$F$32)^2)+(C98/(1+'APV CALCULATION '!$E$32))))</f>
        <v>269.88921604568986</v>
      </c>
      <c r="J98" s="342">
        <f>I98+'APV CALCULATION '!$E$21*(1+'APV CALCULATION '!$M$3-B98)-'APV CALCULATION '!$C$48</f>
        <v>3773.1472234024131</v>
      </c>
      <c r="N98" s="332">
        <f t="shared" si="8"/>
        <v>9.6226461825954665E-2</v>
      </c>
      <c r="O98" s="590">
        <f>('Restructuration cap'!$AB$86*(1+'WACC CALCULATION'!$D$15))/(N98-'WACC CALCULATION'!$D$15)</f>
        <v>2835.9780698614177</v>
      </c>
      <c r="P98" s="334">
        <f>'Restructuration cap'!$AB$86</f>
        <v>221.90169409374363</v>
      </c>
      <c r="Q98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98" s="334">
        <f t="shared" si="7"/>
        <v>2069.3988784822882</v>
      </c>
      <c r="S98" s="335">
        <f>Q98+R98+'APV CALCULATION '!$C$47-'APV CALCULATION '!$C$48</f>
        <v>3046.6116738022447</v>
      </c>
    </row>
    <row r="99" spans="2:19" x14ac:dyDescent="0.2">
      <c r="B99" s="339">
        <f t="shared" si="9"/>
        <v>0.12500000000000003</v>
      </c>
      <c r="C99" s="342">
        <f>('Coverage ratios'!$R$7*B99)/(1+'Coverage ratios'!$R$9)</f>
        <v>1.8586307034414273</v>
      </c>
      <c r="D99" s="342">
        <f>('Coverage ratios'!$R$17*B99)/((1+'Coverage ratios'!$R$19)^2)</f>
        <v>1.9369506842069624</v>
      </c>
      <c r="E99" s="342">
        <f>('Coverage ratios'!$R$27*B99)/((1+'Coverage ratios'!$R$29)^3)</f>
        <v>1.985985542236183</v>
      </c>
      <c r="F99" s="342">
        <f>('Coverage ratios'!$R$37*B99)/((1+'Coverage ratios'!$R$39)^4)</f>
        <v>2.034429572511796</v>
      </c>
      <c r="G99" s="342">
        <f>('Coverage ratios'!$R$47*B99)/((1+'Coverage ratios'!$R$49)^5)</f>
        <v>2.1336646964623553</v>
      </c>
      <c r="H99" s="342">
        <f>B99*'APV CALCULATION '!$Q$12</f>
        <v>262.20305359299243</v>
      </c>
      <c r="I99" s="590">
        <f>((SUM(G99:H99)/(1+'APV CALCULATION '!$I$32^5))+F99/(1+'APV CALCULATION '!$H$32^4)+(E99/(1+'APV CALCULATION '!$G$32^3)+(D99/(1+'APV CALCULATION '!$F$32)^2)+(C99/(1+'APV CALCULATION '!$E$32))))</f>
        <v>272.06574198154215</v>
      </c>
      <c r="J99" s="342">
        <f>I99+'APV CALCULATION '!$E$21*(1+'APV CALCULATION '!$M$3-B99)-'APV CALCULATION '!$C$48</f>
        <v>3771.909267849614</v>
      </c>
      <c r="N99" s="332">
        <f t="shared" si="8"/>
        <v>9.6726461825954665E-2</v>
      </c>
      <c r="O99" s="590">
        <f>('Restructuration cap'!$AB$86*(1+'WACC CALCULATION'!$D$15))/(N99-'WACC CALCULATION'!$D$15)</f>
        <v>2818.26429061934</v>
      </c>
      <c r="P99" s="334">
        <f>'Restructuration cap'!$AB$86</f>
        <v>221.90169409374363</v>
      </c>
      <c r="Q99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99" s="334">
        <f t="shared" si="7"/>
        <v>2053.4277460812496</v>
      </c>
      <c r="S99" s="335">
        <f>Q99+R99+'APV CALCULATION '!$C$47-'APV CALCULATION '!$C$48</f>
        <v>3030.6405414012061</v>
      </c>
    </row>
    <row r="100" spans="2:19" x14ac:dyDescent="0.2">
      <c r="B100" s="339">
        <f t="shared" si="9"/>
        <v>0.12600000000000003</v>
      </c>
      <c r="C100" s="342">
        <f>('Coverage ratios'!$R$7*B100)/(1+'Coverage ratios'!$R$9)</f>
        <v>1.8734997490689587</v>
      </c>
      <c r="D100" s="342">
        <f>('Coverage ratios'!$R$17*B100)/((1+'Coverage ratios'!$R$19)^2)</f>
        <v>1.9524462896806181</v>
      </c>
      <c r="E100" s="342">
        <f>('Coverage ratios'!$R$27*B100)/((1+'Coverage ratios'!$R$29)^3)</f>
        <v>2.0018734265740723</v>
      </c>
      <c r="F100" s="342">
        <f>('Coverage ratios'!$R$37*B100)/((1+'Coverage ratios'!$R$39)^4)</f>
        <v>2.0507050090918901</v>
      </c>
      <c r="G100" s="342">
        <f>('Coverage ratios'!$R$47*B100)/((1+'Coverage ratios'!$R$49)^5)</f>
        <v>2.1507340140340543</v>
      </c>
      <c r="H100" s="342">
        <f>B100*'APV CALCULATION '!$Q$12</f>
        <v>264.30067802173636</v>
      </c>
      <c r="I100" s="590">
        <f>((SUM(G100:H100)/(1+'APV CALCULATION '!$I$32^5))+F100/(1+'APV CALCULATION '!$H$32^4)+(E100/(1+'APV CALCULATION '!$G$32^3)+(D100/(1+'APV CALCULATION '!$F$32)^2)+(C100/(1+'APV CALCULATION '!$E$32))))</f>
        <v>274.24226791739443</v>
      </c>
      <c r="J100" s="342">
        <f>I100+'APV CALCULATION '!$E$21*(1+'APV CALCULATION '!$M$3-B100)-'APV CALCULATION '!$C$48</f>
        <v>3770.671312296814</v>
      </c>
      <c r="N100" s="332">
        <f t="shared" si="8"/>
        <v>9.7226461825954666E-2</v>
      </c>
      <c r="O100" s="590">
        <f>('Restructuration cap'!$AB$86*(1+'WACC CALCULATION'!$D$15))/(N100-'WACC CALCULATION'!$D$15)</f>
        <v>2800.7704215789445</v>
      </c>
      <c r="P100" s="334">
        <f>'Restructuration cap'!$AB$86</f>
        <v>221.90169409374363</v>
      </c>
      <c r="Q100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100" s="334">
        <f t="shared" si="7"/>
        <v>2037.6607481110223</v>
      </c>
      <c r="S100" s="335">
        <f>Q100+R100+'APV CALCULATION '!$C$47-'APV CALCULATION '!$C$48</f>
        <v>3014.8735434309783</v>
      </c>
    </row>
    <row r="101" spans="2:19" x14ac:dyDescent="0.2">
      <c r="B101" s="339">
        <f t="shared" si="9"/>
        <v>0.12700000000000003</v>
      </c>
      <c r="C101" s="342">
        <f>('Coverage ratios'!$R$7*B101)/(1+'Coverage ratios'!$R$9)</f>
        <v>1.8883687946964902</v>
      </c>
      <c r="D101" s="342">
        <f>('Coverage ratios'!$R$17*B101)/((1+'Coverage ratios'!$R$19)^2)</f>
        <v>1.9679418951542738</v>
      </c>
      <c r="E101" s="342">
        <f>('Coverage ratios'!$R$27*B101)/((1+'Coverage ratios'!$R$29)^3)</f>
        <v>2.0177613109119621</v>
      </c>
      <c r="F101" s="342">
        <f>('Coverage ratios'!$R$37*B101)/((1+'Coverage ratios'!$R$39)^4)</f>
        <v>2.0669804456719842</v>
      </c>
      <c r="G101" s="342">
        <f>('Coverage ratios'!$R$47*B101)/((1+'Coverage ratios'!$R$49)^5)</f>
        <v>2.1678033316057528</v>
      </c>
      <c r="H101" s="342">
        <f>B101*'APV CALCULATION '!$Q$12</f>
        <v>266.39830245048034</v>
      </c>
      <c r="I101" s="590">
        <f>((SUM(G101:H101)/(1+'APV CALCULATION '!$I$32^5))+F101/(1+'APV CALCULATION '!$H$32^4)+(E101/(1+'APV CALCULATION '!$G$32^3)+(D101/(1+'APV CALCULATION '!$F$32)^2)+(C101/(1+'APV CALCULATION '!$E$32))))</f>
        <v>276.41879385324677</v>
      </c>
      <c r="J101" s="342">
        <f>I101+'APV CALCULATION '!$E$21*(1+'APV CALCULATION '!$M$3-B101)-'APV CALCULATION '!$C$48</f>
        <v>3769.4333567440153</v>
      </c>
      <c r="N101" s="332">
        <f t="shared" si="8"/>
        <v>9.7726461825954666E-2</v>
      </c>
      <c r="O101" s="590">
        <f>('Restructuration cap'!$AB$86*(1+'WACC CALCULATION'!$D$15))/(N101-'WACC CALCULATION'!$D$15)</f>
        <v>2783.4923928442254</v>
      </c>
      <c r="P101" s="334">
        <f>'Restructuration cap'!$AB$86</f>
        <v>221.90169409374363</v>
      </c>
      <c r="Q101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101" s="334">
        <f t="shared" si="7"/>
        <v>2022.0940927230183</v>
      </c>
      <c r="S101" s="335">
        <f>Q101+R101+'APV CALCULATION '!$C$47-'APV CALCULATION '!$C$48</f>
        <v>2999.3068880429746</v>
      </c>
    </row>
    <row r="102" spans="2:19" x14ac:dyDescent="0.2">
      <c r="B102" s="339">
        <f t="shared" si="9"/>
        <v>0.12800000000000003</v>
      </c>
      <c r="C102" s="342">
        <f>('Coverage ratios'!$R$7*B102)/(1+'Coverage ratios'!$R$9)</f>
        <v>1.9032378403240215</v>
      </c>
      <c r="D102" s="342">
        <f>('Coverage ratios'!$R$17*B102)/((1+'Coverage ratios'!$R$19)^2)</f>
        <v>1.9834375006279295</v>
      </c>
      <c r="E102" s="342">
        <f>('Coverage ratios'!$R$27*B102)/((1+'Coverage ratios'!$R$29)^3)</f>
        <v>2.0336491952498514</v>
      </c>
      <c r="F102" s="342">
        <f>('Coverage ratios'!$R$37*B102)/((1+'Coverage ratios'!$R$39)^4)</f>
        <v>2.0832558822520788</v>
      </c>
      <c r="G102" s="342">
        <f>('Coverage ratios'!$R$47*B102)/((1+'Coverage ratios'!$R$49)^5)</f>
        <v>2.1848726491774522</v>
      </c>
      <c r="H102" s="342">
        <f>B102*'APV CALCULATION '!$Q$12</f>
        <v>268.49592687922427</v>
      </c>
      <c r="I102" s="590">
        <f>((SUM(G102:H102)/(1+'APV CALCULATION '!$I$32^5))+F102/(1+'APV CALCULATION '!$H$32^4)+(E102/(1+'APV CALCULATION '!$G$32^3)+(D102/(1+'APV CALCULATION '!$F$32)^2)+(C102/(1+'APV CALCULATION '!$E$32))))</f>
        <v>278.59531978909916</v>
      </c>
      <c r="J102" s="342">
        <f>I102+'APV CALCULATION '!$E$21*(1+'APV CALCULATION '!$M$3-B102)-'APV CALCULATION '!$C$48</f>
        <v>3768.1954011912153</v>
      </c>
      <c r="N102" s="332">
        <f t="shared" si="8"/>
        <v>9.8226461825954667E-2</v>
      </c>
      <c r="O102" s="590">
        <f>('Restructuration cap'!$AB$86*(1+'WACC CALCULATION'!$D$15))/(N102-'WACC CALCULATION'!$D$15)</f>
        <v>2766.4262343326204</v>
      </c>
      <c r="P102" s="334">
        <f>'Restructuration cap'!$AB$86</f>
        <v>221.90169409374363</v>
      </c>
      <c r="Q102" s="334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102" s="334">
        <f t="shared" si="7"/>
        <v>2006.7240811023657</v>
      </c>
      <c r="S102" s="335">
        <f>Q102+R102+'APV CALCULATION '!$C$47-'APV CALCULATION '!$C$48</f>
        <v>2983.9368764223218</v>
      </c>
    </row>
    <row r="103" spans="2:19" ht="17" thickBot="1" x14ac:dyDescent="0.25">
      <c r="B103" s="339">
        <f t="shared" si="9"/>
        <v>0.12900000000000003</v>
      </c>
      <c r="C103" s="342">
        <f>('Coverage ratios'!$R$7*B103)/(1+'Coverage ratios'!$R$9)</f>
        <v>1.9181068859515531</v>
      </c>
      <c r="D103" s="342">
        <f>('Coverage ratios'!$R$17*B103)/((1+'Coverage ratios'!$R$19)^2)</f>
        <v>1.9989331061015854</v>
      </c>
      <c r="E103" s="342">
        <f>('Coverage ratios'!$R$27*B103)/((1+'Coverage ratios'!$R$29)^3)</f>
        <v>2.0495370795877408</v>
      </c>
      <c r="F103" s="342">
        <f>('Coverage ratios'!$R$37*B103)/((1+'Coverage ratios'!$R$39)^4)</f>
        <v>2.0995313188321734</v>
      </c>
      <c r="G103" s="342">
        <f>('Coverage ratios'!$R$47*B103)/((1+'Coverage ratios'!$R$49)^5)</f>
        <v>2.2019419667491507</v>
      </c>
      <c r="H103" s="342">
        <f>B103*'APV CALCULATION '!$Q$12</f>
        <v>270.5935513079682</v>
      </c>
      <c r="I103" s="590">
        <f>((SUM(G103:H103)/(1+'APV CALCULATION '!$I$32^5))+F103/(1+'APV CALCULATION '!$H$32^4)+(E103/(1+'APV CALCULATION '!$G$32^3)+(D103/(1+'APV CALCULATION '!$F$32)^2)+(C103/(1+'APV CALCULATION '!$E$32))))</f>
        <v>280.7718457249515</v>
      </c>
      <c r="J103" s="342">
        <f>I103+'APV CALCULATION '!$E$21*(1+'APV CALCULATION '!$M$3-B103)-'APV CALCULATION '!$C$48</f>
        <v>3766.9574456384166</v>
      </c>
      <c r="N103" s="701">
        <f t="shared" si="8"/>
        <v>9.8726461825954667E-2</v>
      </c>
      <c r="O103" s="591">
        <f>('Restructuration cap'!$AB$86*(1+'WACC CALCULATION'!$D$15))/(N103-'WACC CALCULATION'!$D$15)</f>
        <v>2749.5680727337763</v>
      </c>
      <c r="P103" s="336">
        <f>'Restructuration cap'!$AB$86</f>
        <v>221.90169409374363</v>
      </c>
      <c r="Q103" s="336">
        <f>'APV CALCULATION '!$E$20/((1+'APV CALCULATION '!$M$20)^(1/4)) + 'APV CALCULATION '!$F$20/((1+'APV CALCULATION '!$M$20)^(1/4))+'APV CALCULATION '!$G$20/((1+'APV CALCULATION '!$M$20)^(2+1/4)) + 'APV CALCULATION '!$H$20/((1+'APV CALCULATION '!$M$20)^(3+1/4))</f>
        <v>680.31547667926975</v>
      </c>
      <c r="R103" s="336">
        <f t="shared" si="7"/>
        <v>1991.5471046331238</v>
      </c>
      <c r="S103" s="337">
        <f>Q103+R103+'APV CALCULATION '!$C$47-'APV CALCULATION '!$C$48</f>
        <v>2968.7598999530801</v>
      </c>
    </row>
    <row r="104" spans="2:19" x14ac:dyDescent="0.2">
      <c r="B104" s="339">
        <f t="shared" si="9"/>
        <v>0.13000000000000003</v>
      </c>
      <c r="C104" s="342">
        <f>('Coverage ratios'!$R$7*B104)/(1+'Coverage ratios'!$R$9)</f>
        <v>1.9329759315790846</v>
      </c>
      <c r="D104" s="342">
        <f>('Coverage ratios'!$R$17*B104)/((1+'Coverage ratios'!$R$19)^2)</f>
        <v>2.0144287115752411</v>
      </c>
      <c r="E104" s="342">
        <f>('Coverage ratios'!$R$27*B104)/((1+'Coverage ratios'!$R$29)^3)</f>
        <v>2.0654249639256306</v>
      </c>
      <c r="F104" s="342">
        <f>('Coverage ratios'!$R$37*B104)/((1+'Coverage ratios'!$R$39)^4)</f>
        <v>2.1158067554122675</v>
      </c>
      <c r="G104" s="342">
        <f>('Coverage ratios'!$R$47*B104)/((1+'Coverage ratios'!$R$49)^5)</f>
        <v>2.2190112843208496</v>
      </c>
      <c r="H104" s="342">
        <f>B104*'APV CALCULATION '!$Q$12</f>
        <v>272.69117573671213</v>
      </c>
      <c r="I104" s="590">
        <f>((SUM(G104:H104)/(1+'APV CALCULATION '!$I$32^5))+F104/(1+'APV CALCULATION '!$H$32^4)+(E104/(1+'APV CALCULATION '!$G$32^3)+(D104/(1+'APV CALCULATION '!$F$32)^2)+(C104/(1+'APV CALCULATION '!$E$32))))</f>
        <v>282.94837166080384</v>
      </c>
      <c r="J104" s="342">
        <f>I104+'APV CALCULATION '!$E$21*(1+'APV CALCULATION '!$M$3-B104)-'APV CALCULATION '!$C$48</f>
        <v>3765.7194900856166</v>
      </c>
    </row>
    <row r="105" spans="2:19" x14ac:dyDescent="0.2">
      <c r="B105" s="339">
        <f t="shared" si="9"/>
        <v>0.13100000000000003</v>
      </c>
      <c r="C105" s="342">
        <f>('Coverage ratios'!$R$7*B105)/(1+'Coverage ratios'!$R$9)</f>
        <v>1.9478449772066158</v>
      </c>
      <c r="D105" s="342">
        <f>('Coverage ratios'!$R$17*B105)/((1+'Coverage ratios'!$R$19)^2)</f>
        <v>2.0299243170488968</v>
      </c>
      <c r="E105" s="342">
        <f>('Coverage ratios'!$R$27*B105)/((1+'Coverage ratios'!$R$29)^3)</f>
        <v>2.0813128482635199</v>
      </c>
      <c r="F105" s="342">
        <f>('Coverage ratios'!$R$37*B105)/((1+'Coverage ratios'!$R$39)^4)</f>
        <v>2.132082191992362</v>
      </c>
      <c r="G105" s="342">
        <f>('Coverage ratios'!$R$47*B105)/((1+'Coverage ratios'!$R$49)^5)</f>
        <v>2.2360806018925485</v>
      </c>
      <c r="H105" s="342">
        <f>B105*'APV CALCULATION '!$Q$12</f>
        <v>274.78880016545605</v>
      </c>
      <c r="I105" s="590">
        <f>((SUM(G105:H105)/(1+'APV CALCULATION '!$I$32^5))+F105/(1+'APV CALCULATION '!$H$32^4)+(E105/(1+'APV CALCULATION '!$G$32^3)+(D105/(1+'APV CALCULATION '!$F$32)^2)+(C105/(1+'APV CALCULATION '!$E$32))))</f>
        <v>285.12489759665613</v>
      </c>
      <c r="J105" s="342">
        <f>I105+'APV CALCULATION '!$E$21*(1+'APV CALCULATION '!$M$3-B105)-'APV CALCULATION '!$C$48</f>
        <v>3764.4815345328175</v>
      </c>
      <c r="L105" s="6"/>
      <c r="N105"/>
    </row>
    <row r="106" spans="2:19" x14ac:dyDescent="0.2">
      <c r="B106" s="339">
        <f t="shared" si="9"/>
        <v>0.13200000000000003</v>
      </c>
      <c r="C106" s="342">
        <f>('Coverage ratios'!$R$7*B106)/(1+'Coverage ratios'!$R$9)</f>
        <v>1.9627140228341473</v>
      </c>
      <c r="D106" s="342">
        <f>('Coverage ratios'!$R$17*B106)/((1+'Coverage ratios'!$R$19)^2)</f>
        <v>2.0454199225225524</v>
      </c>
      <c r="E106" s="342">
        <f>('Coverage ratios'!$R$27*B106)/((1+'Coverage ratios'!$R$29)^3)</f>
        <v>2.0972007326014093</v>
      </c>
      <c r="F106" s="342">
        <f>('Coverage ratios'!$R$37*B106)/((1+'Coverage ratios'!$R$39)^4)</f>
        <v>2.1483576285724562</v>
      </c>
      <c r="G106" s="342">
        <f>('Coverage ratios'!$R$47*B106)/((1+'Coverage ratios'!$R$49)^5)</f>
        <v>2.253149919464247</v>
      </c>
      <c r="H106" s="342">
        <f>B106*'APV CALCULATION '!$Q$12</f>
        <v>276.88642459420004</v>
      </c>
      <c r="I106" s="590">
        <f>((SUM(G106:H106)/(1+'APV CALCULATION '!$I$32^5))+F106/(1+'APV CALCULATION '!$H$32^4)+(E106/(1+'APV CALCULATION '!$G$32^3)+(D106/(1+'APV CALCULATION '!$F$32)^2)+(C106/(1+'APV CALCULATION '!$E$32))))</f>
        <v>287.30142353250852</v>
      </c>
      <c r="J106" s="342">
        <f>I106+'APV CALCULATION '!$E$21*(1+'APV CALCULATION '!$M$3-B106)-'APV CALCULATION '!$C$48</f>
        <v>3763.2435789800179</v>
      </c>
      <c r="L106" s="6"/>
      <c r="N106"/>
    </row>
    <row r="107" spans="2:19" x14ac:dyDescent="0.2">
      <c r="B107" s="339">
        <f t="shared" si="9"/>
        <v>0.13300000000000003</v>
      </c>
      <c r="C107" s="342">
        <f>('Coverage ratios'!$R$7*B107)/(1+'Coverage ratios'!$R$9)</f>
        <v>1.9775830684616789</v>
      </c>
      <c r="D107" s="342">
        <f>('Coverage ratios'!$R$17*B107)/((1+'Coverage ratios'!$R$19)^2)</f>
        <v>2.0609155279962081</v>
      </c>
      <c r="E107" s="342">
        <f>('Coverage ratios'!$R$27*B107)/((1+'Coverage ratios'!$R$29)^3)</f>
        <v>2.1130886169392986</v>
      </c>
      <c r="F107" s="342">
        <f>('Coverage ratios'!$R$37*B107)/((1+'Coverage ratios'!$R$39)^4)</f>
        <v>2.1646330651525507</v>
      </c>
      <c r="G107" s="342">
        <f>('Coverage ratios'!$R$47*B107)/((1+'Coverage ratios'!$R$49)^5)</f>
        <v>2.2702192370359464</v>
      </c>
      <c r="H107" s="342">
        <f>B107*'APV CALCULATION '!$Q$12</f>
        <v>278.98404902294396</v>
      </c>
      <c r="I107" s="590">
        <f>((SUM(G107:H107)/(1+'APV CALCULATION '!$I$32^5))+F107/(1+'APV CALCULATION '!$H$32^4)+(E107/(1+'APV CALCULATION '!$G$32^3)+(D107/(1+'APV CALCULATION '!$F$32)^2)+(C107/(1+'APV CALCULATION '!$E$32))))</f>
        <v>289.47794946836092</v>
      </c>
      <c r="J107" s="342">
        <f>I107+'APV CALCULATION '!$E$21*(1+'APV CALCULATION '!$M$3-B107)-'APV CALCULATION '!$C$48</f>
        <v>3762.0056234272188</v>
      </c>
      <c r="L107" s="6"/>
      <c r="N107"/>
    </row>
    <row r="108" spans="2:19" x14ac:dyDescent="0.2">
      <c r="B108" s="339">
        <f t="shared" si="9"/>
        <v>0.13400000000000004</v>
      </c>
      <c r="C108" s="342">
        <f>('Coverage ratios'!$R$7*B108)/(1+'Coverage ratios'!$R$9)</f>
        <v>1.9924521140892102</v>
      </c>
      <c r="D108" s="342">
        <f>('Coverage ratios'!$R$17*B108)/((1+'Coverage ratios'!$R$19)^2)</f>
        <v>2.0764111334698634</v>
      </c>
      <c r="E108" s="342">
        <f>('Coverage ratios'!$R$27*B108)/((1+'Coverage ratios'!$R$29)^3)</f>
        <v>2.1289765012771884</v>
      </c>
      <c r="F108" s="342">
        <f>('Coverage ratios'!$R$37*B108)/((1+'Coverage ratios'!$R$39)^4)</f>
        <v>2.1809085017326453</v>
      </c>
      <c r="G108" s="342">
        <f>('Coverage ratios'!$R$47*B108)/((1+'Coverage ratios'!$R$49)^5)</f>
        <v>2.2872885546076449</v>
      </c>
      <c r="H108" s="342">
        <f>B108*'APV CALCULATION '!$Q$12</f>
        <v>281.08167345168789</v>
      </c>
      <c r="I108" s="590">
        <f>((SUM(G108:H108)/(1+'APV CALCULATION '!$I$32^5))+F108/(1+'APV CALCULATION '!$H$32^4)+(E108/(1+'APV CALCULATION '!$G$32^3)+(D108/(1+'APV CALCULATION '!$F$32)^2)+(C108/(1+'APV CALCULATION '!$E$32))))</f>
        <v>291.6544754042132</v>
      </c>
      <c r="J108" s="342">
        <f>I108+'APV CALCULATION '!$E$21*(1+'APV CALCULATION '!$M$3-B108)-'APV CALCULATION '!$C$48</f>
        <v>3760.7676678744192</v>
      </c>
      <c r="L108" s="6"/>
      <c r="N108"/>
    </row>
    <row r="109" spans="2:19" x14ac:dyDescent="0.2">
      <c r="B109" s="339">
        <f t="shared" si="9"/>
        <v>0.13500000000000004</v>
      </c>
      <c r="C109" s="342">
        <f>('Coverage ratios'!$R$7*B109)/(1+'Coverage ratios'!$R$9)</f>
        <v>2.0073211597167417</v>
      </c>
      <c r="D109" s="342">
        <f>('Coverage ratios'!$R$17*B109)/((1+'Coverage ratios'!$R$19)^2)</f>
        <v>2.0919067389435191</v>
      </c>
      <c r="E109" s="342">
        <f>('Coverage ratios'!$R$27*B109)/((1+'Coverage ratios'!$R$29)^3)</f>
        <v>2.1448643856150778</v>
      </c>
      <c r="F109" s="342">
        <f>('Coverage ratios'!$R$37*B109)/((1+'Coverage ratios'!$R$39)^4)</f>
        <v>2.1971839383127394</v>
      </c>
      <c r="G109" s="342">
        <f>('Coverage ratios'!$R$47*B109)/((1+'Coverage ratios'!$R$49)^5)</f>
        <v>2.3043578721793438</v>
      </c>
      <c r="H109" s="342">
        <f>B109*'APV CALCULATION '!$Q$12</f>
        <v>283.17929788043182</v>
      </c>
      <c r="I109" s="590">
        <f>((SUM(G109:H109)/(1+'APV CALCULATION '!$I$32^5))+F109/(1+'APV CALCULATION '!$H$32^4)+(E109/(1+'APV CALCULATION '!$G$32^3)+(D109/(1+'APV CALCULATION '!$F$32)^2)+(C109/(1+'APV CALCULATION '!$E$32))))</f>
        <v>293.83100134006554</v>
      </c>
      <c r="J109" s="342">
        <f>I109+'APV CALCULATION '!$E$21*(1+'APV CALCULATION '!$M$3-B109)-'APV CALCULATION '!$C$48</f>
        <v>3759.5297123216196</v>
      </c>
      <c r="L109" s="6"/>
      <c r="N109"/>
    </row>
    <row r="110" spans="2:19" x14ac:dyDescent="0.2">
      <c r="B110" s="339">
        <f t="shared" si="9"/>
        <v>0.13600000000000004</v>
      </c>
      <c r="C110" s="342">
        <f>('Coverage ratios'!$R$7*B110)/(1+'Coverage ratios'!$R$9)</f>
        <v>2.0221902053442729</v>
      </c>
      <c r="D110" s="342">
        <f>('Coverage ratios'!$R$17*B110)/((1+'Coverage ratios'!$R$19)^2)</f>
        <v>2.1074023444171748</v>
      </c>
      <c r="E110" s="342">
        <f>('Coverage ratios'!$R$27*B110)/((1+'Coverage ratios'!$R$29)^3)</f>
        <v>2.1607522699529671</v>
      </c>
      <c r="F110" s="342">
        <f>('Coverage ratios'!$R$37*B110)/((1+'Coverage ratios'!$R$39)^4)</f>
        <v>2.213459374892834</v>
      </c>
      <c r="G110" s="342">
        <f>('Coverage ratios'!$R$47*B110)/((1+'Coverage ratios'!$R$49)^5)</f>
        <v>2.3214271897510428</v>
      </c>
      <c r="H110" s="342">
        <f>B110*'APV CALCULATION '!$Q$12</f>
        <v>285.2769223091758</v>
      </c>
      <c r="I110" s="590">
        <f>((SUM(G110:H110)/(1+'APV CALCULATION '!$I$32^5))+F110/(1+'APV CALCULATION '!$H$32^4)+(E110/(1+'APV CALCULATION '!$G$32^3)+(D110/(1+'APV CALCULATION '!$F$32)^2)+(C110/(1+'APV CALCULATION '!$E$32))))</f>
        <v>296.00752727591788</v>
      </c>
      <c r="J110" s="342">
        <f>I110+'APV CALCULATION '!$E$21*(1+'APV CALCULATION '!$M$3-B110)-'APV CALCULATION '!$C$48</f>
        <v>3758.2917567688196</v>
      </c>
      <c r="L110" s="6"/>
      <c r="N110"/>
    </row>
    <row r="111" spans="2:19" x14ac:dyDescent="0.2">
      <c r="B111" s="339">
        <f t="shared" si="9"/>
        <v>0.13700000000000004</v>
      </c>
      <c r="C111" s="342">
        <f>('Coverage ratios'!$R$7*B111)/(1+'Coverage ratios'!$R$9)</f>
        <v>2.0370592509718044</v>
      </c>
      <c r="D111" s="342">
        <f>('Coverage ratios'!$R$17*B111)/((1+'Coverage ratios'!$R$19)^2)</f>
        <v>2.1228979498908309</v>
      </c>
      <c r="E111" s="342">
        <f>('Coverage ratios'!$R$27*B111)/((1+'Coverage ratios'!$R$29)^3)</f>
        <v>2.1766401542908564</v>
      </c>
      <c r="F111" s="342">
        <f>('Coverage ratios'!$R$37*B111)/((1+'Coverage ratios'!$R$39)^4)</f>
        <v>2.2297348114729285</v>
      </c>
      <c r="G111" s="342">
        <f>('Coverage ratios'!$R$47*B111)/((1+'Coverage ratios'!$R$49)^5)</f>
        <v>2.3384965073227417</v>
      </c>
      <c r="H111" s="342">
        <f>B111*'APV CALCULATION '!$Q$12</f>
        <v>287.37454673791973</v>
      </c>
      <c r="I111" s="590">
        <f>((SUM(G111:H111)/(1+'APV CALCULATION '!$I$32^5))+F111/(1+'APV CALCULATION '!$H$32^4)+(E111/(1+'APV CALCULATION '!$G$32^3)+(D111/(1+'APV CALCULATION '!$F$32)^2)+(C111/(1+'APV CALCULATION '!$E$32))))</f>
        <v>298.18405321177022</v>
      </c>
      <c r="J111" s="342">
        <f>I111+'APV CALCULATION '!$E$21*(1+'APV CALCULATION '!$M$3-B111)-'APV CALCULATION '!$C$48</f>
        <v>3757.0538012160209</v>
      </c>
      <c r="L111" s="6"/>
      <c r="N111"/>
    </row>
    <row r="112" spans="2:19" x14ac:dyDescent="0.2">
      <c r="B112" s="339">
        <f t="shared" si="9"/>
        <v>0.13800000000000004</v>
      </c>
      <c r="C112" s="342">
        <f>('Coverage ratios'!$R$7*B112)/(1+'Coverage ratios'!$R$9)</f>
        <v>2.051928296599336</v>
      </c>
      <c r="D112" s="342">
        <f>('Coverage ratios'!$R$17*B112)/((1+'Coverage ratios'!$R$19)^2)</f>
        <v>2.1383935553644866</v>
      </c>
      <c r="E112" s="342">
        <f>('Coverage ratios'!$R$27*B112)/((1+'Coverage ratios'!$R$29)^3)</f>
        <v>2.1925280386287462</v>
      </c>
      <c r="F112" s="342">
        <f>('Coverage ratios'!$R$37*B112)/((1+'Coverage ratios'!$R$39)^4)</f>
        <v>2.2460102480530226</v>
      </c>
      <c r="G112" s="342">
        <f>('Coverage ratios'!$R$47*B112)/((1+'Coverage ratios'!$R$49)^5)</f>
        <v>2.3555658248944407</v>
      </c>
      <c r="H112" s="342">
        <f>B112*'APV CALCULATION '!$Q$12</f>
        <v>289.47217116666366</v>
      </c>
      <c r="I112" s="590">
        <f>((SUM(G112:H112)/(1+'APV CALCULATION '!$I$32^5))+F112/(1+'APV CALCULATION '!$H$32^4)+(E112/(1+'APV CALCULATION '!$G$32^3)+(D112/(1+'APV CALCULATION '!$F$32)^2)+(C112/(1+'APV CALCULATION '!$E$32))))</f>
        <v>300.36057914762256</v>
      </c>
      <c r="J112" s="342">
        <f>I112+'APV CALCULATION '!$E$21*(1+'APV CALCULATION '!$M$3-B112)-'APV CALCULATION '!$C$48</f>
        <v>3755.8158456632209</v>
      </c>
      <c r="L112" s="6"/>
      <c r="N112"/>
    </row>
    <row r="113" spans="2:14" x14ac:dyDescent="0.2">
      <c r="B113" s="339">
        <f t="shared" si="9"/>
        <v>0.13900000000000004</v>
      </c>
      <c r="C113" s="342">
        <f>('Coverage ratios'!$R$7*B113)/(1+'Coverage ratios'!$R$9)</f>
        <v>2.0667973422268671</v>
      </c>
      <c r="D113" s="342">
        <f>('Coverage ratios'!$R$17*B113)/((1+'Coverage ratios'!$R$19)^2)</f>
        <v>2.1538891608381423</v>
      </c>
      <c r="E113" s="342">
        <f>('Coverage ratios'!$R$27*B113)/((1+'Coverage ratios'!$R$29)^3)</f>
        <v>2.208415922966636</v>
      </c>
      <c r="F113" s="342">
        <f>('Coverage ratios'!$R$37*B113)/((1+'Coverage ratios'!$R$39)^4)</f>
        <v>2.2622856846331172</v>
      </c>
      <c r="G113" s="342">
        <f>('Coverage ratios'!$R$47*B113)/((1+'Coverage ratios'!$R$49)^5)</f>
        <v>2.3726351424661392</v>
      </c>
      <c r="H113" s="342">
        <f>B113*'APV CALCULATION '!$Q$12</f>
        <v>291.56979559540758</v>
      </c>
      <c r="I113" s="590">
        <f>((SUM(G113:H113)/(1+'APV CALCULATION '!$I$32^5))+F113/(1+'APV CALCULATION '!$H$32^4)+(E113/(1+'APV CALCULATION '!$G$32^3)+(D113/(1+'APV CALCULATION '!$F$32)^2)+(C113/(1+'APV CALCULATION '!$E$32))))</f>
        <v>302.5371050834749</v>
      </c>
      <c r="J113" s="342">
        <f>I113+'APV CALCULATION '!$E$21*(1+'APV CALCULATION '!$M$3-B113)-'APV CALCULATION '!$C$48</f>
        <v>3754.5778901104222</v>
      </c>
      <c r="L113" s="6"/>
      <c r="N113"/>
    </row>
    <row r="114" spans="2:14" x14ac:dyDescent="0.2">
      <c r="B114" s="339">
        <f t="shared" si="9"/>
        <v>0.14000000000000004</v>
      </c>
      <c r="C114" s="342">
        <f>('Coverage ratios'!$R$7*B114)/(1+'Coverage ratios'!$R$9)</f>
        <v>2.0816663878543986</v>
      </c>
      <c r="D114" s="342">
        <f>('Coverage ratios'!$R$17*B114)/((1+'Coverage ratios'!$R$19)^2)</f>
        <v>2.169384766311798</v>
      </c>
      <c r="E114" s="342">
        <f>('Coverage ratios'!$R$27*B114)/((1+'Coverage ratios'!$R$29)^3)</f>
        <v>2.2243038073045254</v>
      </c>
      <c r="F114" s="342">
        <f>('Coverage ratios'!$R$37*B114)/((1+'Coverage ratios'!$R$39)^4)</f>
        <v>2.2785611212132113</v>
      </c>
      <c r="G114" s="342">
        <f>('Coverage ratios'!$R$47*B114)/((1+'Coverage ratios'!$R$49)^5)</f>
        <v>2.3897044600378381</v>
      </c>
      <c r="H114" s="342">
        <f>B114*'APV CALCULATION '!$Q$12</f>
        <v>293.66742002415157</v>
      </c>
      <c r="I114" s="590">
        <f>((SUM(G114:H114)/(1+'APV CALCULATION '!$I$32^5))+F114/(1+'APV CALCULATION '!$H$32^4)+(E114/(1+'APV CALCULATION '!$G$32^3)+(D114/(1+'APV CALCULATION '!$F$32)^2)+(C114/(1+'APV CALCULATION '!$E$32))))</f>
        <v>304.71363101932724</v>
      </c>
      <c r="J114" s="342">
        <f>I114+'APV CALCULATION '!$E$21*(1+'APV CALCULATION '!$M$3-B114)-'APV CALCULATION '!$C$48</f>
        <v>3753.3399345576222</v>
      </c>
      <c r="L114" s="6"/>
      <c r="N114"/>
    </row>
    <row r="115" spans="2:14" x14ac:dyDescent="0.2">
      <c r="B115" s="339">
        <f t="shared" si="9"/>
        <v>0.14100000000000004</v>
      </c>
      <c r="C115" s="342">
        <f>('Coverage ratios'!$R$7*B115)/(1+'Coverage ratios'!$R$9)</f>
        <v>2.0965354334819302</v>
      </c>
      <c r="D115" s="342">
        <f>('Coverage ratios'!$R$17*B115)/((1+'Coverage ratios'!$R$19)^2)</f>
        <v>2.1848803717854537</v>
      </c>
      <c r="E115" s="342">
        <f>('Coverage ratios'!$R$27*B115)/((1+'Coverage ratios'!$R$29)^3)</f>
        <v>2.2401916916424147</v>
      </c>
      <c r="F115" s="342">
        <f>('Coverage ratios'!$R$37*B115)/((1+'Coverage ratios'!$R$39)^4)</f>
        <v>2.2948365577933059</v>
      </c>
      <c r="G115" s="342">
        <f>('Coverage ratios'!$R$47*B115)/((1+'Coverage ratios'!$R$49)^5)</f>
        <v>2.406773777609537</v>
      </c>
      <c r="H115" s="342">
        <f>B115*'APV CALCULATION '!$Q$12</f>
        <v>295.76504445289549</v>
      </c>
      <c r="I115" s="590">
        <f>((SUM(G115:H115)/(1+'APV CALCULATION '!$I$32^5))+F115/(1+'APV CALCULATION '!$H$32^4)+(E115/(1+'APV CALCULATION '!$G$32^3)+(D115/(1+'APV CALCULATION '!$F$32)^2)+(C115/(1+'APV CALCULATION '!$E$32))))</f>
        <v>306.89015695517958</v>
      </c>
      <c r="J115" s="342">
        <f>I115+'APV CALCULATION '!$E$21*(1+'APV CALCULATION '!$M$3-B115)-'APV CALCULATION '!$C$48</f>
        <v>3752.1019790048231</v>
      </c>
      <c r="L115" s="6"/>
      <c r="N115"/>
    </row>
    <row r="116" spans="2:14" x14ac:dyDescent="0.2">
      <c r="B116" s="339">
        <f t="shared" si="9"/>
        <v>0.14200000000000004</v>
      </c>
      <c r="C116" s="342">
        <f>('Coverage ratios'!$R$7*B116)/(1+'Coverage ratios'!$R$9)</f>
        <v>2.1114044791094617</v>
      </c>
      <c r="D116" s="342">
        <f>('Coverage ratios'!$R$17*B116)/((1+'Coverage ratios'!$R$19)^2)</f>
        <v>2.2003759772591094</v>
      </c>
      <c r="E116" s="342">
        <f>('Coverage ratios'!$R$27*B116)/((1+'Coverage ratios'!$R$29)^3)</f>
        <v>2.2560795759803045</v>
      </c>
      <c r="F116" s="342">
        <f>('Coverage ratios'!$R$37*B116)/((1+'Coverage ratios'!$R$39)^4)</f>
        <v>2.3111119943734004</v>
      </c>
      <c r="G116" s="342">
        <f>('Coverage ratios'!$R$47*B116)/((1+'Coverage ratios'!$R$49)^5)</f>
        <v>2.423843095181236</v>
      </c>
      <c r="H116" s="342">
        <f>B116*'APV CALCULATION '!$Q$12</f>
        <v>297.86266888163942</v>
      </c>
      <c r="I116" s="590">
        <f>((SUM(G116:H116)/(1+'APV CALCULATION '!$I$32^5))+F116/(1+'APV CALCULATION '!$H$32^4)+(E116/(1+'APV CALCULATION '!$G$32^3)+(D116/(1+'APV CALCULATION '!$F$32)^2)+(C116/(1+'APV CALCULATION '!$E$32))))</f>
        <v>309.06668289103186</v>
      </c>
      <c r="J116" s="342">
        <f>I116+'APV CALCULATION '!$E$21*(1+'APV CALCULATION '!$M$3-B116)-'APV CALCULATION '!$C$48</f>
        <v>3750.8640234520235</v>
      </c>
      <c r="L116" s="6"/>
      <c r="N116"/>
    </row>
    <row r="117" spans="2:14" x14ac:dyDescent="0.2">
      <c r="B117" s="339">
        <f t="shared" si="9"/>
        <v>0.14300000000000004</v>
      </c>
      <c r="C117" s="342">
        <f>('Coverage ratios'!$R$7*B117)/(1+'Coverage ratios'!$R$9)</f>
        <v>2.1262735247369928</v>
      </c>
      <c r="D117" s="342">
        <f>('Coverage ratios'!$R$17*B117)/((1+'Coverage ratios'!$R$19)^2)</f>
        <v>2.2158715827327651</v>
      </c>
      <c r="E117" s="342">
        <f>('Coverage ratios'!$R$27*B117)/((1+'Coverage ratios'!$R$29)^3)</f>
        <v>2.2719674603181939</v>
      </c>
      <c r="F117" s="342">
        <f>('Coverage ratios'!$R$37*B117)/((1+'Coverage ratios'!$R$39)^4)</f>
        <v>2.3273874309534945</v>
      </c>
      <c r="G117" s="342">
        <f>('Coverage ratios'!$R$47*B117)/((1+'Coverage ratios'!$R$49)^5)</f>
        <v>2.4409124127529349</v>
      </c>
      <c r="H117" s="342">
        <f>B117*'APV CALCULATION '!$Q$12</f>
        <v>299.96029331038335</v>
      </c>
      <c r="I117" s="590">
        <f>((SUM(G117:H117)/(1+'APV CALCULATION '!$I$32^5))+F117/(1+'APV CALCULATION '!$H$32^4)+(E117/(1+'APV CALCULATION '!$G$32^3)+(D117/(1+'APV CALCULATION '!$F$32)^2)+(C117/(1+'APV CALCULATION '!$E$32))))</f>
        <v>311.24320882688426</v>
      </c>
      <c r="J117" s="342">
        <f>I117+'APV CALCULATION '!$E$21*(1+'APV CALCULATION '!$M$3-B117)-'APV CALCULATION '!$C$48</f>
        <v>3749.6260678992244</v>
      </c>
      <c r="L117" s="6"/>
      <c r="N117"/>
    </row>
    <row r="118" spans="2:14" x14ac:dyDescent="0.2">
      <c r="B118" s="339">
        <f t="shared" si="9"/>
        <v>0.14400000000000004</v>
      </c>
      <c r="C118" s="342">
        <f>('Coverage ratios'!$R$7*B118)/(1+'Coverage ratios'!$R$9)</f>
        <v>2.1411425703645248</v>
      </c>
      <c r="D118" s="342">
        <f>('Coverage ratios'!$R$17*B118)/((1+'Coverage ratios'!$R$19)^2)</f>
        <v>2.2313671882064208</v>
      </c>
      <c r="E118" s="342">
        <f>('Coverage ratios'!$R$27*B118)/((1+'Coverage ratios'!$R$29)^3)</f>
        <v>2.2878553446560832</v>
      </c>
      <c r="F118" s="342">
        <f>('Coverage ratios'!$R$37*B118)/((1+'Coverage ratios'!$R$39)^4)</f>
        <v>2.3436628675335891</v>
      </c>
      <c r="G118" s="342">
        <f>('Coverage ratios'!$R$47*B118)/((1+'Coverage ratios'!$R$49)^5)</f>
        <v>2.4579817303246334</v>
      </c>
      <c r="H118" s="342">
        <f>B118*'APV CALCULATION '!$Q$12</f>
        <v>302.05791773912733</v>
      </c>
      <c r="I118" s="590">
        <f>((SUM(G118:H118)/(1+'APV CALCULATION '!$I$32^5))+F118/(1+'APV CALCULATION '!$H$32^4)+(E118/(1+'APV CALCULATION '!$G$32^3)+(D118/(1+'APV CALCULATION '!$F$32)^2)+(C118/(1+'APV CALCULATION '!$E$32))))</f>
        <v>313.41973476273665</v>
      </c>
      <c r="J118" s="342">
        <f>I118+'APV CALCULATION '!$E$21*(1+'APV CALCULATION '!$M$3-B118)-'APV CALCULATION '!$C$48</f>
        <v>3748.3881123464244</v>
      </c>
      <c r="L118" s="6"/>
      <c r="N118" s="589"/>
    </row>
    <row r="119" spans="2:14" x14ac:dyDescent="0.2">
      <c r="B119" s="339">
        <f t="shared" si="9"/>
        <v>0.14500000000000005</v>
      </c>
      <c r="C119" s="342">
        <f>('Coverage ratios'!$R$7*B119)/(1+'Coverage ratios'!$R$9)</f>
        <v>2.1560116159920559</v>
      </c>
      <c r="D119" s="342">
        <f>('Coverage ratios'!$R$17*B119)/((1+'Coverage ratios'!$R$19)^2)</f>
        <v>2.2468627936800765</v>
      </c>
      <c r="E119" s="342">
        <f>('Coverage ratios'!$R$27*B119)/((1+'Coverage ratios'!$R$29)^3)</f>
        <v>2.3037432289939725</v>
      </c>
      <c r="F119" s="342">
        <f>('Coverage ratios'!$R$37*B119)/((1+'Coverage ratios'!$R$39)^4)</f>
        <v>2.3599383041136837</v>
      </c>
      <c r="G119" s="342">
        <f>('Coverage ratios'!$R$47*B119)/((1+'Coverage ratios'!$R$49)^5)</f>
        <v>2.4750510478963323</v>
      </c>
      <c r="H119" s="342">
        <f>B119*'APV CALCULATION '!$Q$12</f>
        <v>304.15554216787126</v>
      </c>
      <c r="I119" s="590">
        <f>((SUM(G119:H119)/(1+'APV CALCULATION '!$I$32^5))+F119/(1+'APV CALCULATION '!$H$32^4)+(E119/(1+'APV CALCULATION '!$G$32^3)+(D119/(1+'APV CALCULATION '!$F$32)^2)+(C119/(1+'APV CALCULATION '!$E$32))))</f>
        <v>315.59626069858894</v>
      </c>
      <c r="J119" s="342">
        <f>I119+'APV CALCULATION '!$E$21*(1+'APV CALCULATION '!$M$3-B119)-'APV CALCULATION '!$C$48</f>
        <v>3747.1501567936257</v>
      </c>
      <c r="L119" s="6"/>
      <c r="N119"/>
    </row>
    <row r="120" spans="2:14" x14ac:dyDescent="0.2">
      <c r="B120" s="339">
        <f t="shared" si="9"/>
        <v>0.14600000000000005</v>
      </c>
      <c r="C120" s="342">
        <f>('Coverage ratios'!$R$7*B120)/(1+'Coverage ratios'!$R$9)</f>
        <v>2.1708806616195875</v>
      </c>
      <c r="D120" s="342">
        <f>('Coverage ratios'!$R$17*B120)/((1+'Coverage ratios'!$R$19)^2)</f>
        <v>2.2623583991537322</v>
      </c>
      <c r="E120" s="342">
        <f>('Coverage ratios'!$R$27*B120)/((1+'Coverage ratios'!$R$29)^3)</f>
        <v>2.3196311133318623</v>
      </c>
      <c r="F120" s="342">
        <f>('Coverage ratios'!$R$37*B120)/((1+'Coverage ratios'!$R$39)^4)</f>
        <v>2.3762137406937778</v>
      </c>
      <c r="G120" s="342">
        <f>('Coverage ratios'!$R$47*B120)/((1+'Coverage ratios'!$R$49)^5)</f>
        <v>2.4921203654680313</v>
      </c>
      <c r="H120" s="342">
        <f>B120*'APV CALCULATION '!$Q$12</f>
        <v>306.25316659661519</v>
      </c>
      <c r="I120" s="590">
        <f>((SUM(G120:H120)/(1+'APV CALCULATION '!$I$32^5))+F120/(1+'APV CALCULATION '!$H$32^4)+(E120/(1+'APV CALCULATION '!$G$32^3)+(D120/(1+'APV CALCULATION '!$F$32)^2)+(C120/(1+'APV CALCULATION '!$E$32))))</f>
        <v>317.77278663444122</v>
      </c>
      <c r="J120" s="342">
        <f>I120+'APV CALCULATION '!$E$21*(1+'APV CALCULATION '!$M$3-B120)-'APV CALCULATION '!$C$48</f>
        <v>3745.9122012408257</v>
      </c>
      <c r="L120" s="6"/>
      <c r="N120"/>
    </row>
    <row r="121" spans="2:14" x14ac:dyDescent="0.2">
      <c r="B121" s="339">
        <f t="shared" si="9"/>
        <v>0.14700000000000005</v>
      </c>
      <c r="C121" s="342">
        <f>('Coverage ratios'!$R$7*B121)/(1+'Coverage ratios'!$R$9)</f>
        <v>2.1857497072471186</v>
      </c>
      <c r="D121" s="342">
        <f>('Coverage ratios'!$R$17*B121)/((1+'Coverage ratios'!$R$19)^2)</f>
        <v>2.2778540046273879</v>
      </c>
      <c r="E121" s="342">
        <f>('Coverage ratios'!$R$27*B121)/((1+'Coverage ratios'!$R$29)^3)</f>
        <v>2.3355189976697517</v>
      </c>
      <c r="F121" s="342">
        <f>('Coverage ratios'!$R$37*B121)/((1+'Coverage ratios'!$R$39)^4)</f>
        <v>2.3924891772738723</v>
      </c>
      <c r="G121" s="342">
        <f>('Coverage ratios'!$R$47*B121)/((1+'Coverage ratios'!$R$49)^5)</f>
        <v>2.5091896830397302</v>
      </c>
      <c r="H121" s="342">
        <f>B121*'APV CALCULATION '!$Q$12</f>
        <v>308.35079102535911</v>
      </c>
      <c r="I121" s="590">
        <f>((SUM(G121:H121)/(1+'APV CALCULATION '!$I$32^5))+F121/(1+'APV CALCULATION '!$H$32^4)+(E121/(1+'APV CALCULATION '!$G$32^3)+(D121/(1+'APV CALCULATION '!$F$32)^2)+(C121/(1+'APV CALCULATION '!$E$32))))</f>
        <v>319.9493125702935</v>
      </c>
      <c r="J121" s="342">
        <f>I121+'APV CALCULATION '!$E$21*(1+'APV CALCULATION '!$M$3-B121)-'APV CALCULATION '!$C$48</f>
        <v>3744.6742456880261</v>
      </c>
      <c r="L121" s="6"/>
      <c r="N121"/>
    </row>
    <row r="122" spans="2:14" x14ac:dyDescent="0.2">
      <c r="B122" s="339">
        <f t="shared" si="9"/>
        <v>0.14800000000000005</v>
      </c>
      <c r="C122" s="342">
        <f>('Coverage ratios'!$R$7*B122)/(1+'Coverage ratios'!$R$9)</f>
        <v>2.2006187528746501</v>
      </c>
      <c r="D122" s="342">
        <f>('Coverage ratios'!$R$17*B122)/((1+'Coverage ratios'!$R$19)^2)</f>
        <v>2.2933496101010435</v>
      </c>
      <c r="E122" s="342">
        <f>('Coverage ratios'!$R$27*B122)/((1+'Coverage ratios'!$R$29)^3)</f>
        <v>2.351406882007641</v>
      </c>
      <c r="F122" s="342">
        <f>('Coverage ratios'!$R$37*B122)/((1+'Coverage ratios'!$R$39)^4)</f>
        <v>2.4087646138539665</v>
      </c>
      <c r="G122" s="342">
        <f>('Coverage ratios'!$R$47*B122)/((1+'Coverage ratios'!$R$49)^5)</f>
        <v>2.5262590006114287</v>
      </c>
      <c r="H122" s="342">
        <f>B122*'APV CALCULATION '!$Q$12</f>
        <v>310.4484154541031</v>
      </c>
      <c r="I122" s="590">
        <f>((SUM(G122:H122)/(1+'APV CALCULATION '!$I$32^5))+F122/(1+'APV CALCULATION '!$H$32^4)+(E122/(1+'APV CALCULATION '!$G$32^3)+(D122/(1+'APV CALCULATION '!$F$32)^2)+(C122/(1+'APV CALCULATION '!$E$32))))</f>
        <v>322.12583850614595</v>
      </c>
      <c r="J122" s="342">
        <f>I122+'APV CALCULATION '!$E$21*(1+'APV CALCULATION '!$M$3-B122)-'APV CALCULATION '!$C$48</f>
        <v>3743.4362901352265</v>
      </c>
      <c r="L122" s="6"/>
      <c r="N122"/>
    </row>
    <row r="123" spans="2:14" x14ac:dyDescent="0.2">
      <c r="B123" s="339">
        <f t="shared" si="9"/>
        <v>0.14900000000000005</v>
      </c>
      <c r="C123" s="342">
        <f>('Coverage ratios'!$R$7*B123)/(1+'Coverage ratios'!$R$9)</f>
        <v>2.2154877985021817</v>
      </c>
      <c r="D123" s="342">
        <f>('Coverage ratios'!$R$17*B123)/((1+'Coverage ratios'!$R$19)^2)</f>
        <v>2.3088452155746997</v>
      </c>
      <c r="E123" s="342">
        <f>('Coverage ratios'!$R$27*B123)/((1+'Coverage ratios'!$R$29)^3)</f>
        <v>2.3672947663455304</v>
      </c>
      <c r="F123" s="342">
        <f>('Coverage ratios'!$R$37*B123)/((1+'Coverage ratios'!$R$39)^4)</f>
        <v>2.425040050434061</v>
      </c>
      <c r="G123" s="342">
        <f>('Coverage ratios'!$R$47*B123)/((1+'Coverage ratios'!$R$49)^5)</f>
        <v>2.5433283181831277</v>
      </c>
      <c r="H123" s="342">
        <f>B123*'APV CALCULATION '!$Q$12</f>
        <v>312.54603988284703</v>
      </c>
      <c r="I123" s="590">
        <f>((SUM(G123:H123)/(1+'APV CALCULATION '!$I$32^5))+F123/(1+'APV CALCULATION '!$H$32^4)+(E123/(1+'APV CALCULATION '!$G$32^3)+(D123/(1+'APV CALCULATION '!$F$32)^2)+(C123/(1+'APV CALCULATION '!$E$32))))</f>
        <v>324.30236444199829</v>
      </c>
      <c r="J123" s="342">
        <f>I123+'APV CALCULATION '!$E$21*(1+'APV CALCULATION '!$M$3-B123)-'APV CALCULATION '!$C$48</f>
        <v>3742.1983345824274</v>
      </c>
      <c r="L123" s="6"/>
      <c r="N123"/>
    </row>
    <row r="124" spans="2:14" x14ac:dyDescent="0.2">
      <c r="B124" s="339">
        <f t="shared" si="9"/>
        <v>0.15000000000000005</v>
      </c>
      <c r="C124" s="342">
        <f>('Coverage ratios'!$R$7*B124)/(1+'Coverage ratios'!$R$9)</f>
        <v>2.2303568441297128</v>
      </c>
      <c r="D124" s="342">
        <f>('Coverage ratios'!$R$17*B124)/((1+'Coverage ratios'!$R$19)^2)</f>
        <v>2.3243408210483554</v>
      </c>
      <c r="E124" s="342">
        <f>('Coverage ratios'!$R$27*B124)/((1+'Coverage ratios'!$R$29)^3)</f>
        <v>2.3831826506834202</v>
      </c>
      <c r="F124" s="342">
        <f>('Coverage ratios'!$R$37*B124)/((1+'Coverage ratios'!$R$39)^4)</f>
        <v>2.4413154870141556</v>
      </c>
      <c r="G124" s="342">
        <f>('Coverage ratios'!$R$47*B124)/((1+'Coverage ratios'!$R$49)^5)</f>
        <v>2.560397635754827</v>
      </c>
      <c r="H124" s="342">
        <f>B124*'APV CALCULATION '!$Q$12</f>
        <v>314.64366431159095</v>
      </c>
      <c r="I124" s="590">
        <f>((SUM(G124:H124)/(1+'APV CALCULATION '!$I$32^5))+F124/(1+'APV CALCULATION '!$H$32^4)+(E124/(1+'APV CALCULATION '!$G$32^3)+(D124/(1+'APV CALCULATION '!$F$32)^2)+(C124/(1+'APV CALCULATION '!$E$32))))</f>
        <v>326.47889037785063</v>
      </c>
      <c r="J124" s="342">
        <f>I124+'APV CALCULATION '!$E$21*(1+'APV CALCULATION '!$M$3-B124)-'APV CALCULATION '!$C$48</f>
        <v>3740.9603790296283</v>
      </c>
      <c r="L124" s="6"/>
      <c r="N124"/>
    </row>
    <row r="125" spans="2:14" x14ac:dyDescent="0.2">
      <c r="B125" s="339">
        <f t="shared" si="9"/>
        <v>0.15100000000000005</v>
      </c>
      <c r="C125" s="342">
        <f>('Coverage ratios'!$R$7*B125)/(1+'Coverage ratios'!$R$9)</f>
        <v>2.2452258897572444</v>
      </c>
      <c r="D125" s="342">
        <f>('Coverage ratios'!$R$17*B125)/((1+'Coverage ratios'!$R$19)^2)</f>
        <v>2.3398364265220111</v>
      </c>
      <c r="E125" s="342">
        <f>('Coverage ratios'!$R$27*B125)/((1+'Coverage ratios'!$R$29)^3)</f>
        <v>2.3990705350213095</v>
      </c>
      <c r="F125" s="342">
        <f>('Coverage ratios'!$R$37*B125)/((1+'Coverage ratios'!$R$39)^4)</f>
        <v>2.4575909235942497</v>
      </c>
      <c r="G125" s="342">
        <f>('Coverage ratios'!$R$47*B125)/((1+'Coverage ratios'!$R$49)^5)</f>
        <v>2.5774669533265255</v>
      </c>
      <c r="H125" s="342">
        <f>B125*'APV CALCULATION '!$Q$12</f>
        <v>316.74128874033488</v>
      </c>
      <c r="I125" s="590">
        <f>((SUM(G125:H125)/(1+'APV CALCULATION '!$I$32^5))+F125/(1+'APV CALCULATION '!$H$32^4)+(E125/(1+'APV CALCULATION '!$G$32^3)+(D125/(1+'APV CALCULATION '!$F$32)^2)+(C125/(1+'APV CALCULATION '!$E$32))))</f>
        <v>328.65541631370291</v>
      </c>
      <c r="J125" s="342">
        <f>I125+'APV CALCULATION '!$E$21*(1+'APV CALCULATION '!$M$3-B125)-'APV CALCULATION '!$C$48</f>
        <v>3739.7224234768287</v>
      </c>
      <c r="L125" s="6"/>
      <c r="N125"/>
    </row>
    <row r="126" spans="2:14" x14ac:dyDescent="0.2">
      <c r="B126" s="339">
        <f t="shared" si="9"/>
        <v>0.15200000000000005</v>
      </c>
      <c r="C126" s="342">
        <f>('Coverage ratios'!$R$7*B126)/(1+'Coverage ratios'!$R$9)</f>
        <v>2.2600949353847759</v>
      </c>
      <c r="D126" s="342">
        <f>('Coverage ratios'!$R$17*B126)/((1+'Coverage ratios'!$R$19)^2)</f>
        <v>2.3553320319956663</v>
      </c>
      <c r="E126" s="342">
        <f>('Coverage ratios'!$R$27*B126)/((1+'Coverage ratios'!$R$29)^3)</f>
        <v>2.4149584193591989</v>
      </c>
      <c r="F126" s="342">
        <f>('Coverage ratios'!$R$37*B126)/((1+'Coverage ratios'!$R$39)^4)</f>
        <v>2.4738663601743442</v>
      </c>
      <c r="G126" s="342">
        <f>('Coverage ratios'!$R$47*B126)/((1+'Coverage ratios'!$R$49)^5)</f>
        <v>2.5945362708982245</v>
      </c>
      <c r="H126" s="342">
        <f>B126*'APV CALCULATION '!$Q$12</f>
        <v>318.83891316907886</v>
      </c>
      <c r="I126" s="590">
        <f>((SUM(G126:H126)/(1+'APV CALCULATION '!$I$32^5))+F126/(1+'APV CALCULATION '!$H$32^4)+(E126/(1+'APV CALCULATION '!$G$32^3)+(D126/(1+'APV CALCULATION '!$F$32)^2)+(C126/(1+'APV CALCULATION '!$E$32))))</f>
        <v>330.83194224955531</v>
      </c>
      <c r="J126" s="342">
        <f>I126+'APV CALCULATION '!$E$21*(1+'APV CALCULATION '!$M$3-B126)-'APV CALCULATION '!$C$48</f>
        <v>3738.4844679240291</v>
      </c>
      <c r="L126" s="6"/>
      <c r="N126"/>
    </row>
    <row r="127" spans="2:14" x14ac:dyDescent="0.2">
      <c r="B127" s="339">
        <f t="shared" si="9"/>
        <v>0.15300000000000005</v>
      </c>
      <c r="C127" s="342">
        <f>('Coverage ratios'!$R$7*B127)/(1+'Coverage ratios'!$R$9)</f>
        <v>2.2749639810123075</v>
      </c>
      <c r="D127" s="342">
        <f>('Coverage ratios'!$R$17*B127)/((1+'Coverage ratios'!$R$19)^2)</f>
        <v>2.370827637469322</v>
      </c>
      <c r="E127" s="342">
        <f>('Coverage ratios'!$R$27*B127)/((1+'Coverage ratios'!$R$29)^3)</f>
        <v>2.4308463036970882</v>
      </c>
      <c r="F127" s="342">
        <f>('Coverage ratios'!$R$37*B127)/((1+'Coverage ratios'!$R$39)^4)</f>
        <v>2.4901417967544384</v>
      </c>
      <c r="G127" s="342">
        <f>('Coverage ratios'!$R$47*B127)/((1+'Coverage ratios'!$R$49)^5)</f>
        <v>2.611605588469923</v>
      </c>
      <c r="H127" s="342">
        <f>B127*'APV CALCULATION '!$Q$12</f>
        <v>320.93653759782279</v>
      </c>
      <c r="I127" s="590">
        <f>((SUM(G127:H127)/(1+'APV CALCULATION '!$I$32^5))+F127/(1+'APV CALCULATION '!$H$32^4)+(E127/(1+'APV CALCULATION '!$G$32^3)+(D127/(1+'APV CALCULATION '!$F$32)^2)+(C127/(1+'APV CALCULATION '!$E$32))))</f>
        <v>333.00846818540765</v>
      </c>
      <c r="J127" s="342">
        <f>I127+'APV CALCULATION '!$E$21*(1+'APV CALCULATION '!$M$3-B127)-'APV CALCULATION '!$C$48</f>
        <v>3737.24651237123</v>
      </c>
      <c r="L127" s="6"/>
      <c r="N127"/>
    </row>
    <row r="128" spans="2:14" x14ac:dyDescent="0.2">
      <c r="B128" s="339">
        <f t="shared" si="9"/>
        <v>0.15400000000000005</v>
      </c>
      <c r="C128" s="342">
        <f>('Coverage ratios'!$R$7*B128)/(1+'Coverage ratios'!$R$9)</f>
        <v>2.2898330266398386</v>
      </c>
      <c r="D128" s="342">
        <f>('Coverage ratios'!$R$17*B128)/((1+'Coverage ratios'!$R$19)^2)</f>
        <v>2.3863232429429777</v>
      </c>
      <c r="E128" s="342">
        <f>('Coverage ratios'!$R$27*B128)/((1+'Coverage ratios'!$R$29)^3)</f>
        <v>2.446734188034978</v>
      </c>
      <c r="F128" s="342">
        <f>('Coverage ratios'!$R$37*B128)/((1+'Coverage ratios'!$R$39)^4)</f>
        <v>2.5064172333345325</v>
      </c>
      <c r="G128" s="342">
        <f>('Coverage ratios'!$R$47*B128)/((1+'Coverage ratios'!$R$49)^5)</f>
        <v>2.6286749060416219</v>
      </c>
      <c r="H128" s="342">
        <f>B128*'APV CALCULATION '!$Q$12</f>
        <v>323.03416202656672</v>
      </c>
      <c r="I128" s="590">
        <f>((SUM(G128:H128)/(1+'APV CALCULATION '!$I$32^5))+F128/(1+'APV CALCULATION '!$H$32^4)+(E128/(1+'APV CALCULATION '!$G$32^3)+(D128/(1+'APV CALCULATION '!$F$32)^2)+(C128/(1+'APV CALCULATION '!$E$32))))</f>
        <v>335.18499412125999</v>
      </c>
      <c r="J128" s="342">
        <f>I128+'APV CALCULATION '!$E$21*(1+'APV CALCULATION '!$M$3-B128)-'APV CALCULATION '!$C$48</f>
        <v>3736.0085568184304</v>
      </c>
      <c r="L128" s="6"/>
      <c r="N128"/>
    </row>
    <row r="129" spans="2:14" x14ac:dyDescent="0.2">
      <c r="B129" s="339">
        <f t="shared" si="9"/>
        <v>0.15500000000000005</v>
      </c>
      <c r="C129" s="342">
        <f>('Coverage ratios'!$R$7*B129)/(1+'Coverage ratios'!$R$9)</f>
        <v>2.3047020722673701</v>
      </c>
      <c r="D129" s="342">
        <f>('Coverage ratios'!$R$17*B129)/((1+'Coverage ratios'!$R$19)^2)</f>
        <v>2.4018188484166334</v>
      </c>
      <c r="E129" s="342">
        <f>('Coverage ratios'!$R$27*B129)/((1+'Coverage ratios'!$R$29)^3)</f>
        <v>2.4626220723728673</v>
      </c>
      <c r="F129" s="342">
        <f>('Coverage ratios'!$R$37*B129)/((1+'Coverage ratios'!$R$39)^4)</f>
        <v>2.522692669914627</v>
      </c>
      <c r="G129" s="342">
        <f>('Coverage ratios'!$R$47*B129)/((1+'Coverage ratios'!$R$49)^5)</f>
        <v>2.6457442236133213</v>
      </c>
      <c r="H129" s="342">
        <f>B129*'APV CALCULATION '!$Q$12</f>
        <v>325.13178645531065</v>
      </c>
      <c r="I129" s="590">
        <f>((SUM(G129:H129)/(1+'APV CALCULATION '!$I$32^5))+F129/(1+'APV CALCULATION '!$H$32^4)+(E129/(1+'APV CALCULATION '!$G$32^3)+(D129/(1+'APV CALCULATION '!$F$32)^2)+(C129/(1+'APV CALCULATION '!$E$32))))</f>
        <v>337.36152005711233</v>
      </c>
      <c r="J129" s="342">
        <f>I129+'APV CALCULATION '!$E$21*(1+'APV CALCULATION '!$M$3-B129)-'APV CALCULATION '!$C$48</f>
        <v>3734.7706012656308</v>
      </c>
      <c r="L129" s="6"/>
      <c r="N129"/>
    </row>
    <row r="130" spans="2:14" x14ac:dyDescent="0.2">
      <c r="B130" s="339">
        <f t="shared" si="9"/>
        <v>0.15600000000000006</v>
      </c>
      <c r="C130" s="342">
        <f>('Coverage ratios'!$R$7*B130)/(1+'Coverage ratios'!$R$9)</f>
        <v>2.3195711178949017</v>
      </c>
      <c r="D130" s="342">
        <f>('Coverage ratios'!$R$17*B130)/((1+'Coverage ratios'!$R$19)^2)</f>
        <v>2.4173144538902891</v>
      </c>
      <c r="E130" s="342">
        <f>('Coverage ratios'!$R$27*B130)/((1+'Coverage ratios'!$R$29)^3)</f>
        <v>2.4785099567107567</v>
      </c>
      <c r="F130" s="342">
        <f>('Coverage ratios'!$R$37*B130)/((1+'Coverage ratios'!$R$39)^4)</f>
        <v>2.5389681064947212</v>
      </c>
      <c r="G130" s="342">
        <f>('Coverage ratios'!$R$47*B130)/((1+'Coverage ratios'!$R$49)^5)</f>
        <v>2.6628135411850198</v>
      </c>
      <c r="H130" s="342">
        <f>B130*'APV CALCULATION '!$Q$12</f>
        <v>327.22941088405457</v>
      </c>
      <c r="I130" s="590">
        <f>((SUM(G130:H130)/(1+'APV CALCULATION '!$I$32^5))+F130/(1+'APV CALCULATION '!$H$32^4)+(E130/(1+'APV CALCULATION '!$G$32^3)+(D130/(1+'APV CALCULATION '!$F$32)^2)+(C130/(1+'APV CALCULATION '!$E$32))))</f>
        <v>339.53804599296461</v>
      </c>
      <c r="J130" s="342">
        <f>I130+'APV CALCULATION '!$E$21*(1+'APV CALCULATION '!$M$3-B130)-'APV CALCULATION '!$C$48</f>
        <v>3733.5326457128317</v>
      </c>
      <c r="L130" s="6"/>
      <c r="N130"/>
    </row>
    <row r="131" spans="2:14" x14ac:dyDescent="0.2">
      <c r="B131" s="339">
        <f t="shared" si="9"/>
        <v>0.15700000000000006</v>
      </c>
      <c r="C131" s="342">
        <f>('Coverage ratios'!$R$7*B131)/(1+'Coverage ratios'!$R$9)</f>
        <v>2.3344401635224332</v>
      </c>
      <c r="D131" s="342">
        <f>('Coverage ratios'!$R$17*B131)/((1+'Coverage ratios'!$R$19)^2)</f>
        <v>2.4328100593639448</v>
      </c>
      <c r="E131" s="342">
        <f>('Coverage ratios'!$R$27*B131)/((1+'Coverage ratios'!$R$29)^3)</f>
        <v>2.494397841048646</v>
      </c>
      <c r="F131" s="342">
        <f>('Coverage ratios'!$R$37*B131)/((1+'Coverage ratios'!$R$39)^4)</f>
        <v>2.5552435430748157</v>
      </c>
      <c r="G131" s="342">
        <f>('Coverage ratios'!$R$47*B131)/((1+'Coverage ratios'!$R$49)^5)</f>
        <v>2.6798828587567187</v>
      </c>
      <c r="H131" s="342">
        <f>B131*'APV CALCULATION '!$Q$12</f>
        <v>329.32703531279856</v>
      </c>
      <c r="I131" s="590">
        <f>((SUM(G131:H131)/(1+'APV CALCULATION '!$I$32^5))+F131/(1+'APV CALCULATION '!$H$32^4)+(E131/(1+'APV CALCULATION '!$G$32^3)+(D131/(1+'APV CALCULATION '!$F$32)^2)+(C131/(1+'APV CALCULATION '!$E$32))))</f>
        <v>341.71457192881701</v>
      </c>
      <c r="J131" s="342">
        <f>I131+'APV CALCULATION '!$E$21*(1+'APV CALCULATION '!$M$3-B131)-'APV CALCULATION '!$C$48</f>
        <v>3732.2946901600321</v>
      </c>
      <c r="L131" s="6"/>
      <c r="N131"/>
    </row>
    <row r="132" spans="2:14" x14ac:dyDescent="0.2">
      <c r="B132" s="339">
        <f t="shared" si="9"/>
        <v>0.15800000000000006</v>
      </c>
      <c r="C132" s="342">
        <f>('Coverage ratios'!$R$7*B132)/(1+'Coverage ratios'!$R$9)</f>
        <v>2.3493092091499643</v>
      </c>
      <c r="D132" s="342">
        <f>('Coverage ratios'!$R$17*B132)/((1+'Coverage ratios'!$R$19)^2)</f>
        <v>2.4483056648376005</v>
      </c>
      <c r="E132" s="342">
        <f>('Coverage ratios'!$R$27*B132)/((1+'Coverage ratios'!$R$29)^3)</f>
        <v>2.5102857253865358</v>
      </c>
      <c r="F132" s="342">
        <f>('Coverage ratios'!$R$37*B132)/((1+'Coverage ratios'!$R$39)^4)</f>
        <v>2.5715189796549103</v>
      </c>
      <c r="G132" s="342">
        <f>('Coverage ratios'!$R$47*B132)/((1+'Coverage ratios'!$R$49)^5)</f>
        <v>2.6969521763284172</v>
      </c>
      <c r="H132" s="342">
        <f>B132*'APV CALCULATION '!$Q$12</f>
        <v>331.42465974154248</v>
      </c>
      <c r="I132" s="590">
        <f>((SUM(G132:H132)/(1+'APV CALCULATION '!$I$32^5))+F132/(1+'APV CALCULATION '!$H$32^4)+(E132/(1+'APV CALCULATION '!$G$32^3)+(D132/(1+'APV CALCULATION '!$F$32)^2)+(C132/(1+'APV CALCULATION '!$E$32))))</f>
        <v>343.89109786466935</v>
      </c>
      <c r="J132" s="342">
        <f>I132+'APV CALCULATION '!$E$21*(1+'APV CALCULATION '!$M$3-B132)-'APV CALCULATION '!$C$48</f>
        <v>3731.056734607233</v>
      </c>
      <c r="L132" s="6"/>
      <c r="N132"/>
    </row>
    <row r="133" spans="2:14" x14ac:dyDescent="0.2">
      <c r="B133" s="339">
        <f t="shared" si="9"/>
        <v>0.15900000000000006</v>
      </c>
      <c r="C133" s="342">
        <f>('Coverage ratios'!$R$7*B133)/(1+'Coverage ratios'!$R$9)</f>
        <v>2.3641782547774959</v>
      </c>
      <c r="D133" s="342">
        <f>('Coverage ratios'!$R$17*B133)/((1+'Coverage ratios'!$R$19)^2)</f>
        <v>2.4638012703112562</v>
      </c>
      <c r="E133" s="342">
        <f>('Coverage ratios'!$R$27*B133)/((1+'Coverage ratios'!$R$29)^3)</f>
        <v>2.5261736097244252</v>
      </c>
      <c r="F133" s="342">
        <f>('Coverage ratios'!$R$37*B133)/((1+'Coverage ratios'!$R$39)^4)</f>
        <v>2.5877944162350044</v>
      </c>
      <c r="G133" s="342">
        <f>('Coverage ratios'!$R$47*B133)/((1+'Coverage ratios'!$R$49)^5)</f>
        <v>2.7140214939001166</v>
      </c>
      <c r="H133" s="342">
        <f>B133*'APV CALCULATION '!$Q$12</f>
        <v>333.52228417028641</v>
      </c>
      <c r="I133" s="590">
        <f>((SUM(G133:H133)/(1+'APV CALCULATION '!$I$32^5))+F133/(1+'APV CALCULATION '!$H$32^4)+(E133/(1+'APV CALCULATION '!$G$32^3)+(D133/(1+'APV CALCULATION '!$F$32)^2)+(C133/(1+'APV CALCULATION '!$E$32))))</f>
        <v>346.06762380052169</v>
      </c>
      <c r="J133" s="342">
        <f>I133+'APV CALCULATION '!$E$21*(1+'APV CALCULATION '!$M$3-B133)-'APV CALCULATION '!$C$48</f>
        <v>3729.818779054433</v>
      </c>
      <c r="L133" s="6"/>
      <c r="N133"/>
    </row>
    <row r="134" spans="2:14" x14ac:dyDescent="0.2">
      <c r="B134" s="339">
        <f t="shared" si="9"/>
        <v>0.16000000000000006</v>
      </c>
      <c r="C134" s="342">
        <f>('Coverage ratios'!$R$7*B134)/(1+'Coverage ratios'!$R$9)</f>
        <v>2.3790473004050274</v>
      </c>
      <c r="D134" s="342">
        <f>('Coverage ratios'!$R$17*B134)/((1+'Coverage ratios'!$R$19)^2)</f>
        <v>2.4792968757849123</v>
      </c>
      <c r="E134" s="342">
        <f>('Coverage ratios'!$R$27*B134)/((1+'Coverage ratios'!$R$29)^3)</f>
        <v>2.5420614940623145</v>
      </c>
      <c r="F134" s="342">
        <f>('Coverage ratios'!$R$37*B134)/((1+'Coverage ratios'!$R$39)^4)</f>
        <v>2.604069852815099</v>
      </c>
      <c r="G134" s="342">
        <f>('Coverage ratios'!$R$47*B134)/((1+'Coverage ratios'!$R$49)^5)</f>
        <v>2.7310908114718151</v>
      </c>
      <c r="H134" s="342">
        <f>B134*'APV CALCULATION '!$Q$12</f>
        <v>335.61990859903034</v>
      </c>
      <c r="I134" s="590">
        <f>((SUM(G134:H134)/(1+'APV CALCULATION '!$I$32^5))+F134/(1+'APV CALCULATION '!$H$32^4)+(E134/(1+'APV CALCULATION '!$G$32^3)+(D134/(1+'APV CALCULATION '!$F$32)^2)+(C134/(1+'APV CALCULATION '!$E$32))))</f>
        <v>348.24414973637397</v>
      </c>
      <c r="J134" s="342">
        <f>I134+'APV CALCULATION '!$E$21*(1+'APV CALCULATION '!$M$3-B134)-'APV CALCULATION '!$C$48</f>
        <v>3728.5808235016334</v>
      </c>
      <c r="L134" s="6"/>
      <c r="N134"/>
    </row>
    <row r="135" spans="2:14" x14ac:dyDescent="0.2">
      <c r="B135" s="339">
        <f t="shared" si="9"/>
        <v>0.16100000000000006</v>
      </c>
      <c r="C135" s="342">
        <f>('Coverage ratios'!$R$7*B135)/(1+'Coverage ratios'!$R$9)</f>
        <v>2.3939163460325585</v>
      </c>
      <c r="D135" s="342">
        <f>('Coverage ratios'!$R$17*B135)/((1+'Coverage ratios'!$R$19)^2)</f>
        <v>2.494792481258568</v>
      </c>
      <c r="E135" s="342">
        <f>('Coverage ratios'!$R$27*B135)/((1+'Coverage ratios'!$R$29)^3)</f>
        <v>2.5579493784002039</v>
      </c>
      <c r="F135" s="342">
        <f>('Coverage ratios'!$R$37*B135)/((1+'Coverage ratios'!$R$39)^4)</f>
        <v>2.6203452893951935</v>
      </c>
      <c r="G135" s="342">
        <f>('Coverage ratios'!$R$47*B135)/((1+'Coverage ratios'!$R$49)^5)</f>
        <v>2.748160129043514</v>
      </c>
      <c r="H135" s="342">
        <f>B135*'APV CALCULATION '!$Q$12</f>
        <v>337.71753302777432</v>
      </c>
      <c r="I135" s="590">
        <f>((SUM(G135:H135)/(1+'APV CALCULATION '!$I$32^5))+F135/(1+'APV CALCULATION '!$H$32^4)+(E135/(1+'APV CALCULATION '!$G$32^3)+(D135/(1+'APV CALCULATION '!$F$32)^2)+(C135/(1+'APV CALCULATION '!$E$32))))</f>
        <v>350.42067567222637</v>
      </c>
      <c r="J135" s="342">
        <f>I135+'APV CALCULATION '!$E$21*(1+'APV CALCULATION '!$M$3-B135)-'APV CALCULATION '!$C$48</f>
        <v>3727.3428679488343</v>
      </c>
      <c r="L135" s="6"/>
      <c r="N135"/>
    </row>
    <row r="136" spans="2:14" x14ac:dyDescent="0.2">
      <c r="B136" s="339">
        <f t="shared" si="9"/>
        <v>0.16200000000000006</v>
      </c>
      <c r="C136" s="342">
        <f>('Coverage ratios'!$R$7*B136)/(1+'Coverage ratios'!$R$9)</f>
        <v>2.4087853916600901</v>
      </c>
      <c r="D136" s="342">
        <f>('Coverage ratios'!$R$17*B136)/((1+'Coverage ratios'!$R$19)^2)</f>
        <v>2.5102880867322237</v>
      </c>
      <c r="E136" s="342">
        <f>('Coverage ratios'!$R$27*B136)/((1+'Coverage ratios'!$R$29)^3)</f>
        <v>2.5738372627380937</v>
      </c>
      <c r="F136" s="342">
        <f>('Coverage ratios'!$R$37*B136)/((1+'Coverage ratios'!$R$39)^4)</f>
        <v>2.6366207259752876</v>
      </c>
      <c r="G136" s="342">
        <f>('Coverage ratios'!$R$47*B136)/((1+'Coverage ratios'!$R$49)^5)</f>
        <v>2.765229446615213</v>
      </c>
      <c r="H136" s="342">
        <f>B136*'APV CALCULATION '!$Q$12</f>
        <v>339.81515745651825</v>
      </c>
      <c r="I136" s="590">
        <f>((SUM(G136:H136)/(1+'APV CALCULATION '!$I$32^5))+F136/(1+'APV CALCULATION '!$H$32^4)+(E136/(1+'APV CALCULATION '!$G$32^3)+(D136/(1+'APV CALCULATION '!$F$32)^2)+(C136/(1+'APV CALCULATION '!$E$32))))</f>
        <v>352.59720160807865</v>
      </c>
      <c r="J136" s="342">
        <f>I136+'APV CALCULATION '!$E$21*(1+'APV CALCULATION '!$M$3-B136)-'APV CALCULATION '!$C$48</f>
        <v>3726.1049123960347</v>
      </c>
      <c r="L136" s="6"/>
      <c r="N136"/>
    </row>
    <row r="137" spans="2:14" x14ac:dyDescent="0.2">
      <c r="B137" s="339">
        <f t="shared" si="9"/>
        <v>0.16300000000000006</v>
      </c>
      <c r="C137" s="342">
        <f>('Coverage ratios'!$R$7*B137)/(1+'Coverage ratios'!$R$9)</f>
        <v>2.4236544372876216</v>
      </c>
      <c r="D137" s="342">
        <f>('Coverage ratios'!$R$17*B137)/((1+'Coverage ratios'!$R$19)^2)</f>
        <v>2.5257836922058794</v>
      </c>
      <c r="E137" s="342">
        <f>('Coverage ratios'!$R$27*B137)/((1+'Coverage ratios'!$R$29)^3)</f>
        <v>2.589725147075983</v>
      </c>
      <c r="F137" s="342">
        <f>('Coverage ratios'!$R$37*B137)/((1+'Coverage ratios'!$R$39)^4)</f>
        <v>2.6528961625553822</v>
      </c>
      <c r="G137" s="342">
        <f>('Coverage ratios'!$R$47*B137)/((1+'Coverage ratios'!$R$49)^5)</f>
        <v>2.7822987641869119</v>
      </c>
      <c r="H137" s="342">
        <f>B137*'APV CALCULATION '!$Q$12</f>
        <v>341.91278188526218</v>
      </c>
      <c r="I137" s="590">
        <f>((SUM(G137:H137)/(1+'APV CALCULATION '!$I$32^5))+F137/(1+'APV CALCULATION '!$H$32^4)+(E137/(1+'APV CALCULATION '!$G$32^3)+(D137/(1+'APV CALCULATION '!$F$32)^2)+(C137/(1+'APV CALCULATION '!$E$32))))</f>
        <v>354.77372754393105</v>
      </c>
      <c r="J137" s="342">
        <f>I137+'APV CALCULATION '!$E$21*(1+'APV CALCULATION '!$M$3-B137)-'APV CALCULATION '!$C$48</f>
        <v>3724.8669568432351</v>
      </c>
      <c r="L137" s="6"/>
      <c r="N137"/>
    </row>
    <row r="138" spans="2:14" x14ac:dyDescent="0.2">
      <c r="B138" s="339">
        <f t="shared" si="9"/>
        <v>0.16400000000000006</v>
      </c>
      <c r="C138" s="342">
        <f>('Coverage ratios'!$R$7*B138)/(1+'Coverage ratios'!$R$9)</f>
        <v>2.4385234829151532</v>
      </c>
      <c r="D138" s="342">
        <f>('Coverage ratios'!$R$17*B138)/((1+'Coverage ratios'!$R$19)^2)</f>
        <v>2.5412792976795351</v>
      </c>
      <c r="E138" s="342">
        <f>('Coverage ratios'!$R$27*B138)/((1+'Coverage ratios'!$R$29)^3)</f>
        <v>2.6056130314138723</v>
      </c>
      <c r="F138" s="342">
        <f>('Coverage ratios'!$R$37*B138)/((1+'Coverage ratios'!$R$39)^4)</f>
        <v>2.6691715991354767</v>
      </c>
      <c r="G138" s="342">
        <f>('Coverage ratios'!$R$47*B138)/((1+'Coverage ratios'!$R$49)^5)</f>
        <v>2.7993680817586108</v>
      </c>
      <c r="H138" s="342">
        <f>B138*'APV CALCULATION '!$Q$12</f>
        <v>344.0104063140061</v>
      </c>
      <c r="I138" s="590">
        <f>((SUM(G138:H138)/(1+'APV CALCULATION '!$I$32^5))+F138/(1+'APV CALCULATION '!$H$32^4)+(E138/(1+'APV CALCULATION '!$G$32^3)+(D138/(1+'APV CALCULATION '!$F$32)^2)+(C138/(1+'APV CALCULATION '!$E$32))))</f>
        <v>356.95025347978333</v>
      </c>
      <c r="J138" s="342">
        <f>I138+'APV CALCULATION '!$E$21*(1+'APV CALCULATION '!$M$3-B138)-'APV CALCULATION '!$C$48</f>
        <v>3723.629001290436</v>
      </c>
      <c r="L138" s="6"/>
      <c r="N138"/>
    </row>
    <row r="139" spans="2:14" x14ac:dyDescent="0.2">
      <c r="B139" s="339">
        <f t="shared" ref="B139:B202" si="10">B138+0.1%</f>
        <v>0.16500000000000006</v>
      </c>
      <c r="C139" s="342">
        <f>('Coverage ratios'!$R$7*B139)/(1+'Coverage ratios'!$R$9)</f>
        <v>2.4533925285426843</v>
      </c>
      <c r="D139" s="342">
        <f>('Coverage ratios'!$R$17*B139)/((1+'Coverage ratios'!$R$19)^2)</f>
        <v>2.5567749031531908</v>
      </c>
      <c r="E139" s="342">
        <f>('Coverage ratios'!$R$27*B139)/((1+'Coverage ratios'!$R$29)^3)</f>
        <v>2.6215009157517621</v>
      </c>
      <c r="F139" s="342">
        <f>('Coverage ratios'!$R$37*B139)/((1+'Coverage ratios'!$R$39)^4)</f>
        <v>2.6854470357155709</v>
      </c>
      <c r="G139" s="342">
        <f>('Coverage ratios'!$R$47*B139)/((1+'Coverage ratios'!$R$49)^5)</f>
        <v>2.8164373993303093</v>
      </c>
      <c r="H139" s="342">
        <f>B139*'APV CALCULATION '!$Q$12</f>
        <v>346.10803074275009</v>
      </c>
      <c r="I139" s="590">
        <f>((SUM(G139:H139)/(1+'APV CALCULATION '!$I$32^5))+F139/(1+'APV CALCULATION '!$H$32^4)+(E139/(1+'APV CALCULATION '!$G$32^3)+(D139/(1+'APV CALCULATION '!$F$32)^2)+(C139/(1+'APV CALCULATION '!$E$32))))</f>
        <v>359.12677941563567</v>
      </c>
      <c r="J139" s="342">
        <f>I139+'APV CALCULATION '!$E$21*(1+'APV CALCULATION '!$M$3-B139)-'APV CALCULATION '!$C$48</f>
        <v>3722.3910457376364</v>
      </c>
      <c r="L139" s="6"/>
      <c r="N139"/>
    </row>
    <row r="140" spans="2:14" x14ac:dyDescent="0.2">
      <c r="B140" s="339">
        <f t="shared" si="10"/>
        <v>0.16600000000000006</v>
      </c>
      <c r="C140" s="342">
        <f>('Coverage ratios'!$R$7*B140)/(1+'Coverage ratios'!$R$9)</f>
        <v>2.4682615741702159</v>
      </c>
      <c r="D140" s="342">
        <f>('Coverage ratios'!$R$17*B140)/((1+'Coverage ratios'!$R$19)^2)</f>
        <v>2.5722705086268465</v>
      </c>
      <c r="E140" s="342">
        <f>('Coverage ratios'!$R$27*B140)/((1+'Coverage ratios'!$R$29)^3)</f>
        <v>2.6373888000896515</v>
      </c>
      <c r="F140" s="342">
        <f>('Coverage ratios'!$R$37*B140)/((1+'Coverage ratios'!$R$39)^4)</f>
        <v>2.7017224722956654</v>
      </c>
      <c r="G140" s="342">
        <f>('Coverage ratios'!$R$47*B140)/((1+'Coverage ratios'!$R$49)^5)</f>
        <v>2.8335067169020083</v>
      </c>
      <c r="H140" s="342">
        <f>B140*'APV CALCULATION '!$Q$12</f>
        <v>348.20565517149402</v>
      </c>
      <c r="I140" s="590">
        <f>((SUM(G140:H140)/(1+'APV CALCULATION '!$I$32^5))+F140/(1+'APV CALCULATION '!$H$32^4)+(E140/(1+'APV CALCULATION '!$G$32^3)+(D140/(1+'APV CALCULATION '!$F$32)^2)+(C140/(1+'APV CALCULATION '!$E$32))))</f>
        <v>361.30330535148801</v>
      </c>
      <c r="J140" s="342">
        <f>I140+'APV CALCULATION '!$E$21*(1+'APV CALCULATION '!$M$3-B140)-'APV CALCULATION '!$C$48</f>
        <v>3721.1530901848373</v>
      </c>
      <c r="L140" s="6"/>
      <c r="N140"/>
    </row>
    <row r="141" spans="2:14" x14ac:dyDescent="0.2">
      <c r="B141" s="339">
        <f t="shared" si="10"/>
        <v>0.16700000000000007</v>
      </c>
      <c r="C141" s="342">
        <f>('Coverage ratios'!$R$7*B141)/(1+'Coverage ratios'!$R$9)</f>
        <v>2.4831306197977474</v>
      </c>
      <c r="D141" s="342">
        <f>('Coverage ratios'!$R$17*B141)/((1+'Coverage ratios'!$R$19)^2)</f>
        <v>2.5877661141005022</v>
      </c>
      <c r="E141" s="342">
        <f>('Coverage ratios'!$R$27*B141)/((1+'Coverage ratios'!$R$29)^3)</f>
        <v>2.6532766844275408</v>
      </c>
      <c r="F141" s="342">
        <f>('Coverage ratios'!$R$37*B141)/((1+'Coverage ratios'!$R$39)^4)</f>
        <v>2.7179979088757595</v>
      </c>
      <c r="G141" s="342">
        <f>('Coverage ratios'!$R$47*B141)/((1+'Coverage ratios'!$R$49)^5)</f>
        <v>2.8505760344737072</v>
      </c>
      <c r="H141" s="342">
        <f>B141*'APV CALCULATION '!$Q$12</f>
        <v>350.30327960023794</v>
      </c>
      <c r="I141" s="590">
        <f>((SUM(G141:H141)/(1+'APV CALCULATION '!$I$32^5))+F141/(1+'APV CALCULATION '!$H$32^4)+(E141/(1+'APV CALCULATION '!$G$32^3)+(D141/(1+'APV CALCULATION '!$F$32)^2)+(C141/(1+'APV CALCULATION '!$E$32))))</f>
        <v>363.47983128734029</v>
      </c>
      <c r="J141" s="342">
        <f>I141+'APV CALCULATION '!$E$21*(1+'APV CALCULATION '!$M$3-B141)-'APV CALCULATION '!$C$48</f>
        <v>3719.9151346320377</v>
      </c>
      <c r="L141" s="6"/>
      <c r="N141"/>
    </row>
    <row r="142" spans="2:14" x14ac:dyDescent="0.2">
      <c r="B142" s="339">
        <f t="shared" si="10"/>
        <v>0.16800000000000007</v>
      </c>
      <c r="C142" s="342">
        <f>('Coverage ratios'!$R$7*B142)/(1+'Coverage ratios'!$R$9)</f>
        <v>2.497999665425279</v>
      </c>
      <c r="D142" s="342">
        <f>('Coverage ratios'!$R$17*B142)/((1+'Coverage ratios'!$R$19)^2)</f>
        <v>2.6032617195741579</v>
      </c>
      <c r="E142" s="342">
        <f>('Coverage ratios'!$R$27*B142)/((1+'Coverage ratios'!$R$29)^3)</f>
        <v>2.6691645687654302</v>
      </c>
      <c r="F142" s="342">
        <f>('Coverage ratios'!$R$37*B142)/((1+'Coverage ratios'!$R$39)^4)</f>
        <v>2.7342733454558541</v>
      </c>
      <c r="G142" s="342">
        <f>('Coverage ratios'!$R$47*B142)/((1+'Coverage ratios'!$R$49)^5)</f>
        <v>2.8676453520454062</v>
      </c>
      <c r="H142" s="342">
        <f>B142*'APV CALCULATION '!$Q$12</f>
        <v>352.40090402898187</v>
      </c>
      <c r="I142" s="590">
        <f>((SUM(G142:H142)/(1+'APV CALCULATION '!$I$32^5))+F142/(1+'APV CALCULATION '!$H$32^4)+(E142/(1+'APV CALCULATION '!$G$32^3)+(D142/(1+'APV CALCULATION '!$F$32)^2)+(C142/(1+'APV CALCULATION '!$E$32))))</f>
        <v>365.65635722319269</v>
      </c>
      <c r="J142" s="342">
        <f>I142+'APV CALCULATION '!$E$21*(1+'APV CALCULATION '!$M$3-B142)-'APV CALCULATION '!$C$48</f>
        <v>3718.6771790792382</v>
      </c>
      <c r="L142" s="6"/>
      <c r="N142"/>
    </row>
    <row r="143" spans="2:14" x14ac:dyDescent="0.2">
      <c r="B143" s="339">
        <f t="shared" si="10"/>
        <v>0.16900000000000007</v>
      </c>
      <c r="C143" s="342">
        <f>('Coverage ratios'!$R$7*B143)/(1+'Coverage ratios'!$R$9)</f>
        <v>2.5128687110528101</v>
      </c>
      <c r="D143" s="342">
        <f>('Coverage ratios'!$R$17*B143)/((1+'Coverage ratios'!$R$19)^2)</f>
        <v>2.6187573250478136</v>
      </c>
      <c r="E143" s="342">
        <f>('Coverage ratios'!$R$27*B143)/((1+'Coverage ratios'!$R$29)^3)</f>
        <v>2.68505245310332</v>
      </c>
      <c r="F143" s="342">
        <f>('Coverage ratios'!$R$37*B143)/((1+'Coverage ratios'!$R$39)^4)</f>
        <v>2.7505487820359487</v>
      </c>
      <c r="G143" s="342">
        <f>('Coverage ratios'!$R$47*B143)/((1+'Coverage ratios'!$R$49)^5)</f>
        <v>2.8847146696171051</v>
      </c>
      <c r="H143" s="342">
        <f>B143*'APV CALCULATION '!$Q$12</f>
        <v>354.49852845772585</v>
      </c>
      <c r="I143" s="590">
        <f>((SUM(G143:H143)/(1+'APV CALCULATION '!$I$32^5))+F143/(1+'APV CALCULATION '!$H$32^4)+(E143/(1+'APV CALCULATION '!$G$32^3)+(D143/(1+'APV CALCULATION '!$F$32)^2)+(C143/(1+'APV CALCULATION '!$E$32))))</f>
        <v>367.83288315904508</v>
      </c>
      <c r="J143" s="342">
        <f>I143+'APV CALCULATION '!$E$21*(1+'APV CALCULATION '!$M$3-B143)-'APV CALCULATION '!$C$48</f>
        <v>3717.439223526439</v>
      </c>
      <c r="L143" s="6"/>
      <c r="N143"/>
    </row>
    <row r="144" spans="2:14" x14ac:dyDescent="0.2">
      <c r="B144" s="339">
        <f t="shared" si="10"/>
        <v>0.17000000000000007</v>
      </c>
      <c r="C144" s="342">
        <f>('Coverage ratios'!$R$7*B144)/(1+'Coverage ratios'!$R$9)</f>
        <v>2.5277377566803416</v>
      </c>
      <c r="D144" s="342">
        <f>('Coverage ratios'!$R$17*B144)/((1+'Coverage ratios'!$R$19)^2)</f>
        <v>2.6342529305214692</v>
      </c>
      <c r="E144" s="342">
        <f>('Coverage ratios'!$R$27*B144)/((1+'Coverage ratios'!$R$29)^3)</f>
        <v>2.7009403374412098</v>
      </c>
      <c r="F144" s="342">
        <f>('Coverage ratios'!$R$37*B144)/((1+'Coverage ratios'!$R$39)^4)</f>
        <v>2.7668242186160428</v>
      </c>
      <c r="G144" s="342">
        <f>('Coverage ratios'!$R$47*B144)/((1+'Coverage ratios'!$R$49)^5)</f>
        <v>2.9017839871888036</v>
      </c>
      <c r="H144" s="342">
        <f>B144*'APV CALCULATION '!$Q$12</f>
        <v>356.59615288646978</v>
      </c>
      <c r="I144" s="590">
        <f>((SUM(G144:H144)/(1+'APV CALCULATION '!$I$32^5))+F144/(1+'APV CALCULATION '!$H$32^4)+(E144/(1+'APV CALCULATION '!$G$32^3)+(D144/(1+'APV CALCULATION '!$F$32)^2)+(C144/(1+'APV CALCULATION '!$E$32))))</f>
        <v>370.00940909489742</v>
      </c>
      <c r="J144" s="342">
        <f>I144+'APV CALCULATION '!$E$21*(1+'APV CALCULATION '!$M$3-B144)-'APV CALCULATION '!$C$48</f>
        <v>3716.2012679736395</v>
      </c>
      <c r="L144" s="6"/>
      <c r="N144"/>
    </row>
    <row r="145" spans="2:14" x14ac:dyDescent="0.2">
      <c r="B145" s="339">
        <f t="shared" si="10"/>
        <v>0.17100000000000007</v>
      </c>
      <c r="C145" s="342">
        <f>('Coverage ratios'!$R$7*B145)/(1+'Coverage ratios'!$R$9)</f>
        <v>2.5426068023078732</v>
      </c>
      <c r="D145" s="342">
        <f>('Coverage ratios'!$R$17*B145)/((1+'Coverage ratios'!$R$19)^2)</f>
        <v>2.6497485359951249</v>
      </c>
      <c r="E145" s="342">
        <f>('Coverage ratios'!$R$27*B145)/((1+'Coverage ratios'!$R$29)^3)</f>
        <v>2.7168282217790991</v>
      </c>
      <c r="F145" s="342">
        <f>('Coverage ratios'!$R$37*B145)/((1+'Coverage ratios'!$R$39)^4)</f>
        <v>2.7830996551961373</v>
      </c>
      <c r="G145" s="342">
        <f>('Coverage ratios'!$R$47*B145)/((1+'Coverage ratios'!$R$49)^5)</f>
        <v>2.9188533047605025</v>
      </c>
      <c r="H145" s="342">
        <f>B145*'APV CALCULATION '!$Q$12</f>
        <v>358.69377731521371</v>
      </c>
      <c r="I145" s="590">
        <f>((SUM(G145:H145)/(1+'APV CALCULATION '!$I$32^5))+F145/(1+'APV CALCULATION '!$H$32^4)+(E145/(1+'APV CALCULATION '!$G$32^3)+(D145/(1+'APV CALCULATION '!$F$32)^2)+(C145/(1+'APV CALCULATION '!$E$32))))</f>
        <v>372.1859350307497</v>
      </c>
      <c r="J145" s="342">
        <f>I145+'APV CALCULATION '!$E$21*(1+'APV CALCULATION '!$M$3-B145)-'APV CALCULATION '!$C$48</f>
        <v>3714.9633124208399</v>
      </c>
      <c r="L145" s="6"/>
      <c r="N145"/>
    </row>
    <row r="146" spans="2:14" x14ac:dyDescent="0.2">
      <c r="B146" s="339">
        <f t="shared" si="10"/>
        <v>0.17200000000000007</v>
      </c>
      <c r="C146" s="342">
        <f>('Coverage ratios'!$R$7*B146)/(1+'Coverage ratios'!$R$9)</f>
        <v>2.5574758479354043</v>
      </c>
      <c r="D146" s="342">
        <f>('Coverage ratios'!$R$17*B146)/((1+'Coverage ratios'!$R$19)^2)</f>
        <v>2.6652441414687806</v>
      </c>
      <c r="E146" s="342">
        <f>('Coverage ratios'!$R$27*B146)/((1+'Coverage ratios'!$R$29)^3)</f>
        <v>2.7327161061169885</v>
      </c>
      <c r="F146" s="342">
        <f>('Coverage ratios'!$R$37*B146)/((1+'Coverage ratios'!$R$39)^4)</f>
        <v>2.7993750917762319</v>
      </c>
      <c r="G146" s="342">
        <f>('Coverage ratios'!$R$47*B146)/((1+'Coverage ratios'!$R$49)^5)</f>
        <v>2.9359226223322015</v>
      </c>
      <c r="H146" s="342">
        <f>B146*'APV CALCULATION '!$Q$12</f>
        <v>360.79140174395764</v>
      </c>
      <c r="I146" s="590">
        <f>((SUM(G146:H146)/(1+'APV CALCULATION '!$I$32^5))+F146/(1+'APV CALCULATION '!$H$32^4)+(E146/(1+'APV CALCULATION '!$G$32^3)+(D146/(1+'APV CALCULATION '!$F$32)^2)+(C146/(1+'APV CALCULATION '!$E$32))))</f>
        <v>374.36246096660204</v>
      </c>
      <c r="J146" s="342">
        <f>I146+'APV CALCULATION '!$E$21*(1+'APV CALCULATION '!$M$3-B146)-'APV CALCULATION '!$C$48</f>
        <v>3713.7253568680403</v>
      </c>
      <c r="L146" s="6"/>
      <c r="N146"/>
    </row>
    <row r="147" spans="2:14" x14ac:dyDescent="0.2">
      <c r="B147" s="339">
        <f t="shared" si="10"/>
        <v>0.17300000000000007</v>
      </c>
      <c r="C147" s="342">
        <f>('Coverage ratios'!$R$7*B147)/(1+'Coverage ratios'!$R$9)</f>
        <v>2.5723448935629358</v>
      </c>
      <c r="D147" s="342">
        <f>('Coverage ratios'!$R$17*B147)/((1+'Coverage ratios'!$R$19)^2)</f>
        <v>2.6807397469424363</v>
      </c>
      <c r="E147" s="342">
        <f>('Coverage ratios'!$R$27*B147)/((1+'Coverage ratios'!$R$29)^3)</f>
        <v>2.7486039904548782</v>
      </c>
      <c r="F147" s="342">
        <f>('Coverage ratios'!$R$37*B147)/((1+'Coverage ratios'!$R$39)^4)</f>
        <v>2.815650528356326</v>
      </c>
      <c r="G147" s="342">
        <f>('Coverage ratios'!$R$47*B147)/((1+'Coverage ratios'!$R$49)^5)</f>
        <v>2.9529919399039004</v>
      </c>
      <c r="H147" s="342">
        <f>B147*'APV CALCULATION '!$Q$12</f>
        <v>362.88902617270162</v>
      </c>
      <c r="I147" s="590">
        <f>((SUM(G147:H147)/(1+'APV CALCULATION '!$I$32^5))+F147/(1+'APV CALCULATION '!$H$32^4)+(E147/(1+'APV CALCULATION '!$G$32^3)+(D147/(1+'APV CALCULATION '!$F$32)^2)+(C147/(1+'APV CALCULATION '!$E$32))))</f>
        <v>376.53898690245444</v>
      </c>
      <c r="J147" s="342">
        <f>I147+'APV CALCULATION '!$E$21*(1+'APV CALCULATION '!$M$3-B147)-'APV CALCULATION '!$C$48</f>
        <v>3712.4874013152407</v>
      </c>
      <c r="L147" s="6"/>
      <c r="N147"/>
    </row>
    <row r="148" spans="2:14" x14ac:dyDescent="0.2">
      <c r="B148" s="339">
        <f t="shared" si="10"/>
        <v>0.17400000000000007</v>
      </c>
      <c r="C148" s="342">
        <f>('Coverage ratios'!$R$7*B148)/(1+'Coverage ratios'!$R$9)</f>
        <v>2.5872139391904669</v>
      </c>
      <c r="D148" s="342">
        <f>('Coverage ratios'!$R$17*B148)/((1+'Coverage ratios'!$R$19)^2)</f>
        <v>2.696235352416092</v>
      </c>
      <c r="E148" s="342">
        <f>('Coverage ratios'!$R$27*B148)/((1+'Coverage ratios'!$R$29)^3)</f>
        <v>2.7644918747927676</v>
      </c>
      <c r="F148" s="342">
        <f>('Coverage ratios'!$R$37*B148)/((1+'Coverage ratios'!$R$39)^4)</f>
        <v>2.8319259649364206</v>
      </c>
      <c r="G148" s="342">
        <f>('Coverage ratios'!$R$47*B148)/((1+'Coverage ratios'!$R$49)^5)</f>
        <v>2.9700612574755993</v>
      </c>
      <c r="H148" s="342">
        <f>B148*'APV CALCULATION '!$Q$12</f>
        <v>364.98665060144555</v>
      </c>
      <c r="I148" s="590">
        <f>((SUM(G148:H148)/(1+'APV CALCULATION '!$I$32^5))+F148/(1+'APV CALCULATION '!$H$32^4)+(E148/(1+'APV CALCULATION '!$G$32^3)+(D148/(1+'APV CALCULATION '!$F$32)^2)+(C148/(1+'APV CALCULATION '!$E$32))))</f>
        <v>378.71551283830678</v>
      </c>
      <c r="J148" s="342">
        <f>I148+'APV CALCULATION '!$E$21*(1+'APV CALCULATION '!$M$3-B148)-'APV CALCULATION '!$C$48</f>
        <v>3711.2494457624416</v>
      </c>
      <c r="L148" s="6"/>
      <c r="N148"/>
    </row>
    <row r="149" spans="2:14" x14ac:dyDescent="0.2">
      <c r="B149" s="339">
        <f t="shared" si="10"/>
        <v>0.17500000000000007</v>
      </c>
      <c r="C149" s="342">
        <f>('Coverage ratios'!$R$7*B149)/(1+'Coverage ratios'!$R$9)</f>
        <v>2.6020829848179989</v>
      </c>
      <c r="D149" s="342">
        <f>('Coverage ratios'!$R$17*B149)/((1+'Coverage ratios'!$R$19)^2)</f>
        <v>2.7117309578897477</v>
      </c>
      <c r="E149" s="342">
        <f>('Coverage ratios'!$R$27*B149)/((1+'Coverage ratios'!$R$29)^3)</f>
        <v>2.7803797591306569</v>
      </c>
      <c r="F149" s="342">
        <f>('Coverage ratios'!$R$37*B149)/((1+'Coverage ratios'!$R$39)^4)</f>
        <v>2.8482014015165147</v>
      </c>
      <c r="G149" s="342">
        <f>('Coverage ratios'!$R$47*B149)/((1+'Coverage ratios'!$R$49)^5)</f>
        <v>2.9871305750472978</v>
      </c>
      <c r="H149" s="342">
        <f>B149*'APV CALCULATION '!$Q$12</f>
        <v>367.08427503018947</v>
      </c>
      <c r="I149" s="590">
        <f>((SUM(G149:H149)/(1+'APV CALCULATION '!$I$32^5))+F149/(1+'APV CALCULATION '!$H$32^4)+(E149/(1+'APV CALCULATION '!$G$32^3)+(D149/(1+'APV CALCULATION '!$F$32)^2)+(C149/(1+'APV CALCULATION '!$E$32))))</f>
        <v>380.89203877415906</v>
      </c>
      <c r="J149" s="342">
        <f>I149+'APV CALCULATION '!$E$21*(1+'APV CALCULATION '!$M$3-B149)-'APV CALCULATION '!$C$48</f>
        <v>3710.011490209642</v>
      </c>
      <c r="L149" s="6"/>
      <c r="N149"/>
    </row>
    <row r="150" spans="2:14" x14ac:dyDescent="0.2">
      <c r="B150" s="339">
        <f t="shared" si="10"/>
        <v>0.17600000000000007</v>
      </c>
      <c r="C150" s="342">
        <f>('Coverage ratios'!$R$7*B150)/(1+'Coverage ratios'!$R$9)</f>
        <v>2.61695203044553</v>
      </c>
      <c r="D150" s="342">
        <f>('Coverage ratios'!$R$17*B150)/((1+'Coverage ratios'!$R$19)^2)</f>
        <v>2.7272265633634034</v>
      </c>
      <c r="E150" s="342">
        <f>('Coverage ratios'!$R$27*B150)/((1+'Coverage ratios'!$R$29)^3)</f>
        <v>2.7962676434685463</v>
      </c>
      <c r="F150" s="342">
        <f>('Coverage ratios'!$R$37*B150)/((1+'Coverage ratios'!$R$39)^4)</f>
        <v>2.8644768380966092</v>
      </c>
      <c r="G150" s="342">
        <f>('Coverage ratios'!$R$47*B150)/((1+'Coverage ratios'!$R$49)^5)</f>
        <v>3.0041998926189972</v>
      </c>
      <c r="H150" s="342">
        <f>B150*'APV CALCULATION '!$Q$12</f>
        <v>369.1818994589334</v>
      </c>
      <c r="I150" s="590">
        <f>((SUM(G150:H150)/(1+'APV CALCULATION '!$I$32^5))+F150/(1+'APV CALCULATION '!$H$32^4)+(E150/(1+'APV CALCULATION '!$G$32^3)+(D150/(1+'APV CALCULATION '!$F$32)^2)+(C150/(1+'APV CALCULATION '!$E$32))))</f>
        <v>383.0685647100114</v>
      </c>
      <c r="J150" s="342">
        <f>I150+'APV CALCULATION '!$E$21*(1+'APV CALCULATION '!$M$3-B150)-'APV CALCULATION '!$C$48</f>
        <v>3708.7735346568425</v>
      </c>
      <c r="L150" s="6"/>
      <c r="N150"/>
    </row>
    <row r="151" spans="2:14" x14ac:dyDescent="0.2">
      <c r="B151" s="339">
        <f t="shared" si="10"/>
        <v>0.17700000000000007</v>
      </c>
      <c r="C151" s="342">
        <f>('Coverage ratios'!$R$7*B151)/(1+'Coverage ratios'!$R$9)</f>
        <v>2.6318210760730616</v>
      </c>
      <c r="D151" s="342">
        <f>('Coverage ratios'!$R$17*B151)/((1+'Coverage ratios'!$R$19)^2)</f>
        <v>2.7427221688370591</v>
      </c>
      <c r="E151" s="342">
        <f>('Coverage ratios'!$R$27*B151)/((1+'Coverage ratios'!$R$29)^3)</f>
        <v>2.8121555278064361</v>
      </c>
      <c r="F151" s="342">
        <f>('Coverage ratios'!$R$37*B151)/((1+'Coverage ratios'!$R$39)^4)</f>
        <v>2.8807522746767038</v>
      </c>
      <c r="G151" s="342">
        <f>('Coverage ratios'!$R$47*B151)/((1+'Coverage ratios'!$R$49)^5)</f>
        <v>3.0212692101906957</v>
      </c>
      <c r="H151" s="342">
        <f>B151*'APV CALCULATION '!$Q$12</f>
        <v>371.27952388767739</v>
      </c>
      <c r="I151" s="590">
        <f>((SUM(G151:H151)/(1+'APV CALCULATION '!$I$32^5))+F151/(1+'APV CALCULATION '!$H$32^4)+(E151/(1+'APV CALCULATION '!$G$32^3)+(D151/(1+'APV CALCULATION '!$F$32)^2)+(C151/(1+'APV CALCULATION '!$E$32))))</f>
        <v>385.2450906458638</v>
      </c>
      <c r="J151" s="342">
        <f>I151+'APV CALCULATION '!$E$21*(1+'APV CALCULATION '!$M$3-B151)-'APV CALCULATION '!$C$48</f>
        <v>3707.5355791040433</v>
      </c>
      <c r="L151" s="6"/>
      <c r="N151"/>
    </row>
    <row r="152" spans="2:14" x14ac:dyDescent="0.2">
      <c r="B152" s="339">
        <f t="shared" si="10"/>
        <v>0.17800000000000007</v>
      </c>
      <c r="C152" s="342">
        <f>('Coverage ratios'!$R$7*B152)/(1+'Coverage ratios'!$R$9)</f>
        <v>2.6466901217005931</v>
      </c>
      <c r="D152" s="342">
        <f>('Coverage ratios'!$R$17*B152)/((1+'Coverage ratios'!$R$19)^2)</f>
        <v>2.7582177743107148</v>
      </c>
      <c r="E152" s="342">
        <f>('Coverage ratios'!$R$27*B152)/((1+'Coverage ratios'!$R$29)^3)</f>
        <v>2.8280434121443254</v>
      </c>
      <c r="F152" s="342">
        <f>('Coverage ratios'!$R$37*B152)/((1+'Coverage ratios'!$R$39)^4)</f>
        <v>2.8970277112567979</v>
      </c>
      <c r="G152" s="342">
        <f>('Coverage ratios'!$R$47*B152)/((1+'Coverage ratios'!$R$49)^5)</f>
        <v>3.0383385277623947</v>
      </c>
      <c r="H152" s="342">
        <f>B152*'APV CALCULATION '!$Q$12</f>
        <v>373.37714831642131</v>
      </c>
      <c r="I152" s="590">
        <f>((SUM(G152:H152)/(1+'APV CALCULATION '!$I$32^5))+F152/(1+'APV CALCULATION '!$H$32^4)+(E152/(1+'APV CALCULATION '!$G$32^3)+(D152/(1+'APV CALCULATION '!$F$32)^2)+(C152/(1+'APV CALCULATION '!$E$32))))</f>
        <v>387.42161658171614</v>
      </c>
      <c r="J152" s="342">
        <f>I152+'APV CALCULATION '!$E$21*(1+'APV CALCULATION '!$M$3-B152)-'APV CALCULATION '!$C$48</f>
        <v>3706.2976235512438</v>
      </c>
      <c r="L152" s="6"/>
      <c r="N152"/>
    </row>
    <row r="153" spans="2:14" x14ac:dyDescent="0.2">
      <c r="B153" s="339">
        <f t="shared" si="10"/>
        <v>0.17900000000000008</v>
      </c>
      <c r="C153" s="342">
        <f>('Coverage ratios'!$R$7*B153)/(1+'Coverage ratios'!$R$9)</f>
        <v>2.6615591673281247</v>
      </c>
      <c r="D153" s="342">
        <f>('Coverage ratios'!$R$17*B153)/((1+'Coverage ratios'!$R$19)^2)</f>
        <v>2.7737133797843705</v>
      </c>
      <c r="E153" s="342">
        <f>('Coverage ratios'!$R$27*B153)/((1+'Coverage ratios'!$R$29)^3)</f>
        <v>2.8439312964822148</v>
      </c>
      <c r="F153" s="342">
        <f>('Coverage ratios'!$R$37*B153)/((1+'Coverage ratios'!$R$39)^4)</f>
        <v>2.9133031478368925</v>
      </c>
      <c r="G153" s="342">
        <f>('Coverage ratios'!$R$47*B153)/((1+'Coverage ratios'!$R$49)^5)</f>
        <v>3.0554078453340932</v>
      </c>
      <c r="H153" s="342">
        <f>B153*'APV CALCULATION '!$Q$12</f>
        <v>375.47477274516524</v>
      </c>
      <c r="I153" s="590">
        <f>((SUM(G153:H153)/(1+'APV CALCULATION '!$I$32^5))+F153/(1+'APV CALCULATION '!$H$32^4)+(E153/(1+'APV CALCULATION '!$G$32^3)+(D153/(1+'APV CALCULATION '!$F$32)^2)+(C153/(1+'APV CALCULATION '!$E$32))))</f>
        <v>389.59814251756848</v>
      </c>
      <c r="J153" s="342">
        <f>I153+'APV CALCULATION '!$E$21*(1+'APV CALCULATION '!$M$3-B153)-'APV CALCULATION '!$C$48</f>
        <v>3705.0596679984446</v>
      </c>
      <c r="L153" s="6"/>
      <c r="N153"/>
    </row>
    <row r="154" spans="2:14" x14ac:dyDescent="0.2">
      <c r="B154" s="339">
        <f t="shared" si="10"/>
        <v>0.18000000000000008</v>
      </c>
      <c r="C154" s="342">
        <f>('Coverage ratios'!$R$7*B154)/(1+'Coverage ratios'!$R$9)</f>
        <v>2.6764282129556558</v>
      </c>
      <c r="D154" s="342">
        <f>('Coverage ratios'!$R$17*B154)/((1+'Coverage ratios'!$R$19)^2)</f>
        <v>2.7892089852580262</v>
      </c>
      <c r="E154" s="342">
        <f>('Coverage ratios'!$R$27*B154)/((1+'Coverage ratios'!$R$29)^3)</f>
        <v>2.8598191808201041</v>
      </c>
      <c r="F154" s="342">
        <f>('Coverage ratios'!$R$37*B154)/((1+'Coverage ratios'!$R$39)^4)</f>
        <v>2.9295785844169866</v>
      </c>
      <c r="G154" s="342">
        <f>('Coverage ratios'!$R$47*B154)/((1+'Coverage ratios'!$R$49)^5)</f>
        <v>3.0724771629057921</v>
      </c>
      <c r="H154" s="342">
        <f>B154*'APV CALCULATION '!$Q$12</f>
        <v>377.57239717390917</v>
      </c>
      <c r="I154" s="590">
        <f>((SUM(G154:H154)/(1+'APV CALCULATION '!$I$32^5))+F154/(1+'APV CALCULATION '!$H$32^4)+(E154/(1+'APV CALCULATION '!$G$32^3)+(D154/(1+'APV CALCULATION '!$F$32)^2)+(C154/(1+'APV CALCULATION '!$E$32))))</f>
        <v>391.77466845342076</v>
      </c>
      <c r="J154" s="342">
        <f>I154+'APV CALCULATION '!$E$21*(1+'APV CALCULATION '!$M$3-B154)-'APV CALCULATION '!$C$48</f>
        <v>3703.8217124456451</v>
      </c>
      <c r="L154" s="6"/>
      <c r="N154"/>
    </row>
    <row r="155" spans="2:14" x14ac:dyDescent="0.2">
      <c r="B155" s="339">
        <f t="shared" si="10"/>
        <v>0.18100000000000008</v>
      </c>
      <c r="C155" s="342">
        <f>('Coverage ratios'!$R$7*B155)/(1+'Coverage ratios'!$R$9)</f>
        <v>2.6912972585831874</v>
      </c>
      <c r="D155" s="342">
        <f>('Coverage ratios'!$R$17*B155)/((1+'Coverage ratios'!$R$19)^2)</f>
        <v>2.8047045907316819</v>
      </c>
      <c r="E155" s="342">
        <f>('Coverage ratios'!$R$27*B155)/((1+'Coverage ratios'!$R$29)^3)</f>
        <v>2.8757070651579939</v>
      </c>
      <c r="F155" s="342">
        <f>('Coverage ratios'!$R$37*B155)/((1+'Coverage ratios'!$R$39)^4)</f>
        <v>2.9458540209970807</v>
      </c>
      <c r="G155" s="342">
        <f>('Coverage ratios'!$R$47*B155)/((1+'Coverage ratios'!$R$49)^5)</f>
        <v>3.0895464804774915</v>
      </c>
      <c r="H155" s="342">
        <f>B155*'APV CALCULATION '!$Q$12</f>
        <v>379.67002160265315</v>
      </c>
      <c r="I155" s="590">
        <f>((SUM(G155:H155)/(1+'APV CALCULATION '!$I$32^5))+F155/(1+'APV CALCULATION '!$H$32^4)+(E155/(1+'APV CALCULATION '!$G$32^3)+(D155/(1+'APV CALCULATION '!$F$32)^2)+(C155/(1+'APV CALCULATION '!$E$32))))</f>
        <v>393.95119438927316</v>
      </c>
      <c r="J155" s="342">
        <f>I155+'APV CALCULATION '!$E$21*(1+'APV CALCULATION '!$M$3-B155)-'APV CALCULATION '!$C$48</f>
        <v>3702.5837568928455</v>
      </c>
      <c r="L155" s="6"/>
      <c r="N155"/>
    </row>
    <row r="156" spans="2:14" x14ac:dyDescent="0.2">
      <c r="B156" s="339">
        <f t="shared" si="10"/>
        <v>0.18200000000000008</v>
      </c>
      <c r="C156" s="342">
        <f>('Coverage ratios'!$R$7*B156)/(1+'Coverage ratios'!$R$9)</f>
        <v>2.7061663042107189</v>
      </c>
      <c r="D156" s="342">
        <f>('Coverage ratios'!$R$17*B156)/((1+'Coverage ratios'!$R$19)^2)</f>
        <v>2.820200196205338</v>
      </c>
      <c r="E156" s="342">
        <f>('Coverage ratios'!$R$27*B156)/((1+'Coverage ratios'!$R$29)^3)</f>
        <v>2.8915949494958832</v>
      </c>
      <c r="F156" s="342">
        <f>('Coverage ratios'!$R$37*B156)/((1+'Coverage ratios'!$R$39)^4)</f>
        <v>2.9621294575771753</v>
      </c>
      <c r="G156" s="342">
        <f>('Coverage ratios'!$R$47*B156)/((1+'Coverage ratios'!$R$49)^5)</f>
        <v>3.10661579804919</v>
      </c>
      <c r="H156" s="342">
        <f>B156*'APV CALCULATION '!$Q$12</f>
        <v>381.76764603139708</v>
      </c>
      <c r="I156" s="590">
        <f>((SUM(G156:H156)/(1+'APV CALCULATION '!$I$32^5))+F156/(1+'APV CALCULATION '!$H$32^4)+(E156/(1+'APV CALCULATION '!$G$32^3)+(D156/(1+'APV CALCULATION '!$F$32)^2)+(C156/(1+'APV CALCULATION '!$E$32))))</f>
        <v>396.12772032512544</v>
      </c>
      <c r="J156" s="342">
        <f>I156+'APV CALCULATION '!$E$21*(1+'APV CALCULATION '!$M$3-B156)-'APV CALCULATION '!$C$48</f>
        <v>3701.3458013400459</v>
      </c>
      <c r="L156" s="6"/>
      <c r="N156"/>
    </row>
    <row r="157" spans="2:14" x14ac:dyDescent="0.2">
      <c r="B157" s="339">
        <f t="shared" si="10"/>
        <v>0.18300000000000008</v>
      </c>
      <c r="C157" s="342">
        <f>('Coverage ratios'!$R$7*B157)/(1+'Coverage ratios'!$R$9)</f>
        <v>2.72103534983825</v>
      </c>
      <c r="D157" s="342">
        <f>('Coverage ratios'!$R$17*B157)/((1+'Coverage ratios'!$R$19)^2)</f>
        <v>2.8356958016789937</v>
      </c>
      <c r="E157" s="342">
        <f>('Coverage ratios'!$R$27*B157)/((1+'Coverage ratios'!$R$29)^3)</f>
        <v>2.9074828338337726</v>
      </c>
      <c r="F157" s="342">
        <f>('Coverage ratios'!$R$37*B157)/((1+'Coverage ratios'!$R$39)^4)</f>
        <v>2.9784048941572694</v>
      </c>
      <c r="G157" s="342">
        <f>('Coverage ratios'!$R$47*B157)/((1+'Coverage ratios'!$R$49)^5)</f>
        <v>3.1236851156208889</v>
      </c>
      <c r="H157" s="342">
        <f>B157*'APV CALCULATION '!$Q$12</f>
        <v>383.86527046014101</v>
      </c>
      <c r="I157" s="590">
        <f>((SUM(G157:H157)/(1+'APV CALCULATION '!$I$32^5))+F157/(1+'APV CALCULATION '!$H$32^4)+(E157/(1+'APV CALCULATION '!$G$32^3)+(D157/(1+'APV CALCULATION '!$F$32)^2)+(C157/(1+'APV CALCULATION '!$E$32))))</f>
        <v>398.30424626097783</v>
      </c>
      <c r="J157" s="342">
        <f>I157+'APV CALCULATION '!$E$21*(1+'APV CALCULATION '!$M$3-B157)-'APV CALCULATION '!$C$48</f>
        <v>3700.1078457872468</v>
      </c>
      <c r="L157" s="6"/>
      <c r="N157"/>
    </row>
    <row r="158" spans="2:14" x14ac:dyDescent="0.2">
      <c r="B158" s="339">
        <f t="shared" si="10"/>
        <v>0.18400000000000008</v>
      </c>
      <c r="C158" s="342">
        <f>('Coverage ratios'!$R$7*B158)/(1+'Coverage ratios'!$R$9)</f>
        <v>2.7359043954657816</v>
      </c>
      <c r="D158" s="342">
        <f>('Coverage ratios'!$R$17*B158)/((1+'Coverage ratios'!$R$19)^2)</f>
        <v>2.8511914071526494</v>
      </c>
      <c r="E158" s="342">
        <f>('Coverage ratios'!$R$27*B158)/((1+'Coverage ratios'!$R$29)^3)</f>
        <v>2.9233707181716619</v>
      </c>
      <c r="F158" s="342">
        <f>('Coverage ratios'!$R$37*B158)/((1+'Coverage ratios'!$R$39)^4)</f>
        <v>2.9946803307373639</v>
      </c>
      <c r="G158" s="342">
        <f>('Coverage ratios'!$R$47*B158)/((1+'Coverage ratios'!$R$49)^5)</f>
        <v>3.1407544331925874</v>
      </c>
      <c r="H158" s="342">
        <f>B158*'APV CALCULATION '!$Q$12</f>
        <v>385.96289488888493</v>
      </c>
      <c r="I158" s="590">
        <f>((SUM(G158:H158)/(1+'APV CALCULATION '!$I$32^5))+F158/(1+'APV CALCULATION '!$H$32^4)+(E158/(1+'APV CALCULATION '!$G$32^3)+(D158/(1+'APV CALCULATION '!$F$32)^2)+(C158/(1+'APV CALCULATION '!$E$32))))</f>
        <v>400.48077219683012</v>
      </c>
      <c r="J158" s="342">
        <f>I158+'APV CALCULATION '!$E$21*(1+'APV CALCULATION '!$M$3-B158)-'APV CALCULATION '!$C$48</f>
        <v>3698.8698902344468</v>
      </c>
      <c r="L158" s="6"/>
      <c r="N158"/>
    </row>
    <row r="159" spans="2:14" x14ac:dyDescent="0.2">
      <c r="B159" s="339">
        <f t="shared" si="10"/>
        <v>0.18500000000000008</v>
      </c>
      <c r="C159" s="342">
        <f>('Coverage ratios'!$R$7*B159)/(1+'Coverage ratios'!$R$9)</f>
        <v>2.7507734410933127</v>
      </c>
      <c r="D159" s="342">
        <f>('Coverage ratios'!$R$17*B159)/((1+'Coverage ratios'!$R$19)^2)</f>
        <v>2.8666870126263051</v>
      </c>
      <c r="E159" s="342">
        <f>('Coverage ratios'!$R$27*B159)/((1+'Coverage ratios'!$R$29)^3)</f>
        <v>2.9392586025095517</v>
      </c>
      <c r="F159" s="342">
        <f>('Coverage ratios'!$R$37*B159)/((1+'Coverage ratios'!$R$39)^4)</f>
        <v>3.0109557673174585</v>
      </c>
      <c r="G159" s="342">
        <f>('Coverage ratios'!$R$47*B159)/((1+'Coverage ratios'!$R$49)^5)</f>
        <v>3.1578237507642868</v>
      </c>
      <c r="H159" s="342">
        <f>B159*'APV CALCULATION '!$Q$12</f>
        <v>388.06051931762886</v>
      </c>
      <c r="I159" s="590">
        <f>((SUM(G159:H159)/(1+'APV CALCULATION '!$I$32^5))+F159/(1+'APV CALCULATION '!$H$32^4)+(E159/(1+'APV CALCULATION '!$G$32^3)+(D159/(1+'APV CALCULATION '!$F$32)^2)+(C159/(1+'APV CALCULATION '!$E$32))))</f>
        <v>402.6572981326824</v>
      </c>
      <c r="J159" s="342">
        <f>I159+'APV CALCULATION '!$E$21*(1+'APV CALCULATION '!$M$3-B159)-'APV CALCULATION '!$C$48</f>
        <v>3697.6319346816472</v>
      </c>
      <c r="L159" s="6"/>
      <c r="N159"/>
    </row>
    <row r="160" spans="2:14" x14ac:dyDescent="0.2">
      <c r="B160" s="339">
        <f t="shared" si="10"/>
        <v>0.18600000000000008</v>
      </c>
      <c r="C160" s="342">
        <f>('Coverage ratios'!$R$7*B160)/(1+'Coverage ratios'!$R$9)</f>
        <v>2.7656424867208447</v>
      </c>
      <c r="D160" s="342">
        <f>('Coverage ratios'!$R$17*B160)/((1+'Coverage ratios'!$R$19)^2)</f>
        <v>2.8821826180999608</v>
      </c>
      <c r="E160" s="342">
        <f>('Coverage ratios'!$R$27*B160)/((1+'Coverage ratios'!$R$29)^3)</f>
        <v>2.9551464868474411</v>
      </c>
      <c r="F160" s="342">
        <f>('Coverage ratios'!$R$37*B160)/((1+'Coverage ratios'!$R$39)^4)</f>
        <v>3.0272312038975526</v>
      </c>
      <c r="G160" s="342">
        <f>('Coverage ratios'!$R$47*B160)/((1+'Coverage ratios'!$R$49)^5)</f>
        <v>3.1748930683359857</v>
      </c>
      <c r="H160" s="342">
        <f>B160*'APV CALCULATION '!$Q$12</f>
        <v>390.15814374637284</v>
      </c>
      <c r="I160" s="590">
        <f>((SUM(G160:H160)/(1+'APV CALCULATION '!$I$32^5))+F160/(1+'APV CALCULATION '!$H$32^4)+(E160/(1+'APV CALCULATION '!$G$32^3)+(D160/(1+'APV CALCULATION '!$F$32)^2)+(C160/(1+'APV CALCULATION '!$E$32))))</f>
        <v>404.83382406853474</v>
      </c>
      <c r="J160" s="342">
        <f>I160+'APV CALCULATION '!$E$21*(1+'APV CALCULATION '!$M$3-B160)-'APV CALCULATION '!$C$48</f>
        <v>3696.3939791288481</v>
      </c>
      <c r="L160" s="6"/>
      <c r="N160"/>
    </row>
    <row r="161" spans="2:14" x14ac:dyDescent="0.2">
      <c r="B161" s="339">
        <f t="shared" si="10"/>
        <v>0.18700000000000008</v>
      </c>
      <c r="C161" s="342">
        <f>('Coverage ratios'!$R$7*B161)/(1+'Coverage ratios'!$R$9)</f>
        <v>2.7805115323483758</v>
      </c>
      <c r="D161" s="342">
        <f>('Coverage ratios'!$R$17*B161)/((1+'Coverage ratios'!$R$19)^2)</f>
        <v>2.8976782235736165</v>
      </c>
      <c r="E161" s="342">
        <f>('Coverage ratios'!$R$27*B161)/((1+'Coverage ratios'!$R$29)^3)</f>
        <v>2.9710343711853304</v>
      </c>
      <c r="F161" s="342">
        <f>('Coverage ratios'!$R$37*B161)/((1+'Coverage ratios'!$R$39)^4)</f>
        <v>3.0435066404776472</v>
      </c>
      <c r="G161" s="342">
        <f>('Coverage ratios'!$R$47*B161)/((1+'Coverage ratios'!$R$49)^5)</f>
        <v>3.1919623859076842</v>
      </c>
      <c r="H161" s="342">
        <f>B161*'APV CALCULATION '!$Q$12</f>
        <v>392.25576817511677</v>
      </c>
      <c r="I161" s="590">
        <f>((SUM(G161:H161)/(1+'APV CALCULATION '!$I$32^5))+F161/(1+'APV CALCULATION '!$H$32^4)+(E161/(1+'APV CALCULATION '!$G$32^3)+(D161/(1+'APV CALCULATION '!$F$32)^2)+(C161/(1+'APV CALCULATION '!$E$32))))</f>
        <v>407.01035000438708</v>
      </c>
      <c r="J161" s="342">
        <f>I161+'APV CALCULATION '!$E$21*(1+'APV CALCULATION '!$M$3-B161)-'APV CALCULATION '!$C$48</f>
        <v>3695.1560235760485</v>
      </c>
      <c r="L161" s="6"/>
      <c r="N161"/>
    </row>
    <row r="162" spans="2:14" x14ac:dyDescent="0.2">
      <c r="B162" s="339">
        <f t="shared" si="10"/>
        <v>0.18800000000000008</v>
      </c>
      <c r="C162" s="342">
        <f>('Coverage ratios'!$R$7*B162)/(1+'Coverage ratios'!$R$9)</f>
        <v>2.7953805779759073</v>
      </c>
      <c r="D162" s="342">
        <f>('Coverage ratios'!$R$17*B162)/((1+'Coverage ratios'!$R$19)^2)</f>
        <v>2.9131738290472717</v>
      </c>
      <c r="E162" s="342">
        <f>('Coverage ratios'!$R$27*B162)/((1+'Coverage ratios'!$R$29)^3)</f>
        <v>2.9869222555232198</v>
      </c>
      <c r="F162" s="342">
        <f>('Coverage ratios'!$R$37*B162)/((1+'Coverage ratios'!$R$39)^4)</f>
        <v>3.0597820770577417</v>
      </c>
      <c r="G162" s="342">
        <f>('Coverage ratios'!$R$47*B162)/((1+'Coverage ratios'!$R$49)^5)</f>
        <v>3.2090317034793832</v>
      </c>
      <c r="H162" s="342">
        <f>B162*'APV CALCULATION '!$Q$12</f>
        <v>394.3533926038607</v>
      </c>
      <c r="I162" s="590">
        <f>((SUM(G162:H162)/(1+'APV CALCULATION '!$I$32^5))+F162/(1+'APV CALCULATION '!$H$32^4)+(E162/(1+'APV CALCULATION '!$G$32^3)+(D162/(1+'APV CALCULATION '!$F$32)^2)+(C162/(1+'APV CALCULATION '!$E$32))))</f>
        <v>409.18687594023947</v>
      </c>
      <c r="J162" s="342">
        <f>I162+'APV CALCULATION '!$E$21*(1+'APV CALCULATION '!$M$3-B162)-'APV CALCULATION '!$C$48</f>
        <v>3693.9180680232494</v>
      </c>
      <c r="L162" s="6"/>
      <c r="N162"/>
    </row>
    <row r="163" spans="2:14" x14ac:dyDescent="0.2">
      <c r="B163" s="339">
        <f t="shared" si="10"/>
        <v>0.18900000000000008</v>
      </c>
      <c r="C163" s="342">
        <f>('Coverage ratios'!$R$7*B163)/(1+'Coverage ratios'!$R$9)</f>
        <v>2.8102496236034384</v>
      </c>
      <c r="D163" s="342">
        <f>('Coverage ratios'!$R$17*B163)/((1+'Coverage ratios'!$R$19)^2)</f>
        <v>2.9286694345209274</v>
      </c>
      <c r="E163" s="342">
        <f>('Coverage ratios'!$R$27*B163)/((1+'Coverage ratios'!$R$29)^3)</f>
        <v>3.0028101398611096</v>
      </c>
      <c r="F163" s="342">
        <f>('Coverage ratios'!$R$37*B163)/((1+'Coverage ratios'!$R$39)^4)</f>
        <v>3.0760575136378359</v>
      </c>
      <c r="G163" s="342">
        <f>('Coverage ratios'!$R$47*B163)/((1+'Coverage ratios'!$R$49)^5)</f>
        <v>3.2261010210510821</v>
      </c>
      <c r="H163" s="342">
        <f>B163*'APV CALCULATION '!$Q$12</f>
        <v>396.45101703260463</v>
      </c>
      <c r="I163" s="590">
        <f>((SUM(G163:H163)/(1+'APV CALCULATION '!$I$32^5))+F163/(1+'APV CALCULATION '!$H$32^4)+(E163/(1+'APV CALCULATION '!$G$32^3)+(D163/(1+'APV CALCULATION '!$F$32)^2)+(C163/(1+'APV CALCULATION '!$E$32))))</f>
        <v>411.36340187609181</v>
      </c>
      <c r="J163" s="342">
        <f>I163+'APV CALCULATION '!$E$21*(1+'APV CALCULATION '!$M$3-B163)-'APV CALCULATION '!$C$48</f>
        <v>3692.6801124704498</v>
      </c>
      <c r="L163" s="6"/>
      <c r="N163"/>
    </row>
    <row r="164" spans="2:14" x14ac:dyDescent="0.2">
      <c r="B164" s="339">
        <f t="shared" si="10"/>
        <v>0.19000000000000009</v>
      </c>
      <c r="C164" s="342">
        <f>('Coverage ratios'!$R$7*B164)/(1+'Coverage ratios'!$R$9)</f>
        <v>2.8251186692309704</v>
      </c>
      <c r="D164" s="342">
        <f>('Coverage ratios'!$R$17*B164)/((1+'Coverage ratios'!$R$19)^2)</f>
        <v>2.9441650399945831</v>
      </c>
      <c r="E164" s="342">
        <f>('Coverage ratios'!$R$27*B164)/((1+'Coverage ratios'!$R$29)^3)</f>
        <v>3.0186980241989989</v>
      </c>
      <c r="F164" s="342">
        <f>('Coverage ratios'!$R$37*B164)/((1+'Coverage ratios'!$R$39)^4)</f>
        <v>3.0923329502179304</v>
      </c>
      <c r="G164" s="342">
        <f>('Coverage ratios'!$R$47*B164)/((1+'Coverage ratios'!$R$49)^5)</f>
        <v>3.243170338622781</v>
      </c>
      <c r="H164" s="342">
        <f>B164*'APV CALCULATION '!$Q$12</f>
        <v>398.54864146134861</v>
      </c>
      <c r="I164" s="590">
        <f>((SUM(G164:H164)/(1+'APV CALCULATION '!$I$32^5))+F164/(1+'APV CALCULATION '!$H$32^4)+(E164/(1+'APV CALCULATION '!$G$32^3)+(D164/(1+'APV CALCULATION '!$F$32)^2)+(C164/(1+'APV CALCULATION '!$E$32))))</f>
        <v>413.53992781194421</v>
      </c>
      <c r="J164" s="342">
        <f>I164+'APV CALCULATION '!$E$21*(1+'APV CALCULATION '!$M$3-B164)-'APV CALCULATION '!$C$48</f>
        <v>3691.4421569176507</v>
      </c>
      <c r="L164" s="6"/>
      <c r="N164"/>
    </row>
    <row r="165" spans="2:14" x14ac:dyDescent="0.2">
      <c r="B165" s="339">
        <f t="shared" si="10"/>
        <v>0.19100000000000009</v>
      </c>
      <c r="C165" s="342">
        <f>('Coverage ratios'!$R$7*B165)/(1+'Coverage ratios'!$R$9)</f>
        <v>2.8399877148585015</v>
      </c>
      <c r="D165" s="342">
        <f>('Coverage ratios'!$R$17*B165)/((1+'Coverage ratios'!$R$19)^2)</f>
        <v>2.9596606454682388</v>
      </c>
      <c r="E165" s="342">
        <f>('Coverage ratios'!$R$27*B165)/((1+'Coverage ratios'!$R$29)^3)</f>
        <v>3.0345859085368883</v>
      </c>
      <c r="F165" s="342">
        <f>('Coverage ratios'!$R$37*B165)/((1+'Coverage ratios'!$R$39)^4)</f>
        <v>3.1086083867980245</v>
      </c>
      <c r="G165" s="342">
        <f>('Coverage ratios'!$R$47*B165)/((1+'Coverage ratios'!$R$49)^5)</f>
        <v>3.2602396561944795</v>
      </c>
      <c r="H165" s="342">
        <f>B165*'APV CALCULATION '!$Q$12</f>
        <v>400.64626589009254</v>
      </c>
      <c r="I165" s="590">
        <f>((SUM(G165:H165)/(1+'APV CALCULATION '!$I$32^5))+F165/(1+'APV CALCULATION '!$H$32^4)+(E165/(1+'APV CALCULATION '!$G$32^3)+(D165/(1+'APV CALCULATION '!$F$32)^2)+(C165/(1+'APV CALCULATION '!$E$32))))</f>
        <v>415.71645374779649</v>
      </c>
      <c r="J165" s="342">
        <f>I165+'APV CALCULATION '!$E$21*(1+'APV CALCULATION '!$M$3-B165)-'APV CALCULATION '!$C$48</f>
        <v>3690.2042013648511</v>
      </c>
      <c r="L165" s="6"/>
      <c r="N165"/>
    </row>
    <row r="166" spans="2:14" x14ac:dyDescent="0.2">
      <c r="B166" s="339">
        <f t="shared" si="10"/>
        <v>0.19200000000000009</v>
      </c>
      <c r="C166" s="342">
        <f>('Coverage ratios'!$R$7*B166)/(1+'Coverage ratios'!$R$9)</f>
        <v>2.8548567604860331</v>
      </c>
      <c r="D166" s="342">
        <f>('Coverage ratios'!$R$17*B166)/((1+'Coverage ratios'!$R$19)^2)</f>
        <v>2.9751562509418945</v>
      </c>
      <c r="E166" s="342">
        <f>('Coverage ratios'!$R$27*B166)/((1+'Coverage ratios'!$R$29)^3)</f>
        <v>3.0504737928747776</v>
      </c>
      <c r="F166" s="342">
        <f>('Coverage ratios'!$R$37*B166)/((1+'Coverage ratios'!$R$39)^4)</f>
        <v>3.1248838233781191</v>
      </c>
      <c r="G166" s="342">
        <f>('Coverage ratios'!$R$47*B166)/((1+'Coverage ratios'!$R$49)^5)</f>
        <v>3.2773089737661785</v>
      </c>
      <c r="H166" s="342">
        <f>B166*'APV CALCULATION '!$Q$12</f>
        <v>402.74389031883646</v>
      </c>
      <c r="I166" s="590">
        <f>((SUM(G166:H166)/(1+'APV CALCULATION '!$I$32^5))+F166/(1+'APV CALCULATION '!$H$32^4)+(E166/(1+'APV CALCULATION '!$G$32^3)+(D166/(1+'APV CALCULATION '!$F$32)^2)+(C166/(1+'APV CALCULATION '!$E$32))))</f>
        <v>417.89297968364883</v>
      </c>
      <c r="J166" s="342">
        <f>I166+'APV CALCULATION '!$E$21*(1+'APV CALCULATION '!$M$3-B166)-'APV CALCULATION '!$C$48</f>
        <v>3688.9662458120515</v>
      </c>
      <c r="L166" s="6"/>
      <c r="N166"/>
    </row>
    <row r="167" spans="2:14" x14ac:dyDescent="0.2">
      <c r="B167" s="339">
        <f t="shared" si="10"/>
        <v>0.19300000000000009</v>
      </c>
      <c r="C167" s="342">
        <f>('Coverage ratios'!$R$7*B167)/(1+'Coverage ratios'!$R$9)</f>
        <v>2.8697258061135646</v>
      </c>
      <c r="D167" s="342">
        <f>('Coverage ratios'!$R$17*B167)/((1+'Coverage ratios'!$R$19)^2)</f>
        <v>2.9906518564155506</v>
      </c>
      <c r="E167" s="342">
        <f>('Coverage ratios'!$R$27*B167)/((1+'Coverage ratios'!$R$29)^3)</f>
        <v>3.0663616772126674</v>
      </c>
      <c r="F167" s="342">
        <f>('Coverage ratios'!$R$37*B167)/((1+'Coverage ratios'!$R$39)^4)</f>
        <v>3.1411592599582137</v>
      </c>
      <c r="G167" s="342">
        <f>('Coverage ratios'!$R$47*B167)/((1+'Coverage ratios'!$R$49)^5)</f>
        <v>3.2943782913378774</v>
      </c>
      <c r="H167" s="342">
        <f>B167*'APV CALCULATION '!$Q$12</f>
        <v>404.84151474758039</v>
      </c>
      <c r="I167" s="590">
        <f>((SUM(G167:H167)/(1+'APV CALCULATION '!$I$32^5))+F167/(1+'APV CALCULATION '!$H$32^4)+(E167/(1+'APV CALCULATION '!$G$32^3)+(D167/(1+'APV CALCULATION '!$F$32)^2)+(C167/(1+'APV CALCULATION '!$E$32))))</f>
        <v>420.06950561950117</v>
      </c>
      <c r="J167" s="342">
        <f>I167+'APV CALCULATION '!$E$21*(1+'APV CALCULATION '!$M$3-B167)-'APV CALCULATION '!$C$48</f>
        <v>3687.7282902592524</v>
      </c>
      <c r="L167" s="6"/>
      <c r="N167"/>
    </row>
    <row r="168" spans="2:14" x14ac:dyDescent="0.2">
      <c r="B168" s="339">
        <f t="shared" si="10"/>
        <v>0.19400000000000009</v>
      </c>
      <c r="C168" s="342">
        <f>('Coverage ratios'!$R$7*B168)/(1+'Coverage ratios'!$R$9)</f>
        <v>2.8845948517410958</v>
      </c>
      <c r="D168" s="342">
        <f>('Coverage ratios'!$R$17*B168)/((1+'Coverage ratios'!$R$19)^2)</f>
        <v>3.0061474618892063</v>
      </c>
      <c r="E168" s="342">
        <f>('Coverage ratios'!$R$27*B168)/((1+'Coverage ratios'!$R$29)^3)</f>
        <v>3.0822495615505567</v>
      </c>
      <c r="F168" s="342">
        <f>('Coverage ratios'!$R$37*B168)/((1+'Coverage ratios'!$R$39)^4)</f>
        <v>3.1574346965383078</v>
      </c>
      <c r="G168" s="342">
        <f>('Coverage ratios'!$R$47*B168)/((1+'Coverage ratios'!$R$49)^5)</f>
        <v>3.3114476089095763</v>
      </c>
      <c r="H168" s="342">
        <f>B168*'APV CALCULATION '!$Q$12</f>
        <v>406.93913917632437</v>
      </c>
      <c r="I168" s="590">
        <f>((SUM(G168:H168)/(1+'APV CALCULATION '!$I$32^5))+F168/(1+'APV CALCULATION '!$H$32^4)+(E168/(1+'APV CALCULATION '!$G$32^3)+(D168/(1+'APV CALCULATION '!$F$32)^2)+(C168/(1+'APV CALCULATION '!$E$32))))</f>
        <v>422.24603155535357</v>
      </c>
      <c r="J168" s="342">
        <f>I168+'APV CALCULATION '!$E$21*(1+'APV CALCULATION '!$M$3-B168)-'APV CALCULATION '!$C$48</f>
        <v>3686.4903347064528</v>
      </c>
      <c r="L168" s="6"/>
      <c r="N168"/>
    </row>
    <row r="169" spans="2:14" x14ac:dyDescent="0.2">
      <c r="B169" s="339">
        <f t="shared" si="10"/>
        <v>0.19500000000000009</v>
      </c>
      <c r="C169" s="342">
        <f>('Coverage ratios'!$R$7*B169)/(1+'Coverage ratios'!$R$9)</f>
        <v>2.8994638973686273</v>
      </c>
      <c r="D169" s="342">
        <f>('Coverage ratios'!$R$17*B169)/((1+'Coverage ratios'!$R$19)^2)</f>
        <v>3.021643067362862</v>
      </c>
      <c r="E169" s="342">
        <f>('Coverage ratios'!$R$27*B169)/((1+'Coverage ratios'!$R$29)^3)</f>
        <v>3.0981374458884461</v>
      </c>
      <c r="F169" s="342">
        <f>('Coverage ratios'!$R$37*B169)/((1+'Coverage ratios'!$R$39)^4)</f>
        <v>3.1737101331184023</v>
      </c>
      <c r="G169" s="342">
        <f>('Coverage ratios'!$R$47*B169)/((1+'Coverage ratios'!$R$49)^5)</f>
        <v>3.3285169264812753</v>
      </c>
      <c r="H169" s="342">
        <f>B169*'APV CALCULATION '!$Q$12</f>
        <v>409.0367636050683</v>
      </c>
      <c r="I169" s="590">
        <f>((SUM(G169:H169)/(1+'APV CALCULATION '!$I$32^5))+F169/(1+'APV CALCULATION '!$H$32^4)+(E169/(1+'APV CALCULATION '!$G$32^3)+(D169/(1+'APV CALCULATION '!$F$32)^2)+(C169/(1+'APV CALCULATION '!$E$32))))</f>
        <v>424.42255749120585</v>
      </c>
      <c r="J169" s="342">
        <f>I169+'APV CALCULATION '!$E$21*(1+'APV CALCULATION '!$M$3-B169)-'APV CALCULATION '!$C$48</f>
        <v>3685.2523791536532</v>
      </c>
      <c r="L169" s="6"/>
      <c r="N169"/>
    </row>
    <row r="170" spans="2:14" x14ac:dyDescent="0.2">
      <c r="B170" s="339">
        <f t="shared" si="10"/>
        <v>0.19600000000000009</v>
      </c>
      <c r="C170" s="342">
        <f>('Coverage ratios'!$R$7*B170)/(1+'Coverage ratios'!$R$9)</f>
        <v>2.9143329429961584</v>
      </c>
      <c r="D170" s="342">
        <f>('Coverage ratios'!$R$17*B170)/((1+'Coverage ratios'!$R$19)^2)</f>
        <v>3.0371386728365177</v>
      </c>
      <c r="E170" s="342">
        <f>('Coverage ratios'!$R$27*B170)/((1+'Coverage ratios'!$R$29)^3)</f>
        <v>3.1140253302263354</v>
      </c>
      <c r="F170" s="342">
        <f>('Coverage ratios'!$R$37*B170)/((1+'Coverage ratios'!$R$39)^4)</f>
        <v>3.1899855696984969</v>
      </c>
      <c r="G170" s="342">
        <f>('Coverage ratios'!$R$47*B170)/((1+'Coverage ratios'!$R$49)^5)</f>
        <v>3.3455862440529738</v>
      </c>
      <c r="H170" s="342">
        <f>B170*'APV CALCULATION '!$Q$12</f>
        <v>411.13438803381223</v>
      </c>
      <c r="I170" s="590">
        <f>((SUM(G170:H170)/(1+'APV CALCULATION '!$I$32^5))+F170/(1+'APV CALCULATION '!$H$32^4)+(E170/(1+'APV CALCULATION '!$G$32^3)+(D170/(1+'APV CALCULATION '!$F$32)^2)+(C170/(1+'APV CALCULATION '!$E$32))))</f>
        <v>426.59908342705819</v>
      </c>
      <c r="J170" s="342">
        <f>I170+'APV CALCULATION '!$E$21*(1+'APV CALCULATION '!$M$3-B170)-'APV CALCULATION '!$C$48</f>
        <v>3684.0144236008541</v>
      </c>
      <c r="L170" s="6"/>
      <c r="N170"/>
    </row>
    <row r="171" spans="2:14" x14ac:dyDescent="0.2">
      <c r="B171" s="339">
        <f t="shared" si="10"/>
        <v>0.19700000000000009</v>
      </c>
      <c r="C171" s="342">
        <f>('Coverage ratios'!$R$7*B171)/(1+'Coverage ratios'!$R$9)</f>
        <v>2.9292019886236904</v>
      </c>
      <c r="D171" s="342">
        <f>('Coverage ratios'!$R$17*B171)/((1+'Coverage ratios'!$R$19)^2)</f>
        <v>3.0526342783101734</v>
      </c>
      <c r="E171" s="342">
        <f>('Coverage ratios'!$R$27*B171)/((1+'Coverage ratios'!$R$29)^3)</f>
        <v>3.1299132145642252</v>
      </c>
      <c r="F171" s="342">
        <f>('Coverage ratios'!$R$37*B171)/((1+'Coverage ratios'!$R$39)^4)</f>
        <v>3.206261006278591</v>
      </c>
      <c r="G171" s="342">
        <f>('Coverage ratios'!$R$47*B171)/((1+'Coverage ratios'!$R$49)^5)</f>
        <v>3.3626555616246727</v>
      </c>
      <c r="H171" s="342">
        <f>B171*'APV CALCULATION '!$Q$12</f>
        <v>413.23201246255616</v>
      </c>
      <c r="I171" s="590">
        <f>((SUM(G171:H171)/(1+'APV CALCULATION '!$I$32^5))+F171/(1+'APV CALCULATION '!$H$32^4)+(E171/(1+'APV CALCULATION '!$G$32^3)+(D171/(1+'APV CALCULATION '!$F$32)^2)+(C171/(1+'APV CALCULATION '!$E$32))))</f>
        <v>428.77560936291047</v>
      </c>
      <c r="J171" s="342">
        <f>I171+'APV CALCULATION '!$E$21*(1+'APV CALCULATION '!$M$3-B171)-'APV CALCULATION '!$C$48</f>
        <v>3682.7764680480541</v>
      </c>
      <c r="L171" s="6"/>
      <c r="N171"/>
    </row>
    <row r="172" spans="2:14" x14ac:dyDescent="0.2">
      <c r="B172" s="339">
        <f t="shared" si="10"/>
        <v>0.19800000000000009</v>
      </c>
      <c r="C172" s="342">
        <f>('Coverage ratios'!$R$7*B172)/(1+'Coverage ratios'!$R$9)</f>
        <v>2.9440710342512215</v>
      </c>
      <c r="D172" s="342">
        <f>('Coverage ratios'!$R$17*B172)/((1+'Coverage ratios'!$R$19)^2)</f>
        <v>3.0681298837838291</v>
      </c>
      <c r="E172" s="342">
        <f>('Coverage ratios'!$R$27*B172)/((1+'Coverage ratios'!$R$29)^3)</f>
        <v>3.1458010989021146</v>
      </c>
      <c r="F172" s="342">
        <f>('Coverage ratios'!$R$37*B172)/((1+'Coverage ratios'!$R$39)^4)</f>
        <v>3.2225364428586856</v>
      </c>
      <c r="G172" s="342">
        <f>('Coverage ratios'!$R$47*B172)/((1+'Coverage ratios'!$R$49)^5)</f>
        <v>3.3797248791963721</v>
      </c>
      <c r="H172" s="342">
        <f>B172*'APV CALCULATION '!$Q$12</f>
        <v>415.32963689130014</v>
      </c>
      <c r="I172" s="590">
        <f>((SUM(G172:H172)/(1+'APV CALCULATION '!$I$32^5))+F172/(1+'APV CALCULATION '!$H$32^4)+(E172/(1+'APV CALCULATION '!$G$32^3)+(D172/(1+'APV CALCULATION '!$F$32)^2)+(C172/(1+'APV CALCULATION '!$E$32))))</f>
        <v>430.95213529876293</v>
      </c>
      <c r="J172" s="342">
        <f>I172+'APV CALCULATION '!$E$21*(1+'APV CALCULATION '!$M$3-B172)-'APV CALCULATION '!$C$48</f>
        <v>3681.538512495255</v>
      </c>
      <c r="L172" s="6"/>
      <c r="N172"/>
    </row>
    <row r="173" spans="2:14" x14ac:dyDescent="0.2">
      <c r="B173" s="339">
        <f t="shared" si="10"/>
        <v>0.19900000000000009</v>
      </c>
      <c r="C173" s="342">
        <f>('Coverage ratios'!$R$7*B173)/(1+'Coverage ratios'!$R$9)</f>
        <v>2.9589400798787531</v>
      </c>
      <c r="D173" s="342">
        <f>('Coverage ratios'!$R$17*B173)/((1+'Coverage ratios'!$R$19)^2)</f>
        <v>3.0836254892574848</v>
      </c>
      <c r="E173" s="342">
        <f>('Coverage ratios'!$R$27*B173)/((1+'Coverage ratios'!$R$29)^3)</f>
        <v>3.1616889832400039</v>
      </c>
      <c r="F173" s="342">
        <f>('Coverage ratios'!$R$37*B173)/((1+'Coverage ratios'!$R$39)^4)</f>
        <v>3.2388118794387797</v>
      </c>
      <c r="G173" s="342">
        <f>('Coverage ratios'!$R$47*B173)/((1+'Coverage ratios'!$R$49)^5)</f>
        <v>3.3967941967680706</v>
      </c>
      <c r="H173" s="342">
        <f>B173*'APV CALCULATION '!$Q$12</f>
        <v>417.42726132004407</v>
      </c>
      <c r="I173" s="590">
        <f>((SUM(G173:H173)/(1+'APV CALCULATION '!$I$32^5))+F173/(1+'APV CALCULATION '!$H$32^4)+(E173/(1+'APV CALCULATION '!$G$32^3)+(D173/(1+'APV CALCULATION '!$F$32)^2)+(C173/(1+'APV CALCULATION '!$E$32))))</f>
        <v>433.12866123461527</v>
      </c>
      <c r="J173" s="342">
        <f>I173+'APV CALCULATION '!$E$21*(1+'APV CALCULATION '!$M$3-B173)-'APV CALCULATION '!$C$48</f>
        <v>3680.3005569424554</v>
      </c>
      <c r="L173" s="6"/>
      <c r="N173"/>
    </row>
    <row r="174" spans="2:14" x14ac:dyDescent="0.2">
      <c r="B174" s="339">
        <f t="shared" si="10"/>
        <v>0.20000000000000009</v>
      </c>
      <c r="C174" s="342">
        <f>('Coverage ratios'!$R$7*B174)/(1+'Coverage ratios'!$R$9)</f>
        <v>2.9738091255062842</v>
      </c>
      <c r="D174" s="342">
        <f>('Coverage ratios'!$R$17*B174)/((1+'Coverage ratios'!$R$19)^2)</f>
        <v>3.0991210947311405</v>
      </c>
      <c r="E174" s="342">
        <f>('Coverage ratios'!$R$27*B174)/((1+'Coverage ratios'!$R$29)^3)</f>
        <v>3.1775768675778937</v>
      </c>
      <c r="F174" s="342">
        <f>('Coverage ratios'!$R$37*B174)/((1+'Coverage ratios'!$R$39)^4)</f>
        <v>3.2550873160188742</v>
      </c>
      <c r="G174" s="342">
        <f>('Coverage ratios'!$R$47*B174)/((1+'Coverage ratios'!$R$49)^5)</f>
        <v>3.4138635143397695</v>
      </c>
      <c r="H174" s="342">
        <f>B174*'APV CALCULATION '!$Q$12</f>
        <v>419.52488574878799</v>
      </c>
      <c r="I174" s="590">
        <f>((SUM(G174:H174)/(1+'APV CALCULATION '!$I$32^5))+F174/(1+'APV CALCULATION '!$H$32^4)+(E174/(1+'APV CALCULATION '!$G$32^3)+(D174/(1+'APV CALCULATION '!$F$32)^2)+(C174/(1+'APV CALCULATION '!$E$32))))</f>
        <v>435.30518717046755</v>
      </c>
      <c r="J174" s="342">
        <f>I174+'APV CALCULATION '!$E$21*(1+'APV CALCULATION '!$M$3-B174)-'APV CALCULATION '!$C$48</f>
        <v>3679.0626013896558</v>
      </c>
      <c r="L174" s="6"/>
      <c r="N174"/>
    </row>
    <row r="175" spans="2:14" x14ac:dyDescent="0.2">
      <c r="B175" s="339">
        <f t="shared" si="10"/>
        <v>0.2010000000000001</v>
      </c>
      <c r="C175" s="342">
        <f>('Coverage ratios'!$R$7*B175)/(1+'Coverage ratios'!$R$9)</f>
        <v>2.9886781711338162</v>
      </c>
      <c r="D175" s="342">
        <f>('Coverage ratios'!$R$17*B175)/((1+'Coverage ratios'!$R$19)^2)</f>
        <v>3.1146167002047962</v>
      </c>
      <c r="E175" s="342">
        <f>('Coverage ratios'!$R$27*B175)/((1+'Coverage ratios'!$R$29)^3)</f>
        <v>3.1934647519157835</v>
      </c>
      <c r="F175" s="342">
        <f>('Coverage ratios'!$R$37*B175)/((1+'Coverage ratios'!$R$39)^4)</f>
        <v>3.2713627525989688</v>
      </c>
      <c r="G175" s="342">
        <f>('Coverage ratios'!$R$47*B175)/((1+'Coverage ratios'!$R$49)^5)</f>
        <v>3.430932831911468</v>
      </c>
      <c r="H175" s="342">
        <f>B175*'APV CALCULATION '!$Q$12</f>
        <v>421.62251017753192</v>
      </c>
      <c r="I175" s="590">
        <f>((SUM(G175:H175)/(1+'APV CALCULATION '!$I$32^5))+F175/(1+'APV CALCULATION '!$H$32^4)+(E175/(1+'APV CALCULATION '!$G$32^3)+(D175/(1+'APV CALCULATION '!$F$32)^2)+(C175/(1+'APV CALCULATION '!$E$32))))</f>
        <v>437.48171310631989</v>
      </c>
      <c r="J175" s="342">
        <f>I175+'APV CALCULATION '!$E$21*(1+'APV CALCULATION '!$M$3-B175)-'APV CALCULATION '!$C$48</f>
        <v>3677.8246458368567</v>
      </c>
      <c r="L175" s="6"/>
      <c r="N175"/>
    </row>
    <row r="176" spans="2:14" x14ac:dyDescent="0.2">
      <c r="B176" s="339">
        <f t="shared" si="10"/>
        <v>0.2020000000000001</v>
      </c>
      <c r="C176" s="342">
        <f>('Coverage ratios'!$R$7*B176)/(1+'Coverage ratios'!$R$9)</f>
        <v>3.0035472167613473</v>
      </c>
      <c r="D176" s="342">
        <f>('Coverage ratios'!$R$17*B176)/((1+'Coverage ratios'!$R$19)^2)</f>
        <v>3.1301123056784519</v>
      </c>
      <c r="E176" s="342">
        <f>('Coverage ratios'!$R$27*B176)/((1+'Coverage ratios'!$R$29)^3)</f>
        <v>3.2093526362536728</v>
      </c>
      <c r="F176" s="342">
        <f>('Coverage ratios'!$R$37*B176)/((1+'Coverage ratios'!$R$39)^4)</f>
        <v>3.2876381891790629</v>
      </c>
      <c r="G176" s="342">
        <f>('Coverage ratios'!$R$47*B176)/((1+'Coverage ratios'!$R$49)^5)</f>
        <v>3.448002149483167</v>
      </c>
      <c r="H176" s="342">
        <f>B176*'APV CALCULATION '!$Q$12</f>
        <v>423.72013460627591</v>
      </c>
      <c r="I176" s="590">
        <f>((SUM(G176:H176)/(1+'APV CALCULATION '!$I$32^5))+F176/(1+'APV CALCULATION '!$H$32^4)+(E176/(1+'APV CALCULATION '!$G$32^3)+(D176/(1+'APV CALCULATION '!$F$32)^2)+(C176/(1+'APV CALCULATION '!$E$32))))</f>
        <v>439.65823904217223</v>
      </c>
      <c r="J176" s="342">
        <f>I176+'APV CALCULATION '!$E$21*(1+'APV CALCULATION '!$M$3-B176)-'APV CALCULATION '!$C$48</f>
        <v>3676.5866902840571</v>
      </c>
      <c r="L176" s="6"/>
      <c r="N176"/>
    </row>
    <row r="177" spans="2:14" x14ac:dyDescent="0.2">
      <c r="B177" s="339">
        <f t="shared" si="10"/>
        <v>0.2030000000000001</v>
      </c>
      <c r="C177" s="342">
        <f>('Coverage ratios'!$R$7*B177)/(1+'Coverage ratios'!$R$9)</f>
        <v>3.0184162623888788</v>
      </c>
      <c r="D177" s="342">
        <f>('Coverage ratios'!$R$17*B177)/((1+'Coverage ratios'!$R$19)^2)</f>
        <v>3.1456079111521076</v>
      </c>
      <c r="E177" s="342">
        <f>('Coverage ratios'!$R$27*B177)/((1+'Coverage ratios'!$R$29)^3)</f>
        <v>3.2252405205915622</v>
      </c>
      <c r="F177" s="342">
        <f>('Coverage ratios'!$R$37*B177)/((1+'Coverage ratios'!$R$39)^4)</f>
        <v>3.3039136257591575</v>
      </c>
      <c r="G177" s="342">
        <f>('Coverage ratios'!$R$47*B177)/((1+'Coverage ratios'!$R$49)^5)</f>
        <v>3.4650714670548659</v>
      </c>
      <c r="H177" s="342">
        <f>B177*'APV CALCULATION '!$Q$12</f>
        <v>425.81775903501983</v>
      </c>
      <c r="I177" s="590">
        <f>((SUM(G177:H177)/(1+'APV CALCULATION '!$I$32^5))+F177/(1+'APV CALCULATION '!$H$32^4)+(E177/(1+'APV CALCULATION '!$G$32^3)+(D177/(1+'APV CALCULATION '!$F$32)^2)+(C177/(1+'APV CALCULATION '!$E$32))))</f>
        <v>441.83476497802462</v>
      </c>
      <c r="J177" s="342">
        <f>I177+'APV CALCULATION '!$E$21*(1+'APV CALCULATION '!$M$3-B177)-'APV CALCULATION '!$C$48</f>
        <v>3675.3487347312575</v>
      </c>
      <c r="L177" s="6"/>
      <c r="N177"/>
    </row>
    <row r="178" spans="2:14" x14ac:dyDescent="0.2">
      <c r="B178" s="339">
        <f t="shared" si="10"/>
        <v>0.2040000000000001</v>
      </c>
      <c r="C178" s="342">
        <f>('Coverage ratios'!$R$7*B178)/(1+'Coverage ratios'!$R$9)</f>
        <v>3.0332853080164099</v>
      </c>
      <c r="D178" s="342">
        <f>('Coverage ratios'!$R$17*B178)/((1+'Coverage ratios'!$R$19)^2)</f>
        <v>3.1611035166257637</v>
      </c>
      <c r="E178" s="342">
        <f>('Coverage ratios'!$R$27*B178)/((1+'Coverage ratios'!$R$29)^3)</f>
        <v>3.241128404929452</v>
      </c>
      <c r="F178" s="342">
        <f>('Coverage ratios'!$R$37*B178)/((1+'Coverage ratios'!$R$39)^4)</f>
        <v>3.320189062339252</v>
      </c>
      <c r="G178" s="342">
        <f>('Coverage ratios'!$R$47*B178)/((1+'Coverage ratios'!$R$49)^5)</f>
        <v>3.4821407846265648</v>
      </c>
      <c r="H178" s="342">
        <f>B178*'APV CALCULATION '!$Q$12</f>
        <v>427.91538346376376</v>
      </c>
      <c r="I178" s="590">
        <f>((SUM(G178:H178)/(1+'APV CALCULATION '!$I$32^5))+F178/(1+'APV CALCULATION '!$H$32^4)+(E178/(1+'APV CALCULATION '!$G$32^3)+(D178/(1+'APV CALCULATION '!$F$32)^2)+(C178/(1+'APV CALCULATION '!$E$32))))</f>
        <v>444.01129091387685</v>
      </c>
      <c r="J178" s="342">
        <f>I178+'APV CALCULATION '!$E$21*(1+'APV CALCULATION '!$M$3-B178)-'APV CALCULATION '!$C$48</f>
        <v>3674.1107791784584</v>
      </c>
      <c r="L178" s="6"/>
      <c r="N178"/>
    </row>
    <row r="179" spans="2:14" x14ac:dyDescent="0.2">
      <c r="B179" s="339">
        <f t="shared" si="10"/>
        <v>0.2050000000000001</v>
      </c>
      <c r="C179" s="342">
        <f>('Coverage ratios'!$R$7*B179)/(1+'Coverage ratios'!$R$9)</f>
        <v>3.0481543536439415</v>
      </c>
      <c r="D179" s="342">
        <f>('Coverage ratios'!$R$17*B179)/((1+'Coverage ratios'!$R$19)^2)</f>
        <v>3.1765991220994194</v>
      </c>
      <c r="E179" s="342">
        <f>('Coverage ratios'!$R$27*B179)/((1+'Coverage ratios'!$R$29)^3)</f>
        <v>3.2570162892673413</v>
      </c>
      <c r="F179" s="342">
        <f>('Coverage ratios'!$R$37*B179)/((1+'Coverage ratios'!$R$39)^4)</f>
        <v>3.3364644989193462</v>
      </c>
      <c r="G179" s="342">
        <f>('Coverage ratios'!$R$47*B179)/((1+'Coverage ratios'!$R$49)^5)</f>
        <v>3.4992101021982638</v>
      </c>
      <c r="H179" s="342">
        <f>B179*'APV CALCULATION '!$Q$12</f>
        <v>430.01300789250769</v>
      </c>
      <c r="I179" s="590">
        <f>((SUM(G179:H179)/(1+'APV CALCULATION '!$I$32^5))+F179/(1+'APV CALCULATION '!$H$32^4)+(E179/(1+'APV CALCULATION '!$G$32^3)+(D179/(1+'APV CALCULATION '!$F$32)^2)+(C179/(1+'APV CALCULATION '!$E$32))))</f>
        <v>446.18781684972919</v>
      </c>
      <c r="J179" s="342">
        <f>I179+'APV CALCULATION '!$E$21*(1+'APV CALCULATION '!$M$3-B179)-'APV CALCULATION '!$C$48</f>
        <v>3672.8728236256588</v>
      </c>
      <c r="L179" s="6"/>
      <c r="N179"/>
    </row>
    <row r="180" spans="2:14" x14ac:dyDescent="0.2">
      <c r="B180" s="339">
        <f t="shared" si="10"/>
        <v>0.2060000000000001</v>
      </c>
      <c r="C180" s="342">
        <f>('Coverage ratios'!$R$7*B180)/(1+'Coverage ratios'!$R$9)</f>
        <v>3.063023399271473</v>
      </c>
      <c r="D180" s="342">
        <f>('Coverage ratios'!$R$17*B180)/((1+'Coverage ratios'!$R$19)^2)</f>
        <v>3.1920947275730747</v>
      </c>
      <c r="E180" s="342">
        <f>('Coverage ratios'!$R$27*B180)/((1+'Coverage ratios'!$R$29)^3)</f>
        <v>3.2729041736052307</v>
      </c>
      <c r="F180" s="342">
        <f>('Coverage ratios'!$R$37*B180)/((1+'Coverage ratios'!$R$39)^4)</f>
        <v>3.3527399354994407</v>
      </c>
      <c r="G180" s="342">
        <f>('Coverage ratios'!$R$47*B180)/((1+'Coverage ratios'!$R$49)^5)</f>
        <v>3.5162794197699623</v>
      </c>
      <c r="H180" s="342">
        <f>B180*'APV CALCULATION '!$Q$12</f>
        <v>432.11063232125167</v>
      </c>
      <c r="I180" s="590">
        <f>((SUM(G180:H180)/(1+'APV CALCULATION '!$I$32^5))+F180/(1+'APV CALCULATION '!$H$32^4)+(E180/(1+'APV CALCULATION '!$G$32^3)+(D180/(1+'APV CALCULATION '!$F$32)^2)+(C180/(1+'APV CALCULATION '!$E$32))))</f>
        <v>448.36434278558153</v>
      </c>
      <c r="J180" s="342">
        <f>I180+'APV CALCULATION '!$E$21*(1+'APV CALCULATION '!$M$3-B180)-'APV CALCULATION '!$C$48</f>
        <v>3671.6348680728593</v>
      </c>
      <c r="L180" s="6"/>
      <c r="N180"/>
    </row>
    <row r="181" spans="2:14" x14ac:dyDescent="0.2">
      <c r="B181" s="339">
        <f t="shared" si="10"/>
        <v>0.2070000000000001</v>
      </c>
      <c r="C181" s="342">
        <f>('Coverage ratios'!$R$7*B181)/(1+'Coverage ratios'!$R$9)</f>
        <v>3.0778924448990042</v>
      </c>
      <c r="D181" s="342">
        <f>('Coverage ratios'!$R$17*B181)/((1+'Coverage ratios'!$R$19)^2)</f>
        <v>3.2075903330467304</v>
      </c>
      <c r="E181" s="342">
        <f>('Coverage ratios'!$R$27*B181)/((1+'Coverage ratios'!$R$29)^3)</f>
        <v>3.28879205794312</v>
      </c>
      <c r="F181" s="342">
        <f>('Coverage ratios'!$R$37*B181)/((1+'Coverage ratios'!$R$39)^4)</f>
        <v>3.3690153720795348</v>
      </c>
      <c r="G181" s="342">
        <f>('Coverage ratios'!$R$47*B181)/((1+'Coverage ratios'!$R$49)^5)</f>
        <v>3.5333487373416617</v>
      </c>
      <c r="H181" s="342">
        <f>B181*'APV CALCULATION '!$Q$12</f>
        <v>434.2082567499956</v>
      </c>
      <c r="I181" s="590">
        <f>((SUM(G181:H181)/(1+'APV CALCULATION '!$I$32^5))+F181/(1+'APV CALCULATION '!$H$32^4)+(E181/(1+'APV CALCULATION '!$G$32^3)+(D181/(1+'APV CALCULATION '!$F$32)^2)+(C181/(1+'APV CALCULATION '!$E$32))))</f>
        <v>450.54086872143387</v>
      </c>
      <c r="J181" s="342">
        <f>I181+'APV CALCULATION '!$E$21*(1+'APV CALCULATION '!$M$3-B181)-'APV CALCULATION '!$C$48</f>
        <v>3670.3969125200601</v>
      </c>
      <c r="L181" s="6"/>
      <c r="N181"/>
    </row>
    <row r="182" spans="2:14" x14ac:dyDescent="0.2">
      <c r="B182" s="339">
        <f t="shared" si="10"/>
        <v>0.2080000000000001</v>
      </c>
      <c r="C182" s="342">
        <f>('Coverage ratios'!$R$7*B182)/(1+'Coverage ratios'!$R$9)</f>
        <v>3.0927614905265362</v>
      </c>
      <c r="D182" s="342">
        <f>('Coverage ratios'!$R$17*B182)/((1+'Coverage ratios'!$R$19)^2)</f>
        <v>3.2230859385203861</v>
      </c>
      <c r="E182" s="342">
        <f>('Coverage ratios'!$R$27*B182)/((1+'Coverage ratios'!$R$29)^3)</f>
        <v>3.3046799422810098</v>
      </c>
      <c r="F182" s="342">
        <f>('Coverage ratios'!$R$37*B182)/((1+'Coverage ratios'!$R$39)^4)</f>
        <v>3.3852908086596289</v>
      </c>
      <c r="G182" s="342">
        <f>('Coverage ratios'!$R$47*B182)/((1+'Coverage ratios'!$R$49)^5)</f>
        <v>3.5504180549133602</v>
      </c>
      <c r="H182" s="342">
        <f>B182*'APV CALCULATION '!$Q$12</f>
        <v>436.30588117873953</v>
      </c>
      <c r="I182" s="590">
        <f>((SUM(G182:H182)/(1+'APV CALCULATION '!$I$32^5))+F182/(1+'APV CALCULATION '!$H$32^4)+(E182/(1+'APV CALCULATION '!$G$32^3)+(D182/(1+'APV CALCULATION '!$F$32)^2)+(C182/(1+'APV CALCULATION '!$E$32))))</f>
        <v>452.71739465728626</v>
      </c>
      <c r="J182" s="342">
        <f>I182+'APV CALCULATION '!$E$21*(1+'APV CALCULATION '!$M$3-B182)-'APV CALCULATION '!$C$48</f>
        <v>3669.1589569672606</v>
      </c>
      <c r="L182" s="6"/>
      <c r="N182"/>
    </row>
    <row r="183" spans="2:14" x14ac:dyDescent="0.2">
      <c r="B183" s="339">
        <f t="shared" si="10"/>
        <v>0.2090000000000001</v>
      </c>
      <c r="C183" s="342">
        <f>('Coverage ratios'!$R$7*B183)/(1+'Coverage ratios'!$R$9)</f>
        <v>3.1076305361540673</v>
      </c>
      <c r="D183" s="342">
        <f>('Coverage ratios'!$R$17*B183)/((1+'Coverage ratios'!$R$19)^2)</f>
        <v>3.2385815439940417</v>
      </c>
      <c r="E183" s="342">
        <f>('Coverage ratios'!$R$27*B183)/((1+'Coverage ratios'!$R$29)^3)</f>
        <v>3.3205678266188992</v>
      </c>
      <c r="F183" s="342">
        <f>('Coverage ratios'!$R$37*B183)/((1+'Coverage ratios'!$R$39)^4)</f>
        <v>3.4015662452397235</v>
      </c>
      <c r="G183" s="342">
        <f>('Coverage ratios'!$R$47*B183)/((1+'Coverage ratios'!$R$49)^5)</f>
        <v>3.5674873724850591</v>
      </c>
      <c r="H183" s="342">
        <f>B183*'APV CALCULATION '!$Q$12</f>
        <v>438.40350560748345</v>
      </c>
      <c r="I183" s="590">
        <f>((SUM(G183:H183)/(1+'APV CALCULATION '!$I$32^5))+F183/(1+'APV CALCULATION '!$H$32^4)+(E183/(1+'APV CALCULATION '!$G$32^3)+(D183/(1+'APV CALCULATION '!$F$32)^2)+(C183/(1+'APV CALCULATION '!$E$32))))</f>
        <v>454.8939205931386</v>
      </c>
      <c r="J183" s="342">
        <f>I183+'APV CALCULATION '!$E$21*(1+'APV CALCULATION '!$M$3-B183)-'APV CALCULATION '!$C$48</f>
        <v>3667.9210014144614</v>
      </c>
      <c r="L183" s="6"/>
      <c r="N183"/>
    </row>
    <row r="184" spans="2:14" x14ac:dyDescent="0.2">
      <c r="B184" s="339">
        <f t="shared" si="10"/>
        <v>0.2100000000000001</v>
      </c>
      <c r="C184" s="342">
        <f>('Coverage ratios'!$R$7*B184)/(1+'Coverage ratios'!$R$9)</f>
        <v>3.1224995817815988</v>
      </c>
      <c r="D184" s="342">
        <f>('Coverage ratios'!$R$17*B184)/((1+'Coverage ratios'!$R$19)^2)</f>
        <v>3.2540771494676974</v>
      </c>
      <c r="E184" s="342">
        <f>('Coverage ratios'!$R$27*B184)/((1+'Coverage ratios'!$R$29)^3)</f>
        <v>3.3364557109567885</v>
      </c>
      <c r="F184" s="342">
        <f>('Coverage ratios'!$R$37*B184)/((1+'Coverage ratios'!$R$39)^4)</f>
        <v>3.4178416818198176</v>
      </c>
      <c r="G184" s="342">
        <f>('Coverage ratios'!$R$47*B184)/((1+'Coverage ratios'!$R$49)^5)</f>
        <v>3.5845566900567576</v>
      </c>
      <c r="H184" s="342">
        <f>B184*'APV CALCULATION '!$Q$12</f>
        <v>440.50113003622738</v>
      </c>
      <c r="I184" s="590">
        <f>((SUM(G184:H184)/(1+'APV CALCULATION '!$I$32^5))+F184/(1+'APV CALCULATION '!$H$32^4)+(E184/(1+'APV CALCULATION '!$G$32^3)+(D184/(1+'APV CALCULATION '!$F$32)^2)+(C184/(1+'APV CALCULATION '!$E$32))))</f>
        <v>457.07044652899094</v>
      </c>
      <c r="J184" s="342">
        <f>I184+'APV CALCULATION '!$E$21*(1+'APV CALCULATION '!$M$3-B184)-'APV CALCULATION '!$C$48</f>
        <v>3666.6830458616614</v>
      </c>
      <c r="L184" s="6"/>
      <c r="N184"/>
    </row>
    <row r="185" spans="2:14" x14ac:dyDescent="0.2">
      <c r="B185" s="339">
        <f t="shared" si="10"/>
        <v>0.2110000000000001</v>
      </c>
      <c r="C185" s="342">
        <f>('Coverage ratios'!$R$7*B185)/(1+'Coverage ratios'!$R$9)</f>
        <v>3.1373686274091299</v>
      </c>
      <c r="D185" s="342">
        <f>('Coverage ratios'!$R$17*B185)/((1+'Coverage ratios'!$R$19)^2)</f>
        <v>3.2695727549413531</v>
      </c>
      <c r="E185" s="342">
        <f>('Coverage ratios'!$R$27*B185)/((1+'Coverage ratios'!$R$29)^3)</f>
        <v>3.3523435952946778</v>
      </c>
      <c r="F185" s="342">
        <f>('Coverage ratios'!$R$37*B185)/((1+'Coverage ratios'!$R$39)^4)</f>
        <v>3.4341171183999122</v>
      </c>
      <c r="G185" s="342">
        <f>('Coverage ratios'!$R$47*B185)/((1+'Coverage ratios'!$R$49)^5)</f>
        <v>3.601626007628457</v>
      </c>
      <c r="H185" s="342">
        <f>B185*'APV CALCULATION '!$Q$12</f>
        <v>442.59875446497136</v>
      </c>
      <c r="I185" s="590">
        <f>((SUM(G185:H185)/(1+'APV CALCULATION '!$I$32^5))+F185/(1+'APV CALCULATION '!$H$32^4)+(E185/(1+'APV CALCULATION '!$G$32^3)+(D185/(1+'APV CALCULATION '!$F$32)^2)+(C185/(1+'APV CALCULATION '!$E$32))))</f>
        <v>459.24697246484328</v>
      </c>
      <c r="J185" s="342">
        <f>I185+'APV CALCULATION '!$E$21*(1+'APV CALCULATION '!$M$3-B185)-'APV CALCULATION '!$C$48</f>
        <v>3665.4450903088618</v>
      </c>
      <c r="L185" s="6"/>
      <c r="N185"/>
    </row>
    <row r="186" spans="2:14" x14ac:dyDescent="0.2">
      <c r="B186" s="339">
        <f t="shared" si="10"/>
        <v>0.21200000000000011</v>
      </c>
      <c r="C186" s="342">
        <f>('Coverage ratios'!$R$7*B186)/(1+'Coverage ratios'!$R$9)</f>
        <v>3.1522376730366619</v>
      </c>
      <c r="D186" s="342">
        <f>('Coverage ratios'!$R$17*B186)/((1+'Coverage ratios'!$R$19)^2)</f>
        <v>3.2850683604150088</v>
      </c>
      <c r="E186" s="342">
        <f>('Coverage ratios'!$R$27*B186)/((1+'Coverage ratios'!$R$29)^3)</f>
        <v>3.3682314796325676</v>
      </c>
      <c r="F186" s="342">
        <f>('Coverage ratios'!$R$37*B186)/((1+'Coverage ratios'!$R$39)^4)</f>
        <v>3.4503925549800067</v>
      </c>
      <c r="G186" s="342">
        <f>('Coverage ratios'!$R$47*B186)/((1+'Coverage ratios'!$R$49)^5)</f>
        <v>3.6186953252001559</v>
      </c>
      <c r="H186" s="342">
        <f>B186*'APV CALCULATION '!$Q$12</f>
        <v>444.69637889371529</v>
      </c>
      <c r="I186" s="590">
        <f>((SUM(G186:H186)/(1+'APV CALCULATION '!$I$32^5))+F186/(1+'APV CALCULATION '!$H$32^4)+(E186/(1+'APV CALCULATION '!$G$32^3)+(D186/(1+'APV CALCULATION '!$F$32)^2)+(C186/(1+'APV CALCULATION '!$E$32))))</f>
        <v>461.42349840069562</v>
      </c>
      <c r="J186" s="342">
        <f>I186+'APV CALCULATION '!$E$21*(1+'APV CALCULATION '!$M$3-B186)-'APV CALCULATION '!$C$48</f>
        <v>3664.2071347560627</v>
      </c>
      <c r="L186" s="6"/>
      <c r="N186"/>
    </row>
    <row r="187" spans="2:14" x14ac:dyDescent="0.2">
      <c r="B187" s="339">
        <f t="shared" si="10"/>
        <v>0.21300000000000011</v>
      </c>
      <c r="C187" s="342">
        <f>('Coverage ratios'!$R$7*B187)/(1+'Coverage ratios'!$R$9)</f>
        <v>3.167106718664193</v>
      </c>
      <c r="D187" s="342">
        <f>('Coverage ratios'!$R$17*B187)/((1+'Coverage ratios'!$R$19)^2)</f>
        <v>3.3005639658886645</v>
      </c>
      <c r="E187" s="342">
        <f>('Coverage ratios'!$R$27*B187)/((1+'Coverage ratios'!$R$29)^3)</f>
        <v>3.384119363970457</v>
      </c>
      <c r="F187" s="342">
        <f>('Coverage ratios'!$R$37*B187)/((1+'Coverage ratios'!$R$39)^4)</f>
        <v>3.4666679915601009</v>
      </c>
      <c r="G187" s="342">
        <f>('Coverage ratios'!$R$47*B187)/((1+'Coverage ratios'!$R$49)^5)</f>
        <v>3.6357646427718544</v>
      </c>
      <c r="H187" s="342">
        <f>B187*'APV CALCULATION '!$Q$12</f>
        <v>446.79400332245922</v>
      </c>
      <c r="I187" s="590">
        <f>((SUM(G187:H187)/(1+'APV CALCULATION '!$I$32^5))+F187/(1+'APV CALCULATION '!$H$32^4)+(E187/(1+'APV CALCULATION '!$G$32^3)+(D187/(1+'APV CALCULATION '!$F$32)^2)+(C187/(1+'APV CALCULATION '!$E$32))))</f>
        <v>463.60002433654796</v>
      </c>
      <c r="J187" s="342">
        <f>I187+'APV CALCULATION '!$E$21*(1+'APV CALCULATION '!$M$3-B187)-'APV CALCULATION '!$C$48</f>
        <v>3662.9691792032631</v>
      </c>
      <c r="L187" s="6"/>
      <c r="N187"/>
    </row>
    <row r="188" spans="2:14" x14ac:dyDescent="0.2">
      <c r="B188" s="339">
        <f t="shared" si="10"/>
        <v>0.21400000000000011</v>
      </c>
      <c r="C188" s="342">
        <f>('Coverage ratios'!$R$7*B188)/(1+'Coverage ratios'!$R$9)</f>
        <v>3.1819757642917246</v>
      </c>
      <c r="D188" s="342">
        <f>('Coverage ratios'!$R$17*B188)/((1+'Coverage ratios'!$R$19)^2)</f>
        <v>3.3160595713623202</v>
      </c>
      <c r="E188" s="342">
        <f>('Coverage ratios'!$R$27*B188)/((1+'Coverage ratios'!$R$29)^3)</f>
        <v>3.4000072483083463</v>
      </c>
      <c r="F188" s="342">
        <f>('Coverage ratios'!$R$37*B188)/((1+'Coverage ratios'!$R$39)^4)</f>
        <v>3.4829434281401954</v>
      </c>
      <c r="G188" s="342">
        <f>('Coverage ratios'!$R$47*B188)/((1+'Coverage ratios'!$R$49)^5)</f>
        <v>3.6528339603435533</v>
      </c>
      <c r="H188" s="342">
        <f>B188*'APV CALCULATION '!$Q$12</f>
        <v>448.89162775120315</v>
      </c>
      <c r="I188" s="590">
        <f>((SUM(G188:H188)/(1+'APV CALCULATION '!$I$32^5))+F188/(1+'APV CALCULATION '!$H$32^4)+(E188/(1+'APV CALCULATION '!$G$32^3)+(D188/(1+'APV CALCULATION '!$F$32)^2)+(C188/(1+'APV CALCULATION '!$E$32))))</f>
        <v>465.7765502724003</v>
      </c>
      <c r="J188" s="342">
        <f>I188+'APV CALCULATION '!$E$21*(1+'APV CALCULATION '!$M$3-B188)-'APV CALCULATION '!$C$48</f>
        <v>3661.731223650464</v>
      </c>
      <c r="L188" s="6"/>
      <c r="N188"/>
    </row>
    <row r="189" spans="2:14" x14ac:dyDescent="0.2">
      <c r="B189" s="339">
        <f t="shared" si="10"/>
        <v>0.21500000000000011</v>
      </c>
      <c r="C189" s="342">
        <f>('Coverage ratios'!$R$7*B189)/(1+'Coverage ratios'!$R$9)</f>
        <v>3.1968448099192557</v>
      </c>
      <c r="D189" s="342">
        <f>('Coverage ratios'!$R$17*B189)/((1+'Coverage ratios'!$R$19)^2)</f>
        <v>3.3315551768359764</v>
      </c>
      <c r="E189" s="342">
        <f>('Coverage ratios'!$R$27*B189)/((1+'Coverage ratios'!$R$29)^3)</f>
        <v>3.4158951326462357</v>
      </c>
      <c r="F189" s="342">
        <f>('Coverage ratios'!$R$37*B189)/((1+'Coverage ratios'!$R$39)^4)</f>
        <v>3.4992188647202895</v>
      </c>
      <c r="G189" s="342">
        <f>('Coverage ratios'!$R$47*B189)/((1+'Coverage ratios'!$R$49)^5)</f>
        <v>3.6699032779152518</v>
      </c>
      <c r="H189" s="342">
        <f>B189*'APV CALCULATION '!$Q$12</f>
        <v>450.98925217994713</v>
      </c>
      <c r="I189" s="590">
        <f>((SUM(G189:H189)/(1+'APV CALCULATION '!$I$32^5))+F189/(1+'APV CALCULATION '!$H$32^4)+(E189/(1+'APV CALCULATION '!$G$32^3)+(D189/(1+'APV CALCULATION '!$F$32)^2)+(C189/(1+'APV CALCULATION '!$E$32))))</f>
        <v>467.95307620825264</v>
      </c>
      <c r="J189" s="342">
        <f>I189+'APV CALCULATION '!$E$21*(1+'APV CALCULATION '!$M$3-B189)-'APV CALCULATION '!$C$48</f>
        <v>3660.4932680976644</v>
      </c>
      <c r="L189" s="6"/>
      <c r="N189"/>
    </row>
    <row r="190" spans="2:14" x14ac:dyDescent="0.2">
      <c r="B190" s="339">
        <f t="shared" si="10"/>
        <v>0.21600000000000011</v>
      </c>
      <c r="C190" s="342">
        <f>('Coverage ratios'!$R$7*B190)/(1+'Coverage ratios'!$R$9)</f>
        <v>3.2117138555467872</v>
      </c>
      <c r="D190" s="342">
        <f>('Coverage ratios'!$R$17*B190)/((1+'Coverage ratios'!$R$19)^2)</f>
        <v>3.347050782309632</v>
      </c>
      <c r="E190" s="342">
        <f>('Coverage ratios'!$R$27*B190)/((1+'Coverage ratios'!$R$29)^3)</f>
        <v>3.4317830169841255</v>
      </c>
      <c r="F190" s="342">
        <f>('Coverage ratios'!$R$37*B190)/((1+'Coverage ratios'!$R$39)^4)</f>
        <v>3.5154943013003841</v>
      </c>
      <c r="G190" s="342">
        <f>('Coverage ratios'!$R$47*B190)/((1+'Coverage ratios'!$R$49)^5)</f>
        <v>3.6869725954869512</v>
      </c>
      <c r="H190" s="342">
        <f>B190*'APV CALCULATION '!$Q$12</f>
        <v>453.08687660869106</v>
      </c>
      <c r="I190" s="590">
        <f>((SUM(G190:H190)/(1+'APV CALCULATION '!$I$32^5))+F190/(1+'APV CALCULATION '!$H$32^4)+(E190/(1+'APV CALCULATION '!$G$32^3)+(D190/(1+'APV CALCULATION '!$F$32)^2)+(C190/(1+'APV CALCULATION '!$E$32))))</f>
        <v>470.12960214410498</v>
      </c>
      <c r="J190" s="342">
        <f>I190+'APV CALCULATION '!$E$21*(1+'APV CALCULATION '!$M$3-B190)-'APV CALCULATION '!$C$48</f>
        <v>3659.2553125448649</v>
      </c>
      <c r="L190" s="6"/>
      <c r="N190"/>
    </row>
    <row r="191" spans="2:14" x14ac:dyDescent="0.2">
      <c r="B191" s="339">
        <f t="shared" si="10"/>
        <v>0.21700000000000011</v>
      </c>
      <c r="C191" s="342">
        <f>('Coverage ratios'!$R$7*B191)/(1+'Coverage ratios'!$R$9)</f>
        <v>3.2265829011743188</v>
      </c>
      <c r="D191" s="342">
        <f>('Coverage ratios'!$R$17*B191)/((1+'Coverage ratios'!$R$19)^2)</f>
        <v>3.3625463877832877</v>
      </c>
      <c r="E191" s="342">
        <f>('Coverage ratios'!$R$27*B191)/((1+'Coverage ratios'!$R$29)^3)</f>
        <v>3.4476709013220148</v>
      </c>
      <c r="F191" s="342">
        <f>('Coverage ratios'!$R$37*B191)/((1+'Coverage ratios'!$R$39)^4)</f>
        <v>3.5317697378804787</v>
      </c>
      <c r="G191" s="342">
        <f>('Coverage ratios'!$R$47*B191)/((1+'Coverage ratios'!$R$49)^5)</f>
        <v>3.7040419130586502</v>
      </c>
      <c r="H191" s="342">
        <f>B191*'APV CALCULATION '!$Q$12</f>
        <v>455.18450103743498</v>
      </c>
      <c r="I191" s="590">
        <f>((SUM(G191:H191)/(1+'APV CALCULATION '!$I$32^5))+F191/(1+'APV CALCULATION '!$H$32^4)+(E191/(1+'APV CALCULATION '!$G$32^3)+(D191/(1+'APV CALCULATION '!$F$32)^2)+(C191/(1+'APV CALCULATION '!$E$32))))</f>
        <v>472.30612807995726</v>
      </c>
      <c r="J191" s="342">
        <f>I191+'APV CALCULATION '!$E$21*(1+'APV CALCULATION '!$M$3-B191)-'APV CALCULATION '!$C$48</f>
        <v>3658.0173569920653</v>
      </c>
      <c r="L191" s="6"/>
      <c r="N191"/>
    </row>
    <row r="192" spans="2:14" x14ac:dyDescent="0.2">
      <c r="B192" s="339">
        <f t="shared" si="10"/>
        <v>0.21800000000000011</v>
      </c>
      <c r="C192" s="342">
        <f>('Coverage ratios'!$R$7*B192)/(1+'Coverage ratios'!$R$9)</f>
        <v>3.2414519468018499</v>
      </c>
      <c r="D192" s="342">
        <f>('Coverage ratios'!$R$17*B192)/((1+'Coverage ratios'!$R$19)^2)</f>
        <v>3.3780419932569434</v>
      </c>
      <c r="E192" s="342">
        <f>('Coverage ratios'!$R$27*B192)/((1+'Coverage ratios'!$R$29)^3)</f>
        <v>3.4635587856599042</v>
      </c>
      <c r="F192" s="342">
        <f>('Coverage ratios'!$R$37*B192)/((1+'Coverage ratios'!$R$39)^4)</f>
        <v>3.5480451744605728</v>
      </c>
      <c r="G192" s="342">
        <f>('Coverage ratios'!$R$47*B192)/((1+'Coverage ratios'!$R$49)^5)</f>
        <v>3.7211112306303487</v>
      </c>
      <c r="H192" s="342">
        <f>B192*'APV CALCULATION '!$Q$12</f>
        <v>457.28212546617891</v>
      </c>
      <c r="I192" s="590">
        <f>((SUM(G192:H192)/(1+'APV CALCULATION '!$I$32^5))+F192/(1+'APV CALCULATION '!$H$32^4)+(E192/(1+'APV CALCULATION '!$G$32^3)+(D192/(1+'APV CALCULATION '!$F$32)^2)+(C192/(1+'APV CALCULATION '!$E$32))))</f>
        <v>474.48265401580966</v>
      </c>
      <c r="J192" s="342">
        <f>I192+'APV CALCULATION '!$E$21*(1+'APV CALCULATION '!$M$3-B192)-'APV CALCULATION '!$C$48</f>
        <v>3656.7794014392662</v>
      </c>
      <c r="L192" s="6"/>
      <c r="N192"/>
    </row>
    <row r="193" spans="2:14" x14ac:dyDescent="0.2">
      <c r="B193" s="339">
        <f t="shared" si="10"/>
        <v>0.21900000000000011</v>
      </c>
      <c r="C193" s="342">
        <f>('Coverage ratios'!$R$7*B193)/(1+'Coverage ratios'!$R$9)</f>
        <v>3.2563209924293814</v>
      </c>
      <c r="D193" s="342">
        <f>('Coverage ratios'!$R$17*B193)/((1+'Coverage ratios'!$R$19)^2)</f>
        <v>3.3935375987305991</v>
      </c>
      <c r="E193" s="342">
        <f>('Coverage ratios'!$R$27*B193)/((1+'Coverage ratios'!$R$29)^3)</f>
        <v>3.4794466699977935</v>
      </c>
      <c r="F193" s="342">
        <f>('Coverage ratios'!$R$37*B193)/((1+'Coverage ratios'!$R$39)^4)</f>
        <v>3.5643206110406673</v>
      </c>
      <c r="G193" s="342">
        <f>('Coverage ratios'!$R$47*B193)/((1+'Coverage ratios'!$R$49)^5)</f>
        <v>3.7381805482020471</v>
      </c>
      <c r="H193" s="342">
        <f>B193*'APV CALCULATION '!$Q$12</f>
        <v>459.3797498949229</v>
      </c>
      <c r="I193" s="590">
        <f>((SUM(G193:H193)/(1+'APV CALCULATION '!$I$32^5))+F193/(1+'APV CALCULATION '!$H$32^4)+(E193/(1+'APV CALCULATION '!$G$32^3)+(D193/(1+'APV CALCULATION '!$F$32)^2)+(C193/(1+'APV CALCULATION '!$E$32))))</f>
        <v>476.659179951662</v>
      </c>
      <c r="J193" s="342">
        <f>I193+'APV CALCULATION '!$E$21*(1+'APV CALCULATION '!$M$3-B193)-'APV CALCULATION '!$C$48</f>
        <v>3655.5414458864666</v>
      </c>
      <c r="L193" s="6"/>
      <c r="N193"/>
    </row>
    <row r="194" spans="2:14" x14ac:dyDescent="0.2">
      <c r="B194" s="339">
        <f t="shared" si="10"/>
        <v>0.22000000000000011</v>
      </c>
      <c r="C194" s="342">
        <f>('Coverage ratios'!$R$7*B194)/(1+'Coverage ratios'!$R$9)</f>
        <v>3.271190038056913</v>
      </c>
      <c r="D194" s="342">
        <f>('Coverage ratios'!$R$17*B194)/((1+'Coverage ratios'!$R$19)^2)</f>
        <v>3.4090332042042548</v>
      </c>
      <c r="E194" s="342">
        <f>('Coverage ratios'!$R$27*B194)/((1+'Coverage ratios'!$R$29)^3)</f>
        <v>3.4953345543356833</v>
      </c>
      <c r="F194" s="342">
        <f>('Coverage ratios'!$R$37*B194)/((1+'Coverage ratios'!$R$39)^4)</f>
        <v>3.5805960476207619</v>
      </c>
      <c r="G194" s="342">
        <f>('Coverage ratios'!$R$47*B194)/((1+'Coverage ratios'!$R$49)^5)</f>
        <v>3.7552498657737465</v>
      </c>
      <c r="H194" s="342">
        <f>B194*'APV CALCULATION '!$Q$12</f>
        <v>461.47737432366682</v>
      </c>
      <c r="I194" s="590">
        <f>((SUM(G194:H194)/(1+'APV CALCULATION '!$I$32^5))+F194/(1+'APV CALCULATION '!$H$32^4)+(E194/(1+'APV CALCULATION '!$G$32^3)+(D194/(1+'APV CALCULATION '!$F$32)^2)+(C194/(1+'APV CALCULATION '!$E$32))))</f>
        <v>478.83570588751434</v>
      </c>
      <c r="J194" s="342">
        <f>I194+'APV CALCULATION '!$E$21*(1+'APV CALCULATION '!$M$3-B194)-'APV CALCULATION '!$C$48</f>
        <v>3654.3034903336675</v>
      </c>
      <c r="L194" s="6"/>
      <c r="N194"/>
    </row>
    <row r="195" spans="2:14" x14ac:dyDescent="0.2">
      <c r="B195" s="339">
        <f t="shared" si="10"/>
        <v>0.22100000000000011</v>
      </c>
      <c r="C195" s="342">
        <f>('Coverage ratios'!$R$7*B195)/(1+'Coverage ratios'!$R$9)</f>
        <v>3.2860590836844445</v>
      </c>
      <c r="D195" s="342">
        <f>('Coverage ratios'!$R$17*B195)/((1+'Coverage ratios'!$R$19)^2)</f>
        <v>3.4245288096779105</v>
      </c>
      <c r="E195" s="342">
        <f>('Coverage ratios'!$R$27*B195)/((1+'Coverage ratios'!$R$29)^3)</f>
        <v>3.5112224386735726</v>
      </c>
      <c r="F195" s="342">
        <f>('Coverage ratios'!$R$37*B195)/((1+'Coverage ratios'!$R$39)^4)</f>
        <v>3.596871484200856</v>
      </c>
      <c r="G195" s="342">
        <f>('Coverage ratios'!$R$47*B195)/((1+'Coverage ratios'!$R$49)^5)</f>
        <v>3.7723191833454455</v>
      </c>
      <c r="H195" s="342">
        <f>B195*'APV CALCULATION '!$Q$12</f>
        <v>463.57499875241075</v>
      </c>
      <c r="I195" s="590">
        <f>((SUM(G195:H195)/(1+'APV CALCULATION '!$I$32^5))+F195/(1+'APV CALCULATION '!$H$32^4)+(E195/(1+'APV CALCULATION '!$G$32^3)+(D195/(1+'APV CALCULATION '!$F$32)^2)+(C195/(1+'APV CALCULATION '!$E$32))))</f>
        <v>481.01223182336668</v>
      </c>
      <c r="J195" s="342">
        <f>I195+'APV CALCULATION '!$E$21*(1+'APV CALCULATION '!$M$3-B195)-'APV CALCULATION '!$C$48</f>
        <v>3653.0655347808679</v>
      </c>
      <c r="L195" s="6"/>
      <c r="N195"/>
    </row>
    <row r="196" spans="2:14" x14ac:dyDescent="0.2">
      <c r="B196" s="339">
        <f t="shared" si="10"/>
        <v>0.22200000000000011</v>
      </c>
      <c r="C196" s="342">
        <f>('Coverage ratios'!$R$7*B196)/(1+'Coverage ratios'!$R$9)</f>
        <v>3.3009281293119757</v>
      </c>
      <c r="D196" s="342">
        <f>('Coverage ratios'!$R$17*B196)/((1+'Coverage ratios'!$R$19)^2)</f>
        <v>3.4400244151515662</v>
      </c>
      <c r="E196" s="342">
        <f>('Coverage ratios'!$R$27*B196)/((1+'Coverage ratios'!$R$29)^3)</f>
        <v>3.527110323011462</v>
      </c>
      <c r="F196" s="342">
        <f>('Coverage ratios'!$R$37*B196)/((1+'Coverage ratios'!$R$39)^4)</f>
        <v>3.6131469207809506</v>
      </c>
      <c r="G196" s="342">
        <f>('Coverage ratios'!$R$47*B196)/((1+'Coverage ratios'!$R$49)^5)</f>
        <v>3.7893885009171444</v>
      </c>
      <c r="H196" s="342">
        <f>B196*'APV CALCULATION '!$Q$12</f>
        <v>465.67262318115468</v>
      </c>
      <c r="I196" s="590">
        <f>((SUM(G196:H196)/(1+'APV CALCULATION '!$I$32^5))+F196/(1+'APV CALCULATION '!$H$32^4)+(E196/(1+'APV CALCULATION '!$G$32^3)+(D196/(1+'APV CALCULATION '!$F$32)^2)+(C196/(1+'APV CALCULATION '!$E$32))))</f>
        <v>483.18875775921896</v>
      </c>
      <c r="J196" s="342">
        <f>I196+'APV CALCULATION '!$E$21*(1+'APV CALCULATION '!$M$3-B196)-'APV CALCULATION '!$C$48</f>
        <v>3651.8275792280683</v>
      </c>
      <c r="L196" s="6"/>
      <c r="N196"/>
    </row>
    <row r="197" spans="2:14" x14ac:dyDescent="0.2">
      <c r="B197" s="339">
        <f t="shared" si="10"/>
        <v>0.22300000000000011</v>
      </c>
      <c r="C197" s="342">
        <f>('Coverage ratios'!$R$7*B197)/(1+'Coverage ratios'!$R$9)</f>
        <v>3.3157971749395077</v>
      </c>
      <c r="D197" s="342">
        <f>('Coverage ratios'!$R$17*B197)/((1+'Coverage ratios'!$R$19)^2)</f>
        <v>3.4555200206252219</v>
      </c>
      <c r="E197" s="342">
        <f>('Coverage ratios'!$R$27*B197)/((1+'Coverage ratios'!$R$29)^3)</f>
        <v>3.5429982073493513</v>
      </c>
      <c r="F197" s="342">
        <f>('Coverage ratios'!$R$37*B197)/((1+'Coverage ratios'!$R$39)^4)</f>
        <v>3.6294223573610447</v>
      </c>
      <c r="G197" s="342">
        <f>('Coverage ratios'!$R$47*B197)/((1+'Coverage ratios'!$R$49)^5)</f>
        <v>3.8064578184888433</v>
      </c>
      <c r="H197" s="342">
        <f>B197*'APV CALCULATION '!$Q$12</f>
        <v>467.77024760989866</v>
      </c>
      <c r="I197" s="590">
        <f>((SUM(G197:H197)/(1+'APV CALCULATION '!$I$32^5))+F197/(1+'APV CALCULATION '!$H$32^4)+(E197/(1+'APV CALCULATION '!$G$32^3)+(D197/(1+'APV CALCULATION '!$F$32)^2)+(C197/(1+'APV CALCULATION '!$E$32))))</f>
        <v>485.36528369507141</v>
      </c>
      <c r="J197" s="342">
        <f>I197+'APV CALCULATION '!$E$21*(1+'APV CALCULATION '!$M$3-B197)-'APV CALCULATION '!$C$48</f>
        <v>3650.5896236752687</v>
      </c>
      <c r="L197" s="6"/>
      <c r="N197"/>
    </row>
    <row r="198" spans="2:14" x14ac:dyDescent="0.2">
      <c r="B198" s="339">
        <f t="shared" si="10"/>
        <v>0.22400000000000012</v>
      </c>
      <c r="C198" s="342">
        <f>('Coverage ratios'!$R$7*B198)/(1+'Coverage ratios'!$R$9)</f>
        <v>3.3306662205670388</v>
      </c>
      <c r="D198" s="342">
        <f>('Coverage ratios'!$R$17*B198)/((1+'Coverage ratios'!$R$19)^2)</f>
        <v>3.4710156260988771</v>
      </c>
      <c r="E198" s="342">
        <f>('Coverage ratios'!$R$27*B198)/((1+'Coverage ratios'!$R$29)^3)</f>
        <v>3.5588860916872411</v>
      </c>
      <c r="F198" s="342">
        <f>('Coverage ratios'!$R$37*B198)/((1+'Coverage ratios'!$R$39)^4)</f>
        <v>3.6456977939411392</v>
      </c>
      <c r="G198" s="342">
        <f>('Coverage ratios'!$R$47*B198)/((1+'Coverage ratios'!$R$49)^5)</f>
        <v>3.8235271360605418</v>
      </c>
      <c r="H198" s="342">
        <f>B198*'APV CALCULATION '!$Q$12</f>
        <v>469.86787203864259</v>
      </c>
      <c r="I198" s="590">
        <f>((SUM(G198:H198)/(1+'APV CALCULATION '!$I$32^5))+F198/(1+'APV CALCULATION '!$H$32^4)+(E198/(1+'APV CALCULATION '!$G$32^3)+(D198/(1+'APV CALCULATION '!$F$32)^2)+(C198/(1+'APV CALCULATION '!$E$32))))</f>
        <v>487.54180963092364</v>
      </c>
      <c r="J198" s="342">
        <f>I198+'APV CALCULATION '!$E$21*(1+'APV CALCULATION '!$M$3-B198)-'APV CALCULATION '!$C$48</f>
        <v>3649.3516681224692</v>
      </c>
      <c r="L198" s="6"/>
      <c r="N198"/>
    </row>
    <row r="199" spans="2:14" x14ac:dyDescent="0.2">
      <c r="B199" s="339">
        <f t="shared" si="10"/>
        <v>0.22500000000000012</v>
      </c>
      <c r="C199" s="342">
        <f>('Coverage ratios'!$R$7*B199)/(1+'Coverage ratios'!$R$9)</f>
        <v>3.3455352661945703</v>
      </c>
      <c r="D199" s="342">
        <f>('Coverage ratios'!$R$17*B199)/((1+'Coverage ratios'!$R$19)^2)</f>
        <v>3.4865112315725328</v>
      </c>
      <c r="E199" s="342">
        <f>('Coverage ratios'!$R$27*B199)/((1+'Coverage ratios'!$R$29)^3)</f>
        <v>3.5747739760251305</v>
      </c>
      <c r="F199" s="342">
        <f>('Coverage ratios'!$R$37*B199)/((1+'Coverage ratios'!$R$39)^4)</f>
        <v>3.6619732305212338</v>
      </c>
      <c r="G199" s="342">
        <f>('Coverage ratios'!$R$47*B199)/((1+'Coverage ratios'!$R$49)^5)</f>
        <v>3.8405964536322408</v>
      </c>
      <c r="H199" s="342">
        <f>B199*'APV CALCULATION '!$Q$12</f>
        <v>471.96549646738652</v>
      </c>
      <c r="I199" s="590">
        <f>((SUM(G199:H199)/(1+'APV CALCULATION '!$I$32^5))+F199/(1+'APV CALCULATION '!$H$32^4)+(E199/(1+'APV CALCULATION '!$G$32^3)+(D199/(1+'APV CALCULATION '!$F$32)^2)+(C199/(1+'APV CALCULATION '!$E$32))))</f>
        <v>489.71833556677598</v>
      </c>
      <c r="J199" s="342">
        <f>I199+'APV CALCULATION '!$E$21*(1+'APV CALCULATION '!$M$3-B199)-'APV CALCULATION '!$C$48</f>
        <v>3648.1137125696696</v>
      </c>
      <c r="L199" s="6"/>
      <c r="N199"/>
    </row>
    <row r="200" spans="2:14" x14ac:dyDescent="0.2">
      <c r="B200" s="339">
        <f t="shared" si="10"/>
        <v>0.22600000000000012</v>
      </c>
      <c r="C200" s="342">
        <f>('Coverage ratios'!$R$7*B200)/(1+'Coverage ratios'!$R$9)</f>
        <v>3.3604043118221014</v>
      </c>
      <c r="D200" s="342">
        <f>('Coverage ratios'!$R$17*B200)/((1+'Coverage ratios'!$R$19)^2)</f>
        <v>3.502006837046189</v>
      </c>
      <c r="E200" s="342">
        <f>('Coverage ratios'!$R$27*B200)/((1+'Coverage ratios'!$R$29)^3)</f>
        <v>3.5906618603630198</v>
      </c>
      <c r="F200" s="342">
        <f>('Coverage ratios'!$R$37*B200)/((1+'Coverage ratios'!$R$39)^4)</f>
        <v>3.6782486671013279</v>
      </c>
      <c r="G200" s="342">
        <f>('Coverage ratios'!$R$47*B200)/((1+'Coverage ratios'!$R$49)^5)</f>
        <v>3.8576657712039397</v>
      </c>
      <c r="H200" s="342">
        <f>B200*'APV CALCULATION '!$Q$12</f>
        <v>474.06312089613044</v>
      </c>
      <c r="I200" s="590">
        <f>((SUM(G200:H200)/(1+'APV CALCULATION '!$I$32^5))+F200/(1+'APV CALCULATION '!$H$32^4)+(E200/(1+'APV CALCULATION '!$G$32^3)+(D200/(1+'APV CALCULATION '!$F$32)^2)+(C200/(1+'APV CALCULATION '!$E$32))))</f>
        <v>491.89486150262826</v>
      </c>
      <c r="J200" s="342">
        <f>I200+'APV CALCULATION '!$E$21*(1+'APV CALCULATION '!$M$3-B200)-'APV CALCULATION '!$C$48</f>
        <v>3646.8757570168705</v>
      </c>
      <c r="L200" s="6"/>
      <c r="N200"/>
    </row>
    <row r="201" spans="2:14" x14ac:dyDescent="0.2">
      <c r="B201" s="339">
        <f t="shared" si="10"/>
        <v>0.22700000000000012</v>
      </c>
      <c r="C201" s="342">
        <f>('Coverage ratios'!$R$7*B201)/(1+'Coverage ratios'!$R$9)</f>
        <v>3.375273357449633</v>
      </c>
      <c r="D201" s="342">
        <f>('Coverage ratios'!$R$17*B201)/((1+'Coverage ratios'!$R$19)^2)</f>
        <v>3.5175024425198447</v>
      </c>
      <c r="E201" s="342">
        <f>('Coverage ratios'!$R$27*B201)/((1+'Coverage ratios'!$R$29)^3)</f>
        <v>3.6065497447009092</v>
      </c>
      <c r="F201" s="342">
        <f>('Coverage ratios'!$R$37*B201)/((1+'Coverage ratios'!$R$39)^4)</f>
        <v>3.6945241036814225</v>
      </c>
      <c r="G201" s="342">
        <f>('Coverage ratios'!$R$47*B201)/((1+'Coverage ratios'!$R$49)^5)</f>
        <v>3.8747350887756387</v>
      </c>
      <c r="H201" s="342">
        <f>B201*'APV CALCULATION '!$Q$12</f>
        <v>476.16074532487443</v>
      </c>
      <c r="I201" s="590">
        <f>((SUM(G201:H201)/(1+'APV CALCULATION '!$I$32^5))+F201/(1+'APV CALCULATION '!$H$32^4)+(E201/(1+'APV CALCULATION '!$G$32^3)+(D201/(1+'APV CALCULATION '!$F$32)^2)+(C201/(1+'APV CALCULATION '!$E$32))))</f>
        <v>494.07138743848066</v>
      </c>
      <c r="J201" s="342">
        <f>I201+'APV CALCULATION '!$E$21*(1+'APV CALCULATION '!$M$3-B201)-'APV CALCULATION '!$C$48</f>
        <v>3645.6378014640709</v>
      </c>
      <c r="L201" s="6"/>
      <c r="N201"/>
    </row>
    <row r="202" spans="2:14" x14ac:dyDescent="0.2">
      <c r="B202" s="339">
        <f t="shared" si="10"/>
        <v>0.22800000000000012</v>
      </c>
      <c r="C202" s="342">
        <f>('Coverage ratios'!$R$7*B202)/(1+'Coverage ratios'!$R$9)</f>
        <v>3.3901424030771645</v>
      </c>
      <c r="D202" s="342">
        <f>('Coverage ratios'!$R$17*B202)/((1+'Coverage ratios'!$R$19)^2)</f>
        <v>3.5329980479935004</v>
      </c>
      <c r="E202" s="342">
        <f>('Coverage ratios'!$R$27*B202)/((1+'Coverage ratios'!$R$29)^3)</f>
        <v>3.622437629038799</v>
      </c>
      <c r="F202" s="342">
        <f>('Coverage ratios'!$R$37*B202)/((1+'Coverage ratios'!$R$39)^4)</f>
        <v>3.710799540261517</v>
      </c>
      <c r="G202" s="342">
        <f>('Coverage ratios'!$R$47*B202)/((1+'Coverage ratios'!$R$49)^5)</f>
        <v>3.8918044063473372</v>
      </c>
      <c r="H202" s="342">
        <f>B202*'APV CALCULATION '!$Q$12</f>
        <v>478.25836975361835</v>
      </c>
      <c r="I202" s="590">
        <f>((SUM(G202:H202)/(1+'APV CALCULATION '!$I$32^5))+F202/(1+'APV CALCULATION '!$H$32^4)+(E202/(1+'APV CALCULATION '!$G$32^3)+(D202/(1+'APV CALCULATION '!$F$32)^2)+(C202/(1+'APV CALCULATION '!$E$32))))</f>
        <v>496.24791337433305</v>
      </c>
      <c r="J202" s="342">
        <f>I202+'APV CALCULATION '!$E$21*(1+'APV CALCULATION '!$M$3-B202)-'APV CALCULATION '!$C$48</f>
        <v>3644.3998459112718</v>
      </c>
      <c r="L202" s="6"/>
      <c r="N202"/>
    </row>
    <row r="203" spans="2:14" x14ac:dyDescent="0.2">
      <c r="B203" s="339">
        <f t="shared" ref="B203:B266" si="11">B202+0.1%</f>
        <v>0.22900000000000012</v>
      </c>
      <c r="C203" s="342">
        <f>('Coverage ratios'!$R$7*B203)/(1+'Coverage ratios'!$R$9)</f>
        <v>3.4050114487046956</v>
      </c>
      <c r="D203" s="342">
        <f>('Coverage ratios'!$R$17*B203)/((1+'Coverage ratios'!$R$19)^2)</f>
        <v>3.5484936534671561</v>
      </c>
      <c r="E203" s="342">
        <f>('Coverage ratios'!$R$27*B203)/((1+'Coverage ratios'!$R$29)^3)</f>
        <v>3.6383255133766883</v>
      </c>
      <c r="F203" s="342">
        <f>('Coverage ratios'!$R$37*B203)/((1+'Coverage ratios'!$R$39)^4)</f>
        <v>3.7270749768416112</v>
      </c>
      <c r="G203" s="342">
        <f>('Coverage ratios'!$R$47*B203)/((1+'Coverage ratios'!$R$49)^5)</f>
        <v>3.9088737239190361</v>
      </c>
      <c r="H203" s="342">
        <f>B203*'APV CALCULATION '!$Q$12</f>
        <v>480.35599418236228</v>
      </c>
      <c r="I203" s="590">
        <f>((SUM(G203:H203)/(1+'APV CALCULATION '!$I$32^5))+F203/(1+'APV CALCULATION '!$H$32^4)+(E203/(1+'APV CALCULATION '!$G$32^3)+(D203/(1+'APV CALCULATION '!$F$32)^2)+(C203/(1+'APV CALCULATION '!$E$32))))</f>
        <v>498.42443931018539</v>
      </c>
      <c r="J203" s="342">
        <f>I203+'APV CALCULATION '!$E$21*(1+'APV CALCULATION '!$M$3-B203)-'APV CALCULATION '!$C$48</f>
        <v>3643.1618903584722</v>
      </c>
      <c r="L203" s="6"/>
      <c r="N203"/>
    </row>
    <row r="204" spans="2:14" x14ac:dyDescent="0.2">
      <c r="B204" s="339">
        <f t="shared" si="11"/>
        <v>0.23000000000000012</v>
      </c>
      <c r="C204" s="342">
        <f>('Coverage ratios'!$R$7*B204)/(1+'Coverage ratios'!$R$9)</f>
        <v>3.4198804943322272</v>
      </c>
      <c r="D204" s="342">
        <f>('Coverage ratios'!$R$17*B204)/((1+'Coverage ratios'!$R$19)^2)</f>
        <v>3.5639892589408118</v>
      </c>
      <c r="E204" s="342">
        <f>('Coverage ratios'!$R$27*B204)/((1+'Coverage ratios'!$R$29)^3)</f>
        <v>3.6542133977145781</v>
      </c>
      <c r="F204" s="342">
        <f>('Coverage ratios'!$R$37*B204)/((1+'Coverage ratios'!$R$39)^4)</f>
        <v>3.7433504134217057</v>
      </c>
      <c r="G204" s="342">
        <f>('Coverage ratios'!$R$47*B204)/((1+'Coverage ratios'!$R$49)^5)</f>
        <v>3.925943041490735</v>
      </c>
      <c r="H204" s="342">
        <f>B204*'APV CALCULATION '!$Q$12</f>
        <v>482.45361861110621</v>
      </c>
      <c r="I204" s="590">
        <f>((SUM(G204:H204)/(1+'APV CALCULATION '!$I$32^5))+F204/(1+'APV CALCULATION '!$H$32^4)+(E204/(1+'APV CALCULATION '!$G$32^3)+(D204/(1+'APV CALCULATION '!$F$32)^2)+(C204/(1+'APV CALCULATION '!$E$32))))</f>
        <v>500.60096524603767</v>
      </c>
      <c r="J204" s="342">
        <f>I204+'APV CALCULATION '!$E$21*(1+'APV CALCULATION '!$M$3-B204)-'APV CALCULATION '!$C$48</f>
        <v>3641.9239348056726</v>
      </c>
      <c r="L204" s="6"/>
      <c r="N204"/>
    </row>
    <row r="205" spans="2:14" x14ac:dyDescent="0.2">
      <c r="B205" s="339">
        <f t="shared" si="11"/>
        <v>0.23100000000000012</v>
      </c>
      <c r="C205" s="342">
        <f>('Coverage ratios'!$R$7*B205)/(1+'Coverage ratios'!$R$9)</f>
        <v>3.4347495399597587</v>
      </c>
      <c r="D205" s="342">
        <f>('Coverage ratios'!$R$17*B205)/((1+'Coverage ratios'!$R$19)^2)</f>
        <v>3.5794848644144674</v>
      </c>
      <c r="E205" s="342">
        <f>('Coverage ratios'!$R$27*B205)/((1+'Coverage ratios'!$R$29)^3)</f>
        <v>3.6701012820524674</v>
      </c>
      <c r="F205" s="342">
        <f>('Coverage ratios'!$R$37*B205)/((1+'Coverage ratios'!$R$39)^4)</f>
        <v>3.7596258500017998</v>
      </c>
      <c r="G205" s="342">
        <f>('Coverage ratios'!$R$47*B205)/((1+'Coverage ratios'!$R$49)^5)</f>
        <v>3.943012359062434</v>
      </c>
      <c r="H205" s="342">
        <f>B205*'APV CALCULATION '!$Q$12</f>
        <v>484.55124303985019</v>
      </c>
      <c r="I205" s="590">
        <f>((SUM(G205:H205)/(1+'APV CALCULATION '!$I$32^5))+F205/(1+'APV CALCULATION '!$H$32^4)+(E205/(1+'APV CALCULATION '!$G$32^3)+(D205/(1+'APV CALCULATION '!$F$32)^2)+(C205/(1+'APV CALCULATION '!$E$32))))</f>
        <v>502.77749118189007</v>
      </c>
      <c r="J205" s="342">
        <f>I205+'APV CALCULATION '!$E$21*(1+'APV CALCULATION '!$M$3-B205)-'APV CALCULATION '!$C$48</f>
        <v>3640.6859792528735</v>
      </c>
      <c r="L205" s="6"/>
      <c r="N205"/>
    </row>
    <row r="206" spans="2:14" x14ac:dyDescent="0.2">
      <c r="B206" s="339">
        <f t="shared" si="11"/>
        <v>0.23200000000000012</v>
      </c>
      <c r="C206" s="342">
        <f>('Coverage ratios'!$R$7*B206)/(1+'Coverage ratios'!$R$9)</f>
        <v>3.4496185855872903</v>
      </c>
      <c r="D206" s="342">
        <f>('Coverage ratios'!$R$17*B206)/((1+'Coverage ratios'!$R$19)^2)</f>
        <v>3.5949804698881231</v>
      </c>
      <c r="E206" s="342">
        <f>('Coverage ratios'!$R$27*B206)/((1+'Coverage ratios'!$R$29)^3)</f>
        <v>3.6859891663903572</v>
      </c>
      <c r="F206" s="342">
        <f>('Coverage ratios'!$R$37*B206)/((1+'Coverage ratios'!$R$39)^4)</f>
        <v>3.7759012865818944</v>
      </c>
      <c r="G206" s="342">
        <f>('Coverage ratios'!$R$47*B206)/((1+'Coverage ratios'!$R$49)^5)</f>
        <v>3.9600816766341329</v>
      </c>
      <c r="H206" s="342">
        <f>B206*'APV CALCULATION '!$Q$12</f>
        <v>486.64886746859412</v>
      </c>
      <c r="I206" s="590">
        <f>((SUM(G206:H206)/(1+'APV CALCULATION '!$I$32^5))+F206/(1+'APV CALCULATION '!$H$32^4)+(E206/(1+'APV CALCULATION '!$G$32^3)+(D206/(1+'APV CALCULATION '!$F$32)^2)+(C206/(1+'APV CALCULATION '!$E$32))))</f>
        <v>504.95401711774241</v>
      </c>
      <c r="J206" s="342">
        <f>I206+'APV CALCULATION '!$E$21*(1+'APV CALCULATION '!$M$3-B206)-'APV CALCULATION '!$C$48</f>
        <v>3639.4480237000739</v>
      </c>
      <c r="L206" s="6"/>
      <c r="N206"/>
    </row>
    <row r="207" spans="2:14" x14ac:dyDescent="0.2">
      <c r="B207" s="339">
        <f t="shared" si="11"/>
        <v>0.23300000000000012</v>
      </c>
      <c r="C207" s="342">
        <f>('Coverage ratios'!$R$7*B207)/(1+'Coverage ratios'!$R$9)</f>
        <v>3.4644876312148214</v>
      </c>
      <c r="D207" s="342">
        <f>('Coverage ratios'!$R$17*B207)/((1+'Coverage ratios'!$R$19)^2)</f>
        <v>3.6104760753617788</v>
      </c>
      <c r="E207" s="342">
        <f>('Coverage ratios'!$R$27*B207)/((1+'Coverage ratios'!$R$29)^3)</f>
        <v>3.7018770507282466</v>
      </c>
      <c r="F207" s="342">
        <f>('Coverage ratios'!$R$37*B207)/((1+'Coverage ratios'!$R$39)^4)</f>
        <v>3.7921767231619885</v>
      </c>
      <c r="G207" s="342">
        <f>('Coverage ratios'!$R$47*B207)/((1+'Coverage ratios'!$R$49)^5)</f>
        <v>3.9771509942058314</v>
      </c>
      <c r="H207" s="342">
        <f>B207*'APV CALCULATION '!$Q$12</f>
        <v>488.74649189733805</v>
      </c>
      <c r="I207" s="590">
        <f>((SUM(G207:H207)/(1+'APV CALCULATION '!$I$32^5))+F207/(1+'APV CALCULATION '!$H$32^4)+(E207/(1+'APV CALCULATION '!$G$32^3)+(D207/(1+'APV CALCULATION '!$F$32)^2)+(C207/(1+'APV CALCULATION '!$E$32))))</f>
        <v>507.13054305359475</v>
      </c>
      <c r="J207" s="342">
        <f>I207+'APV CALCULATION '!$E$21*(1+'APV CALCULATION '!$M$3-B207)-'APV CALCULATION '!$C$48</f>
        <v>3638.2100681472748</v>
      </c>
      <c r="L207" s="6"/>
      <c r="N207"/>
    </row>
    <row r="208" spans="2:14" x14ac:dyDescent="0.2">
      <c r="B208" s="339">
        <f t="shared" si="11"/>
        <v>0.23400000000000012</v>
      </c>
      <c r="C208" s="342">
        <f>('Coverage ratios'!$R$7*B208)/(1+'Coverage ratios'!$R$9)</f>
        <v>3.4793566768423529</v>
      </c>
      <c r="D208" s="342">
        <f>('Coverage ratios'!$R$17*B208)/((1+'Coverage ratios'!$R$19)^2)</f>
        <v>3.6259716808354345</v>
      </c>
      <c r="E208" s="342">
        <f>('Coverage ratios'!$R$27*B208)/((1+'Coverage ratios'!$R$29)^3)</f>
        <v>3.7177649350661359</v>
      </c>
      <c r="F208" s="342">
        <f>('Coverage ratios'!$R$37*B208)/((1+'Coverage ratios'!$R$39)^4)</f>
        <v>3.8084521597420831</v>
      </c>
      <c r="G208" s="342">
        <f>('Coverage ratios'!$R$47*B208)/((1+'Coverage ratios'!$R$49)^5)</f>
        <v>3.9942203117775303</v>
      </c>
      <c r="H208" s="342">
        <f>B208*'APV CALCULATION '!$Q$12</f>
        <v>490.84411632608197</v>
      </c>
      <c r="I208" s="590">
        <f>((SUM(G208:H208)/(1+'APV CALCULATION '!$I$32^5))+F208/(1+'APV CALCULATION '!$H$32^4)+(E208/(1+'APV CALCULATION '!$G$32^3)+(D208/(1+'APV CALCULATION '!$F$32)^2)+(C208/(1+'APV CALCULATION '!$E$32))))</f>
        <v>509.30706898944709</v>
      </c>
      <c r="J208" s="342">
        <f>I208+'APV CALCULATION '!$E$21*(1+'APV CALCULATION '!$M$3-B208)-'APV CALCULATION '!$C$48</f>
        <v>3636.9721125944752</v>
      </c>
      <c r="L208" s="6"/>
      <c r="N208"/>
    </row>
    <row r="209" spans="2:14" x14ac:dyDescent="0.2">
      <c r="B209" s="339">
        <f t="shared" si="11"/>
        <v>0.23500000000000013</v>
      </c>
      <c r="C209" s="342">
        <f>('Coverage ratios'!$R$7*B209)/(1+'Coverage ratios'!$R$9)</f>
        <v>3.4942257224698845</v>
      </c>
      <c r="D209" s="342">
        <f>('Coverage ratios'!$R$17*B209)/((1+'Coverage ratios'!$R$19)^2)</f>
        <v>3.6414672863090902</v>
      </c>
      <c r="E209" s="342">
        <f>('Coverage ratios'!$R$27*B209)/((1+'Coverage ratios'!$R$29)^3)</f>
        <v>3.7336528194040253</v>
      </c>
      <c r="F209" s="342">
        <f>('Coverage ratios'!$R$37*B209)/((1+'Coverage ratios'!$R$39)^4)</f>
        <v>3.8247275963221772</v>
      </c>
      <c r="G209" s="342">
        <f>('Coverage ratios'!$R$47*B209)/((1+'Coverage ratios'!$R$49)^5)</f>
        <v>4.0112896293492293</v>
      </c>
      <c r="H209" s="342">
        <f>B209*'APV CALCULATION '!$Q$12</f>
        <v>492.94174075482596</v>
      </c>
      <c r="I209" s="590">
        <f>((SUM(G209:H209)/(1+'APV CALCULATION '!$I$32^5))+F209/(1+'APV CALCULATION '!$H$32^4)+(E209/(1+'APV CALCULATION '!$G$32^3)+(D209/(1+'APV CALCULATION '!$F$32)^2)+(C209/(1+'APV CALCULATION '!$E$32))))</f>
        <v>511.48359492529943</v>
      </c>
      <c r="J209" s="342">
        <f>I209+'APV CALCULATION '!$E$21*(1+'APV CALCULATION '!$M$3-B209)-'APV CALCULATION '!$C$48</f>
        <v>3635.7341570416752</v>
      </c>
      <c r="L209" s="6"/>
      <c r="N209"/>
    </row>
    <row r="210" spans="2:14" x14ac:dyDescent="0.2">
      <c r="B210" s="339">
        <f t="shared" si="11"/>
        <v>0.23600000000000013</v>
      </c>
      <c r="C210" s="342">
        <f>('Coverage ratios'!$R$7*B210)/(1+'Coverage ratios'!$R$9)</f>
        <v>3.5090947680974161</v>
      </c>
      <c r="D210" s="342">
        <f>('Coverage ratios'!$R$17*B210)/((1+'Coverage ratios'!$R$19)^2)</f>
        <v>3.6569628917827459</v>
      </c>
      <c r="E210" s="342">
        <f>('Coverage ratios'!$R$27*B210)/((1+'Coverage ratios'!$R$29)^3)</f>
        <v>3.7495407037419151</v>
      </c>
      <c r="F210" s="342">
        <f>('Coverage ratios'!$R$37*B210)/((1+'Coverage ratios'!$R$39)^4)</f>
        <v>3.8410030329022713</v>
      </c>
      <c r="G210" s="342">
        <f>('Coverage ratios'!$R$47*B210)/((1+'Coverage ratios'!$R$49)^5)</f>
        <v>4.0283589469209282</v>
      </c>
      <c r="H210" s="342">
        <f>B210*'APV CALCULATION '!$Q$12</f>
        <v>495.03936518356988</v>
      </c>
      <c r="I210" s="590">
        <f>((SUM(G210:H210)/(1+'APV CALCULATION '!$I$32^5))+F210/(1+'APV CALCULATION '!$H$32^4)+(E210/(1+'APV CALCULATION '!$G$32^3)+(D210/(1+'APV CALCULATION '!$F$32)^2)+(C210/(1+'APV CALCULATION '!$E$32))))</f>
        <v>513.66012086115177</v>
      </c>
      <c r="J210" s="342">
        <f>I210+'APV CALCULATION '!$E$21*(1+'APV CALCULATION '!$M$3-B210)-'APV CALCULATION '!$C$48</f>
        <v>3634.4962014888761</v>
      </c>
      <c r="L210" s="6"/>
      <c r="N210"/>
    </row>
    <row r="211" spans="2:14" x14ac:dyDescent="0.2">
      <c r="B211" s="339">
        <f t="shared" si="11"/>
        <v>0.23700000000000013</v>
      </c>
      <c r="C211" s="342">
        <f>('Coverage ratios'!$R$7*B211)/(1+'Coverage ratios'!$R$9)</f>
        <v>3.5239638137249472</v>
      </c>
      <c r="D211" s="342">
        <f>('Coverage ratios'!$R$17*B211)/((1+'Coverage ratios'!$R$19)^2)</f>
        <v>3.6724584972564021</v>
      </c>
      <c r="E211" s="342">
        <f>('Coverage ratios'!$R$27*B211)/((1+'Coverage ratios'!$R$29)^3)</f>
        <v>3.7654285880798044</v>
      </c>
      <c r="F211" s="342">
        <f>('Coverage ratios'!$R$37*B211)/((1+'Coverage ratios'!$R$39)^4)</f>
        <v>3.8572784694823663</v>
      </c>
      <c r="G211" s="342">
        <f>('Coverage ratios'!$R$47*B211)/((1+'Coverage ratios'!$R$49)^5)</f>
        <v>4.0454282644926272</v>
      </c>
      <c r="H211" s="342">
        <f>B211*'APV CALCULATION '!$Q$12</f>
        <v>497.13698961231381</v>
      </c>
      <c r="I211" s="590">
        <f>((SUM(G211:H211)/(1+'APV CALCULATION '!$I$32^5))+F211/(1+'APV CALCULATION '!$H$32^4)+(E211/(1+'APV CALCULATION '!$G$32^3)+(D211/(1+'APV CALCULATION '!$F$32)^2)+(C211/(1+'APV CALCULATION '!$E$32))))</f>
        <v>515.83664679700405</v>
      </c>
      <c r="J211" s="342">
        <f>I211+'APV CALCULATION '!$E$21*(1+'APV CALCULATION '!$M$3-B211)-'APV CALCULATION '!$C$48</f>
        <v>3633.2582459360765</v>
      </c>
      <c r="L211" s="6"/>
      <c r="N211"/>
    </row>
    <row r="212" spans="2:14" x14ac:dyDescent="0.2">
      <c r="B212" s="339">
        <f t="shared" si="11"/>
        <v>0.23800000000000013</v>
      </c>
      <c r="C212" s="342">
        <f>('Coverage ratios'!$R$7*B212)/(1+'Coverage ratios'!$R$9)</f>
        <v>3.5388328593524792</v>
      </c>
      <c r="D212" s="342">
        <f>('Coverage ratios'!$R$17*B212)/((1+'Coverage ratios'!$R$19)^2)</f>
        <v>3.6879541027300577</v>
      </c>
      <c r="E212" s="342">
        <f>('Coverage ratios'!$R$27*B212)/((1+'Coverage ratios'!$R$29)^3)</f>
        <v>3.7813164724176938</v>
      </c>
      <c r="F212" s="342">
        <f>('Coverage ratios'!$R$37*B212)/((1+'Coverage ratios'!$R$39)^4)</f>
        <v>3.8735539060624604</v>
      </c>
      <c r="G212" s="342">
        <f>('Coverage ratios'!$R$47*B212)/((1+'Coverage ratios'!$R$49)^5)</f>
        <v>4.0624975820643252</v>
      </c>
      <c r="H212" s="342">
        <f>B212*'APV CALCULATION '!$Q$12</f>
        <v>499.23461404105774</v>
      </c>
      <c r="I212" s="590">
        <f>((SUM(G212:H212)/(1+'APV CALCULATION '!$I$32^5))+F212/(1+'APV CALCULATION '!$H$32^4)+(E212/(1+'APV CALCULATION '!$G$32^3)+(D212/(1+'APV CALCULATION '!$F$32)^2)+(C212/(1+'APV CALCULATION '!$E$32))))</f>
        <v>518.01317273285645</v>
      </c>
      <c r="J212" s="342">
        <f>I212+'APV CALCULATION '!$E$21*(1+'APV CALCULATION '!$M$3-B212)-'APV CALCULATION '!$C$48</f>
        <v>3632.0202903832769</v>
      </c>
      <c r="L212" s="6"/>
      <c r="N212"/>
    </row>
    <row r="213" spans="2:14" x14ac:dyDescent="0.2">
      <c r="B213" s="339">
        <f t="shared" si="11"/>
        <v>0.23900000000000013</v>
      </c>
      <c r="C213" s="342">
        <f>('Coverage ratios'!$R$7*B213)/(1+'Coverage ratios'!$R$9)</f>
        <v>3.5537019049800103</v>
      </c>
      <c r="D213" s="342">
        <f>('Coverage ratios'!$R$17*B213)/((1+'Coverage ratios'!$R$19)^2)</f>
        <v>3.7034497082037134</v>
      </c>
      <c r="E213" s="342">
        <f>('Coverage ratios'!$R$27*B213)/((1+'Coverage ratios'!$R$29)^3)</f>
        <v>3.7972043567555835</v>
      </c>
      <c r="F213" s="342">
        <f>('Coverage ratios'!$R$37*B213)/((1+'Coverage ratios'!$R$39)^4)</f>
        <v>3.8898293426425545</v>
      </c>
      <c r="G213" s="342">
        <f>('Coverage ratios'!$R$47*B213)/((1+'Coverage ratios'!$R$49)^5)</f>
        <v>4.0795668996360241</v>
      </c>
      <c r="H213" s="342">
        <f>B213*'APV CALCULATION '!$Q$12</f>
        <v>501.33223846980167</v>
      </c>
      <c r="I213" s="590">
        <f>((SUM(G213:H213)/(1+'APV CALCULATION '!$I$32^5))+F213/(1+'APV CALCULATION '!$H$32^4)+(E213/(1+'APV CALCULATION '!$G$32^3)+(D213/(1+'APV CALCULATION '!$F$32)^2)+(C213/(1+'APV CALCULATION '!$E$32))))</f>
        <v>520.18969866870873</v>
      </c>
      <c r="J213" s="342">
        <f>I213+'APV CALCULATION '!$E$21*(1+'APV CALCULATION '!$M$3-B213)-'APV CALCULATION '!$C$48</f>
        <v>3630.7823348304778</v>
      </c>
      <c r="L213" s="6"/>
      <c r="N213"/>
    </row>
    <row r="214" spans="2:14" x14ac:dyDescent="0.2">
      <c r="B214" s="339">
        <f t="shared" si="11"/>
        <v>0.24000000000000013</v>
      </c>
      <c r="C214" s="342">
        <f>('Coverage ratios'!$R$7*B214)/(1+'Coverage ratios'!$R$9)</f>
        <v>3.5685709506075414</v>
      </c>
      <c r="D214" s="342">
        <f>('Coverage ratios'!$R$17*B214)/((1+'Coverage ratios'!$R$19)^2)</f>
        <v>3.7189453136773691</v>
      </c>
      <c r="E214" s="342">
        <f>('Coverage ratios'!$R$27*B214)/((1+'Coverage ratios'!$R$29)^3)</f>
        <v>3.8130922410934729</v>
      </c>
      <c r="F214" s="342">
        <f>('Coverage ratios'!$R$37*B214)/((1+'Coverage ratios'!$R$39)^4)</f>
        <v>3.9061047792226495</v>
      </c>
      <c r="G214" s="342">
        <f>('Coverage ratios'!$R$47*B214)/((1+'Coverage ratios'!$R$49)^5)</f>
        <v>4.096636217207724</v>
      </c>
      <c r="H214" s="342">
        <f>B214*'APV CALCULATION '!$Q$12</f>
        <v>503.42986289854565</v>
      </c>
      <c r="I214" s="590">
        <f>((SUM(G214:H214)/(1+'APV CALCULATION '!$I$32^5))+F214/(1+'APV CALCULATION '!$H$32^4)+(E214/(1+'APV CALCULATION '!$G$32^3)+(D214/(1+'APV CALCULATION '!$F$32)^2)+(C214/(1+'APV CALCULATION '!$E$32))))</f>
        <v>522.36622460456113</v>
      </c>
      <c r="J214" s="342">
        <f>I214+'APV CALCULATION '!$E$21*(1+'APV CALCULATION '!$M$3-B214)-'APV CALCULATION '!$C$48</f>
        <v>3629.5443792776782</v>
      </c>
      <c r="L214" s="6"/>
      <c r="N214"/>
    </row>
    <row r="215" spans="2:14" x14ac:dyDescent="0.2">
      <c r="B215" s="339">
        <f t="shared" si="11"/>
        <v>0.24100000000000013</v>
      </c>
      <c r="C215" s="342">
        <f>('Coverage ratios'!$R$7*B215)/(1+'Coverage ratios'!$R$9)</f>
        <v>3.5834399962350729</v>
      </c>
      <c r="D215" s="342">
        <f>('Coverage ratios'!$R$17*B215)/((1+'Coverage ratios'!$R$19)^2)</f>
        <v>3.7344409191510244</v>
      </c>
      <c r="E215" s="342">
        <f>('Coverage ratios'!$R$27*B215)/((1+'Coverage ratios'!$R$29)^3)</f>
        <v>3.8289801254313622</v>
      </c>
      <c r="F215" s="342">
        <f>('Coverage ratios'!$R$37*B215)/((1+'Coverage ratios'!$R$39)^4)</f>
        <v>3.9223802158027437</v>
      </c>
      <c r="G215" s="342">
        <f>('Coverage ratios'!$R$47*B215)/((1+'Coverage ratios'!$R$49)^5)</f>
        <v>4.1137055347794229</v>
      </c>
      <c r="H215" s="342">
        <f>B215*'APV CALCULATION '!$Q$12</f>
        <v>505.52748732728958</v>
      </c>
      <c r="I215" s="590">
        <f>((SUM(G215:H215)/(1+'APV CALCULATION '!$I$32^5))+F215/(1+'APV CALCULATION '!$H$32^4)+(E215/(1+'APV CALCULATION '!$G$32^3)+(D215/(1+'APV CALCULATION '!$F$32)^2)+(C215/(1+'APV CALCULATION '!$E$32))))</f>
        <v>524.54275054041341</v>
      </c>
      <c r="J215" s="342">
        <f>I215+'APV CALCULATION '!$E$21*(1+'APV CALCULATION '!$M$3-B215)-'APV CALCULATION '!$C$48</f>
        <v>3628.3064237248791</v>
      </c>
      <c r="L215" s="6"/>
      <c r="N215"/>
    </row>
    <row r="216" spans="2:14" x14ac:dyDescent="0.2">
      <c r="B216" s="339">
        <f t="shared" si="11"/>
        <v>0.24200000000000013</v>
      </c>
      <c r="C216" s="342">
        <f>('Coverage ratios'!$R$7*B216)/(1+'Coverage ratios'!$R$9)</f>
        <v>3.5983090418626045</v>
      </c>
      <c r="D216" s="342">
        <f>('Coverage ratios'!$R$17*B216)/((1+'Coverage ratios'!$R$19)^2)</f>
        <v>3.7499365246246801</v>
      </c>
      <c r="E216" s="342">
        <f>('Coverage ratios'!$R$27*B216)/((1+'Coverage ratios'!$R$29)^3)</f>
        <v>3.8448680097692511</v>
      </c>
      <c r="F216" s="342">
        <f>('Coverage ratios'!$R$37*B216)/((1+'Coverage ratios'!$R$39)^4)</f>
        <v>3.9386556523828378</v>
      </c>
      <c r="G216" s="342">
        <f>('Coverage ratios'!$R$47*B216)/((1+'Coverage ratios'!$R$49)^5)</f>
        <v>4.1307748523511219</v>
      </c>
      <c r="H216" s="342">
        <f>B216*'APV CALCULATION '!$Q$12</f>
        <v>507.6251117560335</v>
      </c>
      <c r="I216" s="590">
        <f>((SUM(G216:H216)/(1+'APV CALCULATION '!$I$32^5))+F216/(1+'APV CALCULATION '!$H$32^4)+(E216/(1+'APV CALCULATION '!$G$32^3)+(D216/(1+'APV CALCULATION '!$F$32)^2)+(C216/(1+'APV CALCULATION '!$E$32))))</f>
        <v>526.71927647626569</v>
      </c>
      <c r="J216" s="342">
        <f>I216+'APV CALCULATION '!$E$21*(1+'APV CALCULATION '!$M$3-B216)-'APV CALCULATION '!$C$48</f>
        <v>3627.0684681720795</v>
      </c>
      <c r="L216" s="6"/>
      <c r="N216"/>
    </row>
    <row r="217" spans="2:14" x14ac:dyDescent="0.2">
      <c r="B217" s="339">
        <f t="shared" si="11"/>
        <v>0.24300000000000013</v>
      </c>
      <c r="C217" s="342">
        <f>('Coverage ratios'!$R$7*B217)/(1+'Coverage ratios'!$R$9)</f>
        <v>3.613178087490136</v>
      </c>
      <c r="D217" s="342">
        <f>('Coverage ratios'!$R$17*B217)/((1+'Coverage ratios'!$R$19)^2)</f>
        <v>3.7654321300983358</v>
      </c>
      <c r="E217" s="342">
        <f>('Coverage ratios'!$R$27*B217)/((1+'Coverage ratios'!$R$29)^3)</f>
        <v>3.8607558941071409</v>
      </c>
      <c r="F217" s="342">
        <f>('Coverage ratios'!$R$37*B217)/((1+'Coverage ratios'!$R$39)^4)</f>
        <v>3.9549310889629319</v>
      </c>
      <c r="G217" s="342">
        <f>('Coverage ratios'!$R$47*B217)/((1+'Coverage ratios'!$R$49)^5)</f>
        <v>4.1478441699228199</v>
      </c>
      <c r="H217" s="342">
        <f>B217*'APV CALCULATION '!$Q$12</f>
        <v>509.72273618477743</v>
      </c>
      <c r="I217" s="590">
        <f>((SUM(G217:H217)/(1+'APV CALCULATION '!$I$32^5))+F217/(1+'APV CALCULATION '!$H$32^4)+(E217/(1+'APV CALCULATION '!$G$32^3)+(D217/(1+'APV CALCULATION '!$F$32)^2)+(C217/(1+'APV CALCULATION '!$E$32))))</f>
        <v>528.89580241211809</v>
      </c>
      <c r="J217" s="342">
        <f>I217+'APV CALCULATION '!$E$21*(1+'APV CALCULATION '!$M$3-B217)-'APV CALCULATION '!$C$48</f>
        <v>3625.8305126192799</v>
      </c>
      <c r="L217" s="6"/>
      <c r="N217"/>
    </row>
    <row r="218" spans="2:14" x14ac:dyDescent="0.2">
      <c r="B218" s="339">
        <f t="shared" si="11"/>
        <v>0.24400000000000013</v>
      </c>
      <c r="C218" s="342">
        <f>('Coverage ratios'!$R$7*B218)/(1+'Coverage ratios'!$R$9)</f>
        <v>3.6280471331176671</v>
      </c>
      <c r="D218" s="342">
        <f>('Coverage ratios'!$R$17*B218)/((1+'Coverage ratios'!$R$19)^2)</f>
        <v>3.7809277355719915</v>
      </c>
      <c r="E218" s="342">
        <f>('Coverage ratios'!$R$27*B218)/((1+'Coverage ratios'!$R$29)^3)</f>
        <v>3.8766437784450303</v>
      </c>
      <c r="F218" s="342">
        <f>('Coverage ratios'!$R$37*B218)/((1+'Coverage ratios'!$R$39)^4)</f>
        <v>3.9712065255430269</v>
      </c>
      <c r="G218" s="342">
        <f>('Coverage ratios'!$R$47*B218)/((1+'Coverage ratios'!$R$49)^5)</f>
        <v>4.1649134874945188</v>
      </c>
      <c r="H218" s="342">
        <f>B218*'APV CALCULATION '!$Q$12</f>
        <v>511.82036061352142</v>
      </c>
      <c r="I218" s="590">
        <f>((SUM(G218:H218)/(1+'APV CALCULATION '!$I$32^5))+F218/(1+'APV CALCULATION '!$H$32^4)+(E218/(1+'APV CALCULATION '!$G$32^3)+(D218/(1+'APV CALCULATION '!$F$32)^2)+(C218/(1+'APV CALCULATION '!$E$32))))</f>
        <v>531.07232834797048</v>
      </c>
      <c r="J218" s="342">
        <f>I218+'APV CALCULATION '!$E$21*(1+'APV CALCULATION '!$M$3-B218)-'APV CALCULATION '!$C$48</f>
        <v>3624.5925570664808</v>
      </c>
      <c r="L218" s="6"/>
      <c r="N218"/>
    </row>
    <row r="219" spans="2:14" x14ac:dyDescent="0.2">
      <c r="B219" s="339">
        <f t="shared" si="11"/>
        <v>0.24500000000000013</v>
      </c>
      <c r="C219" s="342">
        <f>('Coverage ratios'!$R$7*B219)/(1+'Coverage ratios'!$R$9)</f>
        <v>3.6429161787451987</v>
      </c>
      <c r="D219" s="342">
        <f>('Coverage ratios'!$R$17*B219)/((1+'Coverage ratios'!$R$19)^2)</f>
        <v>3.7964233410456472</v>
      </c>
      <c r="E219" s="342">
        <f>('Coverage ratios'!$R$27*B219)/((1+'Coverage ratios'!$R$29)^3)</f>
        <v>3.8925316627829205</v>
      </c>
      <c r="F219" s="342">
        <f>('Coverage ratios'!$R$37*B219)/((1+'Coverage ratios'!$R$39)^4)</f>
        <v>3.987481962123121</v>
      </c>
      <c r="G219" s="342">
        <f>('Coverage ratios'!$R$47*B219)/((1+'Coverage ratios'!$R$49)^5)</f>
        <v>4.1819828050662178</v>
      </c>
      <c r="H219" s="342">
        <f>B219*'APV CALCULATION '!$Q$12</f>
        <v>513.91798504226529</v>
      </c>
      <c r="I219" s="590">
        <f>((SUM(G219:H219)/(1+'APV CALCULATION '!$I$32^5))+F219/(1+'APV CALCULATION '!$H$32^4)+(E219/(1+'APV CALCULATION '!$G$32^3)+(D219/(1+'APV CALCULATION '!$F$32)^2)+(C219/(1+'APV CALCULATION '!$E$32))))</f>
        <v>533.24885428382277</v>
      </c>
      <c r="J219" s="342">
        <f>I219+'APV CALCULATION '!$E$21*(1+'APV CALCULATION '!$M$3-B219)-'APV CALCULATION '!$C$48</f>
        <v>3623.3546015136812</v>
      </c>
      <c r="L219" s="6"/>
      <c r="N219"/>
    </row>
    <row r="220" spans="2:14" x14ac:dyDescent="0.2">
      <c r="B220" s="339">
        <f t="shared" si="11"/>
        <v>0.24600000000000014</v>
      </c>
      <c r="C220" s="342">
        <f>('Coverage ratios'!$R$7*B220)/(1+'Coverage ratios'!$R$9)</f>
        <v>3.6577852243727302</v>
      </c>
      <c r="D220" s="342">
        <f>('Coverage ratios'!$R$17*B220)/((1+'Coverage ratios'!$R$19)^2)</f>
        <v>3.8119189465193029</v>
      </c>
      <c r="E220" s="342">
        <f>('Coverage ratios'!$R$27*B220)/((1+'Coverage ratios'!$R$29)^3)</f>
        <v>3.9084195471208099</v>
      </c>
      <c r="F220" s="342">
        <f>('Coverage ratios'!$R$37*B220)/((1+'Coverage ratios'!$R$39)^4)</f>
        <v>4.0037573987032156</v>
      </c>
      <c r="G220" s="342">
        <f>('Coverage ratios'!$R$47*B220)/((1+'Coverage ratios'!$R$49)^5)</f>
        <v>4.1990521226379167</v>
      </c>
      <c r="H220" s="342">
        <f>B220*'APV CALCULATION '!$Q$12</f>
        <v>516.01560947100927</v>
      </c>
      <c r="I220" s="590">
        <f>((SUM(G220:H220)/(1+'APV CALCULATION '!$I$32^5))+F220/(1+'APV CALCULATION '!$H$32^4)+(E220/(1+'APV CALCULATION '!$G$32^3)+(D220/(1+'APV CALCULATION '!$F$32)^2)+(C220/(1+'APV CALCULATION '!$E$32))))</f>
        <v>535.42538021967516</v>
      </c>
      <c r="J220" s="342">
        <f>I220+'APV CALCULATION '!$E$21*(1+'APV CALCULATION '!$M$3-B220)-'APV CALCULATION '!$C$48</f>
        <v>3622.1166459608821</v>
      </c>
      <c r="L220" s="6"/>
      <c r="N220"/>
    </row>
    <row r="221" spans="2:14" x14ac:dyDescent="0.2">
      <c r="B221" s="339">
        <f t="shared" si="11"/>
        <v>0.24700000000000014</v>
      </c>
      <c r="C221" s="342">
        <f>('Coverage ratios'!$R$7*B221)/(1+'Coverage ratios'!$R$9)</f>
        <v>3.6726542700002618</v>
      </c>
      <c r="D221" s="342">
        <f>('Coverage ratios'!$R$17*B221)/((1+'Coverage ratios'!$R$19)^2)</f>
        <v>3.8274145519929585</v>
      </c>
      <c r="E221" s="342">
        <f>('Coverage ratios'!$R$27*B221)/((1+'Coverage ratios'!$R$29)^3)</f>
        <v>3.9243074314586996</v>
      </c>
      <c r="F221" s="342">
        <f>('Coverage ratios'!$R$37*B221)/((1+'Coverage ratios'!$R$39)^4)</f>
        <v>4.0200328352833097</v>
      </c>
      <c r="G221" s="342">
        <f>('Coverage ratios'!$R$47*B221)/((1+'Coverage ratios'!$R$49)^5)</f>
        <v>4.2161214402096148</v>
      </c>
      <c r="H221" s="342">
        <f>B221*'APV CALCULATION '!$Q$12</f>
        <v>518.11323389975325</v>
      </c>
      <c r="I221" s="590">
        <f>((SUM(G221:H221)/(1+'APV CALCULATION '!$I$32^5))+F221/(1+'APV CALCULATION '!$H$32^4)+(E221/(1+'APV CALCULATION '!$G$32^3)+(D221/(1+'APV CALCULATION '!$F$32)^2)+(C221/(1+'APV CALCULATION '!$E$32))))</f>
        <v>537.60190615552744</v>
      </c>
      <c r="J221" s="342">
        <f>I221+'APV CALCULATION '!$E$21*(1+'APV CALCULATION '!$M$3-B221)-'APV CALCULATION '!$C$48</f>
        <v>3620.8786904080825</v>
      </c>
      <c r="L221" s="6"/>
      <c r="N221"/>
    </row>
    <row r="222" spans="2:14" x14ac:dyDescent="0.2">
      <c r="B222" s="339">
        <f t="shared" si="11"/>
        <v>0.24800000000000014</v>
      </c>
      <c r="C222" s="342">
        <f>('Coverage ratios'!$R$7*B222)/(1+'Coverage ratios'!$R$9)</f>
        <v>3.6875233156277929</v>
      </c>
      <c r="D222" s="342">
        <f>('Coverage ratios'!$R$17*B222)/((1+'Coverage ratios'!$R$19)^2)</f>
        <v>3.8429101574666147</v>
      </c>
      <c r="E222" s="342">
        <f>('Coverage ratios'!$R$27*B222)/((1+'Coverage ratios'!$R$29)^3)</f>
        <v>3.940195315796589</v>
      </c>
      <c r="F222" s="342">
        <f>('Coverage ratios'!$R$37*B222)/((1+'Coverage ratios'!$R$39)^4)</f>
        <v>4.0363082718634038</v>
      </c>
      <c r="G222" s="342">
        <f>('Coverage ratios'!$R$47*B222)/((1+'Coverage ratios'!$R$49)^5)</f>
        <v>4.2331907577813146</v>
      </c>
      <c r="H222" s="342">
        <f>B222*'APV CALCULATION '!$Q$12</f>
        <v>520.21085832849712</v>
      </c>
      <c r="I222" s="590">
        <f>((SUM(G222:H222)/(1+'APV CALCULATION '!$I$32^5))+F222/(1+'APV CALCULATION '!$H$32^4)+(E222/(1+'APV CALCULATION '!$G$32^3)+(D222/(1+'APV CALCULATION '!$F$32)^2)+(C222/(1+'APV CALCULATION '!$E$32))))</f>
        <v>539.77843209137984</v>
      </c>
      <c r="J222" s="342">
        <f>I222+'APV CALCULATION '!$E$21*(1+'APV CALCULATION '!$M$3-B222)-'APV CALCULATION '!$C$48</f>
        <v>3619.6407348552825</v>
      </c>
      <c r="L222" s="6"/>
      <c r="N222"/>
    </row>
    <row r="223" spans="2:14" x14ac:dyDescent="0.2">
      <c r="B223" s="339">
        <f t="shared" si="11"/>
        <v>0.24900000000000014</v>
      </c>
      <c r="C223" s="342">
        <f>('Coverage ratios'!$R$7*B223)/(1+'Coverage ratios'!$R$9)</f>
        <v>3.7023923612553244</v>
      </c>
      <c r="D223" s="342">
        <f>('Coverage ratios'!$R$17*B223)/((1+'Coverage ratios'!$R$19)^2)</f>
        <v>3.8584057629402704</v>
      </c>
      <c r="E223" s="342">
        <f>('Coverage ratios'!$R$27*B223)/((1+'Coverage ratios'!$R$29)^3)</f>
        <v>3.9560832001344783</v>
      </c>
      <c r="F223" s="342">
        <f>('Coverage ratios'!$R$37*B223)/((1+'Coverage ratios'!$R$39)^4)</f>
        <v>4.0525837084434979</v>
      </c>
      <c r="G223" s="342">
        <f>('Coverage ratios'!$R$47*B223)/((1+'Coverage ratios'!$R$49)^5)</f>
        <v>4.2502600753530135</v>
      </c>
      <c r="H223" s="342">
        <f>B223*'APV CALCULATION '!$Q$12</f>
        <v>522.30848275724111</v>
      </c>
      <c r="I223" s="590">
        <f>((SUM(G223:H223)/(1+'APV CALCULATION '!$I$32^5))+F223/(1+'APV CALCULATION '!$H$32^4)+(E223/(1+'APV CALCULATION '!$G$32^3)+(D223/(1+'APV CALCULATION '!$F$32)^2)+(C223/(1+'APV CALCULATION '!$E$32))))</f>
        <v>541.95495802723212</v>
      </c>
      <c r="J223" s="342">
        <f>I223+'APV CALCULATION '!$E$21*(1+'APV CALCULATION '!$M$3-B223)-'APV CALCULATION '!$C$48</f>
        <v>3618.4027793024834</v>
      </c>
      <c r="L223" s="6"/>
      <c r="N223"/>
    </row>
    <row r="224" spans="2:14" x14ac:dyDescent="0.2">
      <c r="B224" s="339">
        <f t="shared" si="11"/>
        <v>0.25000000000000011</v>
      </c>
      <c r="C224" s="342">
        <f>('Coverage ratios'!$R$7*B224)/(1+'Coverage ratios'!$R$9)</f>
        <v>3.7172614068828556</v>
      </c>
      <c r="D224" s="342">
        <f>('Coverage ratios'!$R$17*B224)/((1+'Coverage ratios'!$R$19)^2)</f>
        <v>3.8739013684139256</v>
      </c>
      <c r="E224" s="342">
        <f>('Coverage ratios'!$R$27*B224)/((1+'Coverage ratios'!$R$29)^3)</f>
        <v>3.9719710844723668</v>
      </c>
      <c r="F224" s="342">
        <f>('Coverage ratios'!$R$37*B224)/((1+'Coverage ratios'!$R$39)^4)</f>
        <v>4.068859145023592</v>
      </c>
      <c r="G224" s="342">
        <f>('Coverage ratios'!$R$47*B224)/((1+'Coverage ratios'!$R$49)^5)</f>
        <v>4.2673293929247116</v>
      </c>
      <c r="H224" s="342">
        <f>B224*'APV CALCULATION '!$Q$12</f>
        <v>524.40610718598498</v>
      </c>
      <c r="I224" s="590">
        <f>((SUM(G224:H224)/(1+'APV CALCULATION '!$I$32^5))+F224/(1+'APV CALCULATION '!$H$32^4)+(E224/(1+'APV CALCULATION '!$G$32^3)+(D224/(1+'APV CALCULATION '!$F$32)^2)+(C224/(1+'APV CALCULATION '!$E$32))))</f>
        <v>544.13148396308441</v>
      </c>
      <c r="J224" s="342">
        <f>I224+'APV CALCULATION '!$E$21*(1+'APV CALCULATION '!$M$3-B224)-'APV CALCULATION '!$C$48</f>
        <v>3617.1648237496838</v>
      </c>
      <c r="L224" s="6"/>
      <c r="N224"/>
    </row>
    <row r="225" spans="2:14" x14ac:dyDescent="0.2">
      <c r="B225" s="339">
        <f t="shared" si="11"/>
        <v>0.25100000000000011</v>
      </c>
      <c r="C225" s="342">
        <f>('Coverage ratios'!$R$7*B225)/(1+'Coverage ratios'!$R$9)</f>
        <v>3.7321304525103867</v>
      </c>
      <c r="D225" s="342">
        <f>('Coverage ratios'!$R$17*B225)/((1+'Coverage ratios'!$R$19)^2)</f>
        <v>3.8893969738875813</v>
      </c>
      <c r="E225" s="342">
        <f>('Coverage ratios'!$R$27*B225)/((1+'Coverage ratios'!$R$29)^3)</f>
        <v>3.9878589688102566</v>
      </c>
      <c r="F225" s="342">
        <f>('Coverage ratios'!$R$37*B225)/((1+'Coverage ratios'!$R$39)^4)</f>
        <v>4.0851345816036861</v>
      </c>
      <c r="G225" s="342">
        <f>('Coverage ratios'!$R$47*B225)/((1+'Coverage ratios'!$R$49)^5)</f>
        <v>4.2843987104964105</v>
      </c>
      <c r="H225" s="342">
        <f>B225*'APV CALCULATION '!$Q$12</f>
        <v>526.50373161472896</v>
      </c>
      <c r="I225" s="590">
        <f>((SUM(G225:H225)/(1+'APV CALCULATION '!$I$32^5))+F225/(1+'APV CALCULATION '!$H$32^4)+(E225/(1+'APV CALCULATION '!$G$32^3)+(D225/(1+'APV CALCULATION '!$F$32)^2)+(C225/(1+'APV CALCULATION '!$E$32))))</f>
        <v>546.3080098989368</v>
      </c>
      <c r="J225" s="342">
        <f>I225+'APV CALCULATION '!$E$21*(1+'APV CALCULATION '!$M$3-B225)-'APV CALCULATION '!$C$48</f>
        <v>3615.9268681968842</v>
      </c>
      <c r="L225" s="6"/>
      <c r="N225"/>
    </row>
    <row r="226" spans="2:14" x14ac:dyDescent="0.2">
      <c r="B226" s="339">
        <f t="shared" si="11"/>
        <v>0.25200000000000011</v>
      </c>
      <c r="C226" s="342">
        <f>('Coverage ratios'!$R$7*B226)/(1+'Coverage ratios'!$R$9)</f>
        <v>3.7469994981379182</v>
      </c>
      <c r="D226" s="342">
        <f>('Coverage ratios'!$R$17*B226)/((1+'Coverage ratios'!$R$19)^2)</f>
        <v>3.904892579361237</v>
      </c>
      <c r="E226" s="342">
        <f>('Coverage ratios'!$R$27*B226)/((1+'Coverage ratios'!$R$29)^3)</f>
        <v>4.0037468531481455</v>
      </c>
      <c r="F226" s="342">
        <f>('Coverage ratios'!$R$37*B226)/((1+'Coverage ratios'!$R$39)^4)</f>
        <v>4.1014100181837811</v>
      </c>
      <c r="G226" s="342">
        <f>('Coverage ratios'!$R$47*B226)/((1+'Coverage ratios'!$R$49)^5)</f>
        <v>4.3014680280681095</v>
      </c>
      <c r="H226" s="342">
        <f>B226*'APV CALCULATION '!$Q$12</f>
        <v>528.60135604347283</v>
      </c>
      <c r="I226" s="590">
        <f>((SUM(G226:H226)/(1+'APV CALCULATION '!$I$32^5))+F226/(1+'APV CALCULATION '!$H$32^4)+(E226/(1+'APV CALCULATION '!$G$32^3)+(D226/(1+'APV CALCULATION '!$F$32)^2)+(C226/(1+'APV CALCULATION '!$E$32))))</f>
        <v>548.48453583478909</v>
      </c>
      <c r="J226" s="342">
        <f>I226+'APV CALCULATION '!$E$21*(1+'APV CALCULATION '!$M$3-B226)-'APV CALCULATION '!$C$48</f>
        <v>3614.6889126440847</v>
      </c>
      <c r="L226" s="6"/>
      <c r="N226"/>
    </row>
    <row r="227" spans="2:14" x14ac:dyDescent="0.2">
      <c r="B227" s="339">
        <f t="shared" si="11"/>
        <v>0.25300000000000011</v>
      </c>
      <c r="C227" s="342">
        <f>('Coverage ratios'!$R$7*B227)/(1+'Coverage ratios'!$R$9)</f>
        <v>3.7618685437654498</v>
      </c>
      <c r="D227" s="342">
        <f>('Coverage ratios'!$R$17*B227)/((1+'Coverage ratios'!$R$19)^2)</f>
        <v>3.9203881848348927</v>
      </c>
      <c r="E227" s="342">
        <f>('Coverage ratios'!$R$27*B227)/((1+'Coverage ratios'!$R$29)^3)</f>
        <v>4.0196347374860357</v>
      </c>
      <c r="F227" s="342">
        <f>('Coverage ratios'!$R$37*B227)/((1+'Coverage ratios'!$R$39)^4)</f>
        <v>4.1176854547638753</v>
      </c>
      <c r="G227" s="342">
        <f>('Coverage ratios'!$R$47*B227)/((1+'Coverage ratios'!$R$49)^5)</f>
        <v>4.3185373456398084</v>
      </c>
      <c r="H227" s="342">
        <f>B227*'APV CALCULATION '!$Q$12</f>
        <v>530.69898047221682</v>
      </c>
      <c r="I227" s="590">
        <f>((SUM(G227:H227)/(1+'APV CALCULATION '!$I$32^5))+F227/(1+'APV CALCULATION '!$H$32^4)+(E227/(1+'APV CALCULATION '!$G$32^3)+(D227/(1+'APV CALCULATION '!$F$32)^2)+(C227/(1+'APV CALCULATION '!$E$32))))</f>
        <v>550.66106177064137</v>
      </c>
      <c r="J227" s="342">
        <f>I227+'APV CALCULATION '!$E$21*(1+'APV CALCULATION '!$M$3-B227)-'APV CALCULATION '!$C$48</f>
        <v>3613.4509570912855</v>
      </c>
      <c r="L227" s="6"/>
      <c r="N227"/>
    </row>
    <row r="228" spans="2:14" x14ac:dyDescent="0.2">
      <c r="B228" s="339">
        <f t="shared" si="11"/>
        <v>0.25400000000000011</v>
      </c>
      <c r="C228" s="342">
        <f>('Coverage ratios'!$R$7*B228)/(1+'Coverage ratios'!$R$9)</f>
        <v>3.7767375893929813</v>
      </c>
      <c r="D228" s="342">
        <f>('Coverage ratios'!$R$17*B228)/((1+'Coverage ratios'!$R$19)^2)</f>
        <v>3.9358837903085484</v>
      </c>
      <c r="E228" s="342">
        <f>('Coverage ratios'!$R$27*B228)/((1+'Coverage ratios'!$R$29)^3)</f>
        <v>4.0355226218239251</v>
      </c>
      <c r="F228" s="342">
        <f>('Coverage ratios'!$R$37*B228)/((1+'Coverage ratios'!$R$39)^4)</f>
        <v>4.1339608913439694</v>
      </c>
      <c r="G228" s="342">
        <f>('Coverage ratios'!$R$47*B228)/((1+'Coverage ratios'!$R$49)^5)</f>
        <v>4.3356066632115065</v>
      </c>
      <c r="H228" s="342">
        <f>B228*'APV CALCULATION '!$Q$12</f>
        <v>532.7966049009608</v>
      </c>
      <c r="I228" s="590">
        <f>((SUM(G228:H228)/(1+'APV CALCULATION '!$I$32^5))+F228/(1+'APV CALCULATION '!$H$32^4)+(E228/(1+'APV CALCULATION '!$G$32^3)+(D228/(1+'APV CALCULATION '!$F$32)^2)+(C228/(1+'APV CALCULATION '!$E$32))))</f>
        <v>552.83758770649365</v>
      </c>
      <c r="J228" s="342">
        <f>I228+'APV CALCULATION '!$E$21*(1+'APV CALCULATION '!$M$3-B228)-'APV CALCULATION '!$C$48</f>
        <v>3612.213001538486</v>
      </c>
      <c r="L228" s="6"/>
      <c r="N228"/>
    </row>
    <row r="229" spans="2:14" x14ac:dyDescent="0.2">
      <c r="B229" s="339">
        <f t="shared" si="11"/>
        <v>0.25500000000000012</v>
      </c>
      <c r="C229" s="342">
        <f>('Coverage ratios'!$R$7*B229)/(1+'Coverage ratios'!$R$9)</f>
        <v>3.7916066350205124</v>
      </c>
      <c r="D229" s="342">
        <f>('Coverage ratios'!$R$17*B229)/((1+'Coverage ratios'!$R$19)^2)</f>
        <v>3.9513793957822041</v>
      </c>
      <c r="E229" s="342">
        <f>('Coverage ratios'!$R$27*B229)/((1+'Coverage ratios'!$R$29)^3)</f>
        <v>4.0514105061618144</v>
      </c>
      <c r="F229" s="342">
        <f>('Coverage ratios'!$R$37*B229)/((1+'Coverage ratios'!$R$39)^4)</f>
        <v>4.1502363279240644</v>
      </c>
      <c r="G229" s="342">
        <f>('Coverage ratios'!$R$47*B229)/((1+'Coverage ratios'!$R$49)^5)</f>
        <v>4.3526759807832054</v>
      </c>
      <c r="H229" s="342">
        <f>B229*'APV CALCULATION '!$Q$12</f>
        <v>534.89422932970467</v>
      </c>
      <c r="I229" s="590">
        <f>((SUM(G229:H229)/(1+'APV CALCULATION '!$I$32^5))+F229/(1+'APV CALCULATION '!$H$32^4)+(E229/(1+'APV CALCULATION '!$G$32^3)+(D229/(1+'APV CALCULATION '!$F$32)^2)+(C229/(1+'APV CALCULATION '!$E$32))))</f>
        <v>555.01411364234605</v>
      </c>
      <c r="J229" s="342">
        <f>I229+'APV CALCULATION '!$E$21*(1+'APV CALCULATION '!$M$3-B229)-'APV CALCULATION '!$C$48</f>
        <v>3610.9750459856868</v>
      </c>
      <c r="L229" s="6"/>
      <c r="N229"/>
    </row>
    <row r="230" spans="2:14" x14ac:dyDescent="0.2">
      <c r="B230" s="339">
        <f t="shared" si="11"/>
        <v>0.25600000000000012</v>
      </c>
      <c r="C230" s="342">
        <f>('Coverage ratios'!$R$7*B230)/(1+'Coverage ratios'!$R$9)</f>
        <v>3.806475680648044</v>
      </c>
      <c r="D230" s="342">
        <f>('Coverage ratios'!$R$17*B230)/((1+'Coverage ratios'!$R$19)^2)</f>
        <v>3.9668750012558598</v>
      </c>
      <c r="E230" s="342">
        <f>('Coverage ratios'!$R$27*B230)/((1+'Coverage ratios'!$R$29)^3)</f>
        <v>4.0672983904997038</v>
      </c>
      <c r="F230" s="342">
        <f>('Coverage ratios'!$R$37*B230)/((1+'Coverage ratios'!$R$39)^4)</f>
        <v>4.1665117645041585</v>
      </c>
      <c r="G230" s="342">
        <f>('Coverage ratios'!$R$47*B230)/((1+'Coverage ratios'!$R$49)^5)</f>
        <v>4.3697452983549043</v>
      </c>
      <c r="H230" s="342">
        <f>B230*'APV CALCULATION '!$Q$12</f>
        <v>536.99185375844866</v>
      </c>
      <c r="I230" s="590">
        <f>((SUM(G230:H230)/(1+'APV CALCULATION '!$I$32^5))+F230/(1+'APV CALCULATION '!$H$32^4)+(E230/(1+'APV CALCULATION '!$G$32^3)+(D230/(1+'APV CALCULATION '!$F$32)^2)+(C230/(1+'APV CALCULATION '!$E$32))))</f>
        <v>557.19063957819844</v>
      </c>
      <c r="J230" s="342">
        <f>I230+'APV CALCULATION '!$E$21*(1+'APV CALCULATION '!$M$3-B230)-'APV CALCULATION '!$C$48</f>
        <v>3609.7370904328873</v>
      </c>
      <c r="L230" s="6"/>
      <c r="N230"/>
    </row>
    <row r="231" spans="2:14" x14ac:dyDescent="0.2">
      <c r="B231" s="339">
        <f t="shared" si="11"/>
        <v>0.25700000000000012</v>
      </c>
      <c r="C231" s="342">
        <f>('Coverage ratios'!$R$7*B231)/(1+'Coverage ratios'!$R$9)</f>
        <v>3.8213447262755755</v>
      </c>
      <c r="D231" s="342">
        <f>('Coverage ratios'!$R$17*B231)/((1+'Coverage ratios'!$R$19)^2)</f>
        <v>3.9823706067295155</v>
      </c>
      <c r="E231" s="342">
        <f>('Coverage ratios'!$R$27*B231)/((1+'Coverage ratios'!$R$29)^3)</f>
        <v>4.0831862748375931</v>
      </c>
      <c r="F231" s="342">
        <f>('Coverage ratios'!$R$37*B231)/((1+'Coverage ratios'!$R$39)^4)</f>
        <v>4.1827872010842526</v>
      </c>
      <c r="G231" s="342">
        <f>('Coverage ratios'!$R$47*B231)/((1+'Coverage ratios'!$R$49)^5)</f>
        <v>4.3868146159266042</v>
      </c>
      <c r="H231" s="342">
        <f>B231*'APV CALCULATION '!$Q$12</f>
        <v>539.08947818719253</v>
      </c>
      <c r="I231" s="590">
        <f>((SUM(G231:H231)/(1+'APV CALCULATION '!$I$32^5))+F231/(1+'APV CALCULATION '!$H$32^4)+(E231/(1+'APV CALCULATION '!$G$32^3)+(D231/(1+'APV CALCULATION '!$F$32)^2)+(C231/(1+'APV CALCULATION '!$E$32))))</f>
        <v>559.36716551405061</v>
      </c>
      <c r="J231" s="342">
        <f>I231+'APV CALCULATION '!$E$21*(1+'APV CALCULATION '!$M$3-B231)-'APV CALCULATION '!$C$48</f>
        <v>3608.4991348800877</v>
      </c>
      <c r="L231" s="6"/>
      <c r="N231"/>
    </row>
    <row r="232" spans="2:14" x14ac:dyDescent="0.2">
      <c r="B232" s="339">
        <f t="shared" si="11"/>
        <v>0.25800000000000012</v>
      </c>
      <c r="C232" s="342">
        <f>('Coverage ratios'!$R$7*B232)/(1+'Coverage ratios'!$R$9)</f>
        <v>3.8362137719031071</v>
      </c>
      <c r="D232" s="342">
        <f>('Coverage ratios'!$R$17*B232)/((1+'Coverage ratios'!$R$19)^2)</f>
        <v>3.9978662122031712</v>
      </c>
      <c r="E232" s="342">
        <f>('Coverage ratios'!$R$27*B232)/((1+'Coverage ratios'!$R$29)^3)</f>
        <v>4.0990741591754825</v>
      </c>
      <c r="F232" s="342">
        <f>('Coverage ratios'!$R$37*B232)/((1+'Coverage ratios'!$R$39)^4)</f>
        <v>4.1990626376643476</v>
      </c>
      <c r="G232" s="342">
        <f>('Coverage ratios'!$R$47*B232)/((1+'Coverage ratios'!$R$49)^5)</f>
        <v>4.4038839334983031</v>
      </c>
      <c r="H232" s="342">
        <f>B232*'APV CALCULATION '!$Q$12</f>
        <v>541.18710261593651</v>
      </c>
      <c r="I232" s="590">
        <f>((SUM(G232:H232)/(1+'APV CALCULATION '!$I$32^5))+F232/(1+'APV CALCULATION '!$H$32^4)+(E232/(1+'APV CALCULATION '!$G$32^3)+(D232/(1+'APV CALCULATION '!$F$32)^2)+(C232/(1+'APV CALCULATION '!$E$32))))</f>
        <v>561.54369144990312</v>
      </c>
      <c r="J232" s="342">
        <f>I232+'APV CALCULATION '!$E$21*(1+'APV CALCULATION '!$M$3-B232)-'APV CALCULATION '!$C$48</f>
        <v>3607.2611793272886</v>
      </c>
      <c r="L232" s="6"/>
      <c r="N232"/>
    </row>
    <row r="233" spans="2:14" x14ac:dyDescent="0.2">
      <c r="B233" s="339">
        <f t="shared" si="11"/>
        <v>0.25900000000000012</v>
      </c>
      <c r="C233" s="342">
        <f>('Coverage ratios'!$R$7*B233)/(1+'Coverage ratios'!$R$9)</f>
        <v>3.8510828175306382</v>
      </c>
      <c r="D233" s="342">
        <f>('Coverage ratios'!$R$17*B233)/((1+'Coverage ratios'!$R$19)^2)</f>
        <v>4.0133618176768273</v>
      </c>
      <c r="E233" s="342">
        <f>('Coverage ratios'!$R$27*B233)/((1+'Coverage ratios'!$R$29)^3)</f>
        <v>4.1149620435133718</v>
      </c>
      <c r="F233" s="342">
        <f>('Coverage ratios'!$R$37*B233)/((1+'Coverage ratios'!$R$39)^4)</f>
        <v>4.2153380742444417</v>
      </c>
      <c r="G233" s="342">
        <f>('Coverage ratios'!$R$47*B233)/((1+'Coverage ratios'!$R$49)^5)</f>
        <v>4.4209532510700011</v>
      </c>
      <c r="H233" s="342">
        <f>B233*'APV CALCULATION '!$Q$12</f>
        <v>543.28472704468049</v>
      </c>
      <c r="I233" s="590">
        <f>((SUM(G233:H233)/(1+'APV CALCULATION '!$I$32^5))+F233/(1+'APV CALCULATION '!$H$32^4)+(E233/(1+'APV CALCULATION '!$G$32^3)+(D233/(1+'APV CALCULATION '!$F$32)^2)+(C233/(1+'APV CALCULATION '!$E$32))))</f>
        <v>563.72021738575552</v>
      </c>
      <c r="J233" s="342">
        <f>I233+'APV CALCULATION '!$E$21*(1+'APV CALCULATION '!$M$3-B233)-'APV CALCULATION '!$C$48</f>
        <v>3606.023223774489</v>
      </c>
      <c r="L233" s="6"/>
      <c r="N233"/>
    </row>
    <row r="234" spans="2:14" x14ac:dyDescent="0.2">
      <c r="B234" s="339">
        <f t="shared" si="11"/>
        <v>0.26000000000000012</v>
      </c>
      <c r="C234" s="342">
        <f>('Coverage ratios'!$R$7*B234)/(1+'Coverage ratios'!$R$9)</f>
        <v>3.8659518631581697</v>
      </c>
      <c r="D234" s="342">
        <f>('Coverage ratios'!$R$17*B234)/((1+'Coverage ratios'!$R$19)^2)</f>
        <v>4.028857423150483</v>
      </c>
      <c r="E234" s="342">
        <f>('Coverage ratios'!$R$27*B234)/((1+'Coverage ratios'!$R$29)^3)</f>
        <v>4.1308499278512611</v>
      </c>
      <c r="F234" s="342">
        <f>('Coverage ratios'!$R$37*B234)/((1+'Coverage ratios'!$R$39)^4)</f>
        <v>4.2316135108245359</v>
      </c>
      <c r="G234" s="342">
        <f>('Coverage ratios'!$R$47*B234)/((1+'Coverage ratios'!$R$49)^5)</f>
        <v>4.4380225686417001</v>
      </c>
      <c r="H234" s="342">
        <f>B234*'APV CALCULATION '!$Q$12</f>
        <v>545.38235147342436</v>
      </c>
      <c r="I234" s="590">
        <f>((SUM(G234:H234)/(1+'APV CALCULATION '!$I$32^5))+F234/(1+'APV CALCULATION '!$H$32^4)+(E234/(1+'APV CALCULATION '!$G$32^3)+(D234/(1+'APV CALCULATION '!$F$32)^2)+(C234/(1+'APV CALCULATION '!$E$32))))</f>
        <v>565.8967433216078</v>
      </c>
      <c r="J234" s="342">
        <f>I234+'APV CALCULATION '!$E$21*(1+'APV CALCULATION '!$M$3-B234)-'APV CALCULATION '!$C$48</f>
        <v>3604.7852682216899</v>
      </c>
      <c r="L234" s="6"/>
      <c r="N234"/>
    </row>
    <row r="235" spans="2:14" x14ac:dyDescent="0.2">
      <c r="B235" s="339">
        <f t="shared" si="11"/>
        <v>0.26100000000000012</v>
      </c>
      <c r="C235" s="342">
        <f>('Coverage ratios'!$R$7*B235)/(1+'Coverage ratios'!$R$9)</f>
        <v>3.8808209087857013</v>
      </c>
      <c r="D235" s="342">
        <f>('Coverage ratios'!$R$17*B235)/((1+'Coverage ratios'!$R$19)^2)</f>
        <v>4.0443530286241387</v>
      </c>
      <c r="E235" s="342">
        <f>('Coverage ratios'!$R$27*B235)/((1+'Coverage ratios'!$R$29)^3)</f>
        <v>4.1467378121891514</v>
      </c>
      <c r="F235" s="342">
        <f>('Coverage ratios'!$R$37*B235)/((1+'Coverage ratios'!$R$39)^4)</f>
        <v>4.2478889474046309</v>
      </c>
      <c r="G235" s="342">
        <f>('Coverage ratios'!$R$47*B235)/((1+'Coverage ratios'!$R$49)^5)</f>
        <v>4.455091886213399</v>
      </c>
      <c r="H235" s="342">
        <f>B235*'APV CALCULATION '!$Q$12</f>
        <v>547.47997590216835</v>
      </c>
      <c r="I235" s="590">
        <f>((SUM(G235:H235)/(1+'APV CALCULATION '!$I$32^5))+F235/(1+'APV CALCULATION '!$H$32^4)+(E235/(1+'APV CALCULATION '!$G$32^3)+(D235/(1+'APV CALCULATION '!$F$32)^2)+(C235/(1+'APV CALCULATION '!$E$32))))</f>
        <v>568.0732692574602</v>
      </c>
      <c r="J235" s="342">
        <f>I235+'APV CALCULATION '!$E$21*(1+'APV CALCULATION '!$M$3-B235)-'APV CALCULATION '!$C$48</f>
        <v>3603.5473126688898</v>
      </c>
      <c r="L235" s="6"/>
      <c r="N235"/>
    </row>
    <row r="236" spans="2:14" x14ac:dyDescent="0.2">
      <c r="B236" s="339">
        <f t="shared" si="11"/>
        <v>0.26200000000000012</v>
      </c>
      <c r="C236" s="342">
        <f>('Coverage ratios'!$R$7*B236)/(1+'Coverage ratios'!$R$9)</f>
        <v>3.8956899544132324</v>
      </c>
      <c r="D236" s="342">
        <f>('Coverage ratios'!$R$17*B236)/((1+'Coverage ratios'!$R$19)^2)</f>
        <v>4.0598486340977944</v>
      </c>
      <c r="E236" s="342">
        <f>('Coverage ratios'!$R$27*B236)/((1+'Coverage ratios'!$R$29)^3)</f>
        <v>4.1626256965270407</v>
      </c>
      <c r="F236" s="342">
        <f>('Coverage ratios'!$R$37*B236)/((1+'Coverage ratios'!$R$39)^4)</f>
        <v>4.264164383984725</v>
      </c>
      <c r="G236" s="342">
        <f>('Coverage ratios'!$R$47*B236)/((1+'Coverage ratios'!$R$49)^5)</f>
        <v>4.472161203785098</v>
      </c>
      <c r="H236" s="342">
        <f>B236*'APV CALCULATION '!$Q$12</f>
        <v>549.57760033091222</v>
      </c>
      <c r="I236" s="590">
        <f>((SUM(G236:H236)/(1+'APV CALCULATION '!$I$32^5))+F236/(1+'APV CALCULATION '!$H$32^4)+(E236/(1+'APV CALCULATION '!$G$32^3)+(D236/(1+'APV CALCULATION '!$F$32)^2)+(C236/(1+'APV CALCULATION '!$E$32))))</f>
        <v>570.24979519331237</v>
      </c>
      <c r="J236" s="342">
        <f>I236+'APV CALCULATION '!$E$21*(1+'APV CALCULATION '!$M$3-B236)-'APV CALCULATION '!$C$48</f>
        <v>3602.3093571160903</v>
      </c>
      <c r="L236" s="6"/>
      <c r="N236"/>
    </row>
    <row r="237" spans="2:14" x14ac:dyDescent="0.2">
      <c r="B237" s="339">
        <f t="shared" si="11"/>
        <v>0.26300000000000012</v>
      </c>
      <c r="C237" s="342">
        <f>('Coverage ratios'!$R$7*B237)/(1+'Coverage ratios'!$R$9)</f>
        <v>3.910559000040764</v>
      </c>
      <c r="D237" s="342">
        <f>('Coverage ratios'!$R$17*B237)/((1+'Coverage ratios'!$R$19)^2)</f>
        <v>4.0753442395714501</v>
      </c>
      <c r="E237" s="342">
        <f>('Coverage ratios'!$R$27*B237)/((1+'Coverage ratios'!$R$29)^3)</f>
        <v>4.1785135808649301</v>
      </c>
      <c r="F237" s="342">
        <f>('Coverage ratios'!$R$37*B237)/((1+'Coverage ratios'!$R$39)^4)</f>
        <v>4.2804398205648191</v>
      </c>
      <c r="G237" s="342">
        <f>('Coverage ratios'!$R$47*B237)/((1+'Coverage ratios'!$R$49)^5)</f>
        <v>4.4892305213567969</v>
      </c>
      <c r="H237" s="342">
        <f>B237*'APV CALCULATION '!$Q$12</f>
        <v>551.6752247596562</v>
      </c>
      <c r="I237" s="590">
        <f>((SUM(G237:H237)/(1+'APV CALCULATION '!$I$32^5))+F237/(1+'APV CALCULATION '!$H$32^4)+(E237/(1+'APV CALCULATION '!$G$32^3)+(D237/(1+'APV CALCULATION '!$F$32)^2)+(C237/(1+'APV CALCULATION '!$E$32))))</f>
        <v>572.42632112916488</v>
      </c>
      <c r="J237" s="342">
        <f>I237+'APV CALCULATION '!$E$21*(1+'APV CALCULATION '!$M$3-B237)-'APV CALCULATION '!$C$48</f>
        <v>3601.0714015632911</v>
      </c>
      <c r="L237" s="6"/>
      <c r="N237"/>
    </row>
    <row r="238" spans="2:14" x14ac:dyDescent="0.2">
      <c r="B238" s="339">
        <f t="shared" si="11"/>
        <v>0.26400000000000012</v>
      </c>
      <c r="C238" s="342">
        <f>('Coverage ratios'!$R$7*B238)/(1+'Coverage ratios'!$R$9)</f>
        <v>3.9254280456682951</v>
      </c>
      <c r="D238" s="342">
        <f>('Coverage ratios'!$R$17*B238)/((1+'Coverage ratios'!$R$19)^2)</f>
        <v>4.0908398450451058</v>
      </c>
      <c r="E238" s="342">
        <f>('Coverage ratios'!$R$27*B238)/((1+'Coverage ratios'!$R$29)^3)</f>
        <v>4.1944014652028194</v>
      </c>
      <c r="F238" s="342">
        <f>('Coverage ratios'!$R$37*B238)/((1+'Coverage ratios'!$R$39)^4)</f>
        <v>4.2967152571449141</v>
      </c>
      <c r="G238" s="342">
        <f>('Coverage ratios'!$R$47*B238)/((1+'Coverage ratios'!$R$49)^5)</f>
        <v>4.5062998389284949</v>
      </c>
      <c r="H238" s="342">
        <f>B238*'APV CALCULATION '!$Q$12</f>
        <v>553.77284918840019</v>
      </c>
      <c r="I238" s="590">
        <f>((SUM(G238:H238)/(1+'APV CALCULATION '!$I$32^5))+F238/(1+'APV CALCULATION '!$H$32^4)+(E238/(1+'APV CALCULATION '!$G$32^3)+(D238/(1+'APV CALCULATION '!$F$32)^2)+(C238/(1+'APV CALCULATION '!$E$32))))</f>
        <v>574.60284706501716</v>
      </c>
      <c r="J238" s="342">
        <f>I238+'APV CALCULATION '!$E$21*(1+'APV CALCULATION '!$M$3-B238)-'APV CALCULATION '!$C$48</f>
        <v>3599.8334460104916</v>
      </c>
      <c r="L238" s="6"/>
      <c r="N238"/>
    </row>
    <row r="239" spans="2:14" x14ac:dyDescent="0.2">
      <c r="B239" s="339">
        <f t="shared" si="11"/>
        <v>0.26500000000000012</v>
      </c>
      <c r="C239" s="342">
        <f>('Coverage ratios'!$R$7*B239)/(1+'Coverage ratios'!$R$9)</f>
        <v>3.9402970912958271</v>
      </c>
      <c r="D239" s="342">
        <f>('Coverage ratios'!$R$17*B239)/((1+'Coverage ratios'!$R$19)^2)</f>
        <v>4.1063354505187615</v>
      </c>
      <c r="E239" s="342">
        <f>('Coverage ratios'!$R$27*B239)/((1+'Coverage ratios'!$R$29)^3)</f>
        <v>4.2102893495407088</v>
      </c>
      <c r="F239" s="342">
        <f>('Coverage ratios'!$R$37*B239)/((1+'Coverage ratios'!$R$39)^4)</f>
        <v>4.3129906937250082</v>
      </c>
      <c r="G239" s="342">
        <f>('Coverage ratios'!$R$47*B239)/((1+'Coverage ratios'!$R$49)^5)</f>
        <v>4.5233691565001948</v>
      </c>
      <c r="H239" s="342">
        <f>B239*'APV CALCULATION '!$Q$12</f>
        <v>555.87047361714406</v>
      </c>
      <c r="I239" s="590">
        <f>((SUM(G239:H239)/(1+'APV CALCULATION '!$I$32^5))+F239/(1+'APV CALCULATION '!$H$32^4)+(E239/(1+'APV CALCULATION '!$G$32^3)+(D239/(1+'APV CALCULATION '!$F$32)^2)+(C239/(1+'APV CALCULATION '!$E$32))))</f>
        <v>576.77937300086944</v>
      </c>
      <c r="J239" s="342">
        <f>I239+'APV CALCULATION '!$E$21*(1+'APV CALCULATION '!$M$3-B239)-'APV CALCULATION '!$C$48</f>
        <v>3598.595490457692</v>
      </c>
      <c r="L239" s="6"/>
      <c r="N239"/>
    </row>
    <row r="240" spans="2:14" x14ac:dyDescent="0.2">
      <c r="B240" s="339">
        <f t="shared" si="11"/>
        <v>0.26600000000000013</v>
      </c>
      <c r="C240" s="342">
        <f>('Coverage ratios'!$R$7*B240)/(1+'Coverage ratios'!$R$9)</f>
        <v>3.9551661369233586</v>
      </c>
      <c r="D240" s="342">
        <f>('Coverage ratios'!$R$17*B240)/((1+'Coverage ratios'!$R$19)^2)</f>
        <v>4.1218310559924172</v>
      </c>
      <c r="E240" s="342">
        <f>('Coverage ratios'!$R$27*B240)/((1+'Coverage ratios'!$R$29)^3)</f>
        <v>4.2261772338785981</v>
      </c>
      <c r="F240" s="342">
        <f>('Coverage ratios'!$R$37*B240)/((1+'Coverage ratios'!$R$39)^4)</f>
        <v>4.3292661303051023</v>
      </c>
      <c r="G240" s="342">
        <f>('Coverage ratios'!$R$47*B240)/((1+'Coverage ratios'!$R$49)^5)</f>
        <v>4.5404384740718937</v>
      </c>
      <c r="H240" s="342">
        <f>B240*'APV CALCULATION '!$Q$12</f>
        <v>557.96809804588804</v>
      </c>
      <c r="I240" s="590">
        <f>((SUM(G240:H240)/(1+'APV CALCULATION '!$I$32^5))+F240/(1+'APV CALCULATION '!$H$32^4)+(E240/(1+'APV CALCULATION '!$G$32^3)+(D240/(1+'APV CALCULATION '!$F$32)^2)+(C240/(1+'APV CALCULATION '!$E$32))))</f>
        <v>578.95589893672195</v>
      </c>
      <c r="J240" s="342">
        <f>I240+'APV CALCULATION '!$E$21*(1+'APV CALCULATION '!$M$3-B240)-'APV CALCULATION '!$C$48</f>
        <v>3597.3575349048929</v>
      </c>
      <c r="L240" s="6"/>
      <c r="N240"/>
    </row>
    <row r="241" spans="2:14" x14ac:dyDescent="0.2">
      <c r="B241" s="339">
        <f t="shared" si="11"/>
        <v>0.26700000000000013</v>
      </c>
      <c r="C241" s="342">
        <f>('Coverage ratios'!$R$7*B241)/(1+'Coverage ratios'!$R$9)</f>
        <v>3.9700351825508897</v>
      </c>
      <c r="D241" s="342">
        <f>('Coverage ratios'!$R$17*B241)/((1+'Coverage ratios'!$R$19)^2)</f>
        <v>4.1373266614660729</v>
      </c>
      <c r="E241" s="342">
        <f>('Coverage ratios'!$R$27*B241)/((1+'Coverage ratios'!$R$29)^3)</f>
        <v>4.2420651182164875</v>
      </c>
      <c r="F241" s="342">
        <f>('Coverage ratios'!$R$37*B241)/((1+'Coverage ratios'!$R$39)^4)</f>
        <v>4.3455415668851964</v>
      </c>
      <c r="G241" s="342">
        <f>('Coverage ratios'!$R$47*B241)/((1+'Coverage ratios'!$R$49)^5)</f>
        <v>4.5575077916435927</v>
      </c>
      <c r="H241" s="342">
        <f>B241*'APV CALCULATION '!$Q$12</f>
        <v>560.06572247463203</v>
      </c>
      <c r="I241" s="590">
        <f>((SUM(G241:H241)/(1+'APV CALCULATION '!$I$32^5))+F241/(1+'APV CALCULATION '!$H$32^4)+(E241/(1+'APV CALCULATION '!$G$32^3)+(D241/(1+'APV CALCULATION '!$F$32)^2)+(C241/(1+'APV CALCULATION '!$E$32))))</f>
        <v>581.13242487257423</v>
      </c>
      <c r="J241" s="342">
        <f>I241+'APV CALCULATION '!$E$21*(1+'APV CALCULATION '!$M$3-B241)-'APV CALCULATION '!$C$48</f>
        <v>3596.1195793520933</v>
      </c>
      <c r="L241" s="6"/>
      <c r="N241"/>
    </row>
    <row r="242" spans="2:14" x14ac:dyDescent="0.2">
      <c r="B242" s="339">
        <f t="shared" si="11"/>
        <v>0.26800000000000013</v>
      </c>
      <c r="C242" s="342">
        <f>('Coverage ratios'!$R$7*B242)/(1+'Coverage ratios'!$R$9)</f>
        <v>3.9849042281784213</v>
      </c>
      <c r="D242" s="342">
        <f>('Coverage ratios'!$R$17*B242)/((1+'Coverage ratios'!$R$19)^2)</f>
        <v>4.1528222669397277</v>
      </c>
      <c r="E242" s="342">
        <f>('Coverage ratios'!$R$27*B242)/((1+'Coverage ratios'!$R$29)^3)</f>
        <v>4.2579530025543777</v>
      </c>
      <c r="F242" s="342">
        <f>('Coverage ratios'!$R$37*B242)/((1+'Coverage ratios'!$R$39)^4)</f>
        <v>4.3618170034652914</v>
      </c>
      <c r="G242" s="342">
        <f>('Coverage ratios'!$R$47*B242)/((1+'Coverage ratios'!$R$49)^5)</f>
        <v>4.5745771092152916</v>
      </c>
      <c r="H242" s="342">
        <f>B242*'APV CALCULATION '!$Q$12</f>
        <v>562.1633469033759</v>
      </c>
      <c r="I242" s="590">
        <f>((SUM(G242:H242)/(1+'APV CALCULATION '!$I$32^5))+F242/(1+'APV CALCULATION '!$H$32^4)+(E242/(1+'APV CALCULATION '!$G$32^3)+(D242/(1+'APV CALCULATION '!$F$32)^2)+(C242/(1+'APV CALCULATION '!$E$32))))</f>
        <v>583.30895080842652</v>
      </c>
      <c r="J242" s="342">
        <f>I242+'APV CALCULATION '!$E$21*(1+'APV CALCULATION '!$M$3-B242)-'APV CALCULATION '!$C$48</f>
        <v>3594.8816237992942</v>
      </c>
      <c r="L242" s="6"/>
      <c r="N242"/>
    </row>
    <row r="243" spans="2:14" x14ac:dyDescent="0.2">
      <c r="B243" s="339">
        <f t="shared" si="11"/>
        <v>0.26900000000000013</v>
      </c>
      <c r="C243" s="342">
        <f>('Coverage ratios'!$R$7*B243)/(1+'Coverage ratios'!$R$9)</f>
        <v>3.9997732738059524</v>
      </c>
      <c r="D243" s="342">
        <f>('Coverage ratios'!$R$17*B243)/((1+'Coverage ratios'!$R$19)^2)</f>
        <v>4.1683178724133834</v>
      </c>
      <c r="E243" s="342">
        <f>('Coverage ratios'!$R$27*B243)/((1+'Coverage ratios'!$R$29)^3)</f>
        <v>4.273840886892267</v>
      </c>
      <c r="F243" s="342">
        <f>('Coverage ratios'!$R$37*B243)/((1+'Coverage ratios'!$R$39)^4)</f>
        <v>4.3780924400453856</v>
      </c>
      <c r="G243" s="342">
        <f>('Coverage ratios'!$R$47*B243)/((1+'Coverage ratios'!$R$49)^5)</f>
        <v>4.5916464267869896</v>
      </c>
      <c r="H243" s="342">
        <f>B243*'APV CALCULATION '!$Q$12</f>
        <v>564.26097133211988</v>
      </c>
      <c r="I243" s="590">
        <f>((SUM(G243:H243)/(1+'APV CALCULATION '!$I$32^5))+F243/(1+'APV CALCULATION '!$H$32^4)+(E243/(1+'APV CALCULATION '!$G$32^3)+(D243/(1+'APV CALCULATION '!$F$32)^2)+(C243/(1+'APV CALCULATION '!$E$32))))</f>
        <v>585.4854767442788</v>
      </c>
      <c r="J243" s="342">
        <f>I243+'APV CALCULATION '!$E$21*(1+'APV CALCULATION '!$M$3-B243)-'APV CALCULATION '!$C$48</f>
        <v>3593.6436682464946</v>
      </c>
      <c r="L243" s="6"/>
      <c r="N243"/>
    </row>
    <row r="244" spans="2:14" x14ac:dyDescent="0.2">
      <c r="B244" s="339">
        <f t="shared" si="11"/>
        <v>0.27000000000000013</v>
      </c>
      <c r="C244" s="342">
        <f>('Coverage ratios'!$R$7*B244)/(1+'Coverage ratios'!$R$9)</f>
        <v>4.0146423194334844</v>
      </c>
      <c r="D244" s="342">
        <f>('Coverage ratios'!$R$17*B244)/((1+'Coverage ratios'!$R$19)^2)</f>
        <v>4.1838134778870391</v>
      </c>
      <c r="E244" s="342">
        <f>('Coverage ratios'!$R$27*B244)/((1+'Coverage ratios'!$R$29)^3)</f>
        <v>4.2897287712301564</v>
      </c>
      <c r="F244" s="342">
        <f>('Coverage ratios'!$R$37*B244)/((1+'Coverage ratios'!$R$39)^4)</f>
        <v>4.3943678766254797</v>
      </c>
      <c r="G244" s="342">
        <f>('Coverage ratios'!$R$47*B244)/((1+'Coverage ratios'!$R$49)^5)</f>
        <v>4.6087157443586886</v>
      </c>
      <c r="H244" s="342">
        <f>B244*'APV CALCULATION '!$Q$12</f>
        <v>566.35859576086375</v>
      </c>
      <c r="I244" s="590">
        <f>((SUM(G244:H244)/(1+'APV CALCULATION '!$I$32^5))+F244/(1+'APV CALCULATION '!$H$32^4)+(E244/(1+'APV CALCULATION '!$G$32^3)+(D244/(1+'APV CALCULATION '!$F$32)^2)+(C244/(1+'APV CALCULATION '!$E$32))))</f>
        <v>587.6620026801312</v>
      </c>
      <c r="J244" s="342">
        <f>I244+'APV CALCULATION '!$E$21*(1+'APV CALCULATION '!$M$3-B244)-'APV CALCULATION '!$C$48</f>
        <v>3592.405712693695</v>
      </c>
      <c r="L244" s="6"/>
      <c r="N244"/>
    </row>
    <row r="245" spans="2:14" x14ac:dyDescent="0.2">
      <c r="B245" s="339">
        <f t="shared" si="11"/>
        <v>0.27100000000000013</v>
      </c>
      <c r="C245" s="342">
        <f>('Coverage ratios'!$R$7*B245)/(1+'Coverage ratios'!$R$9)</f>
        <v>4.0295113650610155</v>
      </c>
      <c r="D245" s="342">
        <f>('Coverage ratios'!$R$17*B245)/((1+'Coverage ratios'!$R$19)^2)</f>
        <v>4.1993090833606947</v>
      </c>
      <c r="E245" s="342">
        <f>('Coverage ratios'!$R$27*B245)/((1+'Coverage ratios'!$R$29)^3)</f>
        <v>4.3056166555680457</v>
      </c>
      <c r="F245" s="342">
        <f>('Coverage ratios'!$R$37*B245)/((1+'Coverage ratios'!$R$39)^4)</f>
        <v>4.4106433132055747</v>
      </c>
      <c r="G245" s="342">
        <f>('Coverage ratios'!$R$47*B245)/((1+'Coverage ratios'!$R$49)^5)</f>
        <v>4.6257850619303875</v>
      </c>
      <c r="H245" s="342">
        <f>B245*'APV CALCULATION '!$Q$12</f>
        <v>568.45622018960773</v>
      </c>
      <c r="I245" s="590">
        <f>((SUM(G245:H245)/(1+'APV CALCULATION '!$I$32^5))+F245/(1+'APV CALCULATION '!$H$32^4)+(E245/(1+'APV CALCULATION '!$G$32^3)+(D245/(1+'APV CALCULATION '!$F$32)^2)+(C245/(1+'APV CALCULATION '!$E$32))))</f>
        <v>589.83852861598359</v>
      </c>
      <c r="J245" s="342">
        <f>I245+'APV CALCULATION '!$E$21*(1+'APV CALCULATION '!$M$3-B245)-'APV CALCULATION '!$C$48</f>
        <v>3591.1677571408959</v>
      </c>
      <c r="L245" s="6"/>
      <c r="N245"/>
    </row>
    <row r="246" spans="2:14" x14ac:dyDescent="0.2">
      <c r="B246" s="339">
        <f t="shared" si="11"/>
        <v>0.27200000000000013</v>
      </c>
      <c r="C246" s="342">
        <f>('Coverage ratios'!$R$7*B246)/(1+'Coverage ratios'!$R$9)</f>
        <v>4.0443804106885466</v>
      </c>
      <c r="D246" s="342">
        <f>('Coverage ratios'!$R$17*B246)/((1+'Coverage ratios'!$R$19)^2)</f>
        <v>4.2148046888343504</v>
      </c>
      <c r="E246" s="342">
        <f>('Coverage ratios'!$R$27*B246)/((1+'Coverage ratios'!$R$29)^3)</f>
        <v>4.3215045399059351</v>
      </c>
      <c r="F246" s="342">
        <f>('Coverage ratios'!$R$37*B246)/((1+'Coverage ratios'!$R$39)^4)</f>
        <v>4.4269187497856688</v>
      </c>
      <c r="G246" s="342">
        <f>('Coverage ratios'!$R$47*B246)/((1+'Coverage ratios'!$R$49)^5)</f>
        <v>4.6428543795020865</v>
      </c>
      <c r="H246" s="342">
        <f>B246*'APV CALCULATION '!$Q$12</f>
        <v>570.55384461835172</v>
      </c>
      <c r="I246" s="590">
        <f>((SUM(G246:H246)/(1+'APV CALCULATION '!$I$32^5))+F246/(1+'APV CALCULATION '!$H$32^4)+(E246/(1+'APV CALCULATION '!$G$32^3)+(D246/(1+'APV CALCULATION '!$F$32)^2)+(C246/(1+'APV CALCULATION '!$E$32))))</f>
        <v>592.01505455183587</v>
      </c>
      <c r="J246" s="342">
        <f>I246+'APV CALCULATION '!$E$21*(1+'APV CALCULATION '!$M$3-B246)-'APV CALCULATION '!$C$48</f>
        <v>3589.9298015880963</v>
      </c>
      <c r="L246" s="6"/>
      <c r="N246"/>
    </row>
    <row r="247" spans="2:14" x14ac:dyDescent="0.2">
      <c r="B247" s="339">
        <f t="shared" si="11"/>
        <v>0.27300000000000013</v>
      </c>
      <c r="C247" s="342">
        <f>('Coverage ratios'!$R$7*B247)/(1+'Coverage ratios'!$R$9)</f>
        <v>4.0592494563160786</v>
      </c>
      <c r="D247" s="342">
        <f>('Coverage ratios'!$R$17*B247)/((1+'Coverage ratios'!$R$19)^2)</f>
        <v>4.2303002943080061</v>
      </c>
      <c r="E247" s="342">
        <f>('Coverage ratios'!$R$27*B247)/((1+'Coverage ratios'!$R$29)^3)</f>
        <v>4.3373924242438244</v>
      </c>
      <c r="F247" s="342">
        <f>('Coverage ratios'!$R$37*B247)/((1+'Coverage ratios'!$R$39)^4)</f>
        <v>4.4431941863657629</v>
      </c>
      <c r="G247" s="342">
        <f>('Coverage ratios'!$R$47*B247)/((1+'Coverage ratios'!$R$49)^5)</f>
        <v>4.6599236970737845</v>
      </c>
      <c r="H247" s="342">
        <f>B247*'APV CALCULATION '!$Q$12</f>
        <v>572.65146904709559</v>
      </c>
      <c r="I247" s="590">
        <f>((SUM(G247:H247)/(1+'APV CALCULATION '!$I$32^5))+F247/(1+'APV CALCULATION '!$H$32^4)+(E247/(1+'APV CALCULATION '!$G$32^3)+(D247/(1+'APV CALCULATION '!$F$32)^2)+(C247/(1+'APV CALCULATION '!$E$32))))</f>
        <v>594.19158048768816</v>
      </c>
      <c r="J247" s="342">
        <f>I247+'APV CALCULATION '!$E$21*(1+'APV CALCULATION '!$M$3-B247)-'APV CALCULATION '!$C$48</f>
        <v>3588.6918460352963</v>
      </c>
      <c r="L247" s="6"/>
      <c r="N247"/>
    </row>
    <row r="248" spans="2:14" x14ac:dyDescent="0.2">
      <c r="B248" s="339">
        <f t="shared" si="11"/>
        <v>0.27400000000000013</v>
      </c>
      <c r="C248" s="342">
        <f>('Coverage ratios'!$R$7*B248)/(1+'Coverage ratios'!$R$9)</f>
        <v>4.0741185019436097</v>
      </c>
      <c r="D248" s="342">
        <f>('Coverage ratios'!$R$17*B248)/((1+'Coverage ratios'!$R$19)^2)</f>
        <v>4.2457958997816618</v>
      </c>
      <c r="E248" s="342">
        <f>('Coverage ratios'!$R$27*B248)/((1+'Coverage ratios'!$R$29)^3)</f>
        <v>4.3532803085817138</v>
      </c>
      <c r="F248" s="342">
        <f>('Coverage ratios'!$R$37*B248)/((1+'Coverage ratios'!$R$39)^4)</f>
        <v>4.4594696229458579</v>
      </c>
      <c r="G248" s="342">
        <f>('Coverage ratios'!$R$47*B248)/((1+'Coverage ratios'!$R$49)^5)</f>
        <v>4.6769930146454843</v>
      </c>
      <c r="H248" s="342">
        <f>B248*'APV CALCULATION '!$Q$12</f>
        <v>574.74909347583957</v>
      </c>
      <c r="I248" s="590">
        <f>((SUM(G248:H248)/(1+'APV CALCULATION '!$I$32^5))+F248/(1+'APV CALCULATION '!$H$32^4)+(E248/(1+'APV CALCULATION '!$G$32^3)+(D248/(1+'APV CALCULATION '!$F$32)^2)+(C248/(1+'APV CALCULATION '!$E$32))))</f>
        <v>596.36810642354055</v>
      </c>
      <c r="J248" s="342">
        <f>I248+'APV CALCULATION '!$E$21*(1+'APV CALCULATION '!$M$3-B248)-'APV CALCULATION '!$C$48</f>
        <v>3587.4538904824972</v>
      </c>
      <c r="L248" s="6"/>
      <c r="N248"/>
    </row>
    <row r="249" spans="2:14" x14ac:dyDescent="0.2">
      <c r="B249" s="339">
        <f t="shared" si="11"/>
        <v>0.27500000000000013</v>
      </c>
      <c r="C249" s="342">
        <f>('Coverage ratios'!$R$7*B249)/(1+'Coverage ratios'!$R$9)</f>
        <v>4.0889875475711408</v>
      </c>
      <c r="D249" s="342">
        <f>('Coverage ratios'!$R$17*B249)/((1+'Coverage ratios'!$R$19)^2)</f>
        <v>4.2612915052553184</v>
      </c>
      <c r="E249" s="342">
        <f>('Coverage ratios'!$R$27*B249)/((1+'Coverage ratios'!$R$29)^3)</f>
        <v>4.3691681929196031</v>
      </c>
      <c r="F249" s="342">
        <f>('Coverage ratios'!$R$37*B249)/((1+'Coverage ratios'!$R$39)^4)</f>
        <v>4.475745059525952</v>
      </c>
      <c r="G249" s="342">
        <f>('Coverage ratios'!$R$47*B249)/((1+'Coverage ratios'!$R$49)^5)</f>
        <v>4.6940623322171833</v>
      </c>
      <c r="H249" s="342">
        <f>B249*'APV CALCULATION '!$Q$12</f>
        <v>576.84671790458356</v>
      </c>
      <c r="I249" s="590">
        <f>((SUM(G249:H249)/(1+'APV CALCULATION '!$I$32^5))+F249/(1+'APV CALCULATION '!$H$32^4)+(E249/(1+'APV CALCULATION '!$G$32^3)+(D249/(1+'APV CALCULATION '!$F$32)^2)+(C249/(1+'APV CALCULATION '!$E$32))))</f>
        <v>598.54463235939295</v>
      </c>
      <c r="J249" s="342">
        <f>I249+'APV CALCULATION '!$E$21*(1+'APV CALCULATION '!$M$3-B249)-'APV CALCULATION '!$C$48</f>
        <v>3586.2159349296976</v>
      </c>
      <c r="L249" s="6"/>
      <c r="N249"/>
    </row>
    <row r="250" spans="2:14" x14ac:dyDescent="0.2">
      <c r="B250" s="339">
        <f t="shared" si="11"/>
        <v>0.27600000000000013</v>
      </c>
      <c r="C250" s="342">
        <f>('Coverage ratios'!$R$7*B250)/(1+'Coverage ratios'!$R$9)</f>
        <v>4.1038565931986728</v>
      </c>
      <c r="D250" s="342">
        <f>('Coverage ratios'!$R$17*B250)/((1+'Coverage ratios'!$R$19)^2)</f>
        <v>4.2767871107289741</v>
      </c>
      <c r="E250" s="342">
        <f>('Coverage ratios'!$R$27*B250)/((1+'Coverage ratios'!$R$29)^3)</f>
        <v>4.3850560772574942</v>
      </c>
      <c r="F250" s="342">
        <f>('Coverage ratios'!$R$37*B250)/((1+'Coverage ratios'!$R$39)^4)</f>
        <v>4.4920204961060461</v>
      </c>
      <c r="G250" s="342">
        <f>('Coverage ratios'!$R$47*B250)/((1+'Coverage ratios'!$R$49)^5)</f>
        <v>4.7111316497888822</v>
      </c>
      <c r="H250" s="342">
        <f>B250*'APV CALCULATION '!$Q$12</f>
        <v>578.94434233332743</v>
      </c>
      <c r="I250" s="590">
        <f>((SUM(G250:H250)/(1+'APV CALCULATION '!$I$32^5))+F250/(1+'APV CALCULATION '!$H$32^4)+(E250/(1+'APV CALCULATION '!$G$32^3)+(D250/(1+'APV CALCULATION '!$F$32)^2)+(C250/(1+'APV CALCULATION '!$E$32))))</f>
        <v>600.72115829524523</v>
      </c>
      <c r="J250" s="342">
        <f>I250+'APV CALCULATION '!$E$21*(1+'APV CALCULATION '!$M$3-B250)-'APV CALCULATION '!$C$48</f>
        <v>3584.9779793768985</v>
      </c>
      <c r="L250" s="6"/>
      <c r="N250"/>
    </row>
    <row r="251" spans="2:14" x14ac:dyDescent="0.2">
      <c r="B251" s="339">
        <f t="shared" si="11"/>
        <v>0.27700000000000014</v>
      </c>
      <c r="C251" s="342">
        <f>('Coverage ratios'!$R$7*B251)/(1+'Coverage ratios'!$R$9)</f>
        <v>4.1187256388262039</v>
      </c>
      <c r="D251" s="342">
        <f>('Coverage ratios'!$R$17*B251)/((1+'Coverage ratios'!$R$19)^2)</f>
        <v>4.2922827162026298</v>
      </c>
      <c r="E251" s="342">
        <f>('Coverage ratios'!$R$27*B251)/((1+'Coverage ratios'!$R$29)^3)</f>
        <v>4.4009439615953836</v>
      </c>
      <c r="F251" s="342">
        <f>('Coverage ratios'!$R$37*B251)/((1+'Coverage ratios'!$R$39)^4)</f>
        <v>4.5082959326861411</v>
      </c>
      <c r="G251" s="342">
        <f>('Coverage ratios'!$R$47*B251)/((1+'Coverage ratios'!$R$49)^5)</f>
        <v>4.7282009673605812</v>
      </c>
      <c r="H251" s="342">
        <f>B251*'APV CALCULATION '!$Q$12</f>
        <v>581.04196676207141</v>
      </c>
      <c r="I251" s="590">
        <f>((SUM(G251:H251)/(1+'APV CALCULATION '!$I$32^5))+F251/(1+'APV CALCULATION '!$H$32^4)+(E251/(1+'APV CALCULATION '!$G$32^3)+(D251/(1+'APV CALCULATION '!$F$32)^2)+(C251/(1+'APV CALCULATION '!$E$32))))</f>
        <v>602.89768423109763</v>
      </c>
      <c r="J251" s="342">
        <f>I251+'APV CALCULATION '!$E$21*(1+'APV CALCULATION '!$M$3-B251)-'APV CALCULATION '!$C$48</f>
        <v>3583.7400238240989</v>
      </c>
      <c r="L251" s="6"/>
      <c r="N251"/>
    </row>
    <row r="252" spans="2:14" x14ac:dyDescent="0.2">
      <c r="B252" s="339">
        <f t="shared" si="11"/>
        <v>0.27800000000000014</v>
      </c>
      <c r="C252" s="342">
        <f>('Coverage ratios'!$R$7*B252)/(1+'Coverage ratios'!$R$9)</f>
        <v>4.133594684453735</v>
      </c>
      <c r="D252" s="342">
        <f>('Coverage ratios'!$R$17*B252)/((1+'Coverage ratios'!$R$19)^2)</f>
        <v>4.3077783216762855</v>
      </c>
      <c r="E252" s="342">
        <f>('Coverage ratios'!$R$27*B252)/((1+'Coverage ratios'!$R$29)^3)</f>
        <v>4.4168318459332729</v>
      </c>
      <c r="F252" s="342">
        <f>('Coverage ratios'!$R$37*B252)/((1+'Coverage ratios'!$R$39)^4)</f>
        <v>4.5245713692662353</v>
      </c>
      <c r="G252" s="342">
        <f>('Coverage ratios'!$R$47*B252)/((1+'Coverage ratios'!$R$49)^5)</f>
        <v>4.7452702849322792</v>
      </c>
      <c r="H252" s="342">
        <f>B252*'APV CALCULATION '!$Q$12</f>
        <v>583.13959119081528</v>
      </c>
      <c r="I252" s="590">
        <f>((SUM(G252:H252)/(1+'APV CALCULATION '!$I$32^5))+F252/(1+'APV CALCULATION '!$H$32^4)+(E252/(1+'APV CALCULATION '!$G$32^3)+(D252/(1+'APV CALCULATION '!$F$32)^2)+(C252/(1+'APV CALCULATION '!$E$32))))</f>
        <v>605.07421016694991</v>
      </c>
      <c r="J252" s="342">
        <f>I252+'APV CALCULATION '!$E$21*(1+'APV CALCULATION '!$M$3-B252)-'APV CALCULATION '!$C$48</f>
        <v>3582.5020682712993</v>
      </c>
      <c r="L252" s="6"/>
      <c r="N252"/>
    </row>
    <row r="253" spans="2:14" x14ac:dyDescent="0.2">
      <c r="B253" s="339">
        <f t="shared" si="11"/>
        <v>0.27900000000000014</v>
      </c>
      <c r="C253" s="342">
        <f>('Coverage ratios'!$R$7*B253)/(1+'Coverage ratios'!$R$9)</f>
        <v>4.148463730081267</v>
      </c>
      <c r="D253" s="342">
        <f>('Coverage ratios'!$R$17*B253)/((1+'Coverage ratios'!$R$19)^2)</f>
        <v>4.3232739271499412</v>
      </c>
      <c r="E253" s="342">
        <f>('Coverage ratios'!$R$27*B253)/((1+'Coverage ratios'!$R$29)^3)</f>
        <v>4.4327197302711623</v>
      </c>
      <c r="F253" s="342">
        <f>('Coverage ratios'!$R$37*B253)/((1+'Coverage ratios'!$R$39)^4)</f>
        <v>4.5408468058463294</v>
      </c>
      <c r="G253" s="342">
        <f>('Coverage ratios'!$R$47*B253)/((1+'Coverage ratios'!$R$49)^5)</f>
        <v>4.7623396025039781</v>
      </c>
      <c r="H253" s="342">
        <f>B253*'APV CALCULATION '!$Q$12</f>
        <v>585.23721561955927</v>
      </c>
      <c r="I253" s="590">
        <f>((SUM(G253:H253)/(1+'APV CALCULATION '!$I$32^5))+F253/(1+'APV CALCULATION '!$H$32^4)+(E253/(1+'APV CALCULATION '!$G$32^3)+(D253/(1+'APV CALCULATION '!$F$32)^2)+(C253/(1+'APV CALCULATION '!$E$32))))</f>
        <v>607.25073610280219</v>
      </c>
      <c r="J253" s="342">
        <f>I253+'APV CALCULATION '!$E$21*(1+'APV CALCULATION '!$M$3-B253)-'APV CALCULATION '!$C$48</f>
        <v>3581.2641127184997</v>
      </c>
      <c r="L253" s="6"/>
      <c r="N253"/>
    </row>
    <row r="254" spans="2:14" x14ac:dyDescent="0.2">
      <c r="B254" s="339">
        <f t="shared" si="11"/>
        <v>0.28000000000000014</v>
      </c>
      <c r="C254" s="342">
        <f>('Coverage ratios'!$R$7*B254)/(1+'Coverage ratios'!$R$9)</f>
        <v>4.1633327757087981</v>
      </c>
      <c r="D254" s="342">
        <f>('Coverage ratios'!$R$17*B254)/((1+'Coverage ratios'!$R$19)^2)</f>
        <v>4.3387695326235969</v>
      </c>
      <c r="E254" s="342">
        <f>('Coverage ratios'!$R$27*B254)/((1+'Coverage ratios'!$R$29)^3)</f>
        <v>4.4486076146090516</v>
      </c>
      <c r="F254" s="342">
        <f>('Coverage ratios'!$R$37*B254)/((1+'Coverage ratios'!$R$39)^4)</f>
        <v>4.5571222424264244</v>
      </c>
      <c r="G254" s="342">
        <f>('Coverage ratios'!$R$47*B254)/((1+'Coverage ratios'!$R$49)^5)</f>
        <v>4.7794089200756771</v>
      </c>
      <c r="H254" s="342">
        <f>B254*'APV CALCULATION '!$Q$12</f>
        <v>587.33484004830325</v>
      </c>
      <c r="I254" s="590">
        <f>((SUM(G254:H254)/(1+'APV CALCULATION '!$I$32^5))+F254/(1+'APV CALCULATION '!$H$32^4)+(E254/(1+'APV CALCULATION '!$G$32^3)+(D254/(1+'APV CALCULATION '!$F$32)^2)+(C254/(1+'APV CALCULATION '!$E$32))))</f>
        <v>609.42726203865459</v>
      </c>
      <c r="J254" s="342">
        <f>I254+'APV CALCULATION '!$E$21*(1+'APV CALCULATION '!$M$3-B254)-'APV CALCULATION '!$C$48</f>
        <v>3580.0261571657006</v>
      </c>
      <c r="L254" s="6"/>
      <c r="N254"/>
    </row>
    <row r="255" spans="2:14" x14ac:dyDescent="0.2">
      <c r="B255" s="339">
        <f t="shared" si="11"/>
        <v>0.28100000000000014</v>
      </c>
      <c r="C255" s="342">
        <f>('Coverage ratios'!$R$7*B255)/(1+'Coverage ratios'!$R$9)</f>
        <v>4.1782018213363301</v>
      </c>
      <c r="D255" s="342">
        <f>('Coverage ratios'!$R$17*B255)/((1+'Coverage ratios'!$R$19)^2)</f>
        <v>4.3542651380972526</v>
      </c>
      <c r="E255" s="342">
        <f>('Coverage ratios'!$R$27*B255)/((1+'Coverage ratios'!$R$29)^3)</f>
        <v>4.464495498946941</v>
      </c>
      <c r="F255" s="342">
        <f>('Coverage ratios'!$R$37*B255)/((1+'Coverage ratios'!$R$39)^4)</f>
        <v>4.5733976790065185</v>
      </c>
      <c r="G255" s="342">
        <f>('Coverage ratios'!$R$47*B255)/((1+'Coverage ratios'!$R$49)^5)</f>
        <v>4.796478237647376</v>
      </c>
      <c r="H255" s="342">
        <f>B255*'APV CALCULATION '!$Q$12</f>
        <v>589.43246447704712</v>
      </c>
      <c r="I255" s="590">
        <f>((SUM(G255:H255)/(1+'APV CALCULATION '!$I$32^5))+F255/(1+'APV CALCULATION '!$H$32^4)+(E255/(1+'APV CALCULATION '!$G$32^3)+(D255/(1+'APV CALCULATION '!$F$32)^2)+(C255/(1+'APV CALCULATION '!$E$32))))</f>
        <v>611.60378797450699</v>
      </c>
      <c r="J255" s="342">
        <f>I255+'APV CALCULATION '!$E$21*(1+'APV CALCULATION '!$M$3-B255)-'APV CALCULATION '!$C$48</f>
        <v>3578.7882016129015</v>
      </c>
      <c r="L255" s="6"/>
      <c r="N255"/>
    </row>
    <row r="256" spans="2:14" x14ac:dyDescent="0.2">
      <c r="B256" s="339">
        <f t="shared" si="11"/>
        <v>0.28200000000000014</v>
      </c>
      <c r="C256" s="342">
        <f>('Coverage ratios'!$R$7*B256)/(1+'Coverage ratios'!$R$9)</f>
        <v>4.1930708669638612</v>
      </c>
      <c r="D256" s="342">
        <f>('Coverage ratios'!$R$17*B256)/((1+'Coverage ratios'!$R$19)^2)</f>
        <v>4.3697607435709083</v>
      </c>
      <c r="E256" s="342">
        <f>('Coverage ratios'!$R$27*B256)/((1+'Coverage ratios'!$R$29)^3)</f>
        <v>4.4803833832848303</v>
      </c>
      <c r="F256" s="342">
        <f>('Coverage ratios'!$R$37*B256)/((1+'Coverage ratios'!$R$39)^4)</f>
        <v>4.5896731155866126</v>
      </c>
      <c r="G256" s="342">
        <f>('Coverage ratios'!$R$47*B256)/((1+'Coverage ratios'!$R$49)^5)</f>
        <v>4.813547555219075</v>
      </c>
      <c r="H256" s="342">
        <f>B256*'APV CALCULATION '!$Q$12</f>
        <v>591.5300889057911</v>
      </c>
      <c r="I256" s="590">
        <f>((SUM(G256:H256)/(1+'APV CALCULATION '!$I$32^5))+F256/(1+'APV CALCULATION '!$H$32^4)+(E256/(1+'APV CALCULATION '!$G$32^3)+(D256/(1+'APV CALCULATION '!$F$32)^2)+(C256/(1+'APV CALCULATION '!$E$32))))</f>
        <v>613.78031391035927</v>
      </c>
      <c r="J256" s="342">
        <f>I256+'APV CALCULATION '!$E$21*(1+'APV CALCULATION '!$M$3-B256)-'APV CALCULATION '!$C$48</f>
        <v>3577.5502460601019</v>
      </c>
      <c r="L256" s="6"/>
      <c r="N256"/>
    </row>
    <row r="257" spans="2:14" x14ac:dyDescent="0.2">
      <c r="B257" s="339">
        <f t="shared" si="11"/>
        <v>0.28300000000000014</v>
      </c>
      <c r="C257" s="342">
        <f>('Coverage ratios'!$R$7*B257)/(1+'Coverage ratios'!$R$9)</f>
        <v>4.2079399125913923</v>
      </c>
      <c r="D257" s="342">
        <f>('Coverage ratios'!$R$17*B257)/((1+'Coverage ratios'!$R$19)^2)</f>
        <v>4.385256349044564</v>
      </c>
      <c r="E257" s="342">
        <f>('Coverage ratios'!$R$27*B257)/((1+'Coverage ratios'!$R$29)^3)</f>
        <v>4.4962712676227197</v>
      </c>
      <c r="F257" s="342">
        <f>('Coverage ratios'!$R$37*B257)/((1+'Coverage ratios'!$R$39)^4)</f>
        <v>4.6059485521667067</v>
      </c>
      <c r="G257" s="342">
        <f>('Coverage ratios'!$R$47*B257)/((1+'Coverage ratios'!$R$49)^5)</f>
        <v>4.8306168727907739</v>
      </c>
      <c r="H257" s="342">
        <f>B257*'APV CALCULATION '!$Q$12</f>
        <v>593.62771333453509</v>
      </c>
      <c r="I257" s="590">
        <f>((SUM(G257:H257)/(1+'APV CALCULATION '!$I$32^5))+F257/(1+'APV CALCULATION '!$H$32^4)+(E257/(1+'APV CALCULATION '!$G$32^3)+(D257/(1+'APV CALCULATION '!$F$32)^2)+(C257/(1+'APV CALCULATION '!$E$32))))</f>
        <v>615.95683984621166</v>
      </c>
      <c r="J257" s="342">
        <f>I257+'APV CALCULATION '!$E$21*(1+'APV CALCULATION '!$M$3-B257)-'APV CALCULATION '!$C$48</f>
        <v>3576.3122905073024</v>
      </c>
      <c r="L257" s="6"/>
      <c r="N257"/>
    </row>
    <row r="258" spans="2:14" x14ac:dyDescent="0.2">
      <c r="B258" s="339">
        <f t="shared" si="11"/>
        <v>0.28400000000000014</v>
      </c>
      <c r="C258" s="342">
        <f>('Coverage ratios'!$R$7*B258)/(1+'Coverage ratios'!$R$9)</f>
        <v>4.2228089582189243</v>
      </c>
      <c r="D258" s="342">
        <f>('Coverage ratios'!$R$17*B258)/((1+'Coverage ratios'!$R$19)^2)</f>
        <v>4.4007519545182197</v>
      </c>
      <c r="E258" s="342">
        <f>('Coverage ratios'!$R$27*B258)/((1+'Coverage ratios'!$R$29)^3)</f>
        <v>4.5121591519606099</v>
      </c>
      <c r="F258" s="342">
        <f>('Coverage ratios'!$R$37*B258)/((1+'Coverage ratios'!$R$39)^4)</f>
        <v>4.6222239887468017</v>
      </c>
      <c r="G258" s="342">
        <f>('Coverage ratios'!$R$47*B258)/((1+'Coverage ratios'!$R$49)^5)</f>
        <v>4.8476861903624728</v>
      </c>
      <c r="H258" s="342">
        <f>B258*'APV CALCULATION '!$Q$12</f>
        <v>595.72533776327896</v>
      </c>
      <c r="I258" s="590">
        <f>((SUM(G258:H258)/(1+'APV CALCULATION '!$I$32^5))+F258/(1+'APV CALCULATION '!$H$32^4)+(E258/(1+'APV CALCULATION '!$G$32^3)+(D258/(1+'APV CALCULATION '!$F$32)^2)+(C258/(1+'APV CALCULATION '!$E$32))))</f>
        <v>618.13336578206383</v>
      </c>
      <c r="J258" s="342">
        <f>I258+'APV CALCULATION '!$E$21*(1+'APV CALCULATION '!$M$3-B258)-'APV CALCULATION '!$C$48</f>
        <v>3575.0743349545028</v>
      </c>
      <c r="L258" s="6"/>
      <c r="N258"/>
    </row>
    <row r="259" spans="2:14" x14ac:dyDescent="0.2">
      <c r="B259" s="339">
        <f t="shared" si="11"/>
        <v>0.28500000000000014</v>
      </c>
      <c r="C259" s="342">
        <f>('Coverage ratios'!$R$7*B259)/(1+'Coverage ratios'!$R$9)</f>
        <v>4.2376780038464554</v>
      </c>
      <c r="D259" s="342">
        <f>('Coverage ratios'!$R$17*B259)/((1+'Coverage ratios'!$R$19)^2)</f>
        <v>4.4162475599918753</v>
      </c>
      <c r="E259" s="342">
        <f>('Coverage ratios'!$R$27*B259)/((1+'Coverage ratios'!$R$29)^3)</f>
        <v>4.5280470362984993</v>
      </c>
      <c r="F259" s="342">
        <f>('Coverage ratios'!$R$37*B259)/((1+'Coverage ratios'!$R$39)^4)</f>
        <v>4.6384994253268959</v>
      </c>
      <c r="G259" s="342">
        <f>('Coverage ratios'!$R$47*B259)/((1+'Coverage ratios'!$R$49)^5)</f>
        <v>4.8647555079341718</v>
      </c>
      <c r="H259" s="342">
        <f>B259*'APV CALCULATION '!$Q$12</f>
        <v>597.82296219202294</v>
      </c>
      <c r="I259" s="590">
        <f>((SUM(G259:H259)/(1+'APV CALCULATION '!$I$32^5))+F259/(1+'APV CALCULATION '!$H$32^4)+(E259/(1+'APV CALCULATION '!$G$32^3)+(D259/(1+'APV CALCULATION '!$F$32)^2)+(C259/(1+'APV CALCULATION '!$E$32))))</f>
        <v>620.30989171791634</v>
      </c>
      <c r="J259" s="342">
        <f>I259+'APV CALCULATION '!$E$21*(1+'APV CALCULATION '!$M$3-B259)-'APV CALCULATION '!$C$48</f>
        <v>3573.8363794017037</v>
      </c>
      <c r="L259" s="6"/>
      <c r="N259"/>
    </row>
    <row r="260" spans="2:14" x14ac:dyDescent="0.2">
      <c r="B260" s="339">
        <f t="shared" si="11"/>
        <v>0.28600000000000014</v>
      </c>
      <c r="C260" s="342">
        <f>('Coverage ratios'!$R$7*B260)/(1+'Coverage ratios'!$R$9)</f>
        <v>4.2525470494739865</v>
      </c>
      <c r="D260" s="342">
        <f>('Coverage ratios'!$R$17*B260)/((1+'Coverage ratios'!$R$19)^2)</f>
        <v>4.431743165465531</v>
      </c>
      <c r="E260" s="342">
        <f>('Coverage ratios'!$R$27*B260)/((1+'Coverage ratios'!$R$29)^3)</f>
        <v>4.5439349206363886</v>
      </c>
      <c r="F260" s="342">
        <f>('Coverage ratios'!$R$37*B260)/((1+'Coverage ratios'!$R$39)^4)</f>
        <v>4.65477486190699</v>
      </c>
      <c r="G260" s="342">
        <f>('Coverage ratios'!$R$47*B260)/((1+'Coverage ratios'!$R$49)^5)</f>
        <v>4.8818248255058707</v>
      </c>
      <c r="H260" s="342">
        <f>B260*'APV CALCULATION '!$Q$12</f>
        <v>599.92058662076681</v>
      </c>
      <c r="I260" s="590">
        <f>((SUM(G260:H260)/(1+'APV CALCULATION '!$I$32^5))+F260/(1+'APV CALCULATION '!$H$32^4)+(E260/(1+'APV CALCULATION '!$G$32^3)+(D260/(1+'APV CALCULATION '!$F$32)^2)+(C260/(1+'APV CALCULATION '!$E$32))))</f>
        <v>622.48641765376863</v>
      </c>
      <c r="J260" s="342">
        <f>I260+'APV CALCULATION '!$E$21*(1+'APV CALCULATION '!$M$3-B260)-'APV CALCULATION '!$C$48</f>
        <v>3572.5984238489036</v>
      </c>
      <c r="L260" s="6"/>
      <c r="N260"/>
    </row>
    <row r="261" spans="2:14" x14ac:dyDescent="0.2">
      <c r="B261" s="339">
        <f t="shared" si="11"/>
        <v>0.28700000000000014</v>
      </c>
      <c r="C261" s="342">
        <f>('Coverage ratios'!$R$7*B261)/(1+'Coverage ratios'!$R$9)</f>
        <v>4.2674160951015185</v>
      </c>
      <c r="D261" s="342">
        <f>('Coverage ratios'!$R$17*B261)/((1+'Coverage ratios'!$R$19)^2)</f>
        <v>4.4472387709391867</v>
      </c>
      <c r="E261" s="342">
        <f>('Coverage ratios'!$R$27*B261)/((1+'Coverage ratios'!$R$29)^3)</f>
        <v>4.5598228049742779</v>
      </c>
      <c r="F261" s="342">
        <f>('Coverage ratios'!$R$37*B261)/((1+'Coverage ratios'!$R$39)^4)</f>
        <v>4.671050298487085</v>
      </c>
      <c r="G261" s="342">
        <f>('Coverage ratios'!$R$47*B261)/((1+'Coverage ratios'!$R$49)^5)</f>
        <v>4.8988941430775697</v>
      </c>
      <c r="H261" s="342">
        <f>B261*'APV CALCULATION '!$Q$12</f>
        <v>602.0182110495108</v>
      </c>
      <c r="I261" s="590">
        <f>((SUM(G261:H261)/(1+'APV CALCULATION '!$I$32^5))+F261/(1+'APV CALCULATION '!$H$32^4)+(E261/(1+'APV CALCULATION '!$G$32^3)+(D261/(1+'APV CALCULATION '!$F$32)^2)+(C261/(1+'APV CALCULATION '!$E$32))))</f>
        <v>624.66294358962091</v>
      </c>
      <c r="J261" s="342">
        <f>I261+'APV CALCULATION '!$E$21*(1+'APV CALCULATION '!$M$3-B261)-'APV CALCULATION '!$C$48</f>
        <v>3571.360468296104</v>
      </c>
      <c r="L261" s="6"/>
      <c r="N261"/>
    </row>
    <row r="262" spans="2:14" x14ac:dyDescent="0.2">
      <c r="B262" s="339">
        <f t="shared" si="11"/>
        <v>0.28800000000000014</v>
      </c>
      <c r="C262" s="342">
        <f>('Coverage ratios'!$R$7*B262)/(1+'Coverage ratios'!$R$9)</f>
        <v>4.2822851407290496</v>
      </c>
      <c r="D262" s="342">
        <f>('Coverage ratios'!$R$17*B262)/((1+'Coverage ratios'!$R$19)^2)</f>
        <v>4.4627343764128424</v>
      </c>
      <c r="E262" s="342">
        <f>('Coverage ratios'!$R$27*B262)/((1+'Coverage ratios'!$R$29)^3)</f>
        <v>4.5757106893121673</v>
      </c>
      <c r="F262" s="342">
        <f>('Coverage ratios'!$R$37*B262)/((1+'Coverage ratios'!$R$39)^4)</f>
        <v>4.6873257350671791</v>
      </c>
      <c r="G262" s="342">
        <f>('Coverage ratios'!$R$47*B262)/((1+'Coverage ratios'!$R$49)^5)</f>
        <v>4.9159634606492677</v>
      </c>
      <c r="H262" s="342">
        <f>B262*'APV CALCULATION '!$Q$12</f>
        <v>604.11583547825478</v>
      </c>
      <c r="I262" s="590">
        <f>((SUM(G262:H262)/(1+'APV CALCULATION '!$I$32^5))+F262/(1+'APV CALCULATION '!$H$32^4)+(E262/(1+'APV CALCULATION '!$G$32^3)+(D262/(1+'APV CALCULATION '!$F$32)^2)+(C262/(1+'APV CALCULATION '!$E$32))))</f>
        <v>626.83946952547342</v>
      </c>
      <c r="J262" s="342">
        <f>I262+'APV CALCULATION '!$E$21*(1+'APV CALCULATION '!$M$3-B262)-'APV CALCULATION '!$C$48</f>
        <v>3570.1225127433049</v>
      </c>
      <c r="L262" s="6"/>
      <c r="N262"/>
    </row>
    <row r="263" spans="2:14" x14ac:dyDescent="0.2">
      <c r="B263" s="339">
        <f t="shared" si="11"/>
        <v>0.28900000000000015</v>
      </c>
      <c r="C263" s="342">
        <f>('Coverage ratios'!$R$7*B263)/(1+'Coverage ratios'!$R$9)</f>
        <v>4.2971541863565808</v>
      </c>
      <c r="D263" s="342">
        <f>('Coverage ratios'!$R$17*B263)/((1+'Coverage ratios'!$R$19)^2)</f>
        <v>4.4782299818864981</v>
      </c>
      <c r="E263" s="342">
        <f>('Coverage ratios'!$R$27*B263)/((1+'Coverage ratios'!$R$29)^3)</f>
        <v>4.5915985736500566</v>
      </c>
      <c r="F263" s="342">
        <f>('Coverage ratios'!$R$37*B263)/((1+'Coverage ratios'!$R$39)^4)</f>
        <v>4.7036011716472732</v>
      </c>
      <c r="G263" s="342">
        <f>('Coverage ratios'!$R$47*B263)/((1+'Coverage ratios'!$R$49)^5)</f>
        <v>4.9330327782209666</v>
      </c>
      <c r="H263" s="342">
        <f>B263*'APV CALCULATION '!$Q$12</f>
        <v>606.21345990699865</v>
      </c>
      <c r="I263" s="590">
        <f>((SUM(G263:H263)/(1+'APV CALCULATION '!$I$32^5))+F263/(1+'APV CALCULATION '!$H$32^4)+(E263/(1+'APV CALCULATION '!$G$32^3)+(D263/(1+'APV CALCULATION '!$F$32)^2)+(C263/(1+'APV CALCULATION '!$E$32))))</f>
        <v>629.01599546132559</v>
      </c>
      <c r="J263" s="342">
        <f>I263+'APV CALCULATION '!$E$21*(1+'APV CALCULATION '!$M$3-B263)-'APV CALCULATION '!$C$48</f>
        <v>3568.8845571905053</v>
      </c>
      <c r="L263" s="6"/>
      <c r="N263"/>
    </row>
    <row r="264" spans="2:14" x14ac:dyDescent="0.2">
      <c r="B264" s="339">
        <f t="shared" si="11"/>
        <v>0.29000000000000015</v>
      </c>
      <c r="C264" s="342">
        <f>('Coverage ratios'!$R$7*B264)/(1+'Coverage ratios'!$R$9)</f>
        <v>4.3120232319841127</v>
      </c>
      <c r="D264" s="342">
        <f>('Coverage ratios'!$R$17*B264)/((1+'Coverage ratios'!$R$19)^2)</f>
        <v>4.4937255873601538</v>
      </c>
      <c r="E264" s="342">
        <f>('Coverage ratios'!$R$27*B264)/((1+'Coverage ratios'!$R$29)^3)</f>
        <v>4.607486457987946</v>
      </c>
      <c r="F264" s="342">
        <f>('Coverage ratios'!$R$37*B264)/((1+'Coverage ratios'!$R$39)^4)</f>
        <v>4.7198766082273682</v>
      </c>
      <c r="G264" s="342">
        <f>('Coverage ratios'!$R$47*B264)/((1+'Coverage ratios'!$R$49)^5)</f>
        <v>4.9501020957926656</v>
      </c>
      <c r="H264" s="342">
        <f>B264*'APV CALCULATION '!$Q$12</f>
        <v>608.31108433574263</v>
      </c>
      <c r="I264" s="590">
        <f>((SUM(G264:H264)/(1+'APV CALCULATION '!$I$32^5))+F264/(1+'APV CALCULATION '!$H$32^4)+(E264/(1+'APV CALCULATION '!$G$32^3)+(D264/(1+'APV CALCULATION '!$F$32)^2)+(C264/(1+'APV CALCULATION '!$E$32))))</f>
        <v>631.19252139717798</v>
      </c>
      <c r="J264" s="342">
        <f>I264+'APV CALCULATION '!$E$21*(1+'APV CALCULATION '!$M$3-B264)-'APV CALCULATION '!$C$48</f>
        <v>3567.6466016377062</v>
      </c>
      <c r="L264" s="6"/>
      <c r="N264"/>
    </row>
    <row r="265" spans="2:14" x14ac:dyDescent="0.2">
      <c r="B265" s="339">
        <f t="shared" si="11"/>
        <v>0.29100000000000015</v>
      </c>
      <c r="C265" s="342">
        <f>('Coverage ratios'!$R$7*B265)/(1+'Coverage ratios'!$R$9)</f>
        <v>4.3268922776116439</v>
      </c>
      <c r="D265" s="342">
        <f>('Coverage ratios'!$R$17*B265)/((1+'Coverage ratios'!$R$19)^2)</f>
        <v>4.5092211928338095</v>
      </c>
      <c r="E265" s="342">
        <f>('Coverage ratios'!$R$27*B265)/((1+'Coverage ratios'!$R$29)^3)</f>
        <v>4.6233743423258353</v>
      </c>
      <c r="F265" s="342">
        <f>('Coverage ratios'!$R$37*B265)/((1+'Coverage ratios'!$R$39)^4)</f>
        <v>4.7361520448074623</v>
      </c>
      <c r="G265" s="342">
        <f>('Coverage ratios'!$R$47*B265)/((1+'Coverage ratios'!$R$49)^5)</f>
        <v>4.9671714133643645</v>
      </c>
      <c r="H265" s="342">
        <f>B265*'APV CALCULATION '!$Q$12</f>
        <v>610.40870876448651</v>
      </c>
      <c r="I265" s="590">
        <f>((SUM(G265:H265)/(1+'APV CALCULATION '!$I$32^5))+F265/(1+'APV CALCULATION '!$H$32^4)+(E265/(1+'APV CALCULATION '!$G$32^3)+(D265/(1+'APV CALCULATION '!$F$32)^2)+(C265/(1+'APV CALCULATION '!$E$32))))</f>
        <v>633.36904733303027</v>
      </c>
      <c r="J265" s="342">
        <f>I265+'APV CALCULATION '!$E$21*(1+'APV CALCULATION '!$M$3-B265)-'APV CALCULATION '!$C$48</f>
        <v>3566.4086460849066</v>
      </c>
      <c r="L265" s="6"/>
      <c r="N265"/>
    </row>
    <row r="266" spans="2:14" x14ac:dyDescent="0.2">
      <c r="B266" s="339">
        <f t="shared" si="11"/>
        <v>0.29200000000000015</v>
      </c>
      <c r="C266" s="342">
        <f>('Coverage ratios'!$R$7*B266)/(1+'Coverage ratios'!$R$9)</f>
        <v>4.3417613232391759</v>
      </c>
      <c r="D266" s="342">
        <f>('Coverage ratios'!$R$17*B266)/((1+'Coverage ratios'!$R$19)^2)</f>
        <v>4.5247167983074652</v>
      </c>
      <c r="E266" s="342">
        <f>('Coverage ratios'!$R$27*B266)/((1+'Coverage ratios'!$R$29)^3)</f>
        <v>4.6392622266637256</v>
      </c>
      <c r="F266" s="342">
        <f>('Coverage ratios'!$R$37*B266)/((1+'Coverage ratios'!$R$39)^4)</f>
        <v>4.7524274813875564</v>
      </c>
      <c r="G266" s="342">
        <f>('Coverage ratios'!$R$47*B266)/((1+'Coverage ratios'!$R$49)^5)</f>
        <v>4.9842407309360635</v>
      </c>
      <c r="H266" s="342">
        <f>B266*'APV CALCULATION '!$Q$12</f>
        <v>612.50633319323049</v>
      </c>
      <c r="I266" s="590">
        <f>((SUM(G266:H266)/(1+'APV CALCULATION '!$I$32^5))+F266/(1+'APV CALCULATION '!$H$32^4)+(E266/(1+'APV CALCULATION '!$G$32^3)+(D266/(1+'APV CALCULATION '!$F$32)^2)+(C266/(1+'APV CALCULATION '!$E$32))))</f>
        <v>635.54557326888255</v>
      </c>
      <c r="J266" s="342">
        <f>I266+'APV CALCULATION '!$E$21*(1+'APV CALCULATION '!$M$3-B266)-'APV CALCULATION '!$C$48</f>
        <v>3565.1706905321071</v>
      </c>
      <c r="L266" s="6"/>
      <c r="N266"/>
    </row>
    <row r="267" spans="2:14" x14ac:dyDescent="0.2">
      <c r="B267" s="339">
        <f t="shared" ref="B267:B274" si="12">B266+0.1%</f>
        <v>0.29300000000000015</v>
      </c>
      <c r="C267" s="342">
        <f>('Coverage ratios'!$R$7*B267)/(1+'Coverage ratios'!$R$9)</f>
        <v>4.356630368866707</v>
      </c>
      <c r="D267" s="342">
        <f>('Coverage ratios'!$R$17*B267)/((1+'Coverage ratios'!$R$19)^2)</f>
        <v>4.5402124037811209</v>
      </c>
      <c r="E267" s="342">
        <f>('Coverage ratios'!$R$27*B267)/((1+'Coverage ratios'!$R$29)^3)</f>
        <v>4.6551501110016149</v>
      </c>
      <c r="F267" s="342">
        <f>('Coverage ratios'!$R$37*B267)/((1+'Coverage ratios'!$R$39)^4)</f>
        <v>4.7687029179676514</v>
      </c>
      <c r="G267" s="342">
        <f>('Coverage ratios'!$R$47*B267)/((1+'Coverage ratios'!$R$49)^5)</f>
        <v>5.0013100485077624</v>
      </c>
      <c r="H267" s="342">
        <f>B267*'APV CALCULATION '!$Q$12</f>
        <v>614.60395762197447</v>
      </c>
      <c r="I267" s="590">
        <f>((SUM(G267:H267)/(1+'APV CALCULATION '!$I$32^5))+F267/(1+'APV CALCULATION '!$H$32^4)+(E267/(1+'APV CALCULATION '!$G$32^3)+(D267/(1+'APV CALCULATION '!$F$32)^2)+(C267/(1+'APV CALCULATION '!$E$32))))</f>
        <v>637.72209920473495</v>
      </c>
      <c r="J267" s="342">
        <f>I267+'APV CALCULATION '!$E$21*(1+'APV CALCULATION '!$M$3-B267)-'APV CALCULATION '!$C$48</f>
        <v>3563.932734979308</v>
      </c>
      <c r="L267" s="6"/>
      <c r="N267"/>
    </row>
    <row r="268" spans="2:14" x14ac:dyDescent="0.2">
      <c r="B268" s="339">
        <f t="shared" si="12"/>
        <v>0.29400000000000015</v>
      </c>
      <c r="C268" s="342">
        <f>('Coverage ratios'!$R$7*B268)/(1+'Coverage ratios'!$R$9)</f>
        <v>4.3714994144942381</v>
      </c>
      <c r="D268" s="342">
        <f>('Coverage ratios'!$R$17*B268)/((1+'Coverage ratios'!$R$19)^2)</f>
        <v>4.5557080092547766</v>
      </c>
      <c r="E268" s="342">
        <f>('Coverage ratios'!$R$27*B268)/((1+'Coverage ratios'!$R$29)^3)</f>
        <v>4.6710379953395043</v>
      </c>
      <c r="F268" s="342">
        <f>('Coverage ratios'!$R$37*B268)/((1+'Coverage ratios'!$R$39)^4)</f>
        <v>4.7849783545477456</v>
      </c>
      <c r="G268" s="342">
        <f>('Coverage ratios'!$R$47*B268)/((1+'Coverage ratios'!$R$49)^5)</f>
        <v>5.0183793660794613</v>
      </c>
      <c r="H268" s="342">
        <f>B268*'APV CALCULATION '!$Q$12</f>
        <v>616.70158205071834</v>
      </c>
      <c r="I268" s="590">
        <f>((SUM(G268:H268)/(1+'APV CALCULATION '!$I$32^5))+F268/(1+'APV CALCULATION '!$H$32^4)+(E268/(1+'APV CALCULATION '!$G$32^3)+(D268/(1+'APV CALCULATION '!$F$32)^2)+(C268/(1+'APV CALCULATION '!$E$32))))</f>
        <v>639.89862514058711</v>
      </c>
      <c r="J268" s="342">
        <f>I268+'APV CALCULATION '!$E$21*(1+'APV CALCULATION '!$M$3-B268)-'APV CALCULATION '!$C$48</f>
        <v>3562.6947794265084</v>
      </c>
      <c r="L268" s="6"/>
      <c r="N268"/>
    </row>
    <row r="269" spans="2:14" x14ac:dyDescent="0.2">
      <c r="B269" s="339">
        <f t="shared" si="12"/>
        <v>0.29500000000000015</v>
      </c>
      <c r="C269" s="342">
        <f>('Coverage ratios'!$R$7*B269)/(1+'Coverage ratios'!$R$9)</f>
        <v>4.3863684601217701</v>
      </c>
      <c r="D269" s="342">
        <f>('Coverage ratios'!$R$17*B269)/((1+'Coverage ratios'!$R$19)^2)</f>
        <v>4.5712036147284323</v>
      </c>
      <c r="E269" s="342">
        <f>('Coverage ratios'!$R$27*B269)/((1+'Coverage ratios'!$R$29)^3)</f>
        <v>4.6869258796773936</v>
      </c>
      <c r="F269" s="342">
        <f>('Coverage ratios'!$R$37*B269)/((1+'Coverage ratios'!$R$39)^4)</f>
        <v>4.8012537911278397</v>
      </c>
      <c r="G269" s="342">
        <f>('Coverage ratios'!$R$47*B269)/((1+'Coverage ratios'!$R$49)^5)</f>
        <v>5.0354486836511603</v>
      </c>
      <c r="H269" s="342">
        <f>B269*'APV CALCULATION '!$Q$12</f>
        <v>618.79920647946233</v>
      </c>
      <c r="I269" s="590">
        <f>((SUM(G269:H269)/(1+'APV CALCULATION '!$I$32^5))+F269/(1+'APV CALCULATION '!$H$32^4)+(E269/(1+'APV CALCULATION '!$G$32^3)+(D269/(1+'APV CALCULATION '!$F$32)^2)+(C269/(1+'APV CALCULATION '!$E$32))))</f>
        <v>642.07515107643951</v>
      </c>
      <c r="J269" s="342">
        <f>I269+'APV CALCULATION '!$E$21*(1+'APV CALCULATION '!$M$3-B269)-'APV CALCULATION '!$C$48</f>
        <v>3561.4568238737088</v>
      </c>
      <c r="L269" s="6"/>
      <c r="N269"/>
    </row>
    <row r="270" spans="2:14" x14ac:dyDescent="0.2">
      <c r="B270" s="339">
        <f t="shared" si="12"/>
        <v>0.29600000000000015</v>
      </c>
      <c r="C270" s="342">
        <f>('Coverage ratios'!$R$7*B270)/(1+'Coverage ratios'!$R$9)</f>
        <v>4.4012375057493012</v>
      </c>
      <c r="D270" s="342">
        <f>('Coverage ratios'!$R$17*B270)/((1+'Coverage ratios'!$R$19)^2)</f>
        <v>4.586699220202088</v>
      </c>
      <c r="E270" s="342">
        <f>('Coverage ratios'!$R$27*B270)/((1+'Coverage ratios'!$R$29)^3)</f>
        <v>4.7028137640152829</v>
      </c>
      <c r="F270" s="342">
        <f>('Coverage ratios'!$R$37*B270)/((1+'Coverage ratios'!$R$39)^4)</f>
        <v>4.8175292277079347</v>
      </c>
      <c r="G270" s="342">
        <f>('Coverage ratios'!$R$47*B270)/((1+'Coverage ratios'!$R$49)^5)</f>
        <v>5.0525180012228592</v>
      </c>
      <c r="H270" s="342">
        <f>B270*'APV CALCULATION '!$Q$12</f>
        <v>620.89683090820631</v>
      </c>
      <c r="I270" s="590">
        <f>((SUM(G270:H270)/(1+'APV CALCULATION '!$I$32^5))+F270/(1+'APV CALCULATION '!$H$32^4)+(E270/(1+'APV CALCULATION '!$G$32^3)+(D270/(1+'APV CALCULATION '!$F$32)^2)+(C270/(1+'APV CALCULATION '!$E$32))))</f>
        <v>644.25167701229202</v>
      </c>
      <c r="J270" s="342">
        <f>I270+'APV CALCULATION '!$E$21*(1+'APV CALCULATION '!$M$3-B270)-'APV CALCULATION '!$C$48</f>
        <v>3560.2188683209097</v>
      </c>
      <c r="L270" s="6"/>
      <c r="N270"/>
    </row>
    <row r="271" spans="2:14" x14ac:dyDescent="0.2">
      <c r="B271" s="339">
        <f t="shared" si="12"/>
        <v>0.29700000000000015</v>
      </c>
      <c r="C271" s="342">
        <f>('Coverage ratios'!$R$7*B271)/(1+'Coverage ratios'!$R$9)</f>
        <v>4.4161065513768323</v>
      </c>
      <c r="D271" s="342">
        <f>('Coverage ratios'!$R$17*B271)/((1+'Coverage ratios'!$R$19)^2)</f>
        <v>4.6021948256757446</v>
      </c>
      <c r="E271" s="342">
        <f>('Coverage ratios'!$R$27*B271)/((1+'Coverage ratios'!$R$29)^3)</f>
        <v>4.7187016483531723</v>
      </c>
      <c r="F271" s="342">
        <f>('Coverage ratios'!$R$37*B271)/((1+'Coverage ratios'!$R$39)^4)</f>
        <v>4.8338046642880288</v>
      </c>
      <c r="G271" s="342">
        <f>('Coverage ratios'!$R$47*B271)/((1+'Coverage ratios'!$R$49)^5)</f>
        <v>5.0695873187945573</v>
      </c>
      <c r="H271" s="342">
        <f>B271*'APV CALCULATION '!$Q$12</f>
        <v>622.99445533695018</v>
      </c>
      <c r="I271" s="590">
        <f>((SUM(G271:H271)/(1+'APV CALCULATION '!$I$32^5))+F271/(1+'APV CALCULATION '!$H$32^4)+(E271/(1+'APV CALCULATION '!$G$32^3)+(D271/(1+'APV CALCULATION '!$F$32)^2)+(C271/(1+'APV CALCULATION '!$E$32))))</f>
        <v>646.4282029481443</v>
      </c>
      <c r="J271" s="342">
        <f>I271+'APV CALCULATION '!$E$21*(1+'APV CALCULATION '!$M$3-B271)-'APV CALCULATION '!$C$48</f>
        <v>3558.9809127681101</v>
      </c>
      <c r="L271" s="6"/>
      <c r="N271"/>
    </row>
    <row r="272" spans="2:14" x14ac:dyDescent="0.2">
      <c r="B272" s="339">
        <f t="shared" si="12"/>
        <v>0.29800000000000015</v>
      </c>
      <c r="C272" s="342">
        <f>('Coverage ratios'!$R$7*B272)/(1+'Coverage ratios'!$R$9)</f>
        <v>4.4309755970043643</v>
      </c>
      <c r="D272" s="342">
        <f>('Coverage ratios'!$R$17*B272)/((1+'Coverage ratios'!$R$19)^2)</f>
        <v>4.6176904311494003</v>
      </c>
      <c r="E272" s="342">
        <f>('Coverage ratios'!$R$27*B272)/((1+'Coverage ratios'!$R$29)^3)</f>
        <v>4.7345895326910616</v>
      </c>
      <c r="F272" s="342">
        <f>('Coverage ratios'!$R$37*B272)/((1+'Coverage ratios'!$R$39)^4)</f>
        <v>4.8500801008681229</v>
      </c>
      <c r="G272" s="342">
        <f>('Coverage ratios'!$R$47*B272)/((1+'Coverage ratios'!$R$49)^5)</f>
        <v>5.0866566363662562</v>
      </c>
      <c r="H272" s="342">
        <f>B272*'APV CALCULATION '!$Q$12</f>
        <v>625.09207976569417</v>
      </c>
      <c r="I272" s="590">
        <f>((SUM(G272:H272)/(1+'APV CALCULATION '!$I$32^5))+F272/(1+'APV CALCULATION '!$H$32^4)+(E272/(1+'APV CALCULATION '!$G$32^3)+(D272/(1+'APV CALCULATION '!$F$32)^2)+(C272/(1+'APV CALCULATION '!$E$32))))</f>
        <v>648.6047288839967</v>
      </c>
      <c r="J272" s="342">
        <f>I272+'APV CALCULATION '!$E$21*(1+'APV CALCULATION '!$M$3-B272)-'APV CALCULATION '!$C$48</f>
        <v>3557.742957215311</v>
      </c>
      <c r="L272" s="6"/>
      <c r="N272"/>
    </row>
    <row r="273" spans="2:14" x14ac:dyDescent="0.2">
      <c r="B273" s="339">
        <f t="shared" si="12"/>
        <v>0.29900000000000015</v>
      </c>
      <c r="C273" s="342">
        <f>('Coverage ratios'!$R$7*B273)/(1+'Coverage ratios'!$R$9)</f>
        <v>4.4458446426318954</v>
      </c>
      <c r="D273" s="342">
        <f>('Coverage ratios'!$R$17*B273)/((1+'Coverage ratios'!$R$19)^2)</f>
        <v>4.6331860366230559</v>
      </c>
      <c r="E273" s="342">
        <f>('Coverage ratios'!$R$27*B273)/((1+'Coverage ratios'!$R$29)^3)</f>
        <v>4.750477417028951</v>
      </c>
      <c r="F273" s="342">
        <f>('Coverage ratios'!$R$37*B273)/((1+'Coverage ratios'!$R$39)^4)</f>
        <v>4.866355537448217</v>
      </c>
      <c r="G273" s="342">
        <f>('Coverage ratios'!$R$47*B273)/((1+'Coverage ratios'!$R$49)^5)</f>
        <v>5.1037259539379551</v>
      </c>
      <c r="H273" s="342">
        <f>B273*'APV CALCULATION '!$Q$12</f>
        <v>627.18970419443804</v>
      </c>
      <c r="I273" s="590">
        <f>((SUM(G273:H273)/(1+'APV CALCULATION '!$I$32^5))+F273/(1+'APV CALCULATION '!$H$32^4)+(E273/(1+'APV CALCULATION '!$G$32^3)+(D273/(1+'APV CALCULATION '!$F$32)^2)+(C273/(1+'APV CALCULATION '!$E$32))))</f>
        <v>650.78125481984898</v>
      </c>
      <c r="J273" s="342">
        <f>I273+'APV CALCULATION '!$E$21*(1+'APV CALCULATION '!$M$3-B273)-'APV CALCULATION '!$C$48</f>
        <v>3556.5050016625109</v>
      </c>
      <c r="L273" s="6"/>
      <c r="N273"/>
    </row>
    <row r="274" spans="2:14" ht="17" thickBot="1" x14ac:dyDescent="0.25">
      <c r="B274" s="340">
        <f t="shared" si="12"/>
        <v>0.30000000000000016</v>
      </c>
      <c r="C274" s="343">
        <f>('Coverage ratios'!$R$7*B274)/(1+'Coverage ratios'!$R$9)</f>
        <v>4.4607136882594265</v>
      </c>
      <c r="D274" s="343">
        <f>('Coverage ratios'!$R$17*B274)/((1+'Coverage ratios'!$R$19)^2)</f>
        <v>4.6486816420967116</v>
      </c>
      <c r="E274" s="343">
        <f>('Coverage ratios'!$R$27*B274)/((1+'Coverage ratios'!$R$29)^3)</f>
        <v>4.7663653013668412</v>
      </c>
      <c r="F274" s="343">
        <f>('Coverage ratios'!$R$37*B274)/((1+'Coverage ratios'!$R$39)^4)</f>
        <v>4.882630974028312</v>
      </c>
      <c r="G274" s="343">
        <f>('Coverage ratios'!$R$47*B274)/((1+'Coverage ratios'!$R$49)^5)</f>
        <v>5.1207952715096541</v>
      </c>
      <c r="H274" s="343">
        <f>B274*'APV CALCULATION '!$Q$12</f>
        <v>629.28732862318202</v>
      </c>
      <c r="I274" s="591">
        <f>((SUM(G274:H274)/(1+'APV CALCULATION '!$I$32^5))+F274/(1+'APV CALCULATION '!$H$32^4)+(E274/(1+'APV CALCULATION '!$G$32^3)+(D274/(1+'APV CALCULATION '!$F$32)^2)+(C274/(1+'APV CALCULATION '!$E$32))))</f>
        <v>652.95778075570138</v>
      </c>
      <c r="J274" s="343">
        <f>I274+'APV CALCULATION '!$E$21*(1+'APV CALCULATION '!$M$3-B274)-'APV CALCULATION '!$C$48</f>
        <v>3555.2670461097114</v>
      </c>
      <c r="L274" s="6"/>
      <c r="N274"/>
    </row>
    <row r="275" spans="2:14" x14ac:dyDescent="0.2">
      <c r="L275" s="6"/>
      <c r="N275"/>
    </row>
    <row r="276" spans="2:14" x14ac:dyDescent="0.2">
      <c r="L276" s="6"/>
      <c r="N276"/>
    </row>
    <row r="277" spans="2:14" x14ac:dyDescent="0.2">
      <c r="L277" s="6"/>
      <c r="N277"/>
    </row>
    <row r="278" spans="2:14" x14ac:dyDescent="0.2">
      <c r="L278" s="6"/>
      <c r="N278"/>
    </row>
    <row r="279" spans="2:14" x14ac:dyDescent="0.2">
      <c r="L279" s="6"/>
      <c r="N279"/>
    </row>
    <row r="280" spans="2:14" x14ac:dyDescent="0.2">
      <c r="L280" s="6"/>
      <c r="N280"/>
    </row>
    <row r="281" spans="2:14" x14ac:dyDescent="0.2">
      <c r="L281" s="6"/>
      <c r="N281"/>
    </row>
    <row r="282" spans="2:14" x14ac:dyDescent="0.2">
      <c r="L282" s="6"/>
      <c r="N282"/>
    </row>
    <row r="283" spans="2:14" x14ac:dyDescent="0.2">
      <c r="L283" s="6"/>
      <c r="N283"/>
    </row>
    <row r="284" spans="2:14" x14ac:dyDescent="0.2">
      <c r="L284" s="6"/>
      <c r="N284"/>
    </row>
    <row r="285" spans="2:14" x14ac:dyDescent="0.2">
      <c r="L285" s="6"/>
      <c r="N285"/>
    </row>
    <row r="286" spans="2:14" x14ac:dyDescent="0.2">
      <c r="L286" s="6"/>
      <c r="N286"/>
    </row>
    <row r="287" spans="2:14" x14ac:dyDescent="0.2">
      <c r="L287" s="6"/>
      <c r="N287"/>
    </row>
    <row r="288" spans="2:14" x14ac:dyDescent="0.2">
      <c r="L288" s="6"/>
      <c r="N288"/>
    </row>
    <row r="289" spans="12:14" x14ac:dyDescent="0.2">
      <c r="L289" s="6"/>
      <c r="N289"/>
    </row>
    <row r="290" spans="12:14" x14ac:dyDescent="0.2">
      <c r="L290" s="6"/>
      <c r="N290"/>
    </row>
    <row r="291" spans="12:14" x14ac:dyDescent="0.2">
      <c r="L291" s="6"/>
      <c r="N291"/>
    </row>
    <row r="292" spans="12:14" x14ac:dyDescent="0.2">
      <c r="L292" s="6"/>
      <c r="N292"/>
    </row>
    <row r="293" spans="12:14" x14ac:dyDescent="0.2">
      <c r="L293" s="6"/>
      <c r="N293"/>
    </row>
    <row r="294" spans="12:14" x14ac:dyDescent="0.2">
      <c r="L294" s="6"/>
      <c r="N294"/>
    </row>
    <row r="295" spans="12:14" x14ac:dyDescent="0.2">
      <c r="L295" s="6"/>
      <c r="N295"/>
    </row>
    <row r="296" spans="12:14" x14ac:dyDescent="0.2">
      <c r="L296" s="6"/>
      <c r="N296"/>
    </row>
    <row r="297" spans="12:14" x14ac:dyDescent="0.2">
      <c r="L297" s="6"/>
      <c r="N297"/>
    </row>
    <row r="298" spans="12:14" x14ac:dyDescent="0.2">
      <c r="L298" s="6"/>
      <c r="N298"/>
    </row>
    <row r="299" spans="12:14" x14ac:dyDescent="0.2">
      <c r="L299" s="6"/>
      <c r="N299"/>
    </row>
    <row r="300" spans="12:14" x14ac:dyDescent="0.2">
      <c r="L300" s="6"/>
      <c r="N300"/>
    </row>
    <row r="301" spans="12:14" x14ac:dyDescent="0.2">
      <c r="L301" s="6"/>
      <c r="N301"/>
    </row>
    <row r="302" spans="12:14" x14ac:dyDescent="0.2">
      <c r="L302" s="6"/>
      <c r="N302"/>
    </row>
    <row r="303" spans="12:14" x14ac:dyDescent="0.2">
      <c r="L303" s="6"/>
      <c r="N303"/>
    </row>
    <row r="304" spans="12:14" x14ac:dyDescent="0.2">
      <c r="L304" s="6"/>
      <c r="N304"/>
    </row>
    <row r="305" spans="12:14" x14ac:dyDescent="0.2">
      <c r="L305" s="6"/>
      <c r="N305"/>
    </row>
    <row r="306" spans="12:14" x14ac:dyDescent="0.2">
      <c r="L306" s="6"/>
      <c r="N306"/>
    </row>
  </sheetData>
  <mergeCells count="4">
    <mergeCell ref="Y3:Z3"/>
    <mergeCell ref="U3:X3"/>
    <mergeCell ref="B42:B48"/>
    <mergeCell ref="B40:C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Competitors</vt:lpstr>
      <vt:lpstr>Restructuration cap</vt:lpstr>
      <vt:lpstr>CAPEX</vt:lpstr>
      <vt:lpstr>Coverage ratios</vt:lpstr>
      <vt:lpstr>Leverage and Restructuration</vt:lpstr>
      <vt:lpstr>NWC</vt:lpstr>
      <vt:lpstr>Rates</vt:lpstr>
      <vt:lpstr>APV CALCULATION </vt:lpstr>
      <vt:lpstr>Sensitivity Analysis</vt:lpstr>
      <vt:lpstr>WACC CALCULATION</vt:lpstr>
      <vt:lpstr>Risk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Elyes</dc:creator>
  <cp:lastModifiedBy>Elyes Mahjoubi</cp:lastModifiedBy>
  <dcterms:created xsi:type="dcterms:W3CDTF">2019-11-30T08:52:54Z</dcterms:created>
  <dcterms:modified xsi:type="dcterms:W3CDTF">2021-11-10T10:20:38Z</dcterms:modified>
</cp:coreProperties>
</file>