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66925"/>
  <mc:AlternateContent xmlns:mc="http://schemas.openxmlformats.org/markup-compatibility/2006">
    <mc:Choice Requires="x15">
      <x15ac:absPath xmlns:x15ac="http://schemas.microsoft.com/office/spreadsheetml/2010/11/ac" url="/Users/emdoughty/Dropbox/Code/"/>
    </mc:Choice>
  </mc:AlternateContent>
  <xr:revisionPtr revIDLastSave="0" documentId="13_ncr:1_{5ED320A1-C97D-DC47-A49E-B295AED1C897}" xr6:coauthVersionLast="47" xr6:coauthVersionMax="47" xr10:uidLastSave="{00000000-0000-0000-0000-000000000000}"/>
  <bookViews>
    <workbookView xWindow="0" yWindow="460" windowWidth="33600" windowHeight="19380" activeTab="2" xr2:uid="{00000000-000D-0000-FFFF-FFFF00000000}"/>
  </bookViews>
  <sheets>
    <sheet name="Species List" sheetId="1" r:id="rId1"/>
    <sheet name="Synonyms" sheetId="2" r:id="rId2"/>
    <sheet name="ArchaicUngulate_UploadFile_2021"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78" i="3" l="1"/>
  <c r="BG727" i="3"/>
  <c r="BF727" i="3"/>
  <c r="BE727" i="3"/>
  <c r="BB727" i="3"/>
  <c r="BA727" i="3"/>
  <c r="AY727" i="3"/>
  <c r="AX727" i="3"/>
  <c r="AW727" i="3"/>
  <c r="AP727" i="3"/>
  <c r="AO727" i="3"/>
  <c r="AL727" i="3"/>
  <c r="AK727" i="3"/>
  <c r="AJ727" i="3"/>
  <c r="AG727" i="3"/>
  <c r="AF727" i="3"/>
  <c r="AC727" i="3"/>
  <c r="AB727" i="3"/>
  <c r="Y727" i="3"/>
  <c r="X727" i="3"/>
  <c r="U727" i="3"/>
  <c r="T727" i="3"/>
  <c r="Q727" i="3"/>
  <c r="BA722" i="3"/>
  <c r="AW722" i="3"/>
  <c r="AR694" i="3"/>
  <c r="AO694" i="3"/>
  <c r="BH692" i="3"/>
  <c r="BE692" i="3"/>
  <c r="BD692" i="3"/>
  <c r="BA692" i="3"/>
  <c r="AZ692" i="3"/>
  <c r="AW692" i="3"/>
  <c r="AV692" i="3"/>
  <c r="AS692" i="3"/>
  <c r="AR692" i="3"/>
  <c r="AO692" i="3"/>
  <c r="AN692" i="3"/>
  <c r="AK692" i="3"/>
  <c r="AJ692" i="3"/>
  <c r="AG692" i="3"/>
  <c r="AB692" i="3"/>
  <c r="Y692" i="3"/>
  <c r="AF685" i="3"/>
  <c r="AC685" i="3"/>
  <c r="BH662" i="3"/>
  <c r="BH661" i="3"/>
  <c r="BE661" i="3"/>
  <c r="BD661" i="3"/>
  <c r="BA661" i="3"/>
  <c r="BH643" i="3"/>
  <c r="AF643" i="3"/>
  <c r="AC643" i="3"/>
  <c r="AG622" i="3"/>
  <c r="AF622" i="3"/>
  <c r="AC622" i="3"/>
  <c r="BG586" i="3" l="1"/>
  <c r="BF586" i="3"/>
  <c r="BE586" i="3"/>
  <c r="BH578" i="3"/>
  <c r="BE578" i="3"/>
  <c r="AV578" i="3"/>
  <c r="AS578" i="3"/>
  <c r="AJ578" i="3"/>
  <c r="AG578" i="3"/>
  <c r="AB578" i="3"/>
  <c r="T578" i="3"/>
  <c r="Q578" i="3"/>
  <c r="AE551" i="3"/>
  <c r="AD551" i="3"/>
  <c r="AC551" i="3"/>
  <c r="AA551" i="3"/>
  <c r="Z551" i="3"/>
  <c r="Y551" i="3"/>
  <c r="X551" i="3"/>
  <c r="U551" i="3"/>
  <c r="BD550" i="3"/>
  <c r="AZ550" i="3"/>
  <c r="BD549" i="3"/>
  <c r="AZ549" i="3"/>
  <c r="BC531" i="3"/>
  <c r="BB531" i="3"/>
  <c r="BA531" i="3"/>
  <c r="AF479" i="3"/>
  <c r="AC479" i="3"/>
  <c r="AB479" i="3"/>
  <c r="Y479" i="3"/>
  <c r="BD468" i="3"/>
  <c r="AZ468" i="3"/>
  <c r="BD459" i="3"/>
  <c r="AZ459" i="3"/>
  <c r="BD458" i="3"/>
  <c r="AZ458" i="3"/>
  <c r="BD447" i="3"/>
  <c r="AZ447" i="3"/>
  <c r="AG440" i="3"/>
  <c r="AC440" i="3" s="1"/>
  <c r="Y440" i="3"/>
  <c r="U440" i="3"/>
  <c r="BD393" i="3"/>
  <c r="AZ393" i="3"/>
  <c r="BD392" i="3"/>
  <c r="AZ392" i="3"/>
  <c r="AF372" i="3"/>
  <c r="AC372" i="3"/>
  <c r="X372" i="3"/>
  <c r="U372" i="3"/>
  <c r="BD339" i="3"/>
  <c r="AZ339" i="3"/>
  <c r="BD338" i="3"/>
  <c r="AZ338" i="3"/>
  <c r="BD315" i="3"/>
  <c r="AZ315" i="3"/>
  <c r="BD314" i="3"/>
  <c r="AZ314" i="3"/>
  <c r="AC278" i="3"/>
  <c r="AJ276" i="3"/>
  <c r="AG276" i="3"/>
  <c r="AF276" i="3"/>
  <c r="AC276" i="3"/>
  <c r="AW269" i="3"/>
  <c r="BD243" i="3"/>
  <c r="BA243" i="3"/>
  <c r="BD227" i="3"/>
  <c r="AZ227" i="3"/>
  <c r="BD226" i="3"/>
  <c r="AZ226" i="3"/>
  <c r="BH222" i="3"/>
  <c r="BG222" i="3"/>
  <c r="BF222" i="3"/>
  <c r="BE222" i="3"/>
  <c r="AJ181" i="3"/>
  <c r="AG181" i="3"/>
  <c r="AF181" i="3"/>
  <c r="AC181" i="3"/>
  <c r="AB181" i="3"/>
  <c r="Y181" i="3"/>
  <c r="X181" i="3"/>
  <c r="U181" i="3"/>
  <c r="AF180" i="3"/>
  <c r="AC180" i="3"/>
  <c r="AF165" i="3"/>
  <c r="AC165" i="3"/>
  <c r="AF164" i="3"/>
  <c r="AC164" i="3"/>
  <c r="AJ161" i="3"/>
  <c r="AG161" i="3"/>
  <c r="AF161" i="3"/>
  <c r="AC161" i="3"/>
  <c r="AB161" i="3"/>
  <c r="Y161" i="3"/>
  <c r="X161" i="3"/>
  <c r="U161" i="3"/>
  <c r="T161" i="3"/>
  <c r="Q161" i="3"/>
  <c r="BG151" i="3"/>
  <c r="BF151" i="3"/>
  <c r="BE151" i="3"/>
  <c r="BC151" i="3"/>
  <c r="BB151" i="3"/>
  <c r="BA151" i="3"/>
  <c r="AY151" i="3"/>
  <c r="AX151" i="3"/>
  <c r="AW151" i="3"/>
  <c r="AV151" i="3"/>
  <c r="AS151" i="3"/>
  <c r="BC149" i="3"/>
  <c r="BB149" i="3"/>
  <c r="BA149" i="3"/>
  <c r="AY149" i="3"/>
  <c r="AX149" i="3"/>
  <c r="AW149" i="3"/>
  <c r="AV138" i="3"/>
  <c r="AS138" i="3"/>
  <c r="AB114" i="3"/>
  <c r="Y114" i="3"/>
  <c r="AY111" i="3"/>
  <c r="AX111" i="3"/>
  <c r="AW111" i="3"/>
  <c r="BG104" i="3"/>
  <c r="BF104" i="3"/>
  <c r="BE104" i="3"/>
  <c r="BG102" i="3"/>
  <c r="BF102" i="3"/>
  <c r="BE102" i="3"/>
  <c r="BC102" i="3"/>
  <c r="BB102" i="3"/>
  <c r="BA102" i="3"/>
  <c r="AY102" i="3"/>
  <c r="AX102" i="3"/>
  <c r="AW102" i="3"/>
  <c r="AV102" i="3"/>
  <c r="AS102" i="3"/>
  <c r="AF94" i="3"/>
  <c r="AC94" i="3"/>
  <c r="AB94" i="3"/>
  <c r="Y94" i="3"/>
  <c r="AJ91" i="3"/>
  <c r="AG91" i="3"/>
  <c r="BD54" i="3"/>
  <c r="AZ54" i="3"/>
  <c r="BD53" i="3"/>
  <c r="AZ53" i="3"/>
  <c r="BH102" i="3" l="1"/>
  <c r="BD151" i="3"/>
  <c r="AF551" i="3"/>
  <c r="BH151" i="3"/>
  <c r="BD102" i="3"/>
  <c r="AZ149" i="3"/>
  <c r="AZ151" i="3"/>
  <c r="AZ111" i="3"/>
  <c r="BH104" i="3"/>
  <c r="AZ102" i="3"/>
  <c r="AB551" i="3"/>
  <c r="BD149" i="3"/>
</calcChain>
</file>

<file path=xl/sharedStrings.xml><?xml version="1.0" encoding="utf-8"?>
<sst xmlns="http://schemas.openxmlformats.org/spreadsheetml/2006/main" count="9348" uniqueCount="1234">
  <si>
    <t>Order</t>
  </si>
  <si>
    <t>Suborder</t>
  </si>
  <si>
    <t>Family</t>
  </si>
  <si>
    <t>Subfamily</t>
  </si>
  <si>
    <t>Accepted Genus</t>
  </si>
  <si>
    <t>Accepted Species</t>
  </si>
  <si>
    <t>Old Genus</t>
  </si>
  <si>
    <t>Old Species</t>
  </si>
  <si>
    <t>Combination</t>
  </si>
  <si>
    <t>Note</t>
  </si>
  <si>
    <t>Ungulata</t>
  </si>
  <si>
    <t>Condylartha</t>
  </si>
  <si>
    <t>Chriacidae</t>
  </si>
  <si>
    <t>Prothryptacodon</t>
  </si>
  <si>
    <t>albertensis</t>
  </si>
  <si>
    <t>ambiguus</t>
  </si>
  <si>
    <t>furens</t>
  </si>
  <si>
    <t>hilli</t>
  </si>
  <si>
    <t>Hyposodontidae</t>
  </si>
  <si>
    <t>Bubogonia</t>
  </si>
  <si>
    <t>bombadili</t>
  </si>
  <si>
    <t>saskia</t>
  </si>
  <si>
    <t>Chacomylus</t>
  </si>
  <si>
    <t>sladei</t>
  </si>
  <si>
    <t>Choercoclaenus</t>
  </si>
  <si>
    <t>turgidunculus</t>
  </si>
  <si>
    <t>Hyopsodus</t>
  </si>
  <si>
    <t>fastigatus</t>
  </si>
  <si>
    <t>latidens</t>
  </si>
  <si>
    <t>lepidus</t>
  </si>
  <si>
    <t>loomisi</t>
  </si>
  <si>
    <t>lysitensis</t>
  </si>
  <si>
    <t>markmani</t>
  </si>
  <si>
    <t>no distribution in Pbdb</t>
  </si>
  <si>
    <t>mentalis</t>
  </si>
  <si>
    <t>minor</t>
  </si>
  <si>
    <t>minusculus</t>
  </si>
  <si>
    <t>miticulus</t>
  </si>
  <si>
    <t>paulus</t>
  </si>
  <si>
    <t>pauxillus</t>
  </si>
  <si>
    <t>powellianus</t>
  </si>
  <si>
    <t>pygmaeus</t>
  </si>
  <si>
    <t>sholemi</t>
  </si>
  <si>
    <t>simplex</t>
  </si>
  <si>
    <t>tonksi</t>
  </si>
  <si>
    <t>uintensis</t>
  </si>
  <si>
    <t>walcottianus</t>
  </si>
  <si>
    <t>wortmani</t>
  </si>
  <si>
    <t>Litaletes</t>
  </si>
  <si>
    <t>disjunctus</t>
  </si>
  <si>
    <t>gazani</t>
  </si>
  <si>
    <t>ondolinde</t>
  </si>
  <si>
    <t>Mioclaeninae</t>
  </si>
  <si>
    <t>Ellipsodon</t>
  </si>
  <si>
    <t>grangeri</t>
  </si>
  <si>
    <t>inaequidens</t>
  </si>
  <si>
    <t>lemuroides</t>
  </si>
  <si>
    <t>sternbergi</t>
  </si>
  <si>
    <t>yotankae</t>
  </si>
  <si>
    <t>Palaisodon</t>
  </si>
  <si>
    <t>sp.</t>
  </si>
  <si>
    <t>Bomburia</t>
  </si>
  <si>
    <t>type Ellipsodon priscus or Plarymastus palantir</t>
  </si>
  <si>
    <t>Mioclaenus</t>
  </si>
  <si>
    <t>baldwini</t>
  </si>
  <si>
    <t>mandibularis</t>
  </si>
  <si>
    <t>opisthacus</t>
  </si>
  <si>
    <t>turgidus</t>
  </si>
  <si>
    <t>zittelianus</t>
  </si>
  <si>
    <t>Pleuraspidotheriinae</t>
  </si>
  <si>
    <t>Promioclaenus</t>
  </si>
  <si>
    <t>acolytus</t>
  </si>
  <si>
    <t>pipiringosi</t>
  </si>
  <si>
    <t>thnetus</t>
  </si>
  <si>
    <t>Protoselene</t>
  </si>
  <si>
    <t>griphus</t>
  </si>
  <si>
    <t>novissimus</t>
  </si>
  <si>
    <t>Tiznatzinia</t>
  </si>
  <si>
    <t>vanderhoofi</t>
  </si>
  <si>
    <t>Valenia</t>
  </si>
  <si>
    <t>wilsoni</t>
  </si>
  <si>
    <t>Bomburodon</t>
  </si>
  <si>
    <t>priscus</t>
  </si>
  <si>
    <t>no higher taxon assignment</t>
  </si>
  <si>
    <t>valid</t>
  </si>
  <si>
    <t>Oxyprimus</t>
  </si>
  <si>
    <t>alternative</t>
  </si>
  <si>
    <t>Pantinomia</t>
  </si>
  <si>
    <t>ambigua</t>
  </si>
  <si>
    <t>Oxyacodon</t>
  </si>
  <si>
    <t>Antiocodon</t>
  </si>
  <si>
    <t>Sarcolemur</t>
  </si>
  <si>
    <t>lemoinianus</t>
  </si>
  <si>
    <t>synonym</t>
  </si>
  <si>
    <t>Esthonyx</t>
  </si>
  <si>
    <t>despiciens</t>
  </si>
  <si>
    <t>marshi</t>
  </si>
  <si>
    <t>rarus</t>
  </si>
  <si>
    <t>Lemuravus</t>
  </si>
  <si>
    <t>distans</t>
  </si>
  <si>
    <t>Stenacodon</t>
  </si>
  <si>
    <t>browni</t>
  </si>
  <si>
    <t>jacksoni</t>
  </si>
  <si>
    <t>lawsoni</t>
  </si>
  <si>
    <t>witkoi</t>
  </si>
  <si>
    <t>Tricentes</t>
  </si>
  <si>
    <t>shepherdi</t>
  </si>
  <si>
    <t>Jepsenia</t>
  </si>
  <si>
    <t>mantiensis</t>
  </si>
  <si>
    <t>prisca</t>
  </si>
  <si>
    <t>Platymastus</t>
  </si>
  <si>
    <t>palantir</t>
  </si>
  <si>
    <t>Hemithlaeus</t>
  </si>
  <si>
    <t>opisthaca</t>
  </si>
  <si>
    <t>lydekkerianus</t>
  </si>
  <si>
    <t>Protogonodon</t>
  </si>
  <si>
    <t>aquilonius</t>
  </si>
  <si>
    <t>minimus</t>
  </si>
  <si>
    <t>Dracoclaenus</t>
  </si>
  <si>
    <t>Specimen #</t>
  </si>
  <si>
    <t>Verbatim Genus</t>
  </si>
  <si>
    <t xml:space="preserve"> Verbatim Species</t>
  </si>
  <si>
    <t>NALMA</t>
  </si>
  <si>
    <t>State</t>
  </si>
  <si>
    <t>Locality</t>
  </si>
  <si>
    <t>P2_L</t>
  </si>
  <si>
    <t>P2_W</t>
  </si>
  <si>
    <t>P3_L</t>
  </si>
  <si>
    <t>P3_W</t>
  </si>
  <si>
    <t>P4_L</t>
  </si>
  <si>
    <t>P4_W</t>
  </si>
  <si>
    <t>M1_L</t>
  </si>
  <si>
    <t>M1_W</t>
  </si>
  <si>
    <t>M2_L</t>
  </si>
  <si>
    <t>M2_W</t>
  </si>
  <si>
    <t>M3_L</t>
  </si>
  <si>
    <t>M3_W</t>
  </si>
  <si>
    <t>p2_l</t>
  </si>
  <si>
    <t>p2_w</t>
  </si>
  <si>
    <t>p3_l</t>
  </si>
  <si>
    <t>p3_w</t>
  </si>
  <si>
    <t>p4_l</t>
  </si>
  <si>
    <t>p4_w</t>
  </si>
  <si>
    <t>m1_l</t>
  </si>
  <si>
    <t>m1_w</t>
  </si>
  <si>
    <t>m2_l</t>
  </si>
  <si>
    <t>m2_w</t>
  </si>
  <si>
    <t>m3_l</t>
  </si>
  <si>
    <t>m3_w</t>
  </si>
  <si>
    <t>p4_a</t>
  </si>
  <si>
    <t>m1_a</t>
  </si>
  <si>
    <t>m2_a</t>
  </si>
  <si>
    <t>m3_a</t>
  </si>
  <si>
    <t>M1_A</t>
  </si>
  <si>
    <t>M2_A</t>
  </si>
  <si>
    <t>M3_A</t>
  </si>
  <si>
    <t>Comments</t>
  </si>
  <si>
    <t>Recorded by</t>
  </si>
  <si>
    <t>Source</t>
  </si>
  <si>
    <t>Image from paper</t>
  </si>
  <si>
    <t>Image Source</t>
  </si>
  <si>
    <t>Image from Coll. Website</t>
  </si>
  <si>
    <t>Coll. Image Source</t>
  </si>
  <si>
    <t>UALVP 44169</t>
  </si>
  <si>
    <t>Oxyclaeninae</t>
  </si>
  <si>
    <t>Alberta</t>
  </si>
  <si>
    <t>Evan</t>
  </si>
  <si>
    <t>Scott 2003</t>
  </si>
  <si>
    <t>UALVP 44170</t>
  </si>
  <si>
    <t>UALVP 44171</t>
  </si>
  <si>
    <t>UALVP 44172</t>
  </si>
  <si>
    <t>UALVP 44168</t>
  </si>
  <si>
    <t>Arctocyonidae</t>
  </si>
  <si>
    <t>Chriacus</t>
  </si>
  <si>
    <t>"Chriacus"</t>
  </si>
  <si>
    <t>UALVP 44173</t>
  </si>
  <si>
    <t>Arctocyoninae</t>
  </si>
  <si>
    <t>Colpoclaenus</t>
  </si>
  <si>
    <t>procyonoides</t>
  </si>
  <si>
    <t>UALVP 44176</t>
  </si>
  <si>
    <t>cf. acolytus</t>
  </si>
  <si>
    <t>Y</t>
  </si>
  <si>
    <t>UALVP 44177</t>
  </si>
  <si>
    <t>no distinct measurement; in the average</t>
  </si>
  <si>
    <t>UALVP 44178</t>
  </si>
  <si>
    <t>UALVP 44179</t>
  </si>
  <si>
    <t>UALVP 44180</t>
  </si>
  <si>
    <t>UALVP 44181</t>
  </si>
  <si>
    <t>UALVP 44182</t>
  </si>
  <si>
    <t>UALVP multiple specimens</t>
  </si>
  <si>
    <t>averages of  UALVP 44177-44183</t>
  </si>
  <si>
    <t>UALVP 44174</t>
  </si>
  <si>
    <t>Litomylus</t>
  </si>
  <si>
    <t>Scott 2002</t>
  </si>
  <si>
    <t>UALVP 44183</t>
  </si>
  <si>
    <t>AMNH 35987</t>
  </si>
  <si>
    <t>gorgun</t>
  </si>
  <si>
    <t>Van Valen 1978</t>
  </si>
  <si>
    <t>UM VP1456</t>
  </si>
  <si>
    <t>sloani</t>
  </si>
  <si>
    <t>jaw has m1-m3 but only m2 measurments provided</t>
  </si>
  <si>
    <t>UM VP1561</t>
  </si>
  <si>
    <t>erikseni</t>
  </si>
  <si>
    <t>PU 16866</t>
  </si>
  <si>
    <t>galadrielae</t>
  </si>
  <si>
    <t>PU 16704</t>
  </si>
  <si>
    <t>putorius</t>
  </si>
  <si>
    <t>have some error on measurement</t>
  </si>
  <si>
    <t>type</t>
  </si>
  <si>
    <t>concise taxon reassignment</t>
  </si>
  <si>
    <t>AMNH 102161</t>
  </si>
  <si>
    <t>Deltatherium</t>
  </si>
  <si>
    <t>durini</t>
  </si>
  <si>
    <t>UM VP1472</t>
  </si>
  <si>
    <t>calenancus</t>
  </si>
  <si>
    <t>PU 13949</t>
  </si>
  <si>
    <t>katrinae</t>
  </si>
  <si>
    <t>Van Valen 1978/Jepson 1930</t>
  </si>
  <si>
    <t>oconostotae</t>
  </si>
  <si>
    <t>AMNH 17194</t>
  </si>
  <si>
    <t>metocometi</t>
  </si>
  <si>
    <t>UM VP1473</t>
  </si>
  <si>
    <t>Thangorodrim</t>
  </si>
  <si>
    <t>thalion</t>
  </si>
  <si>
    <t>PU 17406</t>
  </si>
  <si>
    <t>Arctocyonides</t>
  </si>
  <si>
    <t>montanensis</t>
  </si>
  <si>
    <t>AMNH 35983</t>
  </si>
  <si>
    <t>Ragnarok</t>
  </si>
  <si>
    <t>harbichti</t>
  </si>
  <si>
    <t>PU 17304</t>
  </si>
  <si>
    <t>nordicum</t>
  </si>
  <si>
    <t>AMNH 58034</t>
  </si>
  <si>
    <t>AMNH 56293</t>
  </si>
  <si>
    <t>mellon</t>
  </si>
  <si>
    <t>M1 or M2</t>
  </si>
  <si>
    <t>AMNH 58219</t>
  </si>
  <si>
    <t>Mimotricentes</t>
  </si>
  <si>
    <t>mirielae</t>
  </si>
  <si>
    <t>AMNH 23177</t>
  </si>
  <si>
    <t>Desmatoclaenus</t>
  </si>
  <si>
    <t>dianae</t>
  </si>
  <si>
    <t>UCMP 114308</t>
  </si>
  <si>
    <t>mearae</t>
  </si>
  <si>
    <t>AMNH 17078</t>
  </si>
  <si>
    <t>Deuterogonodon</t>
  </si>
  <si>
    <t>PU 13290</t>
  </si>
  <si>
    <t>Triisodontinae</t>
  </si>
  <si>
    <t>Eoconodon</t>
  </si>
  <si>
    <t>copanus</t>
  </si>
  <si>
    <t>UM VP1471</t>
  </si>
  <si>
    <t>nidhoggi</t>
  </si>
  <si>
    <t>UCMP 47254</t>
  </si>
  <si>
    <t>Goniacodon</t>
  </si>
  <si>
    <t>hiawathae</t>
  </si>
  <si>
    <t>Utah</t>
  </si>
  <si>
    <t>KU 9446</t>
  </si>
  <si>
    <t>PU 17479</t>
  </si>
  <si>
    <t>ACM 6359</t>
  </si>
  <si>
    <t>AMNH 811a</t>
  </si>
  <si>
    <t>NMNH 23285</t>
  </si>
  <si>
    <t>UM 2050</t>
  </si>
  <si>
    <t>Haplaletes</t>
  </si>
  <si>
    <t>andakupensis</t>
  </si>
  <si>
    <t>AMNH 16039</t>
  </si>
  <si>
    <t>osceolae</t>
  </si>
  <si>
    <t>AMNH 16720</t>
  </si>
  <si>
    <t>aequidens</t>
  </si>
  <si>
    <t>ROM 05631</t>
  </si>
  <si>
    <t>?Litomylus</t>
  </si>
  <si>
    <t>alphamon</t>
  </si>
  <si>
    <t>AMNH 56326</t>
  </si>
  <si>
    <t>gallinae</t>
  </si>
  <si>
    <t>Delson 1971</t>
  </si>
  <si>
    <t>AMNH 56327</t>
  </si>
  <si>
    <t>AMNH 48006</t>
  </si>
  <si>
    <t>Hyopsodontinae</t>
  </si>
  <si>
    <t>Haplomylus</t>
  </si>
  <si>
    <t>speirianus</t>
  </si>
  <si>
    <t>Powder River Basin</t>
  </si>
  <si>
    <t>average for multiple specimens</t>
  </si>
  <si>
    <t>ED</t>
  </si>
  <si>
    <t>Bighorn and Clark Fork Basin</t>
  </si>
  <si>
    <t>Four Mile</t>
  </si>
  <si>
    <t>some specimens in McKenna 1960l p 105</t>
  </si>
  <si>
    <t>AMNH 80034</t>
  </si>
  <si>
    <t>cf. miticulus</t>
  </si>
  <si>
    <t>only provides P4-M3=13.65; P4-M2=11; M1-3=10.1; M1-2 8mm; M2-M3=6.75mm</t>
  </si>
  <si>
    <t>AMNH 15849</t>
  </si>
  <si>
    <t>Apheliscinae</t>
  </si>
  <si>
    <t>Apheliscus</t>
  </si>
  <si>
    <t>nitidus</t>
  </si>
  <si>
    <t>AMNH 16935</t>
  </si>
  <si>
    <t>AMNH 56329</t>
  </si>
  <si>
    <t>Tillodontia</t>
  </si>
  <si>
    <t>Esthonychinae</t>
  </si>
  <si>
    <t>bisulcatus</t>
  </si>
  <si>
    <t>Clark fork Basin</t>
  </si>
  <si>
    <t>Gray Bull of Elk Creek</t>
  </si>
  <si>
    <t>Zonnevelf etal 2000</t>
  </si>
  <si>
    <t>UM 98665</t>
  </si>
  <si>
    <t>Hyopsodontidae</t>
  </si>
  <si>
    <t>UM 100020</t>
  </si>
  <si>
    <t>UM 100030</t>
  </si>
  <si>
    <t>UM 101156</t>
  </si>
  <si>
    <t>UM 101157</t>
  </si>
  <si>
    <t>UM 103913</t>
  </si>
  <si>
    <t>reported as penultimate molar</t>
  </si>
  <si>
    <t>Cope 1871 Descriptions of Some New Vertebrata</t>
  </si>
  <si>
    <t>meridionalis</t>
  </si>
  <si>
    <t>CM 70403</t>
  </si>
  <si>
    <t>CM 67871</t>
  </si>
  <si>
    <t>Beard and Dawson 2009</t>
  </si>
  <si>
    <t>UM 87354</t>
  </si>
  <si>
    <t>spatularius</t>
  </si>
  <si>
    <t>Gingerich 1989</t>
  </si>
  <si>
    <t>UM 83874</t>
  </si>
  <si>
    <t>Azygonyx</t>
  </si>
  <si>
    <t>gunnelli</t>
  </si>
  <si>
    <t>species average</t>
  </si>
  <si>
    <t>SPS M 62-2028</t>
  </si>
  <si>
    <t>donnae</t>
  </si>
  <si>
    <t>de Muizon and Cifelli 2000</t>
  </si>
  <si>
    <t>UC 100894</t>
  </si>
  <si>
    <t>P2_TrigW</t>
  </si>
  <si>
    <t>P2_TalW</t>
  </si>
  <si>
    <t>P3_TrigW</t>
  </si>
  <si>
    <t>P3_TalW</t>
  </si>
  <si>
    <t>P4_TrigW</t>
  </si>
  <si>
    <t>P4_TalW</t>
  </si>
  <si>
    <t>M1_TrigW</t>
  </si>
  <si>
    <t>M1_TalW</t>
  </si>
  <si>
    <t>M2_TrigW</t>
  </si>
  <si>
    <t>M2_TalW</t>
  </si>
  <si>
    <t>M3_TrigW</t>
  </si>
  <si>
    <t>M3_TalW</t>
  </si>
  <si>
    <t>p2_Trigw</t>
  </si>
  <si>
    <t>p2_Talw</t>
  </si>
  <si>
    <t>p3_Trigw</t>
  </si>
  <si>
    <t>p3_Talw</t>
  </si>
  <si>
    <t>p4_Trigw</t>
  </si>
  <si>
    <t>p4_Talw</t>
  </si>
  <si>
    <t>m1_Trigw</t>
  </si>
  <si>
    <t>m1_Talw</t>
  </si>
  <si>
    <t>m2_Trigw</t>
  </si>
  <si>
    <t>m2_Talw</t>
  </si>
  <si>
    <t>m3_Trigw</t>
  </si>
  <si>
    <t>m3_Talw</t>
  </si>
  <si>
    <t>PU 16720</t>
  </si>
  <si>
    <t>PU 14475</t>
  </si>
  <si>
    <t>PU 16863</t>
  </si>
  <si>
    <t>PU 16712</t>
  </si>
  <si>
    <t>PU 14453</t>
  </si>
  <si>
    <t>minuial</t>
  </si>
  <si>
    <t>species mean</t>
  </si>
  <si>
    <t>AMNH 35874</t>
  </si>
  <si>
    <t>disceptatrix</t>
  </si>
  <si>
    <t>USNM 9500</t>
  </si>
  <si>
    <t>USNM 15465</t>
  </si>
  <si>
    <t>AMNH 16402</t>
  </si>
  <si>
    <t>USNM 21008</t>
  </si>
  <si>
    <t>KU 7852</t>
  </si>
  <si>
    <t>AMNH 16614</t>
  </si>
  <si>
    <t>PU 14172</t>
  </si>
  <si>
    <t>Mimatuta</t>
  </si>
  <si>
    <t>UA 15105</t>
  </si>
  <si>
    <t>need tp check m3 measures since lines are not aligned right in table 12</t>
  </si>
  <si>
    <t>Thryptacodon</t>
  </si>
  <si>
    <t>olseni</t>
  </si>
  <si>
    <t>antiquus</t>
  </si>
  <si>
    <t>Matthew and Granger 1915</t>
  </si>
  <si>
    <t>Yes</t>
  </si>
  <si>
    <t>AMNH 15252</t>
  </si>
  <si>
    <t>AMNH 16162</t>
  </si>
  <si>
    <t>AMNH 16223</t>
  </si>
  <si>
    <t>AMNH 16781</t>
  </si>
  <si>
    <t>ursidens</t>
  </si>
  <si>
    <t>AMNH 15638</t>
  </si>
  <si>
    <t>cultridens</t>
  </si>
  <si>
    <t>UM 83461</t>
  </si>
  <si>
    <t>barae</t>
  </si>
  <si>
    <t>UM 83572</t>
  </si>
  <si>
    <t>badgleyi</t>
  </si>
  <si>
    <t>UM 88160</t>
  </si>
  <si>
    <t>UM 85669</t>
  </si>
  <si>
    <t>Princetonia</t>
  </si>
  <si>
    <t>yalensis</t>
  </si>
  <si>
    <t>p4 iws approximate</t>
  </si>
  <si>
    <t>YPM-PU 23629</t>
  </si>
  <si>
    <t>Scott 2013</t>
  </si>
  <si>
    <t>TMP 2010.095.0020</t>
  </si>
  <si>
    <t>TMP 2010.095.0019</t>
  </si>
  <si>
    <t>TMP 2011.091.0001</t>
  </si>
  <si>
    <t>TMP 2010.095.0018</t>
  </si>
  <si>
    <t>TMP 2010.097.0152</t>
  </si>
  <si>
    <t>TMP 2011.090.0246</t>
  </si>
  <si>
    <t>TMP 2011.090.0131</t>
  </si>
  <si>
    <t>TMP 2011.090.0309</t>
  </si>
  <si>
    <t>TMP 2011.090.0219</t>
  </si>
  <si>
    <t>approx width on M2</t>
  </si>
  <si>
    <t>TMP 2011.090.0310</t>
  </si>
  <si>
    <t>TMP 2011.090.0019</t>
  </si>
  <si>
    <t>TMP 2011.090.0049</t>
  </si>
  <si>
    <t>incomplete p3 but nio measures given</t>
  </si>
  <si>
    <t>TMP 2011.090.0238</t>
  </si>
  <si>
    <t>TMP 2011.090.0258</t>
  </si>
  <si>
    <t>incomplete tooth</t>
  </si>
  <si>
    <t>TMP 2010.096.0012</t>
  </si>
  <si>
    <t>holotype</t>
  </si>
  <si>
    <t>AMNH 3268</t>
  </si>
  <si>
    <t>Claenodon</t>
  </si>
  <si>
    <t>ferox</t>
  </si>
  <si>
    <t>Simpson 1937</t>
  </si>
  <si>
    <t>AMNH 2456</t>
  </si>
  <si>
    <t>corrugatus</t>
  </si>
  <si>
    <t>neotype</t>
  </si>
  <si>
    <t>AMNH 16545</t>
  </si>
  <si>
    <t>AMNH 16001</t>
  </si>
  <si>
    <t>AMNH 3271</t>
  </si>
  <si>
    <t>AMNH 3266</t>
  </si>
  <si>
    <t>USNM 6156</t>
  </si>
  <si>
    <t>YPM 13755</t>
  </si>
  <si>
    <t>YPM 13756</t>
  </si>
  <si>
    <t>USNM 8362</t>
  </si>
  <si>
    <t>P3 and M2 measures not given despite being present; m1 width not given</t>
  </si>
  <si>
    <t>silberlingi</t>
  </si>
  <si>
    <t>USNM 8363</t>
  </si>
  <si>
    <t>P3-P4 present but not directly stated</t>
  </si>
  <si>
    <t>USNM 8388</t>
  </si>
  <si>
    <t>partial m1 present but intact m2 and m3</t>
  </si>
  <si>
    <t>USNM 13781</t>
  </si>
  <si>
    <t>vecordensis</t>
  </si>
  <si>
    <t>USNM 6160</t>
  </si>
  <si>
    <t>montanus</t>
  </si>
  <si>
    <t>M2 is partial</t>
  </si>
  <si>
    <t>paratype</t>
  </si>
  <si>
    <t>USNM 6161</t>
  </si>
  <si>
    <t>?Chriacus</t>
  </si>
  <si>
    <t>Metachriacus</t>
  </si>
  <si>
    <t>punitor</t>
  </si>
  <si>
    <t>provocator</t>
  </si>
  <si>
    <t>latrunculus</t>
  </si>
  <si>
    <t>angustidens</t>
  </si>
  <si>
    <t>USNM 9260</t>
  </si>
  <si>
    <t>USNM 9262</t>
  </si>
  <si>
    <t>USNM 13782</t>
  </si>
  <si>
    <t>pugnax</t>
  </si>
  <si>
    <t>m2 present but not measured</t>
  </si>
  <si>
    <t>USNM 9288</t>
  </si>
  <si>
    <t>USNM 9286</t>
  </si>
  <si>
    <t>USNM 9270</t>
  </si>
  <si>
    <t>USNM 9287</t>
  </si>
  <si>
    <t>USNM 9269</t>
  </si>
  <si>
    <t>USNM 9276</t>
  </si>
  <si>
    <t>USNM 9277</t>
  </si>
  <si>
    <t>USNM 9706</t>
  </si>
  <si>
    <t>USNM 9695</t>
  </si>
  <si>
    <t>YPM 13758</t>
  </si>
  <si>
    <t>USNM 9662</t>
  </si>
  <si>
    <t>USNM 6179</t>
  </si>
  <si>
    <t>USNM 9324</t>
  </si>
  <si>
    <t>USNM 9582</t>
  </si>
  <si>
    <t>USNM 9660</t>
  </si>
  <si>
    <t>dissentaneus</t>
  </si>
  <si>
    <t>USNM 9425</t>
  </si>
  <si>
    <t>USNM 9318</t>
  </si>
  <si>
    <t>USNM 9536</t>
  </si>
  <si>
    <t>USNM 9557</t>
  </si>
  <si>
    <t>USNM 9580</t>
  </si>
  <si>
    <t>USNM 9555</t>
  </si>
  <si>
    <t>USNM 9556</t>
  </si>
  <si>
    <t>Coriphagus</t>
  </si>
  <si>
    <t>TMP 2010.097.0004</t>
  </si>
  <si>
    <t>Arctocyon</t>
  </si>
  <si>
    <t>cf. furens</t>
  </si>
  <si>
    <t>TMP 2010.097.0115</t>
  </si>
  <si>
    <t>TMP 2011.090.0002</t>
  </si>
  <si>
    <t>TMP 2011.090.0008</t>
  </si>
  <si>
    <t>incomplete m1</t>
  </si>
  <si>
    <t>TMP 2010.097.0103</t>
  </si>
  <si>
    <t>Anisonchus</t>
  </si>
  <si>
    <t>sectorius</t>
  </si>
  <si>
    <t>Periptychidae</t>
  </si>
  <si>
    <t>Oxyclaenus</t>
  </si>
  <si>
    <t>lacunatus</t>
  </si>
  <si>
    <t>Anacodon</t>
  </si>
  <si>
    <t>Esthonychidae</t>
  </si>
  <si>
    <t>Choeroclaenus</t>
  </si>
  <si>
    <t>Viverravidae</t>
  </si>
  <si>
    <t>Carnivora</t>
  </si>
  <si>
    <t>noletil</t>
  </si>
  <si>
    <t>Triisodontidae</t>
  </si>
  <si>
    <t>Acreodi</t>
  </si>
  <si>
    <t>Macroscelidea</t>
  </si>
  <si>
    <t>Apheliscidae</t>
  </si>
  <si>
    <t>subtrigonus</t>
  </si>
  <si>
    <t>Loxolophus</t>
  </si>
  <si>
    <t>hyattianus</t>
  </si>
  <si>
    <t>Aletodon</t>
  </si>
  <si>
    <t>Baioconodon</t>
  </si>
  <si>
    <t>nordicus</t>
  </si>
  <si>
    <t>encinensis</t>
  </si>
  <si>
    <t>Pentacodontida</t>
  </si>
  <si>
    <t>Simpson 1935</t>
  </si>
  <si>
    <t>pusillus</t>
  </si>
  <si>
    <t>USNM 9278</t>
  </si>
  <si>
    <t>USNM 9280</t>
  </si>
  <si>
    <t>USNM 9323</t>
  </si>
  <si>
    <t>DMNH 44371</t>
  </si>
  <si>
    <t>Protungulatum</t>
  </si>
  <si>
    <t>Eberle 2003</t>
  </si>
  <si>
    <t>Protochriacus</t>
  </si>
  <si>
    <t>DMNH 2731</t>
  </si>
  <si>
    <t>DMNH 43197</t>
  </si>
  <si>
    <t>Loxophinae</t>
  </si>
  <si>
    <t>jeffersonensis</t>
  </si>
  <si>
    <t>DMNH 43208</t>
  </si>
  <si>
    <t>DMNH 43193</t>
  </si>
  <si>
    <t>DMNH 2501</t>
  </si>
  <si>
    <t>DMNH 43196</t>
  </si>
  <si>
    <t>denverensis</t>
  </si>
  <si>
    <t>DMNH 44362</t>
  </si>
  <si>
    <t>faulkneri</t>
  </si>
  <si>
    <t>USNM 16626</t>
  </si>
  <si>
    <t>Conacodon</t>
  </si>
  <si>
    <t>entoconus</t>
  </si>
  <si>
    <t>Haploconus</t>
  </si>
  <si>
    <t>DMNH 44369</t>
  </si>
  <si>
    <t>DMNH 44394</t>
  </si>
  <si>
    <t>UCM 87605</t>
  </si>
  <si>
    <t>DMNH 44393</t>
  </si>
  <si>
    <t>Ectoconus</t>
  </si>
  <si>
    <t>ditrigonus</t>
  </si>
  <si>
    <t>DMNH 44374</t>
  </si>
  <si>
    <t>Periptychus</t>
  </si>
  <si>
    <t>coarctatus</t>
  </si>
  <si>
    <t>DMNH 44372</t>
  </si>
  <si>
    <t>DMNH 44368</t>
  </si>
  <si>
    <t>DMNH 44395</t>
  </si>
  <si>
    <t>trigonid only</t>
  </si>
  <si>
    <t>UCM 95666</t>
  </si>
  <si>
    <t>UCM 87609</t>
  </si>
  <si>
    <t>OMNH 27682</t>
  </si>
  <si>
    <t>hermaeus</t>
  </si>
  <si>
    <t>Cifelli etal 1995</t>
  </si>
  <si>
    <t>OMNH 27679</t>
  </si>
  <si>
    <t>oligistus</t>
  </si>
  <si>
    <t>?oligistus</t>
  </si>
  <si>
    <t>estimated lengfht</t>
  </si>
  <si>
    <t>OMNH 27670</t>
  </si>
  <si>
    <t>elachistus</t>
  </si>
  <si>
    <t>OMNH 27713</t>
  </si>
  <si>
    <t>encrusted molar</t>
  </si>
  <si>
    <t>OMNH 27680</t>
  </si>
  <si>
    <t>OMNH 28111</t>
  </si>
  <si>
    <t>deciduosu P3 and P4 present but not added to this dataset</t>
  </si>
  <si>
    <t>NMMNH P-34804</t>
  </si>
  <si>
    <t>Williamson and Weil 2011</t>
  </si>
  <si>
    <t>widths are given as mesial and distal.  Will input as trigonid and talonid</t>
  </si>
  <si>
    <t>NMMNH P-34461</t>
  </si>
  <si>
    <t>NMMNH P-41208</t>
  </si>
  <si>
    <t>NMMNH P-51537</t>
  </si>
  <si>
    <t>NMMNH P-44353</t>
  </si>
  <si>
    <t>NMMNH P-34838</t>
  </si>
  <si>
    <t>reported as p3?</t>
  </si>
  <si>
    <t>NMMNH P-44345</t>
  </si>
  <si>
    <t>NMMNH P-55397</t>
  </si>
  <si>
    <t>Gingerichia</t>
  </si>
  <si>
    <t>geoteretes</t>
  </si>
  <si>
    <t>UM 83932</t>
  </si>
  <si>
    <t>Zack etal 2005</t>
  </si>
  <si>
    <t>UM 54888</t>
  </si>
  <si>
    <t>UM 83933</t>
  </si>
  <si>
    <t>UM 83934</t>
  </si>
  <si>
    <t>UM 83935</t>
  </si>
  <si>
    <t>UM 83936</t>
  </si>
  <si>
    <t>UM 83937</t>
  </si>
  <si>
    <t>UM 83938</t>
  </si>
  <si>
    <t>UM 83939</t>
  </si>
  <si>
    <t>p2 or p3</t>
  </si>
  <si>
    <t>UM 83535</t>
  </si>
  <si>
    <t>UM 83536</t>
  </si>
  <si>
    <t>UM 54890</t>
  </si>
  <si>
    <t>Glennie Quarry</t>
  </si>
  <si>
    <t>Douglass Quarry</t>
  </si>
  <si>
    <t>UALVP 43082</t>
  </si>
  <si>
    <t>hystrix</t>
  </si>
  <si>
    <t>Cochrane 2</t>
  </si>
  <si>
    <t>UALVP 25053</t>
  </si>
  <si>
    <t>UALVP 25057</t>
  </si>
  <si>
    <t>UALVP 25061</t>
  </si>
  <si>
    <t>UALVP 25062</t>
  </si>
  <si>
    <t>UALVP 25065</t>
  </si>
  <si>
    <t>UALVP 25066</t>
  </si>
  <si>
    <t>UALVP 25067</t>
  </si>
  <si>
    <t>UALVP 25068</t>
  </si>
  <si>
    <t>UALVP 25071</t>
  </si>
  <si>
    <t>UALVP 40796</t>
  </si>
  <si>
    <t>UALVP 42406</t>
  </si>
  <si>
    <t>UALVP 42544</t>
  </si>
  <si>
    <t>UALVP 42634</t>
  </si>
  <si>
    <t>UALVP 42642</t>
  </si>
  <si>
    <t>UALVP 43083</t>
  </si>
  <si>
    <t>UALVP 43086</t>
  </si>
  <si>
    <t>UALVP 43087</t>
  </si>
  <si>
    <t>UALVP 54895</t>
  </si>
  <si>
    <t>Bingo Quarry</t>
  </si>
  <si>
    <t>UM 54889</t>
  </si>
  <si>
    <t>UM 84539</t>
  </si>
  <si>
    <t>UM 54891</t>
  </si>
  <si>
    <t>UM 54892</t>
  </si>
  <si>
    <t>appromitate with &gt; indicated on given values; M1 or M2</t>
  </si>
  <si>
    <t>UM 54893</t>
  </si>
  <si>
    <t>UM 54894</t>
  </si>
  <si>
    <t>UALVP 25050</t>
  </si>
  <si>
    <t>UALVP 25058</t>
  </si>
  <si>
    <t>UALVP 25060</t>
  </si>
  <si>
    <t>UALVP 25063</t>
  </si>
  <si>
    <t>UALVP 25069</t>
  </si>
  <si>
    <t>UALVP 42546</t>
  </si>
  <si>
    <t>UALVP 43084</t>
  </si>
  <si>
    <t>UALVP 43088</t>
  </si>
  <si>
    <t>sp 1</t>
  </si>
  <si>
    <t>protogonioides</t>
  </si>
  <si>
    <t>Matthew 1937</t>
  </si>
  <si>
    <t>AMNH 3108</t>
  </si>
  <si>
    <t>AMNH 16356</t>
  </si>
  <si>
    <t>AMNH 3109</t>
  </si>
  <si>
    <t>AMNH 786A</t>
  </si>
  <si>
    <t>AMNH 3113</t>
  </si>
  <si>
    <t>AMNH 16358</t>
  </si>
  <si>
    <t>AMNH 16361</t>
  </si>
  <si>
    <t>AMNH 16359</t>
  </si>
  <si>
    <t>AMNH 3111</t>
  </si>
  <si>
    <t>AMNH 802</t>
  </si>
  <si>
    <t>AMNH 811</t>
  </si>
  <si>
    <t>AMNH 3205</t>
  </si>
  <si>
    <t>Carcinodon</t>
  </si>
  <si>
    <t>filholianus</t>
  </si>
  <si>
    <t>p4 present in drawing but no measure given</t>
  </si>
  <si>
    <t>AMNH 16346</t>
  </si>
  <si>
    <t>cuspidatus</t>
  </si>
  <si>
    <t>AMNH 16352</t>
  </si>
  <si>
    <t>AMNH 3252</t>
  </si>
  <si>
    <t>AMNH 3315</t>
  </si>
  <si>
    <t>fundaminis</t>
  </si>
  <si>
    <t>In text</t>
  </si>
  <si>
    <t>rhabdodon</t>
  </si>
  <si>
    <t>pg 121</t>
  </si>
  <si>
    <t>AMNH 3627</t>
  </si>
  <si>
    <t>AMNH 3462</t>
  </si>
  <si>
    <t>AMNH 3467</t>
  </si>
  <si>
    <t>AMNH 3551</t>
  </si>
  <si>
    <t>AMNH 16420</t>
  </si>
  <si>
    <t>AMNH 16418</t>
  </si>
  <si>
    <t>AMNH 16422</t>
  </si>
  <si>
    <t>AMNH 3473</t>
  </si>
  <si>
    <t>AMNH 3476</t>
  </si>
  <si>
    <t>AMNH 16433</t>
  </si>
  <si>
    <t>AMNH 16425</t>
  </si>
  <si>
    <t>AMNH 16431</t>
  </si>
  <si>
    <t>AMNH 16424</t>
  </si>
  <si>
    <t>AMNH 3135</t>
  </si>
  <si>
    <t>AMNH 3163 16628</t>
  </si>
  <si>
    <t>AMNH 3153</t>
  </si>
  <si>
    <t>AMNH 3154</t>
  </si>
  <si>
    <t>AMNH 15965</t>
  </si>
  <si>
    <t>AMNH 16620</t>
  </si>
  <si>
    <t>AMNH 3136</t>
  </si>
  <si>
    <t>carinidens</t>
  </si>
  <si>
    <t>AMNH 31270</t>
  </si>
  <si>
    <t>Simpson 1936</t>
  </si>
  <si>
    <t>AMNH 3107</t>
  </si>
  <si>
    <t>AMNH 27714</t>
  </si>
  <si>
    <t>thinking the P4 is missing or "p4 is p3 but poorly reconstructed</t>
  </si>
  <si>
    <t>AMNH 27713</t>
  </si>
  <si>
    <t>AMNH 31264</t>
  </si>
  <si>
    <t>AMNH 27712</t>
  </si>
  <si>
    <t>Plagioptychus</t>
  </si>
  <si>
    <t>matthewi</t>
  </si>
  <si>
    <t>UCMP 189541</t>
  </si>
  <si>
    <t>cf. calenancus</t>
  </si>
  <si>
    <t>Clemmens and Wilson 2009</t>
  </si>
  <si>
    <t>UCMP 152405</t>
  </si>
  <si>
    <t>UCMP 189547</t>
  </si>
  <si>
    <t>cf. punitor</t>
  </si>
  <si>
    <t>UCMP 189545</t>
  </si>
  <si>
    <t>UCMP 192150</t>
  </si>
  <si>
    <t>UCMP 148325</t>
  </si>
  <si>
    <t>cf. simplex</t>
  </si>
  <si>
    <t>UCMP 148324</t>
  </si>
  <si>
    <t>cf. subbituminus</t>
  </si>
  <si>
    <t>UCMP 148328</t>
  </si>
  <si>
    <t>Loxolophinae</t>
  </si>
  <si>
    <t>UCMP 189543</t>
  </si>
  <si>
    <t>UCMP 148327</t>
  </si>
  <si>
    <t>m1 or m2</t>
  </si>
  <si>
    <t>UCMP 189550</t>
  </si>
  <si>
    <t>UCMP 189551</t>
  </si>
  <si>
    <t>UCMP 189589</t>
  </si>
  <si>
    <t>UCMP 189549</t>
  </si>
  <si>
    <t>UCMP 189588</t>
  </si>
  <si>
    <t>UCMP 148319</t>
  </si>
  <si>
    <t>Oxytomodon</t>
  </si>
  <si>
    <t>cf. perissum</t>
  </si>
  <si>
    <t>USNM 16183</t>
  </si>
  <si>
    <t>perissum</t>
  </si>
  <si>
    <t>type m2-m3 but m2 only discussed in text</t>
  </si>
  <si>
    <t>cf. sternbergi</t>
  </si>
  <si>
    <t>UCMP 189581</t>
  </si>
  <si>
    <t>UCMP 189542</t>
  </si>
  <si>
    <t>UCMP 189565</t>
  </si>
  <si>
    <t>cf. disjunctus</t>
  </si>
  <si>
    <t>UCMP 189548</t>
  </si>
  <si>
    <t>?Promioclaenus</t>
  </si>
  <si>
    <t>UCMP 120413</t>
  </si>
  <si>
    <t>UCMP 189564</t>
  </si>
  <si>
    <t>cf. athelas</t>
  </si>
  <si>
    <t>USNM 23279</t>
  </si>
  <si>
    <t>UCMP 69260</t>
  </si>
  <si>
    <t>listed as in Van Valen 1978</t>
  </si>
  <si>
    <t xml:space="preserve"> ED</t>
  </si>
  <si>
    <t>BYU 3770</t>
  </si>
  <si>
    <t>BYU 3839</t>
  </si>
  <si>
    <t>BYU 4920</t>
  </si>
  <si>
    <t>athelas</t>
  </si>
  <si>
    <t>subbituminus</t>
  </si>
  <si>
    <t>Hyaenodonta</t>
  </si>
  <si>
    <t>not sure if its a M1; nomen dubium</t>
  </si>
  <si>
    <t>AMNH 16530</t>
  </si>
  <si>
    <t>Williamson and Carr 2007</t>
  </si>
  <si>
    <t>AMNH 16401</t>
  </si>
  <si>
    <t>AMNH 16403</t>
  </si>
  <si>
    <t>AMNH 58377</t>
  </si>
  <si>
    <t>AMNH 102157</t>
  </si>
  <si>
    <t>AMNH 12911</t>
  </si>
  <si>
    <t>AMNH 3095</t>
  </si>
  <si>
    <t>AMNH 3096</t>
  </si>
  <si>
    <t>AMNH 3298</t>
  </si>
  <si>
    <t>AMNH 17043</t>
  </si>
  <si>
    <t>M2 widths are approximate</t>
  </si>
  <si>
    <t>AMNH 3296</t>
  </si>
  <si>
    <t>AMNH 3299</t>
  </si>
  <si>
    <t>UCMP 36636</t>
  </si>
  <si>
    <t>KU 9618</t>
  </si>
  <si>
    <t>KU 9616</t>
  </si>
  <si>
    <t>NMMNH P-12152</t>
  </si>
  <si>
    <t>NMMNH P-18820</t>
  </si>
  <si>
    <t>NMMNH P-18825</t>
  </si>
  <si>
    <t>NMMNH P-19733</t>
  </si>
  <si>
    <t>NMMNH P-20680</t>
  </si>
  <si>
    <t>NMMNH P-2797</t>
  </si>
  <si>
    <t>NMMNH P-12340</t>
  </si>
  <si>
    <t>NMMNH P-18862</t>
  </si>
  <si>
    <t>NMMNH P-19809</t>
  </si>
  <si>
    <t>NMMNH P-20991</t>
  </si>
  <si>
    <t>NMMNH P-46323</t>
  </si>
  <si>
    <t>NMMNH P-21931</t>
  </si>
  <si>
    <t>NMMNH P-42969</t>
  </si>
  <si>
    <t>NMMNH P-20944</t>
  </si>
  <si>
    <t>NMMNH P-20941</t>
  </si>
  <si>
    <t>KU 9617</t>
  </si>
  <si>
    <t>approx measures</t>
  </si>
  <si>
    <t>KU 7833a</t>
  </si>
  <si>
    <t>KU 7834</t>
  </si>
  <si>
    <t>KU 7835</t>
  </si>
  <si>
    <t>NMMNH P-21465</t>
  </si>
  <si>
    <t>NMMNH P-15852a</t>
  </si>
  <si>
    <t>NMMNH P-15852b</t>
  </si>
  <si>
    <t>NMMNH P-15852c</t>
  </si>
  <si>
    <t>NMMNH P-20739</t>
  </si>
  <si>
    <t>NMMNH P-21609</t>
  </si>
  <si>
    <t>NMMNH P-27822</t>
  </si>
  <si>
    <t>NMMNH P-30646</t>
  </si>
  <si>
    <t>NMMNH P-35150</t>
  </si>
  <si>
    <t>NMMNH P-48444</t>
  </si>
  <si>
    <t>Mentoclaenodon</t>
  </si>
  <si>
    <t>Auraria</t>
  </si>
  <si>
    <t>mumak</t>
  </si>
  <si>
    <t>wovokae</t>
  </si>
  <si>
    <t>pelvidens</t>
  </si>
  <si>
    <t>acrogenius</t>
  </si>
  <si>
    <t>fremontensis</t>
  </si>
  <si>
    <t>australis</t>
  </si>
  <si>
    <t>orthogonius</t>
  </si>
  <si>
    <t>pseudarctos</t>
  </si>
  <si>
    <t>urbana</t>
  </si>
  <si>
    <t>agapetillus</t>
  </si>
  <si>
    <t>apiculatus</t>
  </si>
  <si>
    <t>archibaldi</t>
  </si>
  <si>
    <t>ferronensis</t>
  </si>
  <si>
    <t>priscilla</t>
  </si>
  <si>
    <t>YPM PU 17406</t>
  </si>
  <si>
    <t>Secord 1998</t>
  </si>
  <si>
    <t>m1-3 present but only given measures for m2</t>
  </si>
  <si>
    <t>UW 26344</t>
  </si>
  <si>
    <t>UW 26382</t>
  </si>
  <si>
    <t>cf. carinidens</t>
  </si>
  <si>
    <t>UW 26381</t>
  </si>
  <si>
    <t>UW 26490</t>
  </si>
  <si>
    <t>UW 26380</t>
  </si>
  <si>
    <t>approx length</t>
  </si>
  <si>
    <t>Shotgun Fauna</t>
  </si>
  <si>
    <t>UW 26328</t>
  </si>
  <si>
    <t>UW 26329</t>
  </si>
  <si>
    <t>AMNH 16636</t>
  </si>
  <si>
    <t>UW 2263</t>
  </si>
  <si>
    <t>cf. lemuroides</t>
  </si>
  <si>
    <t>M1?</t>
  </si>
  <si>
    <t>UW 26376</t>
  </si>
  <si>
    <t>UW 26375</t>
  </si>
  <si>
    <t>m2?</t>
  </si>
  <si>
    <t>UW 2254</t>
  </si>
  <si>
    <t>USNM 21013</t>
  </si>
  <si>
    <t>Bison Basin Ledge</t>
  </si>
  <si>
    <t>Bison Basin Saddle</t>
  </si>
  <si>
    <t>USNM 20582</t>
  </si>
  <si>
    <t>USNM 20584</t>
  </si>
  <si>
    <t>Gazin 1956</t>
  </si>
  <si>
    <t>cf. pelvidens</t>
  </si>
  <si>
    <t>USNM 20983</t>
  </si>
  <si>
    <t>USNM 21003</t>
  </si>
  <si>
    <t>USNM 21019</t>
  </si>
  <si>
    <t>M2?</t>
  </si>
  <si>
    <t>cf. australis</t>
  </si>
  <si>
    <t>UW 1076</t>
  </si>
  <si>
    <t>demari</t>
  </si>
  <si>
    <t>USNM 20985</t>
  </si>
  <si>
    <t>USNM 20984</t>
  </si>
  <si>
    <t>approx M2 length</t>
  </si>
  <si>
    <t>belli</t>
  </si>
  <si>
    <t>UW 1045</t>
  </si>
  <si>
    <t>USNM 20986</t>
  </si>
  <si>
    <t>USNM 20630</t>
  </si>
  <si>
    <t>cf. procyonoides</t>
  </si>
  <si>
    <t>USNM 20574</t>
  </si>
  <si>
    <t>cf. montanensis</t>
  </si>
  <si>
    <t>approx m2 length</t>
  </si>
  <si>
    <t>cf. ferox</t>
  </si>
  <si>
    <t>USNM 20797</t>
  </si>
  <si>
    <t>USNM 20633</t>
  </si>
  <si>
    <t>USNM 20634</t>
  </si>
  <si>
    <t>lengths are mostlt approx and estimates</t>
  </si>
  <si>
    <t>USNM 20571</t>
  </si>
  <si>
    <t>USNM 21021</t>
  </si>
  <si>
    <t>USNM 21010</t>
  </si>
  <si>
    <t>scaphiscus</t>
  </si>
  <si>
    <t>USNM 21014</t>
  </si>
  <si>
    <t>pelicatus</t>
  </si>
  <si>
    <t>p3 ar approx</t>
  </si>
  <si>
    <t>UW 1078</t>
  </si>
  <si>
    <t>serior</t>
  </si>
  <si>
    <t>USNM 20572</t>
  </si>
  <si>
    <t>Protoselene?</t>
  </si>
  <si>
    <t>USNM 21023</t>
  </si>
  <si>
    <t>Litolestes</t>
  </si>
  <si>
    <t>USNM 21016</t>
  </si>
  <si>
    <t>UW 1079</t>
  </si>
  <si>
    <t>YPM PU 20782</t>
  </si>
  <si>
    <t>Utemylus</t>
  </si>
  <si>
    <t>Litocherus</t>
  </si>
  <si>
    <t>Archibald etal 1983</t>
  </si>
  <si>
    <t>BYU 3856</t>
  </si>
  <si>
    <t>m1?</t>
  </si>
  <si>
    <t>BYU 3798</t>
  </si>
  <si>
    <t>UCMP 89690</t>
  </si>
  <si>
    <t>AMNH 3550</t>
  </si>
  <si>
    <t>UCMP 36640</t>
  </si>
  <si>
    <t>UNM NP-319</t>
  </si>
  <si>
    <t>UCMP 120412</t>
  </si>
  <si>
    <t>UCMP 120380</t>
  </si>
  <si>
    <t>BYU 3825</t>
  </si>
  <si>
    <t>trigonid length of 1.6</t>
  </si>
  <si>
    <t>BYU 3843</t>
  </si>
  <si>
    <t>talonid width approx</t>
  </si>
  <si>
    <t>UCMP 120428</t>
  </si>
  <si>
    <t>UCMP 120381</t>
  </si>
  <si>
    <t>LACM 32923</t>
  </si>
  <si>
    <t>UCMP 120421</t>
  </si>
  <si>
    <t>BYU 3793</t>
  </si>
  <si>
    <t>BYU 3852</t>
  </si>
  <si>
    <t>UCMP 120382</t>
  </si>
  <si>
    <t>UCM 34325</t>
  </si>
  <si>
    <t>Middleton and Dewar 2004</t>
  </si>
  <si>
    <t>UCM 34571</t>
  </si>
  <si>
    <t>UCM 38867</t>
  </si>
  <si>
    <t>estimated posterior width</t>
  </si>
  <si>
    <t>UCM 43149</t>
  </si>
  <si>
    <t>UCM 45586</t>
  </si>
  <si>
    <t>UCM 34569</t>
  </si>
  <si>
    <t>UCM 34576</t>
  </si>
  <si>
    <t>UCM 34577</t>
  </si>
  <si>
    <t>UCM 34602</t>
  </si>
  <si>
    <t>UCM 34605</t>
  </si>
  <si>
    <t>prosterior m1 estiamted</t>
  </si>
  <si>
    <t>UCM 34606</t>
  </si>
  <si>
    <t>UCM 34628</t>
  </si>
  <si>
    <t>UCM 34632</t>
  </si>
  <si>
    <t>UCM 34636</t>
  </si>
  <si>
    <t>length of p4 estimated</t>
  </si>
  <si>
    <t>UCM 34639</t>
  </si>
  <si>
    <t>UCM 34651</t>
  </si>
  <si>
    <t>UCM 34652</t>
  </si>
  <si>
    <t>UCM 34687</t>
  </si>
  <si>
    <t>UCM 35081</t>
  </si>
  <si>
    <t>UCM 35091</t>
  </si>
  <si>
    <t>UCM 35092</t>
  </si>
  <si>
    <t>m1 width estimated</t>
  </si>
  <si>
    <t>UCM 38863</t>
  </si>
  <si>
    <t>UCM 39550</t>
  </si>
  <si>
    <t>UCM 40060</t>
  </si>
  <si>
    <t>UCM 43134</t>
  </si>
  <si>
    <t>posterior p4 estimated</t>
  </si>
  <si>
    <t>UCM 47289</t>
  </si>
  <si>
    <t>UCM 47727</t>
  </si>
  <si>
    <t>UCM 34173</t>
  </si>
  <si>
    <t>cannoni</t>
  </si>
  <si>
    <t>UCM 33882</t>
  </si>
  <si>
    <t>UCM 34607</t>
  </si>
  <si>
    <t>UCM 34610</t>
  </si>
  <si>
    <t>width of P3 estimated</t>
  </si>
  <si>
    <t>UCM 34953</t>
  </si>
  <si>
    <t>UCM 34958</t>
  </si>
  <si>
    <t>UCM 34942</t>
  </si>
  <si>
    <t>length and wifth of p3 and m1 estimated</t>
  </si>
  <si>
    <t>UCM 35087</t>
  </si>
  <si>
    <t>m2 widths estimated</t>
  </si>
  <si>
    <t>UCM 33880</t>
  </si>
  <si>
    <t>many meases estimated</t>
  </si>
  <si>
    <t>UCM 33881</t>
  </si>
  <si>
    <t>UCM 35075</t>
  </si>
  <si>
    <t>UCM 34935</t>
  </si>
  <si>
    <t>UCM 34189</t>
  </si>
  <si>
    <t>UCM 34614</t>
  </si>
  <si>
    <t>UCM 34941</t>
  </si>
  <si>
    <t>UCM 34968</t>
  </si>
  <si>
    <t>AMNH 772</t>
  </si>
  <si>
    <t>Kondrashov and Lucas 2004</t>
  </si>
  <si>
    <t>AMNH 2457</t>
  </si>
  <si>
    <t>AMNH 2459</t>
  </si>
  <si>
    <t>AMNH 2460</t>
  </si>
  <si>
    <t>AMNH 2466</t>
  </si>
  <si>
    <t>AMNH 3260</t>
  </si>
  <si>
    <t>AMNH 3261</t>
  </si>
  <si>
    <t>AMNH 3262</t>
  </si>
  <si>
    <t>AMNH 3269</t>
  </si>
  <si>
    <t>AMNH 3854</t>
  </si>
  <si>
    <t>AMNH 3857</t>
  </si>
  <si>
    <t>AMNH 3862</t>
  </si>
  <si>
    <t>AMNH 3940</t>
  </si>
  <si>
    <t>AMNH 4405</t>
  </si>
  <si>
    <t>AMNH 16002</t>
  </si>
  <si>
    <t>AMNH 16003</t>
  </si>
  <si>
    <t>AMNH 16004</t>
  </si>
  <si>
    <t>p4 length typo?</t>
  </si>
  <si>
    <t>AMNH 16005</t>
  </si>
  <si>
    <t>AMNH 16009</t>
  </si>
  <si>
    <t>AMNH 16010</t>
  </si>
  <si>
    <t>AMNH 16541</t>
  </si>
  <si>
    <t>NMMNH 803</t>
  </si>
  <si>
    <t>NMMNH 964</t>
  </si>
  <si>
    <t>NMMNH 1030</t>
  </si>
  <si>
    <t>NMMNH 1116</t>
  </si>
  <si>
    <t>NMMNH 2169</t>
  </si>
  <si>
    <t>NMMNH 2179</t>
  </si>
  <si>
    <t>NMMNH 12281</t>
  </si>
  <si>
    <t>NMMNH 15785</t>
  </si>
  <si>
    <t>NMMNH 15939</t>
  </si>
  <si>
    <t>NMMNH 16169</t>
  </si>
  <si>
    <t>NMMNH 16248</t>
  </si>
  <si>
    <t>NMMNH 16352</t>
  </si>
  <si>
    <t>NMMNH 21067</t>
  </si>
  <si>
    <t>NMMNH 21258</t>
  </si>
  <si>
    <t>NMMNH 21577</t>
  </si>
  <si>
    <t>NMMNH 21763</t>
  </si>
  <si>
    <t>NMMNH 22038</t>
  </si>
  <si>
    <t>NMMNH 27836</t>
  </si>
  <si>
    <t>NMMNH 29412</t>
  </si>
  <si>
    <t>NMMNH 30539</t>
  </si>
  <si>
    <t>USNM 5905</t>
  </si>
  <si>
    <t>USNM 15335</t>
  </si>
  <si>
    <t>USNM 15337</t>
  </si>
  <si>
    <t>USNM 15338</t>
  </si>
  <si>
    <t>USNM 15339</t>
  </si>
  <si>
    <t>USNM 20576</t>
  </si>
  <si>
    <t>USNM 21006</t>
  </si>
  <si>
    <t>USNM 407538</t>
  </si>
  <si>
    <t>USNM 407540</t>
  </si>
  <si>
    <t>USNM 407541</t>
  </si>
  <si>
    <t>USNM 407543</t>
  </si>
  <si>
    <t>USNM 407545</t>
  </si>
  <si>
    <t>YPM-PU 13755b</t>
  </si>
  <si>
    <t>YPM-PU 13755c</t>
  </si>
  <si>
    <t>YPM-PU 14258</t>
  </si>
  <si>
    <t>YPM-PU 17527</t>
  </si>
  <si>
    <t>PU-1704</t>
  </si>
  <si>
    <t>YPM-PU 13215</t>
  </si>
  <si>
    <t>AMNH 3259</t>
  </si>
  <si>
    <t>AMNH 3270</t>
  </si>
  <si>
    <t>AMNH 3272</t>
  </si>
  <si>
    <t>AMNH 3852a</t>
  </si>
  <si>
    <t>AMNH 16006</t>
  </si>
  <si>
    <t>AMNH 16007</t>
  </si>
  <si>
    <t>NMMNH 817</t>
  </si>
  <si>
    <t>NMMNH 1566</t>
  </si>
  <si>
    <t>NMMNH 2129</t>
  </si>
  <si>
    <t>NMMNH 2230</t>
  </si>
  <si>
    <t>NMMNH 2239</t>
  </si>
  <si>
    <t>NMMNH 2622</t>
  </si>
  <si>
    <t>NMMNH 8627</t>
  </si>
  <si>
    <t>NMMNH 15368</t>
  </si>
  <si>
    <t>NMMNH 15943</t>
  </si>
  <si>
    <t>NMMNH 16153</t>
  </si>
  <si>
    <t>NMMNH 16293</t>
  </si>
  <si>
    <t>NMMNH 21589</t>
  </si>
  <si>
    <t>NMMNH 30700</t>
  </si>
  <si>
    <t>USNM 20796</t>
  </si>
  <si>
    <t>USNM 407533</t>
  </si>
  <si>
    <t>USNM 407536</t>
  </si>
  <si>
    <t>USNM 407537</t>
  </si>
  <si>
    <t>USNM 407539</t>
  </si>
  <si>
    <t>YPM PU 13755</t>
  </si>
  <si>
    <t>YPM PU 13755d</t>
  </si>
  <si>
    <t>YPM PU 14194</t>
  </si>
  <si>
    <t>YPM PU 18530</t>
  </si>
  <si>
    <t>NMMNH 21025</t>
  </si>
  <si>
    <t>USNM 8386</t>
  </si>
  <si>
    <t>USNM 20573</t>
  </si>
  <si>
    <t>USNM 405046</t>
  </si>
  <si>
    <t>YPM-PU 14020</t>
  </si>
  <si>
    <t>YPM-PU 14257</t>
  </si>
  <si>
    <t>YPM-PU 18440</t>
  </si>
  <si>
    <t>YPM-PU 18771</t>
  </si>
  <si>
    <t>YPM-PU 18925</t>
  </si>
  <si>
    <t>YPM-PU 18996</t>
  </si>
  <si>
    <t>YPM-PU 20280</t>
  </si>
  <si>
    <t>YPM-PU 20394</t>
  </si>
  <si>
    <t>USNM 8368</t>
  </si>
  <si>
    <t>AMNH 3258</t>
  </si>
  <si>
    <t>YPM-PU 13204</t>
  </si>
  <si>
    <t>YPM-PU 13756e</t>
  </si>
  <si>
    <t>YPM-PU 14857</t>
  </si>
  <si>
    <t>YPM-PU 17730</t>
  </si>
  <si>
    <t>YPM-PU 16593</t>
  </si>
  <si>
    <t>YPM-PU 18918</t>
  </si>
  <si>
    <t>YPM-PU 1704</t>
  </si>
  <si>
    <t>taxonomic issues as its not in PBDB</t>
  </si>
  <si>
    <t>taxonomic issues as its not in PBDB; same # as A. ferox</t>
  </si>
  <si>
    <t>Neoclaenodon</t>
  </si>
  <si>
    <t>Gidley 1919</t>
  </si>
  <si>
    <t>P3 and P4 measures not given despite being present</t>
  </si>
  <si>
    <t>species average?</t>
  </si>
  <si>
    <t>Phenacodonta</t>
  </si>
  <si>
    <t>Phenacodontidae</t>
  </si>
  <si>
    <t>Meniscotheriinae</t>
  </si>
  <si>
    <t>Ectocion</t>
  </si>
  <si>
    <t>cedrus</t>
  </si>
  <si>
    <t>Plesiadapis rex zone, Cedar Point Quarry</t>
  </si>
  <si>
    <t>locality average</t>
  </si>
  <si>
    <t>Thewissen 1990</t>
  </si>
  <si>
    <t>collinus</t>
  </si>
  <si>
    <t>Plesiadapis praecursor zone, Douglass Quarry</t>
  </si>
  <si>
    <t>IGM 3675</t>
  </si>
  <si>
    <t>ignotum</t>
  </si>
  <si>
    <t>Baja</t>
  </si>
  <si>
    <t>Lomas Las Tetas De Cabra Fauna</t>
  </si>
  <si>
    <t>Novacek etal 1991</t>
  </si>
  <si>
    <t>major</t>
  </si>
  <si>
    <t>Clarkforkian</t>
  </si>
  <si>
    <t>Piceance Basin</t>
  </si>
  <si>
    <t>mediotuber</t>
  </si>
  <si>
    <t>Plesiadapis simonsi zone, Clarks Forks Basin</t>
  </si>
  <si>
    <t>nanabeensis</t>
  </si>
  <si>
    <t>AMNH 56159</t>
  </si>
  <si>
    <t>osbornianus</t>
  </si>
  <si>
    <t>text</t>
  </si>
  <si>
    <t>AMNH 56160</t>
  </si>
  <si>
    <t>AMNH 56161</t>
  </si>
  <si>
    <t>in Matthew and Granger 1915 pg 353</t>
  </si>
  <si>
    <t>ralstonensis</t>
  </si>
  <si>
    <t>based on mean values from Thewissen 1990</t>
  </si>
  <si>
    <t>Bai etal 2019</t>
  </si>
  <si>
    <t>Plesiadapis gingerichi zone, Bighorn Basin</t>
  </si>
  <si>
    <t>Plesiadapis cookei zone, Bighorn Basin</t>
  </si>
  <si>
    <t>Phenacodus-ectocion zone, Bighorn basin</t>
  </si>
  <si>
    <t>Lower Haplomylus-Ectocion zone, Bighorn Basin</t>
  </si>
  <si>
    <t>Upper Haplomylus-Ectocion zone, Bighorn Basin</t>
  </si>
  <si>
    <t>UCMP 44799</t>
  </si>
  <si>
    <t>USNM 20645</t>
  </si>
  <si>
    <t>cf. osbornianum</t>
  </si>
  <si>
    <t>USNM 20736</t>
  </si>
  <si>
    <t>parvus</t>
  </si>
  <si>
    <t>Cantius torresi zone, Bighorn Basin</t>
  </si>
  <si>
    <t>superstes</t>
  </si>
  <si>
    <t>Palaeosynops zone, Wind River basin</t>
  </si>
  <si>
    <t>UM 100027</t>
  </si>
  <si>
    <t>Meniscotherium</t>
  </si>
  <si>
    <t>chamense</t>
  </si>
  <si>
    <t>UM 102838</t>
  </si>
  <si>
    <t>IGM 3676</t>
  </si>
  <si>
    <t>priscum</t>
  </si>
  <si>
    <t>cf. priscum</t>
  </si>
  <si>
    <t>IGM 3677</t>
  </si>
  <si>
    <t>M2 length is estimate</t>
  </si>
  <si>
    <t>IGM 3678</t>
  </si>
  <si>
    <t>IGM 3679</t>
  </si>
  <si>
    <t>IGM 3680</t>
  </si>
  <si>
    <t>IGM 4035</t>
  </si>
  <si>
    <t>AMNH 56187</t>
  </si>
  <si>
    <t>Copecion</t>
  </si>
  <si>
    <t>brachypternus</t>
  </si>
  <si>
    <t>Phenacodus</t>
  </si>
  <si>
    <t>AMNH 56188</t>
  </si>
  <si>
    <t>AMNH 56189</t>
  </si>
  <si>
    <t>AMNH 56190</t>
  </si>
  <si>
    <t>AMNH 56191</t>
  </si>
  <si>
    <t>Bunophorus zone, Bighorn Basin</t>
  </si>
  <si>
    <t>Heptodon Zone, Bighorn Basin</t>
  </si>
  <si>
    <t>UM 74602</t>
  </si>
  <si>
    <t>cf brachypternus</t>
  </si>
  <si>
    <t>davisi</t>
  </si>
  <si>
    <t>UM 75723</t>
  </si>
  <si>
    <t>AMNH 16060</t>
  </si>
  <si>
    <t>Lophocion</t>
  </si>
  <si>
    <t>Opisthotomus</t>
  </si>
  <si>
    <t>astutus</t>
  </si>
  <si>
    <t>Cope 1874</t>
  </si>
  <si>
    <t>flagrans</t>
  </si>
  <si>
    <t>length listed as 0.12 M but that seems to be a typo</t>
  </si>
  <si>
    <t>bisonensis</t>
  </si>
  <si>
    <t>Plesiadapis anceps zone, Bighorn Basin</t>
  </si>
  <si>
    <t>Plesiadapis rex zone, Bison Basin</t>
  </si>
  <si>
    <t>Plesiadapis simonsi zone,Bighorn Basin</t>
  </si>
  <si>
    <t>intermedius</t>
  </si>
  <si>
    <t>Plesiadapis gingerichi zone, Clarks Form Basin</t>
  </si>
  <si>
    <t>USNM 20644</t>
  </si>
  <si>
    <t>magnus</t>
  </si>
  <si>
    <t>AMNH 17191</t>
  </si>
  <si>
    <t>from table</t>
  </si>
  <si>
    <t>AMNH 17193</t>
  </si>
  <si>
    <t>UCMP 4034</t>
  </si>
  <si>
    <t>"matthewi"</t>
  </si>
  <si>
    <t>Mckenna 1960; pg 98 fig 52</t>
  </si>
  <si>
    <t>UCMP 46168</t>
  </si>
  <si>
    <t>AMNH 56053</t>
  </si>
  <si>
    <t>primaevus</t>
  </si>
  <si>
    <t>estimated from graph; graph also has many M2 measures but no data for specimens associated</t>
  </si>
  <si>
    <t>West and Atkins 1970</t>
  </si>
  <si>
    <t>AMNH 56192</t>
  </si>
  <si>
    <t>AMNH 56193</t>
  </si>
  <si>
    <t>AMNH 56194</t>
  </si>
  <si>
    <t>AMNH 56195</t>
  </si>
  <si>
    <t>Tiffany Tooth?</t>
  </si>
  <si>
    <t>Should be fixed as of 11:12am 1/21/2021.  Might be specimen AMNH 17192 refrred to as P. grangeri but not mentione dby Simpson 1935.  Paper says it "serves to tie Powder River anmila, if not primaevus complex to Paleocene forms.</t>
  </si>
  <si>
    <t>USNM 21287</t>
  </si>
  <si>
    <t>m2 is approximate</t>
  </si>
  <si>
    <t>primaeous</t>
  </si>
  <si>
    <t>described as a posterior superior molar tooth (M2 or M3?)</t>
  </si>
  <si>
    <t>Cope 1873 Fourth Notice of Extinct Vertebrata</t>
  </si>
  <si>
    <t>UM 761274</t>
  </si>
  <si>
    <t>UM 76176</t>
  </si>
  <si>
    <t>UM 76269</t>
  </si>
  <si>
    <t>UM 76945</t>
  </si>
  <si>
    <t>trilobatus</t>
  </si>
  <si>
    <t>AMNH 16125</t>
  </si>
  <si>
    <t>vortmani</t>
  </si>
  <si>
    <t>might be only set so far that is in correct Lxw order.  for some reason the tables are set as W then L so the measures written in text may be the same.  All measures form this paper not from tables might need to be swapped to be correct</t>
  </si>
  <si>
    <t>AMNH 56186</t>
  </si>
  <si>
    <t>p3 in paper are from other side of AMNH 56328 so only included measures identifyable to this specimen only</t>
  </si>
  <si>
    <t>AMNH 56328</t>
  </si>
  <si>
    <t>IGM 4034</t>
  </si>
  <si>
    <t>cf. vortmani</t>
  </si>
  <si>
    <t>Plesiadapis simonsi zone</t>
  </si>
  <si>
    <t>Phenacodus-ectocion zone, Clark Fork Basin</t>
  </si>
  <si>
    <t>USM 16691</t>
  </si>
  <si>
    <t>almiensis</t>
  </si>
  <si>
    <t>Gazin 1942</t>
  </si>
  <si>
    <t>USNM 16691</t>
  </si>
  <si>
    <t>USNM 20643</t>
  </si>
  <si>
    <t>USNM 21286</t>
  </si>
  <si>
    <t>measures are estimates</t>
  </si>
  <si>
    <t>Tetraclaenodon</t>
  </si>
  <si>
    <t>puercensis</t>
  </si>
  <si>
    <t>Pantolambda Zone, Rock Bench Quarry</t>
  </si>
  <si>
    <t>Tetraclaenodon zone, Big Pocket</t>
  </si>
  <si>
    <t>Simpson 1937a</t>
  </si>
  <si>
    <t>Pantolambda Zone, Crazy Mountain Basin</t>
  </si>
  <si>
    <t>lists m3 twice with different N counts, locality average</t>
  </si>
  <si>
    <t>CM 67866</t>
  </si>
  <si>
    <t>YPM PU 23985</t>
  </si>
  <si>
    <t>AMNH 3866</t>
  </si>
  <si>
    <t>AMNH 3832</t>
  </si>
  <si>
    <t>symbolicus</t>
  </si>
  <si>
    <t>USNM 6169</t>
  </si>
  <si>
    <t>USNM 9925</t>
  </si>
  <si>
    <t>AMNH 3897</t>
  </si>
  <si>
    <t>pliciferus</t>
  </si>
  <si>
    <t>YPM 12048</t>
  </si>
  <si>
    <t>Gidleyina</t>
  </si>
  <si>
    <t>YPM 14190</t>
  </si>
  <si>
    <t>montanensis?</t>
  </si>
  <si>
    <t>USNM 6166</t>
  </si>
  <si>
    <t>?Gidleyina</t>
  </si>
  <si>
    <t>USNM 11913</t>
  </si>
  <si>
    <t>superior</t>
  </si>
  <si>
    <t>TMP 2010.097.0093</t>
  </si>
  <si>
    <t>OMNH 27667</t>
  </si>
  <si>
    <t>Aphronorus</t>
  </si>
  <si>
    <t>simpsoni</t>
  </si>
  <si>
    <t>NMMNH P-20494</t>
  </si>
  <si>
    <t>puercensis "pliciferus"</t>
  </si>
  <si>
    <t>listed as the smaller subspecies "pliciferus";p4 mostly in crypt so not measures given; have postcrania and body mass estimates</t>
  </si>
  <si>
    <t>Kondrashov and Lucas 2012</t>
  </si>
  <si>
    <t>UW 14151</t>
  </si>
  <si>
    <t>UW 26361</t>
  </si>
  <si>
    <t>approx M1 length</t>
  </si>
  <si>
    <t>UW 26362</t>
  </si>
  <si>
    <t>USNM 20795</t>
  </si>
  <si>
    <t>wyomingensis</t>
  </si>
  <si>
    <t>approx M1 width</t>
  </si>
  <si>
    <t>USNM 20790</t>
  </si>
  <si>
    <t>USNM 20793</t>
  </si>
  <si>
    <t>USNM 20564</t>
  </si>
  <si>
    <t>Phenacodus?</t>
  </si>
  <si>
    <t>USNM 20566</t>
  </si>
  <si>
    <t>USNM 20567</t>
  </si>
  <si>
    <t>approx m3 length</t>
  </si>
  <si>
    <t>USNM 20569</t>
  </si>
  <si>
    <t>USNM 21025</t>
  </si>
  <si>
    <t>might not be proper mentions; just mention the M3</t>
  </si>
  <si>
    <t>AMNH 16163</t>
  </si>
  <si>
    <t>AMNH 15952</t>
  </si>
  <si>
    <t>septentrionalis</t>
  </si>
  <si>
    <t>Spanoxyodon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</si>
</sst>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i/>
      <sz val="12"/>
      <color rgb="FF333333"/>
      <name val="Open-Sans"/>
      <family val="2"/>
      <charset val="1"/>
    </font>
    <font>
      <sz val="11"/>
      <color rgb="FF444444"/>
      <name val="Calibri"/>
      <family val="2"/>
      <charset val="1"/>
    </font>
    <font>
      <sz val="12"/>
      <color rgb="FF000000"/>
      <name val="Calibri"/>
      <family val="2"/>
    </font>
    <font>
      <i/>
      <sz val="11"/>
      <color theme="1"/>
      <name val="Calibri"/>
      <family val="2"/>
      <scheme val="minor"/>
    </font>
    <font>
      <sz val="11"/>
      <name val="Calibri"/>
      <family val="2"/>
      <scheme val="minor"/>
    </font>
    <font>
      <sz val="8"/>
      <name val="Calibri"/>
      <family val="2"/>
      <scheme val="minor"/>
    </font>
    <font>
      <sz val="11"/>
      <color rgb="FF000000"/>
      <name val="Calibri"/>
      <family val="2"/>
      <scheme val="minor"/>
    </font>
    <font>
      <b/>
      <sz val="11"/>
      <color theme="1"/>
      <name val="Calibri"/>
      <family val="2"/>
      <scheme val="minor"/>
    </font>
    <font>
      <i/>
      <sz val="14"/>
      <color rgb="FF333333"/>
      <name val="Arial"/>
      <family val="2"/>
    </font>
    <font>
      <i/>
      <sz val="11"/>
      <color rgb="FF333333"/>
      <name val="Arial"/>
      <family val="2"/>
    </font>
  </fonts>
  <fills count="12">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7"/>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0" fillId="0" borderId="0" xfId="0" quotePrefix="1"/>
    <xf numFmtId="0" fontId="0" fillId="2" borderId="0" xfId="0" applyFill="1"/>
    <xf numFmtId="0" fontId="4" fillId="0" borderId="0" xfId="0" applyFont="1"/>
    <xf numFmtId="2" fontId="0" fillId="0" borderId="0" xfId="0" applyNumberFormat="1"/>
    <xf numFmtId="18"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7" fillId="0" borderId="0" xfId="0" applyFont="1"/>
    <xf numFmtId="0" fontId="0" fillId="7" borderId="0" xfId="0" applyFill="1"/>
    <xf numFmtId="0" fontId="8" fillId="0" borderId="0" xfId="0" applyFont="1"/>
    <xf numFmtId="0" fontId="0" fillId="8" borderId="0" xfId="0" applyFill="1"/>
    <xf numFmtId="0" fontId="5" fillId="8" borderId="0" xfId="0" applyFont="1" applyFill="1"/>
    <xf numFmtId="0" fontId="1" fillId="8" borderId="0" xfId="0" applyFont="1" applyFill="1"/>
    <xf numFmtId="0" fontId="0" fillId="9" borderId="0" xfId="0" applyFill="1"/>
    <xf numFmtId="0" fontId="0" fillId="0" borderId="0" xfId="0" applyAlignment="1">
      <alignment wrapText="1"/>
    </xf>
    <xf numFmtId="0" fontId="5" fillId="8" borderId="0" xfId="0" applyFont="1" applyFill="1" applyAlignment="1">
      <alignment wrapText="1"/>
    </xf>
    <xf numFmtId="0" fontId="3" fillId="0" borderId="0" xfId="0" applyFont="1"/>
    <xf numFmtId="0" fontId="0" fillId="10" borderId="0" xfId="0" applyFill="1"/>
    <xf numFmtId="0" fontId="9" fillId="0" borderId="0" xfId="0" applyFont="1"/>
    <xf numFmtId="0" fontId="0" fillId="5" borderId="0" xfId="0" applyFill="1" applyAlignment="1">
      <alignment wrapText="1"/>
    </xf>
    <xf numFmtId="0" fontId="0" fillId="11" borderId="0" xfId="0" applyFill="1"/>
    <xf numFmtId="0" fontId="1" fillId="5" borderId="0" xfId="0" applyFont="1" applyFill="1"/>
    <xf numFmtId="0" fontId="0" fillId="0" borderId="0" xfId="0" applyFill="1"/>
    <xf numFmtId="0" fontId="10" fillId="0" borderId="0" xfId="0" applyFont="1"/>
    <xf numFmtId="0" fontId="0" fillId="0" borderId="0" xfId="0" applyFont="1"/>
    <xf numFmtId="0" fontId="0" fillId="5" borderId="0" xfId="0" quotePrefix="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opLeftCell="A28" workbookViewId="0"/>
  </sheetViews>
  <sheetFormatPr baseColWidth="10" defaultColWidth="8.83203125" defaultRowHeight="15"/>
  <cols>
    <col min="1" max="1" width="11.83203125" bestFit="1" customWidth="1"/>
    <col min="2" max="2" width="14.33203125" bestFit="1" customWidth="1"/>
    <col min="3" max="3" width="15.83203125" bestFit="1" customWidth="1"/>
    <col min="4" max="4" width="15.83203125" customWidth="1"/>
    <col min="5" max="5" width="18.33203125" bestFit="1" customWidth="1"/>
    <col min="6" max="6" width="16.6640625" bestFit="1" customWidth="1"/>
    <col min="7" max="7" width="10.33203125" bestFit="1" customWidth="1"/>
    <col min="8" max="8" width="11.5" bestFit="1" customWidth="1"/>
    <col min="9" max="9" width="12.5" bestFit="1" customWidth="1"/>
    <col min="10" max="10" width="30.33203125" bestFit="1" customWidth="1"/>
  </cols>
  <sheetData>
    <row r="1" spans="1:10">
      <c r="A1" t="s">
        <v>0</v>
      </c>
      <c r="B1" t="s">
        <v>1</v>
      </c>
      <c r="C1" t="s">
        <v>2</v>
      </c>
      <c r="D1" t="s">
        <v>3</v>
      </c>
      <c r="E1" t="s">
        <v>4</v>
      </c>
      <c r="F1" t="s">
        <v>5</v>
      </c>
      <c r="G1" t="s">
        <v>6</v>
      </c>
      <c r="H1" t="s">
        <v>7</v>
      </c>
      <c r="I1" t="s">
        <v>8</v>
      </c>
      <c r="J1" t="s">
        <v>9</v>
      </c>
    </row>
    <row r="2" spans="1:10" ht="16">
      <c r="A2" t="s">
        <v>10</v>
      </c>
      <c r="B2" t="s">
        <v>11</v>
      </c>
      <c r="C2" t="s">
        <v>12</v>
      </c>
      <c r="E2" s="1" t="s">
        <v>13</v>
      </c>
      <c r="F2" s="2" t="s">
        <v>14</v>
      </c>
    </row>
    <row r="3" spans="1:10">
      <c r="A3" t="s">
        <v>10</v>
      </c>
      <c r="B3" t="s">
        <v>11</v>
      </c>
      <c r="C3" t="s">
        <v>12</v>
      </c>
      <c r="E3" s="3" t="s">
        <v>13</v>
      </c>
      <c r="F3" t="s">
        <v>15</v>
      </c>
    </row>
    <row r="4" spans="1:10">
      <c r="A4" t="s">
        <v>10</v>
      </c>
      <c r="B4" t="s">
        <v>11</v>
      </c>
      <c r="C4" t="s">
        <v>12</v>
      </c>
      <c r="E4" t="s">
        <v>13</v>
      </c>
      <c r="F4" t="s">
        <v>16</v>
      </c>
    </row>
    <row r="5" spans="1:10">
      <c r="A5" t="s">
        <v>10</v>
      </c>
      <c r="B5" t="s">
        <v>11</v>
      </c>
      <c r="C5" t="s">
        <v>12</v>
      </c>
      <c r="E5" t="s">
        <v>13</v>
      </c>
      <c r="F5" t="s">
        <v>17</v>
      </c>
    </row>
    <row r="6" spans="1:10">
      <c r="A6" t="s">
        <v>10</v>
      </c>
      <c r="B6" t="s">
        <v>11</v>
      </c>
      <c r="C6" t="s">
        <v>18</v>
      </c>
      <c r="E6" t="s">
        <v>19</v>
      </c>
      <c r="F6" t="s">
        <v>20</v>
      </c>
    </row>
    <row r="7" spans="1:10">
      <c r="A7" t="s">
        <v>10</v>
      </c>
      <c r="B7" t="s">
        <v>11</v>
      </c>
      <c r="C7" t="s">
        <v>18</v>
      </c>
      <c r="E7" t="s">
        <v>19</v>
      </c>
      <c r="F7" t="s">
        <v>21</v>
      </c>
    </row>
    <row r="8" spans="1:10">
      <c r="A8" t="s">
        <v>10</v>
      </c>
      <c r="B8" t="s">
        <v>11</v>
      </c>
      <c r="C8" t="s">
        <v>18</v>
      </c>
      <c r="E8" t="s">
        <v>22</v>
      </c>
      <c r="F8" t="s">
        <v>23</v>
      </c>
    </row>
    <row r="9" spans="1:10">
      <c r="A9" t="s">
        <v>10</v>
      </c>
      <c r="B9" t="s">
        <v>11</v>
      </c>
      <c r="C9" t="s">
        <v>18</v>
      </c>
      <c r="E9" t="s">
        <v>24</v>
      </c>
      <c r="F9" t="s">
        <v>25</v>
      </c>
    </row>
    <row r="10" spans="1:10">
      <c r="A10" t="s">
        <v>10</v>
      </c>
      <c r="B10" t="s">
        <v>11</v>
      </c>
      <c r="C10" t="s">
        <v>18</v>
      </c>
      <c r="E10" t="s">
        <v>26</v>
      </c>
      <c r="F10" t="s">
        <v>27</v>
      </c>
    </row>
    <row r="11" spans="1:10">
      <c r="A11" t="s">
        <v>10</v>
      </c>
      <c r="B11" t="s">
        <v>11</v>
      </c>
      <c r="C11" t="s">
        <v>18</v>
      </c>
      <c r="E11" t="s">
        <v>26</v>
      </c>
      <c r="F11" t="s">
        <v>28</v>
      </c>
    </row>
    <row r="12" spans="1:10">
      <c r="A12" t="s">
        <v>10</v>
      </c>
      <c r="B12" t="s">
        <v>11</v>
      </c>
      <c r="C12" t="s">
        <v>18</v>
      </c>
      <c r="E12" t="s">
        <v>26</v>
      </c>
      <c r="F12" t="s">
        <v>29</v>
      </c>
    </row>
    <row r="13" spans="1:10">
      <c r="A13" t="s">
        <v>10</v>
      </c>
      <c r="B13" t="s">
        <v>11</v>
      </c>
      <c r="C13" t="s">
        <v>18</v>
      </c>
      <c r="E13" t="s">
        <v>26</v>
      </c>
      <c r="F13" t="s">
        <v>30</v>
      </c>
    </row>
    <row r="14" spans="1:10">
      <c r="A14" t="s">
        <v>10</v>
      </c>
      <c r="B14" t="s">
        <v>11</v>
      </c>
      <c r="C14" t="s">
        <v>18</v>
      </c>
      <c r="E14" t="s">
        <v>26</v>
      </c>
      <c r="F14" t="s">
        <v>31</v>
      </c>
    </row>
    <row r="15" spans="1:10">
      <c r="A15" t="s">
        <v>10</v>
      </c>
      <c r="B15" t="s">
        <v>11</v>
      </c>
      <c r="C15" t="s">
        <v>18</v>
      </c>
      <c r="E15" t="s">
        <v>26</v>
      </c>
      <c r="F15" t="s">
        <v>32</v>
      </c>
      <c r="J15" t="s">
        <v>33</v>
      </c>
    </row>
    <row r="16" spans="1:10">
      <c r="A16" t="s">
        <v>10</v>
      </c>
      <c r="B16" t="s">
        <v>11</v>
      </c>
      <c r="C16" t="s">
        <v>18</v>
      </c>
      <c r="E16" t="s">
        <v>26</v>
      </c>
      <c r="F16" t="s">
        <v>34</v>
      </c>
    </row>
    <row r="17" spans="1:10">
      <c r="A17" t="s">
        <v>10</v>
      </c>
      <c r="B17" t="s">
        <v>11</v>
      </c>
      <c r="C17" t="s">
        <v>18</v>
      </c>
      <c r="E17" t="s">
        <v>26</v>
      </c>
      <c r="F17" t="s">
        <v>35</v>
      </c>
    </row>
    <row r="18" spans="1:10">
      <c r="A18" t="s">
        <v>10</v>
      </c>
      <c r="B18" t="s">
        <v>11</v>
      </c>
      <c r="C18" t="s">
        <v>18</v>
      </c>
      <c r="E18" t="s">
        <v>26</v>
      </c>
      <c r="F18" t="s">
        <v>36</v>
      </c>
    </row>
    <row r="19" spans="1:10">
      <c r="A19" t="s">
        <v>10</v>
      </c>
      <c r="B19" t="s">
        <v>11</v>
      </c>
      <c r="C19" t="s">
        <v>18</v>
      </c>
      <c r="E19" t="s">
        <v>26</v>
      </c>
      <c r="F19" t="s">
        <v>37</v>
      </c>
    </row>
    <row r="20" spans="1:10">
      <c r="A20" t="s">
        <v>10</v>
      </c>
      <c r="B20" t="s">
        <v>11</v>
      </c>
      <c r="C20" t="s">
        <v>18</v>
      </c>
      <c r="E20" t="s">
        <v>26</v>
      </c>
      <c r="F20" t="s">
        <v>38</v>
      </c>
    </row>
    <row r="21" spans="1:10">
      <c r="A21" t="s">
        <v>10</v>
      </c>
      <c r="B21" t="s">
        <v>11</v>
      </c>
      <c r="C21" t="s">
        <v>18</v>
      </c>
      <c r="E21" t="s">
        <v>26</v>
      </c>
      <c r="F21" t="s">
        <v>39</v>
      </c>
    </row>
    <row r="22" spans="1:10">
      <c r="A22" t="s">
        <v>10</v>
      </c>
      <c r="B22" t="s">
        <v>11</v>
      </c>
      <c r="C22" t="s">
        <v>18</v>
      </c>
      <c r="E22" t="s">
        <v>26</v>
      </c>
      <c r="F22" t="s">
        <v>40</v>
      </c>
    </row>
    <row r="23" spans="1:10">
      <c r="A23" t="s">
        <v>10</v>
      </c>
      <c r="B23" t="s">
        <v>11</v>
      </c>
      <c r="C23" t="s">
        <v>18</v>
      </c>
      <c r="E23" t="s">
        <v>26</v>
      </c>
      <c r="F23" t="s">
        <v>41</v>
      </c>
      <c r="J23" t="s">
        <v>33</v>
      </c>
    </row>
    <row r="24" spans="1:10">
      <c r="A24" t="s">
        <v>10</v>
      </c>
      <c r="B24" t="s">
        <v>11</v>
      </c>
      <c r="C24" t="s">
        <v>18</v>
      </c>
      <c r="E24" t="s">
        <v>26</v>
      </c>
      <c r="F24" t="s">
        <v>42</v>
      </c>
    </row>
    <row r="25" spans="1:10">
      <c r="A25" t="s">
        <v>10</v>
      </c>
      <c r="B25" t="s">
        <v>11</v>
      </c>
      <c r="C25" t="s">
        <v>18</v>
      </c>
      <c r="E25" t="s">
        <v>26</v>
      </c>
      <c r="F25" t="s">
        <v>43</v>
      </c>
    </row>
    <row r="26" spans="1:10">
      <c r="A26" t="s">
        <v>10</v>
      </c>
      <c r="B26" t="s">
        <v>11</v>
      </c>
      <c r="C26" t="s">
        <v>18</v>
      </c>
      <c r="E26" t="s">
        <v>26</v>
      </c>
      <c r="F26" t="s">
        <v>44</v>
      </c>
    </row>
    <row r="27" spans="1:10">
      <c r="A27" t="s">
        <v>10</v>
      </c>
      <c r="B27" t="s">
        <v>11</v>
      </c>
      <c r="C27" t="s">
        <v>18</v>
      </c>
      <c r="E27" t="s">
        <v>26</v>
      </c>
      <c r="F27" t="s">
        <v>45</v>
      </c>
    </row>
    <row r="28" spans="1:10">
      <c r="A28" t="s">
        <v>10</v>
      </c>
      <c r="B28" t="s">
        <v>11</v>
      </c>
      <c r="C28" t="s">
        <v>18</v>
      </c>
      <c r="E28" t="s">
        <v>26</v>
      </c>
      <c r="F28" t="s">
        <v>46</v>
      </c>
    </row>
    <row r="29" spans="1:10">
      <c r="A29" t="s">
        <v>10</v>
      </c>
      <c r="B29" t="s">
        <v>11</v>
      </c>
      <c r="C29" t="s">
        <v>18</v>
      </c>
      <c r="E29" t="s">
        <v>26</v>
      </c>
      <c r="F29" t="s">
        <v>47</v>
      </c>
    </row>
    <row r="30" spans="1:10">
      <c r="A30" t="s">
        <v>10</v>
      </c>
      <c r="B30" t="s">
        <v>11</v>
      </c>
      <c r="C30" t="s">
        <v>18</v>
      </c>
      <c r="E30" t="s">
        <v>48</v>
      </c>
      <c r="F30" t="s">
        <v>49</v>
      </c>
    </row>
    <row r="31" spans="1:10">
      <c r="A31" t="s">
        <v>10</v>
      </c>
      <c r="B31" t="s">
        <v>11</v>
      </c>
      <c r="C31" t="s">
        <v>18</v>
      </c>
      <c r="E31" t="s">
        <v>48</v>
      </c>
      <c r="F31" t="s">
        <v>50</v>
      </c>
    </row>
    <row r="32" spans="1:10">
      <c r="A32" t="s">
        <v>10</v>
      </c>
      <c r="B32" t="s">
        <v>11</v>
      </c>
      <c r="C32" t="s">
        <v>18</v>
      </c>
      <c r="E32" t="s">
        <v>48</v>
      </c>
      <c r="F32" t="s">
        <v>51</v>
      </c>
    </row>
    <row r="33" spans="1:13">
      <c r="A33" t="s">
        <v>10</v>
      </c>
      <c r="B33" t="s">
        <v>11</v>
      </c>
      <c r="C33" t="s">
        <v>18</v>
      </c>
      <c r="D33" t="s">
        <v>52</v>
      </c>
      <c r="E33" t="s">
        <v>53</v>
      </c>
      <c r="F33" t="s">
        <v>54</v>
      </c>
    </row>
    <row r="34" spans="1:13">
      <c r="A34" t="s">
        <v>10</v>
      </c>
      <c r="B34" t="s">
        <v>11</v>
      </c>
      <c r="C34" t="s">
        <v>18</v>
      </c>
      <c r="D34" t="s">
        <v>52</v>
      </c>
      <c r="E34" t="s">
        <v>53</v>
      </c>
      <c r="F34" t="s">
        <v>55</v>
      </c>
    </row>
    <row r="35" spans="1:13">
      <c r="A35" t="s">
        <v>10</v>
      </c>
      <c r="B35" t="s">
        <v>11</v>
      </c>
      <c r="C35" t="s">
        <v>18</v>
      </c>
      <c r="D35" t="s">
        <v>52</v>
      </c>
      <c r="E35" t="s">
        <v>53</v>
      </c>
      <c r="F35" t="s">
        <v>56</v>
      </c>
    </row>
    <row r="36" spans="1:13">
      <c r="A36" t="s">
        <v>10</v>
      </c>
      <c r="B36" t="s">
        <v>11</v>
      </c>
      <c r="C36" t="s">
        <v>18</v>
      </c>
      <c r="D36" t="s">
        <v>52</v>
      </c>
      <c r="E36" t="s">
        <v>53</v>
      </c>
      <c r="F36" t="s">
        <v>57</v>
      </c>
    </row>
    <row r="37" spans="1:13">
      <c r="A37" t="s">
        <v>10</v>
      </c>
      <c r="B37" t="s">
        <v>11</v>
      </c>
      <c r="C37" t="s">
        <v>18</v>
      </c>
      <c r="D37" t="s">
        <v>52</v>
      </c>
      <c r="E37" t="s">
        <v>53</v>
      </c>
      <c r="F37" t="s">
        <v>58</v>
      </c>
    </row>
    <row r="38" spans="1:13">
      <c r="A38" t="s">
        <v>10</v>
      </c>
      <c r="B38" t="s">
        <v>11</v>
      </c>
      <c r="C38" t="s">
        <v>18</v>
      </c>
      <c r="D38" t="s">
        <v>52</v>
      </c>
      <c r="E38" t="s">
        <v>59</v>
      </c>
      <c r="F38" t="s">
        <v>60</v>
      </c>
      <c r="J38" t="s">
        <v>33</v>
      </c>
    </row>
    <row r="39" spans="1:13">
      <c r="A39" t="s">
        <v>10</v>
      </c>
      <c r="B39" t="s">
        <v>11</v>
      </c>
      <c r="C39" t="s">
        <v>18</v>
      </c>
      <c r="D39" t="s">
        <v>52</v>
      </c>
      <c r="E39" t="s">
        <v>61</v>
      </c>
      <c r="F39" t="s">
        <v>60</v>
      </c>
      <c r="J39" t="s">
        <v>33</v>
      </c>
      <c r="M39" t="s">
        <v>62</v>
      </c>
    </row>
    <row r="40" spans="1:13">
      <c r="A40" t="s">
        <v>10</v>
      </c>
      <c r="B40" t="s">
        <v>11</v>
      </c>
      <c r="C40" t="s">
        <v>18</v>
      </c>
      <c r="E40" t="s">
        <v>63</v>
      </c>
      <c r="F40" t="s">
        <v>64</v>
      </c>
      <c r="J40" t="s">
        <v>33</v>
      </c>
    </row>
    <row r="41" spans="1:13">
      <c r="A41" t="s">
        <v>10</v>
      </c>
      <c r="B41" t="s">
        <v>11</v>
      </c>
      <c r="C41" t="s">
        <v>18</v>
      </c>
      <c r="E41" t="s">
        <v>63</v>
      </c>
      <c r="F41" t="s">
        <v>65</v>
      </c>
      <c r="J41" t="s">
        <v>33</v>
      </c>
    </row>
    <row r="42" spans="1:13">
      <c r="A42" t="s">
        <v>10</v>
      </c>
      <c r="B42" t="s">
        <v>11</v>
      </c>
      <c r="C42" t="s">
        <v>18</v>
      </c>
      <c r="E42" t="s">
        <v>63</v>
      </c>
      <c r="F42" t="s">
        <v>66</v>
      </c>
    </row>
    <row r="43" spans="1:13">
      <c r="A43" t="s">
        <v>10</v>
      </c>
      <c r="B43" t="s">
        <v>11</v>
      </c>
      <c r="C43" t="s">
        <v>18</v>
      </c>
      <c r="E43" t="s">
        <v>63</v>
      </c>
      <c r="F43" t="s">
        <v>67</v>
      </c>
    </row>
    <row r="44" spans="1:13">
      <c r="A44" t="s">
        <v>10</v>
      </c>
      <c r="B44" t="s">
        <v>11</v>
      </c>
      <c r="C44" t="s">
        <v>18</v>
      </c>
      <c r="E44" t="s">
        <v>63</v>
      </c>
      <c r="F44" t="s">
        <v>68</v>
      </c>
    </row>
    <row r="45" spans="1:13">
      <c r="A45" t="s">
        <v>10</v>
      </c>
      <c r="B45" t="s">
        <v>11</v>
      </c>
      <c r="C45" t="s">
        <v>18</v>
      </c>
      <c r="D45" t="s">
        <v>69</v>
      </c>
      <c r="J45" t="s">
        <v>33</v>
      </c>
    </row>
    <row r="46" spans="1:13">
      <c r="A46" t="s">
        <v>10</v>
      </c>
      <c r="B46" t="s">
        <v>11</v>
      </c>
      <c r="C46" t="s">
        <v>18</v>
      </c>
      <c r="E46" t="s">
        <v>70</v>
      </c>
      <c r="F46" t="s">
        <v>71</v>
      </c>
    </row>
    <row r="47" spans="1:13">
      <c r="A47" t="s">
        <v>10</v>
      </c>
      <c r="B47" t="s">
        <v>11</v>
      </c>
      <c r="C47" t="s">
        <v>18</v>
      </c>
      <c r="E47" t="s">
        <v>70</v>
      </c>
      <c r="F47" t="s">
        <v>72</v>
      </c>
    </row>
    <row r="48" spans="1:13">
      <c r="A48" t="s">
        <v>10</v>
      </c>
      <c r="B48" t="s">
        <v>11</v>
      </c>
      <c r="C48" t="s">
        <v>18</v>
      </c>
      <c r="E48" t="s">
        <v>70</v>
      </c>
      <c r="F48" t="s">
        <v>73</v>
      </c>
    </row>
    <row r="49" spans="1:10">
      <c r="A49" t="s">
        <v>10</v>
      </c>
      <c r="B49" t="s">
        <v>11</v>
      </c>
      <c r="C49" t="s">
        <v>18</v>
      </c>
      <c r="E49" t="s">
        <v>74</v>
      </c>
      <c r="F49" t="s">
        <v>75</v>
      </c>
    </row>
    <row r="50" spans="1:10">
      <c r="A50" t="s">
        <v>10</v>
      </c>
      <c r="B50" t="s">
        <v>11</v>
      </c>
      <c r="C50" t="s">
        <v>18</v>
      </c>
      <c r="E50" t="s">
        <v>74</v>
      </c>
      <c r="F50" t="s">
        <v>76</v>
      </c>
    </row>
    <row r="51" spans="1:10">
      <c r="A51" t="s">
        <v>10</v>
      </c>
      <c r="B51" t="s">
        <v>11</v>
      </c>
      <c r="C51" t="s">
        <v>18</v>
      </c>
      <c r="E51" t="s">
        <v>77</v>
      </c>
      <c r="F51" t="s">
        <v>78</v>
      </c>
    </row>
    <row r="52" spans="1:10">
      <c r="A52" t="s">
        <v>10</v>
      </c>
      <c r="B52" t="s">
        <v>11</v>
      </c>
      <c r="C52" t="s">
        <v>18</v>
      </c>
      <c r="E52" t="s">
        <v>79</v>
      </c>
      <c r="F52" t="s">
        <v>80</v>
      </c>
    </row>
    <row r="53" spans="1:10">
      <c r="E53" t="s">
        <v>81</v>
      </c>
      <c r="F53" t="s">
        <v>82</v>
      </c>
      <c r="J53"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29FD-449F-499F-867F-F645CD095B40}">
  <dimension ref="A1:J101"/>
  <sheetViews>
    <sheetView topLeftCell="A76" workbookViewId="0">
      <selection activeCell="H11" sqref="H11"/>
    </sheetView>
  </sheetViews>
  <sheetFormatPr baseColWidth="10" defaultColWidth="8.83203125" defaultRowHeight="15"/>
  <cols>
    <col min="1" max="1" width="9" bestFit="1" customWidth="1"/>
    <col min="2" max="2" width="11.83203125" bestFit="1" customWidth="1"/>
    <col min="3" max="3" width="15.83203125" bestFit="1" customWidth="1"/>
    <col min="4" max="4" width="20.1640625" bestFit="1" customWidth="1"/>
    <col min="5" max="5" width="18.33203125" bestFit="1" customWidth="1"/>
    <col min="6" max="6" width="16.6640625" bestFit="1" customWidth="1"/>
    <col min="7" max="7" width="18.33203125" bestFit="1" customWidth="1"/>
    <col min="8" max="8" width="13.6640625" bestFit="1" customWidth="1"/>
    <col min="9" max="9" width="12.5" bestFit="1" customWidth="1"/>
    <col min="10" max="10" width="30.33203125" bestFit="1" customWidth="1"/>
  </cols>
  <sheetData>
    <row r="1" spans="1:10">
      <c r="A1" t="s">
        <v>0</v>
      </c>
      <c r="B1" t="s">
        <v>1</v>
      </c>
      <c r="C1" t="s">
        <v>2</v>
      </c>
      <c r="D1" t="s">
        <v>3</v>
      </c>
      <c r="E1" t="s">
        <v>4</v>
      </c>
      <c r="F1" t="s">
        <v>5</v>
      </c>
      <c r="G1" t="s">
        <v>6</v>
      </c>
      <c r="H1" t="s">
        <v>7</v>
      </c>
      <c r="I1" t="s">
        <v>8</v>
      </c>
      <c r="J1" t="s">
        <v>9</v>
      </c>
    </row>
    <row r="2" spans="1:10" ht="16">
      <c r="A2" t="s">
        <v>10</v>
      </c>
      <c r="B2" t="s">
        <v>11</v>
      </c>
      <c r="C2" t="s">
        <v>12</v>
      </c>
      <c r="E2" s="1" t="s">
        <v>13</v>
      </c>
      <c r="F2" s="2" t="s">
        <v>14</v>
      </c>
      <c r="G2" s="1" t="s">
        <v>13</v>
      </c>
      <c r="H2" s="2" t="s">
        <v>14</v>
      </c>
      <c r="I2" t="s">
        <v>84</v>
      </c>
    </row>
    <row r="3" spans="1:10" ht="16">
      <c r="A3" t="s">
        <v>10</v>
      </c>
      <c r="B3" t="s">
        <v>11</v>
      </c>
      <c r="C3" t="s">
        <v>12</v>
      </c>
      <c r="E3" s="1" t="s">
        <v>13</v>
      </c>
      <c r="F3" s="2" t="s">
        <v>14</v>
      </c>
      <c r="G3" t="s">
        <v>85</v>
      </c>
      <c r="H3" t="s">
        <v>14</v>
      </c>
      <c r="I3" t="s">
        <v>86</v>
      </c>
    </row>
    <row r="4" spans="1:10">
      <c r="A4" t="s">
        <v>10</v>
      </c>
      <c r="B4" t="s">
        <v>11</v>
      </c>
      <c r="C4" t="s">
        <v>12</v>
      </c>
      <c r="E4" s="3" t="s">
        <v>13</v>
      </c>
      <c r="F4" t="s">
        <v>15</v>
      </c>
      <c r="G4" s="3" t="s">
        <v>13</v>
      </c>
      <c r="H4" t="s">
        <v>15</v>
      </c>
      <c r="I4" t="s">
        <v>84</v>
      </c>
    </row>
    <row r="5" spans="1:10">
      <c r="A5" t="s">
        <v>10</v>
      </c>
      <c r="B5" t="s">
        <v>11</v>
      </c>
      <c r="C5" t="s">
        <v>12</v>
      </c>
      <c r="E5" s="3" t="s">
        <v>13</v>
      </c>
      <c r="F5" t="s">
        <v>15</v>
      </c>
      <c r="G5" t="s">
        <v>87</v>
      </c>
      <c r="H5" t="s">
        <v>88</v>
      </c>
      <c r="I5" t="s">
        <v>86</v>
      </c>
    </row>
    <row r="6" spans="1:10">
      <c r="A6" t="s">
        <v>10</v>
      </c>
      <c r="B6" t="s">
        <v>11</v>
      </c>
      <c r="C6" t="s">
        <v>12</v>
      </c>
      <c r="E6" t="s">
        <v>13</v>
      </c>
      <c r="F6" t="s">
        <v>16</v>
      </c>
      <c r="G6" t="s">
        <v>13</v>
      </c>
      <c r="H6" t="s">
        <v>16</v>
      </c>
      <c r="I6" t="s">
        <v>84</v>
      </c>
    </row>
    <row r="7" spans="1:10">
      <c r="A7" t="s">
        <v>10</v>
      </c>
      <c r="B7" t="s">
        <v>11</v>
      </c>
      <c r="C7" t="s">
        <v>12</v>
      </c>
      <c r="E7" t="s">
        <v>13</v>
      </c>
      <c r="F7" t="s">
        <v>17</v>
      </c>
      <c r="G7" t="s">
        <v>13</v>
      </c>
      <c r="H7" t="s">
        <v>17</v>
      </c>
      <c r="I7" t="s">
        <v>84</v>
      </c>
    </row>
    <row r="8" spans="1:10">
      <c r="A8" t="s">
        <v>10</v>
      </c>
      <c r="B8" t="s">
        <v>11</v>
      </c>
      <c r="C8" t="s">
        <v>12</v>
      </c>
      <c r="E8" t="s">
        <v>13</v>
      </c>
      <c r="F8" t="s">
        <v>17</v>
      </c>
      <c r="G8" t="s">
        <v>87</v>
      </c>
      <c r="H8" t="s">
        <v>17</v>
      </c>
      <c r="I8" t="s">
        <v>86</v>
      </c>
    </row>
    <row r="9" spans="1:10">
      <c r="A9" t="s">
        <v>10</v>
      </c>
      <c r="B9" t="s">
        <v>11</v>
      </c>
      <c r="C9" t="s">
        <v>18</v>
      </c>
      <c r="E9" t="s">
        <v>19</v>
      </c>
      <c r="F9" t="s">
        <v>20</v>
      </c>
      <c r="G9" t="s">
        <v>19</v>
      </c>
      <c r="H9" t="s">
        <v>20</v>
      </c>
      <c r="I9" t="s">
        <v>84</v>
      </c>
    </row>
    <row r="10" spans="1:10">
      <c r="A10" t="s">
        <v>10</v>
      </c>
      <c r="B10" t="s">
        <v>11</v>
      </c>
      <c r="C10" t="s">
        <v>18</v>
      </c>
      <c r="E10" t="s">
        <v>19</v>
      </c>
      <c r="F10" t="s">
        <v>20</v>
      </c>
      <c r="G10" t="s">
        <v>74</v>
      </c>
      <c r="H10" t="s">
        <v>20</v>
      </c>
      <c r="I10" t="s">
        <v>86</v>
      </c>
    </row>
    <row r="11" spans="1:10">
      <c r="A11" t="s">
        <v>10</v>
      </c>
      <c r="B11" t="s">
        <v>11</v>
      </c>
      <c r="C11" t="s">
        <v>18</v>
      </c>
      <c r="E11" t="s">
        <v>19</v>
      </c>
      <c r="F11" t="s">
        <v>21</v>
      </c>
      <c r="G11" t="s">
        <v>19</v>
      </c>
      <c r="H11" t="s">
        <v>21</v>
      </c>
      <c r="I11" t="s">
        <v>84</v>
      </c>
    </row>
    <row r="12" spans="1:10">
      <c r="A12" t="s">
        <v>10</v>
      </c>
      <c r="B12" t="s">
        <v>11</v>
      </c>
      <c r="C12" t="s">
        <v>18</v>
      </c>
      <c r="E12" t="s">
        <v>22</v>
      </c>
      <c r="F12" t="s">
        <v>23</v>
      </c>
      <c r="G12" t="s">
        <v>22</v>
      </c>
      <c r="H12" t="s">
        <v>23</v>
      </c>
      <c r="I12" t="s">
        <v>84</v>
      </c>
    </row>
    <row r="13" spans="1:10">
      <c r="A13" t="s">
        <v>10</v>
      </c>
      <c r="B13" t="s">
        <v>11</v>
      </c>
      <c r="C13" t="s">
        <v>18</v>
      </c>
      <c r="E13" t="s">
        <v>24</v>
      </c>
      <c r="F13" t="s">
        <v>25</v>
      </c>
      <c r="G13" t="s">
        <v>24</v>
      </c>
      <c r="H13" t="s">
        <v>25</v>
      </c>
      <c r="I13" t="s">
        <v>84</v>
      </c>
    </row>
    <row r="14" spans="1:10">
      <c r="A14" t="s">
        <v>10</v>
      </c>
      <c r="B14" t="s">
        <v>11</v>
      </c>
      <c r="C14" t="s">
        <v>18</v>
      </c>
      <c r="E14" t="s">
        <v>24</v>
      </c>
      <c r="F14" t="s">
        <v>25</v>
      </c>
      <c r="G14" t="s">
        <v>63</v>
      </c>
      <c r="H14" t="s">
        <v>25</v>
      </c>
      <c r="I14" t="s">
        <v>86</v>
      </c>
    </row>
    <row r="15" spans="1:10">
      <c r="A15" t="s">
        <v>10</v>
      </c>
      <c r="B15" t="s">
        <v>11</v>
      </c>
      <c r="C15" t="s">
        <v>18</v>
      </c>
      <c r="E15" t="s">
        <v>24</v>
      </c>
      <c r="F15" t="s">
        <v>25</v>
      </c>
      <c r="G15" t="s">
        <v>89</v>
      </c>
      <c r="H15" t="s">
        <v>25</v>
      </c>
      <c r="I15" t="s">
        <v>86</v>
      </c>
    </row>
    <row r="16" spans="1:10">
      <c r="A16" t="s">
        <v>10</v>
      </c>
      <c r="B16" t="s">
        <v>11</v>
      </c>
      <c r="C16" t="s">
        <v>18</v>
      </c>
      <c r="E16" t="s">
        <v>24</v>
      </c>
      <c r="F16" t="s">
        <v>25</v>
      </c>
      <c r="G16" t="s">
        <v>70</v>
      </c>
      <c r="H16" t="s">
        <v>25</v>
      </c>
      <c r="I16" t="s">
        <v>86</v>
      </c>
    </row>
    <row r="17" spans="1:10">
      <c r="A17" t="s">
        <v>10</v>
      </c>
      <c r="B17" t="s">
        <v>11</v>
      </c>
      <c r="C17" t="s">
        <v>18</v>
      </c>
      <c r="E17" t="s">
        <v>24</v>
      </c>
      <c r="F17" t="s">
        <v>25</v>
      </c>
      <c r="G17" t="s">
        <v>77</v>
      </c>
      <c r="H17" t="s">
        <v>25</v>
      </c>
      <c r="I17" t="s">
        <v>86</v>
      </c>
    </row>
    <row r="18" spans="1:10">
      <c r="A18" t="s">
        <v>10</v>
      </c>
      <c r="B18" t="s">
        <v>11</v>
      </c>
      <c r="C18" t="s">
        <v>18</v>
      </c>
      <c r="E18" t="s">
        <v>26</v>
      </c>
      <c r="F18" t="s">
        <v>27</v>
      </c>
      <c r="G18" t="s">
        <v>26</v>
      </c>
      <c r="H18" t="s">
        <v>27</v>
      </c>
      <c r="I18" t="s">
        <v>84</v>
      </c>
    </row>
    <row r="19" spans="1:10">
      <c r="A19" t="s">
        <v>10</v>
      </c>
      <c r="B19" t="s">
        <v>11</v>
      </c>
      <c r="C19" t="s">
        <v>18</v>
      </c>
      <c r="E19" t="s">
        <v>26</v>
      </c>
      <c r="F19" t="s">
        <v>28</v>
      </c>
      <c r="G19" t="s">
        <v>26</v>
      </c>
      <c r="H19" t="s">
        <v>28</v>
      </c>
      <c r="I19" t="s">
        <v>84</v>
      </c>
    </row>
    <row r="20" spans="1:10">
      <c r="A20" t="s">
        <v>10</v>
      </c>
      <c r="B20" t="s">
        <v>11</v>
      </c>
      <c r="C20" t="s">
        <v>18</v>
      </c>
      <c r="E20" t="s">
        <v>26</v>
      </c>
      <c r="F20" t="s">
        <v>29</v>
      </c>
      <c r="G20" t="s">
        <v>26</v>
      </c>
      <c r="H20" t="s">
        <v>29</v>
      </c>
      <c r="I20" t="s">
        <v>84</v>
      </c>
    </row>
    <row r="21" spans="1:10">
      <c r="A21" t="s">
        <v>10</v>
      </c>
      <c r="B21" t="s">
        <v>11</v>
      </c>
      <c r="C21" t="s">
        <v>18</v>
      </c>
      <c r="E21" t="s">
        <v>26</v>
      </c>
      <c r="F21" t="s">
        <v>30</v>
      </c>
      <c r="G21" t="s">
        <v>26</v>
      </c>
      <c r="H21" t="s">
        <v>30</v>
      </c>
      <c r="I21" t="s">
        <v>84</v>
      </c>
    </row>
    <row r="22" spans="1:10">
      <c r="A22" t="s">
        <v>10</v>
      </c>
      <c r="B22" t="s">
        <v>11</v>
      </c>
      <c r="C22" t="s">
        <v>18</v>
      </c>
      <c r="E22" t="s">
        <v>26</v>
      </c>
      <c r="F22" t="s">
        <v>31</v>
      </c>
      <c r="G22" t="s">
        <v>26</v>
      </c>
      <c r="H22" t="s">
        <v>31</v>
      </c>
      <c r="I22" t="s">
        <v>84</v>
      </c>
    </row>
    <row r="23" spans="1:10">
      <c r="A23" t="s">
        <v>10</v>
      </c>
      <c r="B23" t="s">
        <v>11</v>
      </c>
      <c r="C23" t="s">
        <v>18</v>
      </c>
      <c r="E23" t="s">
        <v>26</v>
      </c>
      <c r="F23" t="s">
        <v>32</v>
      </c>
      <c r="G23" t="s">
        <v>26</v>
      </c>
      <c r="H23" t="s">
        <v>32</v>
      </c>
      <c r="I23" t="s">
        <v>84</v>
      </c>
      <c r="J23" t="s">
        <v>33</v>
      </c>
    </row>
    <row r="24" spans="1:10">
      <c r="A24" t="s">
        <v>10</v>
      </c>
      <c r="B24" t="s">
        <v>11</v>
      </c>
      <c r="C24" t="s">
        <v>18</v>
      </c>
      <c r="E24" t="s">
        <v>26</v>
      </c>
      <c r="F24" t="s">
        <v>34</v>
      </c>
      <c r="G24" t="s">
        <v>26</v>
      </c>
      <c r="H24" t="s">
        <v>34</v>
      </c>
      <c r="I24" t="s">
        <v>84</v>
      </c>
    </row>
    <row r="25" spans="1:10">
      <c r="A25" t="s">
        <v>10</v>
      </c>
      <c r="B25" t="s">
        <v>11</v>
      </c>
      <c r="C25" t="s">
        <v>18</v>
      </c>
      <c r="E25" t="s">
        <v>26</v>
      </c>
      <c r="F25" t="s">
        <v>34</v>
      </c>
      <c r="G25" t="s">
        <v>90</v>
      </c>
      <c r="H25" t="s">
        <v>34</v>
      </c>
      <c r="I25" t="s">
        <v>86</v>
      </c>
    </row>
    <row r="26" spans="1:10">
      <c r="A26" t="s">
        <v>10</v>
      </c>
      <c r="B26" t="s">
        <v>11</v>
      </c>
      <c r="C26" t="s">
        <v>18</v>
      </c>
      <c r="E26" t="s">
        <v>26</v>
      </c>
      <c r="F26" t="s">
        <v>34</v>
      </c>
      <c r="G26" t="s">
        <v>91</v>
      </c>
      <c r="H26" t="s">
        <v>34</v>
      </c>
      <c r="I26" t="s">
        <v>86</v>
      </c>
    </row>
    <row r="27" spans="1:10">
      <c r="A27" t="s">
        <v>10</v>
      </c>
      <c r="B27" t="s">
        <v>11</v>
      </c>
      <c r="C27" t="s">
        <v>18</v>
      </c>
      <c r="E27" t="s">
        <v>26</v>
      </c>
      <c r="F27" t="s">
        <v>34</v>
      </c>
      <c r="G27" t="s">
        <v>26</v>
      </c>
      <c r="H27" t="s">
        <v>92</v>
      </c>
      <c r="I27" t="s">
        <v>93</v>
      </c>
    </row>
    <row r="28" spans="1:10">
      <c r="A28" t="s">
        <v>10</v>
      </c>
      <c r="B28" t="s">
        <v>11</v>
      </c>
      <c r="C28" t="s">
        <v>18</v>
      </c>
      <c r="E28" t="s">
        <v>26</v>
      </c>
      <c r="F28" t="s">
        <v>35</v>
      </c>
      <c r="G28" t="s">
        <v>26</v>
      </c>
      <c r="H28" t="s">
        <v>35</v>
      </c>
      <c r="I28" t="s">
        <v>84</v>
      </c>
    </row>
    <row r="29" spans="1:10">
      <c r="A29" t="s">
        <v>10</v>
      </c>
      <c r="B29" t="s">
        <v>11</v>
      </c>
      <c r="C29" t="s">
        <v>18</v>
      </c>
      <c r="E29" t="s">
        <v>26</v>
      </c>
      <c r="F29" t="s">
        <v>36</v>
      </c>
      <c r="G29" t="s">
        <v>26</v>
      </c>
      <c r="H29" t="s">
        <v>36</v>
      </c>
      <c r="I29" t="s">
        <v>84</v>
      </c>
    </row>
    <row r="30" spans="1:10">
      <c r="A30" t="s">
        <v>10</v>
      </c>
      <c r="B30" t="s">
        <v>11</v>
      </c>
      <c r="C30" t="s">
        <v>18</v>
      </c>
      <c r="E30" t="s">
        <v>26</v>
      </c>
      <c r="F30" t="s">
        <v>37</v>
      </c>
      <c r="G30" t="s">
        <v>26</v>
      </c>
      <c r="H30" t="s">
        <v>37</v>
      </c>
      <c r="I30" t="s">
        <v>84</v>
      </c>
    </row>
    <row r="31" spans="1:10">
      <c r="A31" t="s">
        <v>10</v>
      </c>
      <c r="B31" t="s">
        <v>11</v>
      </c>
      <c r="C31" t="s">
        <v>18</v>
      </c>
      <c r="E31" t="s">
        <v>26</v>
      </c>
      <c r="F31" t="s">
        <v>37</v>
      </c>
      <c r="G31" t="s">
        <v>94</v>
      </c>
      <c r="H31" t="s">
        <v>37</v>
      </c>
      <c r="I31" t="s">
        <v>86</v>
      </c>
    </row>
    <row r="32" spans="1:10">
      <c r="A32" t="s">
        <v>10</v>
      </c>
      <c r="B32" t="s">
        <v>11</v>
      </c>
      <c r="C32" t="s">
        <v>18</v>
      </c>
      <c r="E32" t="s">
        <v>26</v>
      </c>
      <c r="F32" t="s">
        <v>38</v>
      </c>
      <c r="G32" t="s">
        <v>26</v>
      </c>
      <c r="H32" t="s">
        <v>38</v>
      </c>
      <c r="I32" t="s">
        <v>84</v>
      </c>
    </row>
    <row r="33" spans="1:10">
      <c r="A33" t="s">
        <v>10</v>
      </c>
      <c r="B33" t="s">
        <v>11</v>
      </c>
      <c r="C33" t="s">
        <v>18</v>
      </c>
      <c r="E33" t="s">
        <v>26</v>
      </c>
      <c r="F33" t="s">
        <v>38</v>
      </c>
      <c r="G33" t="s">
        <v>26</v>
      </c>
      <c r="H33" t="s">
        <v>95</v>
      </c>
      <c r="I33" t="s">
        <v>93</v>
      </c>
    </row>
    <row r="34" spans="1:10">
      <c r="A34" t="s">
        <v>10</v>
      </c>
      <c r="B34" t="s">
        <v>11</v>
      </c>
      <c r="C34" t="s">
        <v>18</v>
      </c>
      <c r="E34" t="s">
        <v>26</v>
      </c>
      <c r="F34" t="s">
        <v>38</v>
      </c>
      <c r="G34" t="s">
        <v>26</v>
      </c>
      <c r="H34" t="s">
        <v>96</v>
      </c>
      <c r="I34" t="s">
        <v>93</v>
      </c>
    </row>
    <row r="35" spans="1:10">
      <c r="A35" t="s">
        <v>10</v>
      </c>
      <c r="B35" t="s">
        <v>11</v>
      </c>
      <c r="C35" t="s">
        <v>18</v>
      </c>
      <c r="E35" t="s">
        <v>26</v>
      </c>
      <c r="F35" t="s">
        <v>38</v>
      </c>
      <c r="G35" t="s">
        <v>26</v>
      </c>
      <c r="H35" t="s">
        <v>97</v>
      </c>
      <c r="I35" t="s">
        <v>93</v>
      </c>
    </row>
    <row r="36" spans="1:10">
      <c r="A36" t="s">
        <v>10</v>
      </c>
      <c r="B36" t="s">
        <v>11</v>
      </c>
      <c r="C36" t="s">
        <v>18</v>
      </c>
      <c r="E36" t="s">
        <v>26</v>
      </c>
      <c r="F36" t="s">
        <v>38</v>
      </c>
      <c r="G36" t="s">
        <v>98</v>
      </c>
      <c r="H36" t="s">
        <v>99</v>
      </c>
      <c r="I36" t="s">
        <v>93</v>
      </c>
    </row>
    <row r="37" spans="1:10">
      <c r="A37" t="s">
        <v>10</v>
      </c>
      <c r="B37" t="s">
        <v>11</v>
      </c>
      <c r="C37" t="s">
        <v>18</v>
      </c>
      <c r="E37" t="s">
        <v>26</v>
      </c>
      <c r="F37" t="s">
        <v>38</v>
      </c>
      <c r="G37" t="s">
        <v>100</v>
      </c>
      <c r="H37" t="s">
        <v>97</v>
      </c>
      <c r="I37" t="s">
        <v>93</v>
      </c>
    </row>
    <row r="38" spans="1:10">
      <c r="A38" t="s">
        <v>10</v>
      </c>
      <c r="B38" t="s">
        <v>11</v>
      </c>
      <c r="C38" t="s">
        <v>18</v>
      </c>
      <c r="E38" t="s">
        <v>26</v>
      </c>
      <c r="F38" t="s">
        <v>39</v>
      </c>
      <c r="G38" t="s">
        <v>26</v>
      </c>
      <c r="H38" t="s">
        <v>39</v>
      </c>
      <c r="I38" t="s">
        <v>84</v>
      </c>
    </row>
    <row r="39" spans="1:10">
      <c r="A39" t="s">
        <v>10</v>
      </c>
      <c r="B39" t="s">
        <v>11</v>
      </c>
      <c r="C39" t="s">
        <v>18</v>
      </c>
      <c r="E39" t="s">
        <v>26</v>
      </c>
      <c r="F39" t="s">
        <v>40</v>
      </c>
      <c r="G39" t="s">
        <v>26</v>
      </c>
      <c r="H39" t="s">
        <v>40</v>
      </c>
      <c r="I39" t="s">
        <v>84</v>
      </c>
    </row>
    <row r="40" spans="1:10">
      <c r="A40" t="s">
        <v>10</v>
      </c>
      <c r="B40" t="s">
        <v>11</v>
      </c>
      <c r="C40" t="s">
        <v>18</v>
      </c>
      <c r="E40" t="s">
        <v>26</v>
      </c>
      <c r="F40" t="s">
        <v>40</v>
      </c>
      <c r="G40" t="s">
        <v>26</v>
      </c>
      <c r="H40" t="s">
        <v>101</v>
      </c>
      <c r="I40" t="s">
        <v>93</v>
      </c>
    </row>
    <row r="41" spans="1:10">
      <c r="A41" t="s">
        <v>10</v>
      </c>
      <c r="B41" t="s">
        <v>11</v>
      </c>
      <c r="C41" t="s">
        <v>18</v>
      </c>
      <c r="E41" t="s">
        <v>26</v>
      </c>
      <c r="F41" t="s">
        <v>40</v>
      </c>
      <c r="G41" t="s">
        <v>26</v>
      </c>
      <c r="H41" t="s">
        <v>102</v>
      </c>
      <c r="I41" t="s">
        <v>93</v>
      </c>
    </row>
    <row r="42" spans="1:10">
      <c r="A42" t="s">
        <v>10</v>
      </c>
      <c r="B42" t="s">
        <v>11</v>
      </c>
      <c r="C42" t="s">
        <v>18</v>
      </c>
      <c r="E42" t="s">
        <v>26</v>
      </c>
      <c r="F42" t="s">
        <v>40</v>
      </c>
      <c r="G42" t="s">
        <v>26</v>
      </c>
      <c r="H42" t="s">
        <v>103</v>
      </c>
      <c r="I42" t="s">
        <v>93</v>
      </c>
    </row>
    <row r="43" spans="1:10">
      <c r="A43" t="s">
        <v>10</v>
      </c>
      <c r="B43" t="s">
        <v>11</v>
      </c>
      <c r="C43" t="s">
        <v>18</v>
      </c>
      <c r="E43" t="s">
        <v>26</v>
      </c>
      <c r="F43" t="s">
        <v>41</v>
      </c>
      <c r="G43" t="s">
        <v>26</v>
      </c>
      <c r="H43" t="s">
        <v>41</v>
      </c>
      <c r="I43" t="s">
        <v>84</v>
      </c>
      <c r="J43" t="s">
        <v>33</v>
      </c>
    </row>
    <row r="44" spans="1:10">
      <c r="A44" t="s">
        <v>10</v>
      </c>
      <c r="B44" t="s">
        <v>11</v>
      </c>
      <c r="C44" t="s">
        <v>18</v>
      </c>
      <c r="E44" t="s">
        <v>26</v>
      </c>
      <c r="F44" t="s">
        <v>42</v>
      </c>
      <c r="G44" t="s">
        <v>26</v>
      </c>
      <c r="H44" t="s">
        <v>42</v>
      </c>
      <c r="I44" t="s">
        <v>84</v>
      </c>
    </row>
    <row r="45" spans="1:10">
      <c r="A45" t="s">
        <v>10</v>
      </c>
      <c r="B45" t="s">
        <v>11</v>
      </c>
      <c r="C45" t="s">
        <v>18</v>
      </c>
      <c r="E45" t="s">
        <v>26</v>
      </c>
      <c r="F45" t="s">
        <v>43</v>
      </c>
      <c r="G45" t="s">
        <v>26</v>
      </c>
      <c r="H45" t="s">
        <v>43</v>
      </c>
      <c r="I45" t="s">
        <v>84</v>
      </c>
    </row>
    <row r="46" spans="1:10">
      <c r="A46" t="s">
        <v>10</v>
      </c>
      <c r="B46" t="s">
        <v>11</v>
      </c>
      <c r="C46" t="s">
        <v>18</v>
      </c>
      <c r="E46" t="s">
        <v>26</v>
      </c>
      <c r="F46" t="s">
        <v>44</v>
      </c>
      <c r="G46" t="s">
        <v>26</v>
      </c>
      <c r="H46" t="s">
        <v>44</v>
      </c>
      <c r="I46" t="s">
        <v>84</v>
      </c>
    </row>
    <row r="47" spans="1:10">
      <c r="A47" t="s">
        <v>10</v>
      </c>
      <c r="B47" t="s">
        <v>11</v>
      </c>
      <c r="C47" t="s">
        <v>18</v>
      </c>
      <c r="E47" t="s">
        <v>26</v>
      </c>
      <c r="F47" t="s">
        <v>45</v>
      </c>
      <c r="G47" t="s">
        <v>26</v>
      </c>
      <c r="H47" t="s">
        <v>45</v>
      </c>
      <c r="I47" t="s">
        <v>84</v>
      </c>
    </row>
    <row r="48" spans="1:10">
      <c r="A48" t="s">
        <v>10</v>
      </c>
      <c r="B48" t="s">
        <v>11</v>
      </c>
      <c r="C48" t="s">
        <v>18</v>
      </c>
      <c r="E48" t="s">
        <v>26</v>
      </c>
      <c r="F48" t="s">
        <v>46</v>
      </c>
      <c r="G48" t="s">
        <v>26</v>
      </c>
      <c r="H48" t="s">
        <v>46</v>
      </c>
      <c r="I48" t="s">
        <v>84</v>
      </c>
    </row>
    <row r="49" spans="1:9">
      <c r="A49" t="s">
        <v>10</v>
      </c>
      <c r="B49" t="s">
        <v>11</v>
      </c>
      <c r="C49" t="s">
        <v>18</v>
      </c>
      <c r="E49" t="s">
        <v>26</v>
      </c>
      <c r="F49" t="s">
        <v>47</v>
      </c>
      <c r="G49" t="s">
        <v>26</v>
      </c>
      <c r="H49" t="s">
        <v>47</v>
      </c>
      <c r="I49" t="s">
        <v>84</v>
      </c>
    </row>
    <row r="50" spans="1:9">
      <c r="A50" t="s">
        <v>10</v>
      </c>
      <c r="B50" t="s">
        <v>11</v>
      </c>
      <c r="C50" t="s">
        <v>18</v>
      </c>
      <c r="E50" t="s">
        <v>48</v>
      </c>
      <c r="F50" t="s">
        <v>49</v>
      </c>
      <c r="G50" t="s">
        <v>48</v>
      </c>
      <c r="H50" t="s">
        <v>49</v>
      </c>
      <c r="I50" t="s">
        <v>84</v>
      </c>
    </row>
    <row r="51" spans="1:9">
      <c r="A51" t="s">
        <v>10</v>
      </c>
      <c r="B51" t="s">
        <v>11</v>
      </c>
      <c r="C51" t="s">
        <v>18</v>
      </c>
      <c r="E51" t="s">
        <v>48</v>
      </c>
      <c r="F51" t="s">
        <v>50</v>
      </c>
      <c r="G51" t="s">
        <v>48</v>
      </c>
      <c r="H51" t="s">
        <v>50</v>
      </c>
      <c r="I51" t="s">
        <v>84</v>
      </c>
    </row>
    <row r="52" spans="1:9">
      <c r="A52" t="s">
        <v>10</v>
      </c>
      <c r="B52" t="s">
        <v>11</v>
      </c>
      <c r="C52" t="s">
        <v>18</v>
      </c>
      <c r="E52" t="s">
        <v>48</v>
      </c>
      <c r="F52" t="s">
        <v>51</v>
      </c>
      <c r="G52" t="s">
        <v>48</v>
      </c>
      <c r="H52" t="s">
        <v>51</v>
      </c>
      <c r="I52" t="s">
        <v>84</v>
      </c>
    </row>
    <row r="53" spans="1:9">
      <c r="A53" t="s">
        <v>10</v>
      </c>
      <c r="B53" t="s">
        <v>11</v>
      </c>
      <c r="C53" t="s">
        <v>18</v>
      </c>
      <c r="D53" t="s">
        <v>52</v>
      </c>
      <c r="E53" t="s">
        <v>53</v>
      </c>
      <c r="F53" t="s">
        <v>54</v>
      </c>
      <c r="G53" t="s">
        <v>53</v>
      </c>
      <c r="H53" t="s">
        <v>54</v>
      </c>
      <c r="I53" t="s">
        <v>84</v>
      </c>
    </row>
    <row r="54" spans="1:9">
      <c r="A54" t="s">
        <v>10</v>
      </c>
      <c r="B54" t="s">
        <v>11</v>
      </c>
      <c r="C54" t="s">
        <v>18</v>
      </c>
      <c r="D54" t="s">
        <v>52</v>
      </c>
      <c r="E54" t="s">
        <v>53</v>
      </c>
      <c r="F54" t="s">
        <v>54</v>
      </c>
      <c r="G54" t="s">
        <v>53</v>
      </c>
      <c r="H54" t="s">
        <v>104</v>
      </c>
      <c r="I54" t="s">
        <v>93</v>
      </c>
    </row>
    <row r="55" spans="1:9">
      <c r="A55" t="s">
        <v>10</v>
      </c>
      <c r="B55" t="s">
        <v>11</v>
      </c>
      <c r="C55" t="s">
        <v>18</v>
      </c>
      <c r="D55" t="s">
        <v>52</v>
      </c>
      <c r="E55" t="s">
        <v>53</v>
      </c>
      <c r="F55" t="s">
        <v>55</v>
      </c>
      <c r="G55" t="s">
        <v>53</v>
      </c>
      <c r="H55" t="s">
        <v>55</v>
      </c>
      <c r="I55" t="s">
        <v>84</v>
      </c>
    </row>
    <row r="56" spans="1:9">
      <c r="A56" t="s">
        <v>10</v>
      </c>
      <c r="B56" t="s">
        <v>11</v>
      </c>
      <c r="C56" t="s">
        <v>18</v>
      </c>
      <c r="D56" t="s">
        <v>52</v>
      </c>
      <c r="E56" t="s">
        <v>53</v>
      </c>
      <c r="F56" t="s">
        <v>55</v>
      </c>
      <c r="G56" t="s">
        <v>63</v>
      </c>
      <c r="H56" t="s">
        <v>55</v>
      </c>
      <c r="I56" t="s">
        <v>86</v>
      </c>
    </row>
    <row r="57" spans="1:9">
      <c r="A57" t="s">
        <v>10</v>
      </c>
      <c r="B57" t="s">
        <v>11</v>
      </c>
      <c r="C57" t="s">
        <v>18</v>
      </c>
      <c r="D57" t="s">
        <v>52</v>
      </c>
      <c r="E57" t="s">
        <v>53</v>
      </c>
      <c r="F57" t="s">
        <v>55</v>
      </c>
      <c r="G57" t="s">
        <v>105</v>
      </c>
      <c r="H57" t="s">
        <v>55</v>
      </c>
      <c r="I57" t="s">
        <v>86</v>
      </c>
    </row>
    <row r="58" spans="1:9">
      <c r="A58" t="s">
        <v>10</v>
      </c>
      <c r="B58" t="s">
        <v>11</v>
      </c>
      <c r="C58" t="s">
        <v>18</v>
      </c>
      <c r="D58" t="s">
        <v>52</v>
      </c>
      <c r="E58" t="s">
        <v>53</v>
      </c>
      <c r="F58" t="s">
        <v>56</v>
      </c>
      <c r="G58" t="s">
        <v>53</v>
      </c>
      <c r="H58" t="s">
        <v>56</v>
      </c>
      <c r="I58" t="s">
        <v>84</v>
      </c>
    </row>
    <row r="59" spans="1:9">
      <c r="A59" t="s">
        <v>10</v>
      </c>
      <c r="B59" t="s">
        <v>11</v>
      </c>
      <c r="C59" t="s">
        <v>18</v>
      </c>
      <c r="D59" t="s">
        <v>52</v>
      </c>
      <c r="E59" t="s">
        <v>53</v>
      </c>
      <c r="F59" t="s">
        <v>56</v>
      </c>
      <c r="G59" t="s">
        <v>63</v>
      </c>
      <c r="H59" t="s">
        <v>56</v>
      </c>
      <c r="I59" t="s">
        <v>86</v>
      </c>
    </row>
    <row r="60" spans="1:9">
      <c r="A60" t="s">
        <v>10</v>
      </c>
      <c r="B60" t="s">
        <v>11</v>
      </c>
      <c r="C60" t="s">
        <v>18</v>
      </c>
      <c r="D60" t="s">
        <v>52</v>
      </c>
      <c r="E60" t="s">
        <v>53</v>
      </c>
      <c r="F60" t="s">
        <v>56</v>
      </c>
      <c r="G60" t="s">
        <v>70</v>
      </c>
      <c r="H60" t="s">
        <v>56</v>
      </c>
      <c r="I60" t="s">
        <v>86</v>
      </c>
    </row>
    <row r="61" spans="1:9">
      <c r="A61" t="s">
        <v>10</v>
      </c>
      <c r="B61" t="s">
        <v>11</v>
      </c>
      <c r="C61" t="s">
        <v>18</v>
      </c>
      <c r="D61" t="s">
        <v>52</v>
      </c>
      <c r="E61" t="s">
        <v>53</v>
      </c>
      <c r="F61" t="s">
        <v>56</v>
      </c>
      <c r="G61" t="s">
        <v>53</v>
      </c>
      <c r="H61" t="s">
        <v>106</v>
      </c>
      <c r="I61" t="s">
        <v>93</v>
      </c>
    </row>
    <row r="62" spans="1:9">
      <c r="A62" t="s">
        <v>10</v>
      </c>
      <c r="B62" t="s">
        <v>11</v>
      </c>
      <c r="C62" t="s">
        <v>18</v>
      </c>
      <c r="D62" t="s">
        <v>52</v>
      </c>
      <c r="E62" t="s">
        <v>53</v>
      </c>
      <c r="F62" t="s">
        <v>56</v>
      </c>
      <c r="G62" t="s">
        <v>107</v>
      </c>
      <c r="H62" t="s">
        <v>108</v>
      </c>
      <c r="I62" t="s">
        <v>93</v>
      </c>
    </row>
    <row r="63" spans="1:9">
      <c r="A63" t="s">
        <v>10</v>
      </c>
      <c r="B63" t="s">
        <v>11</v>
      </c>
      <c r="C63" t="s">
        <v>18</v>
      </c>
      <c r="D63" t="s">
        <v>52</v>
      </c>
      <c r="E63" t="s">
        <v>53</v>
      </c>
      <c r="F63" t="s">
        <v>56</v>
      </c>
      <c r="G63" t="s">
        <v>48</v>
      </c>
      <c r="H63" t="s">
        <v>108</v>
      </c>
      <c r="I63" t="s">
        <v>93</v>
      </c>
    </row>
    <row r="64" spans="1:9">
      <c r="A64" t="s">
        <v>10</v>
      </c>
      <c r="B64" t="s">
        <v>11</v>
      </c>
      <c r="C64" t="s">
        <v>18</v>
      </c>
      <c r="D64" t="s">
        <v>52</v>
      </c>
      <c r="E64" t="s">
        <v>53</v>
      </c>
      <c r="F64" t="s">
        <v>56</v>
      </c>
      <c r="G64" t="s">
        <v>70</v>
      </c>
      <c r="H64" t="s">
        <v>106</v>
      </c>
      <c r="I64" t="s">
        <v>93</v>
      </c>
    </row>
    <row r="65" spans="1:10">
      <c r="A65" t="s">
        <v>10</v>
      </c>
      <c r="B65" t="s">
        <v>11</v>
      </c>
      <c r="C65" t="s">
        <v>18</v>
      </c>
      <c r="D65" t="s">
        <v>52</v>
      </c>
      <c r="E65" t="s">
        <v>53</v>
      </c>
      <c r="F65" t="s">
        <v>57</v>
      </c>
      <c r="G65" t="s">
        <v>53</v>
      </c>
      <c r="H65" t="s">
        <v>57</v>
      </c>
      <c r="I65" t="s">
        <v>84</v>
      </c>
    </row>
    <row r="66" spans="1:10">
      <c r="A66" t="s">
        <v>10</v>
      </c>
      <c r="B66" t="s">
        <v>11</v>
      </c>
      <c r="C66" t="s">
        <v>18</v>
      </c>
      <c r="D66" t="s">
        <v>52</v>
      </c>
      <c r="E66" t="s">
        <v>53</v>
      </c>
      <c r="F66" t="s">
        <v>57</v>
      </c>
      <c r="G66" t="s">
        <v>48</v>
      </c>
      <c r="H66" t="s">
        <v>57</v>
      </c>
      <c r="I66" t="s">
        <v>86</v>
      </c>
    </row>
    <row r="67" spans="1:10">
      <c r="A67" t="s">
        <v>10</v>
      </c>
      <c r="B67" t="s">
        <v>11</v>
      </c>
      <c r="C67" t="s">
        <v>18</v>
      </c>
      <c r="D67" t="s">
        <v>52</v>
      </c>
      <c r="E67" t="s">
        <v>53</v>
      </c>
      <c r="F67" t="s">
        <v>58</v>
      </c>
      <c r="G67" t="s">
        <v>53</v>
      </c>
      <c r="H67" t="s">
        <v>58</v>
      </c>
      <c r="I67" t="s">
        <v>84</v>
      </c>
    </row>
    <row r="68" spans="1:10">
      <c r="A68" s="4" t="s">
        <v>10</v>
      </c>
      <c r="B68" s="4" t="s">
        <v>11</v>
      </c>
      <c r="C68" s="4" t="s">
        <v>18</v>
      </c>
      <c r="D68" s="4" t="s">
        <v>52</v>
      </c>
      <c r="E68" s="4" t="s">
        <v>59</v>
      </c>
      <c r="F68" s="4" t="s">
        <v>60</v>
      </c>
      <c r="G68" s="4" t="s">
        <v>59</v>
      </c>
      <c r="H68" s="4" t="s">
        <v>60</v>
      </c>
      <c r="I68" s="4" t="s">
        <v>84</v>
      </c>
      <c r="J68" s="4" t="s">
        <v>33</v>
      </c>
    </row>
    <row r="69" spans="1:10">
      <c r="A69" t="s">
        <v>10</v>
      </c>
      <c r="B69" t="s">
        <v>11</v>
      </c>
      <c r="C69" t="s">
        <v>18</v>
      </c>
      <c r="D69" t="s">
        <v>52</v>
      </c>
      <c r="E69" t="s">
        <v>81</v>
      </c>
      <c r="F69" t="s">
        <v>82</v>
      </c>
      <c r="G69" t="s">
        <v>81</v>
      </c>
      <c r="H69" t="s">
        <v>82</v>
      </c>
      <c r="I69" t="s">
        <v>84</v>
      </c>
    </row>
    <row r="70" spans="1:10">
      <c r="A70" t="s">
        <v>10</v>
      </c>
      <c r="B70" t="s">
        <v>11</v>
      </c>
      <c r="C70" t="s">
        <v>18</v>
      </c>
      <c r="D70" t="s">
        <v>52</v>
      </c>
      <c r="E70" t="s">
        <v>81</v>
      </c>
      <c r="F70" t="s">
        <v>82</v>
      </c>
      <c r="G70" t="s">
        <v>61</v>
      </c>
      <c r="H70" t="s">
        <v>82</v>
      </c>
      <c r="I70" t="s">
        <v>86</v>
      </c>
      <c r="J70" t="s">
        <v>33</v>
      </c>
    </row>
    <row r="71" spans="1:10">
      <c r="A71" t="s">
        <v>10</v>
      </c>
      <c r="B71" t="s">
        <v>11</v>
      </c>
      <c r="C71" t="s">
        <v>18</v>
      </c>
      <c r="D71" t="s">
        <v>52</v>
      </c>
      <c r="E71" t="s">
        <v>81</v>
      </c>
      <c r="F71" t="s">
        <v>82</v>
      </c>
      <c r="G71" t="s">
        <v>61</v>
      </c>
      <c r="H71" t="s">
        <v>109</v>
      </c>
      <c r="I71" t="s">
        <v>86</v>
      </c>
    </row>
    <row r="72" spans="1:10">
      <c r="A72" t="s">
        <v>10</v>
      </c>
      <c r="B72" t="s">
        <v>11</v>
      </c>
      <c r="C72" t="s">
        <v>18</v>
      </c>
      <c r="D72" t="s">
        <v>52</v>
      </c>
      <c r="E72" t="s">
        <v>81</v>
      </c>
      <c r="F72" t="s">
        <v>82</v>
      </c>
      <c r="G72" t="s">
        <v>53</v>
      </c>
      <c r="H72" t="s">
        <v>82</v>
      </c>
      <c r="I72" t="s">
        <v>86</v>
      </c>
    </row>
    <row r="73" spans="1:10">
      <c r="A73" t="s">
        <v>10</v>
      </c>
      <c r="B73" t="s">
        <v>11</v>
      </c>
      <c r="C73" t="s">
        <v>18</v>
      </c>
      <c r="D73" t="s">
        <v>52</v>
      </c>
      <c r="E73" t="s">
        <v>81</v>
      </c>
      <c r="F73" t="s">
        <v>82</v>
      </c>
      <c r="G73" t="s">
        <v>77</v>
      </c>
      <c r="H73" t="s">
        <v>82</v>
      </c>
      <c r="I73" t="s">
        <v>86</v>
      </c>
    </row>
    <row r="74" spans="1:10">
      <c r="A74" t="s">
        <v>10</v>
      </c>
      <c r="B74" t="s">
        <v>11</v>
      </c>
      <c r="C74" t="s">
        <v>18</v>
      </c>
      <c r="D74" t="s">
        <v>52</v>
      </c>
      <c r="E74" t="s">
        <v>81</v>
      </c>
      <c r="F74" t="s">
        <v>82</v>
      </c>
      <c r="G74" t="s">
        <v>110</v>
      </c>
      <c r="H74" t="s">
        <v>111</v>
      </c>
      <c r="I74" t="s">
        <v>93</v>
      </c>
    </row>
    <row r="75" spans="1:10">
      <c r="A75" t="s">
        <v>10</v>
      </c>
      <c r="B75" t="s">
        <v>11</v>
      </c>
      <c r="C75" t="s">
        <v>18</v>
      </c>
      <c r="E75" t="s">
        <v>63</v>
      </c>
      <c r="F75" t="s">
        <v>64</v>
      </c>
      <c r="G75" t="s">
        <v>63</v>
      </c>
      <c r="H75" t="s">
        <v>64</v>
      </c>
      <c r="I75" t="s">
        <v>84</v>
      </c>
      <c r="J75" t="s">
        <v>33</v>
      </c>
    </row>
    <row r="76" spans="1:10">
      <c r="A76" t="s">
        <v>10</v>
      </c>
      <c r="B76" t="s">
        <v>11</v>
      </c>
      <c r="C76" t="s">
        <v>18</v>
      </c>
      <c r="E76" t="s">
        <v>63</v>
      </c>
      <c r="F76" t="s">
        <v>65</v>
      </c>
      <c r="G76" t="s">
        <v>63</v>
      </c>
      <c r="H76" t="s">
        <v>65</v>
      </c>
      <c r="I76" t="s">
        <v>84</v>
      </c>
      <c r="J76" t="s">
        <v>33</v>
      </c>
    </row>
    <row r="77" spans="1:10">
      <c r="A77" t="s">
        <v>10</v>
      </c>
      <c r="B77" t="s">
        <v>11</v>
      </c>
      <c r="C77" t="s">
        <v>18</v>
      </c>
      <c r="E77" t="s">
        <v>63</v>
      </c>
      <c r="F77" t="s">
        <v>66</v>
      </c>
      <c r="G77" t="s">
        <v>63</v>
      </c>
      <c r="H77" t="s">
        <v>66</v>
      </c>
      <c r="I77" t="s">
        <v>84</v>
      </c>
    </row>
    <row r="78" spans="1:10">
      <c r="A78" t="s">
        <v>10</v>
      </c>
      <c r="B78" t="s">
        <v>11</v>
      </c>
      <c r="C78" t="s">
        <v>18</v>
      </c>
      <c r="E78" t="s">
        <v>63</v>
      </c>
      <c r="F78" t="s">
        <v>66</v>
      </c>
      <c r="G78" t="s">
        <v>112</v>
      </c>
      <c r="H78" t="s">
        <v>66</v>
      </c>
      <c r="I78" t="s">
        <v>86</v>
      </c>
    </row>
    <row r="79" spans="1:10">
      <c r="A79" t="s">
        <v>10</v>
      </c>
      <c r="B79" t="s">
        <v>11</v>
      </c>
      <c r="C79" t="s">
        <v>18</v>
      </c>
      <c r="E79" t="s">
        <v>63</v>
      </c>
      <c r="F79" t="s">
        <v>66</v>
      </c>
      <c r="G79" t="s">
        <v>74</v>
      </c>
      <c r="H79" t="s">
        <v>66</v>
      </c>
      <c r="I79" t="s">
        <v>86</v>
      </c>
    </row>
    <row r="80" spans="1:10">
      <c r="A80" t="s">
        <v>10</v>
      </c>
      <c r="B80" t="s">
        <v>11</v>
      </c>
      <c r="C80" t="s">
        <v>18</v>
      </c>
      <c r="E80" t="s">
        <v>63</v>
      </c>
      <c r="F80" t="s">
        <v>66</v>
      </c>
      <c r="G80" t="s">
        <v>74</v>
      </c>
      <c r="H80" t="s">
        <v>113</v>
      </c>
      <c r="I80" t="s">
        <v>86</v>
      </c>
    </row>
    <row r="81" spans="1:10">
      <c r="A81" t="s">
        <v>10</v>
      </c>
      <c r="B81" t="s">
        <v>11</v>
      </c>
      <c r="C81" t="s">
        <v>18</v>
      </c>
      <c r="E81" t="s">
        <v>63</v>
      </c>
      <c r="F81" t="s">
        <v>67</v>
      </c>
      <c r="G81" t="s">
        <v>63</v>
      </c>
      <c r="H81" t="s">
        <v>67</v>
      </c>
      <c r="I81" t="s">
        <v>84</v>
      </c>
    </row>
    <row r="82" spans="1:10">
      <c r="A82" t="s">
        <v>10</v>
      </c>
      <c r="B82" t="s">
        <v>11</v>
      </c>
      <c r="C82" t="s">
        <v>18</v>
      </c>
      <c r="E82" t="s">
        <v>63</v>
      </c>
      <c r="F82" t="s">
        <v>67</v>
      </c>
      <c r="G82" t="s">
        <v>63</v>
      </c>
      <c r="H82" t="s">
        <v>114</v>
      </c>
      <c r="I82" t="s">
        <v>93</v>
      </c>
    </row>
    <row r="83" spans="1:10">
      <c r="A83" t="s">
        <v>10</v>
      </c>
      <c r="B83" t="s">
        <v>11</v>
      </c>
      <c r="C83" t="s">
        <v>18</v>
      </c>
      <c r="E83" t="s">
        <v>63</v>
      </c>
      <c r="F83" t="s">
        <v>67</v>
      </c>
      <c r="G83" t="s">
        <v>115</v>
      </c>
      <c r="H83" t="s">
        <v>114</v>
      </c>
      <c r="I83" t="s">
        <v>93</v>
      </c>
    </row>
    <row r="84" spans="1:10">
      <c r="A84" t="s">
        <v>10</v>
      </c>
      <c r="B84" t="s">
        <v>11</v>
      </c>
      <c r="C84" t="s">
        <v>18</v>
      </c>
      <c r="E84" t="s">
        <v>63</v>
      </c>
      <c r="F84" t="s">
        <v>68</v>
      </c>
      <c r="G84" t="s">
        <v>63</v>
      </c>
      <c r="H84" t="s">
        <v>68</v>
      </c>
      <c r="I84" t="s">
        <v>84</v>
      </c>
    </row>
    <row r="85" spans="1:10">
      <c r="A85" s="4" t="s">
        <v>10</v>
      </c>
      <c r="B85" s="4" t="s">
        <v>11</v>
      </c>
      <c r="C85" s="4" t="s">
        <v>18</v>
      </c>
      <c r="D85" s="4" t="s">
        <v>69</v>
      </c>
      <c r="E85" s="4"/>
      <c r="F85" s="4"/>
      <c r="G85" s="4"/>
      <c r="H85" s="4"/>
      <c r="I85" s="4"/>
      <c r="J85" s="4" t="s">
        <v>33</v>
      </c>
    </row>
    <row r="86" spans="1:10">
      <c r="A86" t="s">
        <v>10</v>
      </c>
      <c r="B86" t="s">
        <v>11</v>
      </c>
      <c r="C86" t="s">
        <v>18</v>
      </c>
      <c r="E86" t="s">
        <v>70</v>
      </c>
      <c r="F86" t="s">
        <v>71</v>
      </c>
      <c r="G86" t="s">
        <v>70</v>
      </c>
      <c r="H86" t="s">
        <v>71</v>
      </c>
      <c r="I86" t="s">
        <v>84</v>
      </c>
    </row>
    <row r="87" spans="1:10">
      <c r="A87" t="s">
        <v>10</v>
      </c>
      <c r="B87" t="s">
        <v>11</v>
      </c>
      <c r="C87" t="s">
        <v>18</v>
      </c>
      <c r="E87" t="s">
        <v>70</v>
      </c>
      <c r="F87" t="s">
        <v>71</v>
      </c>
      <c r="G87" t="s">
        <v>53</v>
      </c>
      <c r="H87" t="s">
        <v>71</v>
      </c>
      <c r="I87" t="s">
        <v>86</v>
      </c>
    </row>
    <row r="88" spans="1:10">
      <c r="A88" t="s">
        <v>10</v>
      </c>
      <c r="B88" t="s">
        <v>11</v>
      </c>
      <c r="C88" t="s">
        <v>18</v>
      </c>
      <c r="E88" t="s">
        <v>70</v>
      </c>
      <c r="F88" t="s">
        <v>71</v>
      </c>
      <c r="G88" t="s">
        <v>26</v>
      </c>
      <c r="H88" t="s">
        <v>71</v>
      </c>
      <c r="I88" t="s">
        <v>86</v>
      </c>
    </row>
    <row r="89" spans="1:10">
      <c r="A89" t="s">
        <v>10</v>
      </c>
      <c r="B89" t="s">
        <v>11</v>
      </c>
      <c r="C89" t="s">
        <v>18</v>
      </c>
      <c r="E89" t="s">
        <v>70</v>
      </c>
      <c r="F89" t="s">
        <v>71</v>
      </c>
      <c r="G89" t="s">
        <v>63</v>
      </c>
      <c r="H89" t="s">
        <v>71</v>
      </c>
      <c r="I89" t="s">
        <v>86</v>
      </c>
    </row>
    <row r="90" spans="1:10">
      <c r="A90" t="s">
        <v>10</v>
      </c>
      <c r="B90" t="s">
        <v>11</v>
      </c>
      <c r="C90" t="s">
        <v>18</v>
      </c>
      <c r="E90" t="s">
        <v>70</v>
      </c>
      <c r="F90" t="s">
        <v>71</v>
      </c>
      <c r="G90" t="s">
        <v>53</v>
      </c>
      <c r="H90" t="s">
        <v>116</v>
      </c>
      <c r="I90" t="s">
        <v>93</v>
      </c>
    </row>
    <row r="91" spans="1:10">
      <c r="A91" t="s">
        <v>10</v>
      </c>
      <c r="B91" t="s">
        <v>11</v>
      </c>
      <c r="C91" t="s">
        <v>18</v>
      </c>
      <c r="E91" t="s">
        <v>70</v>
      </c>
      <c r="F91" t="s">
        <v>71</v>
      </c>
      <c r="G91" t="s">
        <v>63</v>
      </c>
      <c r="H91" t="s">
        <v>117</v>
      </c>
      <c r="I91" t="s">
        <v>93</v>
      </c>
    </row>
    <row r="92" spans="1:10">
      <c r="A92" t="s">
        <v>10</v>
      </c>
      <c r="B92" t="s">
        <v>11</v>
      </c>
      <c r="C92" t="s">
        <v>18</v>
      </c>
      <c r="E92" t="s">
        <v>70</v>
      </c>
      <c r="F92" t="s">
        <v>71</v>
      </c>
      <c r="G92" t="s">
        <v>70</v>
      </c>
      <c r="H92" t="s">
        <v>116</v>
      </c>
      <c r="I92" t="s">
        <v>93</v>
      </c>
    </row>
    <row r="93" spans="1:10">
      <c r="A93" t="s">
        <v>10</v>
      </c>
      <c r="B93" t="s">
        <v>11</v>
      </c>
      <c r="C93" t="s">
        <v>18</v>
      </c>
      <c r="E93" t="s">
        <v>70</v>
      </c>
      <c r="F93" t="s">
        <v>72</v>
      </c>
      <c r="G93" t="s">
        <v>70</v>
      </c>
      <c r="H93" t="s">
        <v>72</v>
      </c>
      <c r="I93" t="s">
        <v>84</v>
      </c>
    </row>
    <row r="94" spans="1:10">
      <c r="A94" t="s">
        <v>10</v>
      </c>
      <c r="B94" t="s">
        <v>11</v>
      </c>
      <c r="C94" t="s">
        <v>18</v>
      </c>
      <c r="E94" t="s">
        <v>70</v>
      </c>
      <c r="F94" t="s">
        <v>73</v>
      </c>
      <c r="G94" t="s">
        <v>70</v>
      </c>
      <c r="H94" t="s">
        <v>73</v>
      </c>
      <c r="I94" t="s">
        <v>84</v>
      </c>
    </row>
    <row r="95" spans="1:10">
      <c r="A95" t="s">
        <v>10</v>
      </c>
      <c r="B95" t="s">
        <v>11</v>
      </c>
      <c r="C95" t="s">
        <v>18</v>
      </c>
      <c r="E95" t="s">
        <v>74</v>
      </c>
      <c r="F95" t="s">
        <v>75</v>
      </c>
      <c r="G95" t="s">
        <v>74</v>
      </c>
      <c r="H95" t="s">
        <v>75</v>
      </c>
      <c r="I95" t="s">
        <v>84</v>
      </c>
    </row>
    <row r="96" spans="1:10">
      <c r="A96" t="s">
        <v>10</v>
      </c>
      <c r="B96" t="s">
        <v>11</v>
      </c>
      <c r="C96" t="s">
        <v>18</v>
      </c>
      <c r="E96" t="s">
        <v>74</v>
      </c>
      <c r="F96" t="s">
        <v>75</v>
      </c>
      <c r="G96" t="s">
        <v>118</v>
      </c>
      <c r="H96" t="s">
        <v>75</v>
      </c>
      <c r="I96" t="s">
        <v>86</v>
      </c>
    </row>
    <row r="97" spans="1:9">
      <c r="A97" t="s">
        <v>10</v>
      </c>
      <c r="B97" t="s">
        <v>11</v>
      </c>
      <c r="C97" t="s">
        <v>18</v>
      </c>
      <c r="E97" t="s">
        <v>74</v>
      </c>
      <c r="F97" t="s">
        <v>76</v>
      </c>
      <c r="G97" t="s">
        <v>74</v>
      </c>
      <c r="H97" t="s">
        <v>76</v>
      </c>
      <c r="I97" t="s">
        <v>84</v>
      </c>
    </row>
    <row r="98" spans="1:9">
      <c r="A98" t="s">
        <v>10</v>
      </c>
      <c r="B98" t="s">
        <v>11</v>
      </c>
      <c r="C98" t="s">
        <v>18</v>
      </c>
      <c r="E98" t="s">
        <v>77</v>
      </c>
      <c r="F98" t="s">
        <v>78</v>
      </c>
      <c r="G98" t="s">
        <v>77</v>
      </c>
      <c r="H98" t="s">
        <v>78</v>
      </c>
      <c r="I98" t="s">
        <v>84</v>
      </c>
    </row>
    <row r="99" spans="1:9">
      <c r="A99" t="s">
        <v>10</v>
      </c>
      <c r="B99" t="s">
        <v>11</v>
      </c>
      <c r="C99" t="s">
        <v>18</v>
      </c>
      <c r="E99" t="s">
        <v>77</v>
      </c>
      <c r="F99" t="s">
        <v>78</v>
      </c>
      <c r="G99" t="s">
        <v>70</v>
      </c>
      <c r="H99" t="s">
        <v>78</v>
      </c>
      <c r="I99" t="s">
        <v>86</v>
      </c>
    </row>
    <row r="100" spans="1:9">
      <c r="A100" t="s">
        <v>10</v>
      </c>
      <c r="B100" t="s">
        <v>11</v>
      </c>
      <c r="C100" t="s">
        <v>18</v>
      </c>
      <c r="E100" t="s">
        <v>79</v>
      </c>
      <c r="F100" t="s">
        <v>80</v>
      </c>
      <c r="G100" t="s">
        <v>79</v>
      </c>
      <c r="H100" t="s">
        <v>80</v>
      </c>
      <c r="I100" t="s">
        <v>84</v>
      </c>
    </row>
    <row r="101" spans="1:9">
      <c r="A101" t="s">
        <v>10</v>
      </c>
      <c r="B101" t="s">
        <v>11</v>
      </c>
      <c r="C101" t="s">
        <v>18</v>
      </c>
      <c r="E101" t="s">
        <v>79</v>
      </c>
      <c r="F101" t="s">
        <v>80</v>
      </c>
      <c r="G101" t="s">
        <v>70</v>
      </c>
      <c r="H101" t="s">
        <v>80</v>
      </c>
      <c r="I101"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935A3-E0C1-46C8-98F4-25B0A1C6F1ED}">
  <dimension ref="A1:BV738"/>
  <sheetViews>
    <sheetView tabSelected="1" workbookViewId="0">
      <pane ySplit="1" topLeftCell="A58" activePane="bottomLeft" state="frozen"/>
      <selection pane="bottomLeft" activeCell="E89" sqref="E89"/>
    </sheetView>
  </sheetViews>
  <sheetFormatPr baseColWidth="10" defaultColWidth="8.83203125" defaultRowHeight="15"/>
  <cols>
    <col min="1" max="1" width="18.5" customWidth="1"/>
    <col min="2" max="2" width="14" bestFit="1" customWidth="1"/>
    <col min="3" max="3" width="14.33203125" bestFit="1" customWidth="1"/>
    <col min="4" max="4" width="17.83203125" bestFit="1" customWidth="1"/>
    <col min="5" max="5" width="20" bestFit="1" customWidth="1"/>
    <col min="6" max="6" width="18.33203125" bestFit="1" customWidth="1"/>
    <col min="7" max="7" width="16.6640625" bestFit="1" customWidth="1"/>
    <col min="8" max="8" width="19.1640625" bestFit="1" customWidth="1"/>
    <col min="9" max="9" width="16.6640625" bestFit="1" customWidth="1"/>
    <col min="10" max="11" width="16.6640625" customWidth="1"/>
    <col min="12" max="12" width="26.5" bestFit="1" customWidth="1"/>
    <col min="30" max="30" width="9.83203125" bestFit="1" customWidth="1"/>
    <col min="68" max="68" width="29.83203125" bestFit="1" customWidth="1"/>
    <col min="70" max="70" width="44.83203125" bestFit="1" customWidth="1"/>
    <col min="71" max="71" width="17" bestFit="1" customWidth="1"/>
    <col min="72" max="72" width="26.5" bestFit="1" customWidth="1"/>
    <col min="73" max="73" width="24" bestFit="1" customWidth="1"/>
    <col min="74" max="74" width="17.6640625" bestFit="1" customWidth="1"/>
  </cols>
  <sheetData>
    <row r="1" spans="1:74" ht="16">
      <c r="A1" t="s">
        <v>119</v>
      </c>
      <c r="B1" t="s">
        <v>0</v>
      </c>
      <c r="C1" t="s">
        <v>1</v>
      </c>
      <c r="D1" t="s">
        <v>2</v>
      </c>
      <c r="E1" t="s">
        <v>3</v>
      </c>
      <c r="F1" t="s">
        <v>4</v>
      </c>
      <c r="G1" t="s">
        <v>5</v>
      </c>
      <c r="H1" t="s">
        <v>120</v>
      </c>
      <c r="I1" t="s">
        <v>121</v>
      </c>
      <c r="J1" t="s">
        <v>122</v>
      </c>
      <c r="K1" t="s">
        <v>123</v>
      </c>
      <c r="L1" t="s">
        <v>124</v>
      </c>
      <c r="M1" s="21" t="s">
        <v>125</v>
      </c>
      <c r="N1" s="21" t="s">
        <v>324</v>
      </c>
      <c r="O1" s="21" t="s">
        <v>325</v>
      </c>
      <c r="P1" s="21" t="s">
        <v>126</v>
      </c>
      <c r="Q1" s="21" t="s">
        <v>127</v>
      </c>
      <c r="R1" s="21" t="s">
        <v>326</v>
      </c>
      <c r="S1" s="21" t="s">
        <v>327</v>
      </c>
      <c r="T1" s="21" t="s">
        <v>128</v>
      </c>
      <c r="U1" s="21" t="s">
        <v>129</v>
      </c>
      <c r="V1" s="21" t="s">
        <v>328</v>
      </c>
      <c r="W1" s="21" t="s">
        <v>329</v>
      </c>
      <c r="X1" s="21" t="s">
        <v>130</v>
      </c>
      <c r="Y1" s="21" t="s">
        <v>131</v>
      </c>
      <c r="Z1" s="21" t="s">
        <v>330</v>
      </c>
      <c r="AA1" s="21" t="s">
        <v>331</v>
      </c>
      <c r="AB1" s="21" t="s">
        <v>132</v>
      </c>
      <c r="AC1" s="21" t="s">
        <v>133</v>
      </c>
      <c r="AD1" s="21" t="s">
        <v>332</v>
      </c>
      <c r="AE1" s="21" t="s">
        <v>333</v>
      </c>
      <c r="AF1" s="21" t="s">
        <v>134</v>
      </c>
      <c r="AG1" s="21" t="s">
        <v>135</v>
      </c>
      <c r="AH1" s="21" t="s">
        <v>334</v>
      </c>
      <c r="AI1" s="21" t="s">
        <v>335</v>
      </c>
      <c r="AJ1" s="21" t="s">
        <v>136</v>
      </c>
      <c r="AK1" s="21" t="s">
        <v>137</v>
      </c>
      <c r="AL1" s="21" t="s">
        <v>336</v>
      </c>
      <c r="AM1" s="21" t="s">
        <v>337</v>
      </c>
      <c r="AN1" s="21" t="s">
        <v>138</v>
      </c>
      <c r="AO1" s="21" t="s">
        <v>139</v>
      </c>
      <c r="AP1" s="21" t="s">
        <v>338</v>
      </c>
      <c r="AQ1" s="21" t="s">
        <v>339</v>
      </c>
      <c r="AR1" s="21" t="s">
        <v>140</v>
      </c>
      <c r="AS1" s="21" t="s">
        <v>141</v>
      </c>
      <c r="AT1" s="21" t="s">
        <v>340</v>
      </c>
      <c r="AU1" s="21" t="s">
        <v>341</v>
      </c>
      <c r="AV1" s="21" t="s">
        <v>142</v>
      </c>
      <c r="AW1" s="21" t="s">
        <v>143</v>
      </c>
      <c r="AX1" s="21" t="s">
        <v>342</v>
      </c>
      <c r="AY1" s="21" t="s">
        <v>343</v>
      </c>
      <c r="AZ1" s="21" t="s">
        <v>144</v>
      </c>
      <c r="BA1" s="21" t="s">
        <v>145</v>
      </c>
      <c r="BB1" s="21" t="s">
        <v>344</v>
      </c>
      <c r="BC1" s="21" t="s">
        <v>345</v>
      </c>
      <c r="BD1" s="21" t="s">
        <v>146</v>
      </c>
      <c r="BE1" s="21" t="s">
        <v>147</v>
      </c>
      <c r="BF1" s="21" t="s">
        <v>346</v>
      </c>
      <c r="BG1" s="21" t="s">
        <v>347</v>
      </c>
      <c r="BH1" s="21" t="s">
        <v>148</v>
      </c>
      <c r="BI1" s="21" t="s">
        <v>149</v>
      </c>
      <c r="BJ1" s="21" t="s">
        <v>150</v>
      </c>
      <c r="BK1" s="21" t="s">
        <v>151</v>
      </c>
      <c r="BL1" s="21" t="s">
        <v>152</v>
      </c>
      <c r="BM1" t="s">
        <v>153</v>
      </c>
      <c r="BN1" t="s">
        <v>154</v>
      </c>
      <c r="BO1" t="s">
        <v>155</v>
      </c>
      <c r="BP1" t="s">
        <v>156</v>
      </c>
      <c r="BQ1" t="s">
        <v>157</v>
      </c>
      <c r="BR1" t="s">
        <v>158</v>
      </c>
      <c r="BS1" t="s">
        <v>159</v>
      </c>
      <c r="BT1" t="s">
        <v>160</v>
      </c>
      <c r="BU1" t="s">
        <v>161</v>
      </c>
      <c r="BV1" t="s">
        <v>162</v>
      </c>
    </row>
    <row r="2" spans="1:74">
      <c r="A2" t="s">
        <v>233</v>
      </c>
      <c r="B2" t="s">
        <v>493</v>
      </c>
      <c r="D2" t="s">
        <v>494</v>
      </c>
      <c r="F2" t="s">
        <v>498</v>
      </c>
      <c r="G2" t="s">
        <v>234</v>
      </c>
      <c r="H2" t="s">
        <v>110</v>
      </c>
      <c r="I2" t="s">
        <v>234</v>
      </c>
      <c r="Y2">
        <v>3.8</v>
      </c>
      <c r="AB2">
        <v>5.5</v>
      </c>
      <c r="BP2" t="s">
        <v>235</v>
      </c>
      <c r="BQ2" t="s">
        <v>166</v>
      </c>
      <c r="BR2" t="s">
        <v>197</v>
      </c>
      <c r="BS2" t="s">
        <v>181</v>
      </c>
      <c r="BT2" t="s">
        <v>197</v>
      </c>
    </row>
    <row r="3" spans="1:74">
      <c r="A3" t="s">
        <v>288</v>
      </c>
      <c r="B3" t="s">
        <v>493</v>
      </c>
      <c r="D3" t="s">
        <v>494</v>
      </c>
      <c r="E3" t="s">
        <v>289</v>
      </c>
      <c r="F3" t="s">
        <v>290</v>
      </c>
      <c r="G3" t="s">
        <v>291</v>
      </c>
      <c r="H3" t="s">
        <v>290</v>
      </c>
      <c r="I3" t="s">
        <v>291</v>
      </c>
      <c r="AS3">
        <v>2.75</v>
      </c>
      <c r="AV3">
        <v>3</v>
      </c>
      <c r="BQ3" t="s">
        <v>281</v>
      </c>
      <c r="BR3" t="s">
        <v>273</v>
      </c>
    </row>
    <row r="4" spans="1:74" ht="16">
      <c r="A4" t="s">
        <v>292</v>
      </c>
      <c r="B4" t="s">
        <v>493</v>
      </c>
      <c r="D4" t="s">
        <v>494</v>
      </c>
      <c r="E4" t="s">
        <v>289</v>
      </c>
      <c r="F4" t="s">
        <v>290</v>
      </c>
      <c r="G4" t="s">
        <v>291</v>
      </c>
      <c r="H4" t="s">
        <v>290</v>
      </c>
      <c r="I4" t="s">
        <v>291</v>
      </c>
      <c r="AS4">
        <v>1.95</v>
      </c>
      <c r="AV4">
        <v>2.15</v>
      </c>
      <c r="AZ4" s="21"/>
      <c r="BA4" s="21"/>
      <c r="BB4" s="21"/>
      <c r="BC4" s="21"/>
      <c r="BD4" s="21"/>
      <c r="BE4" s="21"/>
      <c r="BF4" s="21"/>
      <c r="BG4" s="21"/>
      <c r="BH4" s="21"/>
      <c r="BI4" s="21"/>
      <c r="BJ4" s="21"/>
      <c r="BK4" s="21"/>
      <c r="BQ4" t="s">
        <v>281</v>
      </c>
      <c r="BR4" t="s">
        <v>273</v>
      </c>
    </row>
    <row r="5" spans="1:74">
      <c r="A5" t="s">
        <v>293</v>
      </c>
      <c r="B5" t="s">
        <v>493</v>
      </c>
      <c r="D5" t="s">
        <v>494</v>
      </c>
      <c r="E5" t="s">
        <v>289</v>
      </c>
      <c r="F5" t="s">
        <v>290</v>
      </c>
      <c r="G5" t="s">
        <v>291</v>
      </c>
      <c r="H5" t="s">
        <v>290</v>
      </c>
      <c r="I5" t="s">
        <v>291</v>
      </c>
      <c r="AS5">
        <v>2.0499999999999998</v>
      </c>
      <c r="AV5">
        <v>2.1</v>
      </c>
      <c r="BQ5" t="s">
        <v>281</v>
      </c>
      <c r="BR5" t="s">
        <v>273</v>
      </c>
    </row>
    <row r="6" spans="1:74">
      <c r="A6" t="s">
        <v>571</v>
      </c>
      <c r="B6" t="s">
        <v>493</v>
      </c>
      <c r="D6" t="s">
        <v>494</v>
      </c>
      <c r="F6" t="s">
        <v>567</v>
      </c>
      <c r="G6" t="s">
        <v>568</v>
      </c>
      <c r="H6" t="s">
        <v>567</v>
      </c>
      <c r="I6" t="s">
        <v>568</v>
      </c>
      <c r="L6" t="s">
        <v>584</v>
      </c>
      <c r="BA6">
        <v>2.5</v>
      </c>
      <c r="BB6">
        <v>2.15</v>
      </c>
      <c r="BC6">
        <v>2.1</v>
      </c>
      <c r="BD6">
        <v>2.15</v>
      </c>
      <c r="BQ6" t="s">
        <v>281</v>
      </c>
      <c r="BR6" t="s">
        <v>570</v>
      </c>
    </row>
    <row r="7" spans="1:74">
      <c r="A7" t="s">
        <v>607</v>
      </c>
      <c r="B7" t="s">
        <v>493</v>
      </c>
      <c r="D7" t="s">
        <v>494</v>
      </c>
      <c r="F7" t="s">
        <v>567</v>
      </c>
      <c r="G7" t="s">
        <v>568</v>
      </c>
      <c r="H7" t="s">
        <v>567</v>
      </c>
      <c r="I7" t="s">
        <v>568</v>
      </c>
      <c r="L7" t="s">
        <v>584</v>
      </c>
      <c r="Y7">
        <v>1.7</v>
      </c>
      <c r="AB7">
        <v>2.8</v>
      </c>
      <c r="BP7" t="s">
        <v>611</v>
      </c>
      <c r="BQ7" t="s">
        <v>281</v>
      </c>
      <c r="BR7" t="s">
        <v>570</v>
      </c>
    </row>
    <row r="8" spans="1:74">
      <c r="A8" t="s">
        <v>582</v>
      </c>
      <c r="B8" t="s">
        <v>493</v>
      </c>
      <c r="D8" t="s">
        <v>494</v>
      </c>
      <c r="F8" t="s">
        <v>567</v>
      </c>
      <c r="G8" t="s">
        <v>568</v>
      </c>
      <c r="H8" t="s">
        <v>567</v>
      </c>
      <c r="I8" t="s">
        <v>568</v>
      </c>
      <c r="L8" t="s">
        <v>583</v>
      </c>
      <c r="AS8">
        <v>2.8</v>
      </c>
      <c r="AV8">
        <v>1.8</v>
      </c>
      <c r="BQ8" t="s">
        <v>281</v>
      </c>
      <c r="BR8" t="s">
        <v>570</v>
      </c>
    </row>
    <row r="9" spans="1:74">
      <c r="A9" t="s">
        <v>609</v>
      </c>
      <c r="B9" t="s">
        <v>493</v>
      </c>
      <c r="D9" t="s">
        <v>494</v>
      </c>
      <c r="F9" t="s">
        <v>567</v>
      </c>
      <c r="G9" t="s">
        <v>568</v>
      </c>
      <c r="H9" t="s">
        <v>567</v>
      </c>
      <c r="I9" t="s">
        <v>568</v>
      </c>
      <c r="L9" t="s">
        <v>583</v>
      </c>
      <c r="U9">
        <v>2.65</v>
      </c>
      <c r="X9">
        <v>3</v>
      </c>
      <c r="BP9" t="s">
        <v>235</v>
      </c>
      <c r="BQ9" t="s">
        <v>281</v>
      </c>
      <c r="BR9" t="s">
        <v>570</v>
      </c>
    </row>
    <row r="10" spans="1:74">
      <c r="A10" t="s">
        <v>610</v>
      </c>
      <c r="B10" t="s">
        <v>493</v>
      </c>
      <c r="D10" t="s">
        <v>494</v>
      </c>
      <c r="F10" t="s">
        <v>567</v>
      </c>
      <c r="G10" t="s">
        <v>568</v>
      </c>
      <c r="H10" t="s">
        <v>567</v>
      </c>
      <c r="I10" t="s">
        <v>568</v>
      </c>
      <c r="L10" t="s">
        <v>583</v>
      </c>
      <c r="Y10">
        <v>2.2000000000000002</v>
      </c>
      <c r="AB10">
        <v>3</v>
      </c>
      <c r="BP10" t="s">
        <v>235</v>
      </c>
      <c r="BQ10" t="s">
        <v>281</v>
      </c>
      <c r="BR10" t="s">
        <v>570</v>
      </c>
    </row>
    <row r="11" spans="1:74">
      <c r="A11" t="s">
        <v>612</v>
      </c>
      <c r="B11" t="s">
        <v>493</v>
      </c>
      <c r="D11" t="s">
        <v>494</v>
      </c>
      <c r="F11" t="s">
        <v>567</v>
      </c>
      <c r="G11" t="s">
        <v>568</v>
      </c>
      <c r="H11" t="s">
        <v>567</v>
      </c>
      <c r="I11" t="s">
        <v>568</v>
      </c>
      <c r="L11" t="s">
        <v>583</v>
      </c>
      <c r="U11">
        <v>2.5</v>
      </c>
      <c r="X11">
        <v>2.8</v>
      </c>
      <c r="BP11" t="s">
        <v>235</v>
      </c>
      <c r="BQ11" t="s">
        <v>281</v>
      </c>
      <c r="BR11" t="s">
        <v>570</v>
      </c>
    </row>
    <row r="12" spans="1:74">
      <c r="A12" t="s">
        <v>613</v>
      </c>
      <c r="B12" t="s">
        <v>493</v>
      </c>
      <c r="D12" t="s">
        <v>494</v>
      </c>
      <c r="F12" t="s">
        <v>567</v>
      </c>
      <c r="G12" t="s">
        <v>568</v>
      </c>
      <c r="H12" t="s">
        <v>567</v>
      </c>
      <c r="I12" t="s">
        <v>568</v>
      </c>
      <c r="L12" t="s">
        <v>583</v>
      </c>
      <c r="U12">
        <v>2.6</v>
      </c>
      <c r="X12">
        <v>2.7</v>
      </c>
      <c r="BP12" t="s">
        <v>235</v>
      </c>
      <c r="BQ12" t="s">
        <v>281</v>
      </c>
      <c r="BR12" t="s">
        <v>570</v>
      </c>
    </row>
    <row r="13" spans="1:74">
      <c r="A13" t="s">
        <v>580</v>
      </c>
      <c r="B13" t="s">
        <v>493</v>
      </c>
      <c r="D13" t="s">
        <v>494</v>
      </c>
      <c r="F13" t="s">
        <v>567</v>
      </c>
      <c r="G13" t="s">
        <v>568</v>
      </c>
      <c r="H13" t="s">
        <v>567</v>
      </c>
      <c r="I13" t="s">
        <v>568</v>
      </c>
      <c r="L13" t="s">
        <v>584</v>
      </c>
      <c r="AS13">
        <v>3</v>
      </c>
      <c r="AV13">
        <v>1.85</v>
      </c>
      <c r="AW13">
        <v>2.35</v>
      </c>
      <c r="AX13">
        <v>1.65</v>
      </c>
      <c r="AY13">
        <v>1.7</v>
      </c>
      <c r="AZ13">
        <v>1.7</v>
      </c>
      <c r="BA13">
        <v>2.4</v>
      </c>
      <c r="BB13">
        <v>2.15</v>
      </c>
      <c r="BC13">
        <v>2.1</v>
      </c>
      <c r="BD13">
        <v>2.15</v>
      </c>
      <c r="BE13">
        <v>2.5</v>
      </c>
      <c r="BF13">
        <v>1.6</v>
      </c>
      <c r="BG13">
        <v>1.4</v>
      </c>
      <c r="BH13">
        <v>1.6</v>
      </c>
      <c r="BQ13" t="s">
        <v>281</v>
      </c>
      <c r="BR13" t="s">
        <v>570</v>
      </c>
    </row>
    <row r="14" spans="1:74">
      <c r="A14" t="s">
        <v>581</v>
      </c>
      <c r="B14" t="s">
        <v>493</v>
      </c>
      <c r="D14" t="s">
        <v>494</v>
      </c>
      <c r="F14" t="s">
        <v>567</v>
      </c>
      <c r="G14" t="s">
        <v>568</v>
      </c>
      <c r="H14" t="s">
        <v>567</v>
      </c>
      <c r="I14" t="s">
        <v>568</v>
      </c>
      <c r="L14" t="s">
        <v>584</v>
      </c>
      <c r="BA14">
        <v>2.4</v>
      </c>
      <c r="BB14">
        <v>1.9</v>
      </c>
      <c r="BC14">
        <v>1.95</v>
      </c>
      <c r="BD14">
        <v>1.95</v>
      </c>
      <c r="BQ14" t="s">
        <v>281</v>
      </c>
      <c r="BR14" t="s">
        <v>570</v>
      </c>
    </row>
    <row r="15" spans="1:74">
      <c r="A15" t="s">
        <v>569</v>
      </c>
      <c r="B15" t="s">
        <v>493</v>
      </c>
      <c r="D15" t="s">
        <v>494</v>
      </c>
      <c r="F15" t="s">
        <v>567</v>
      </c>
      <c r="G15" t="s">
        <v>568</v>
      </c>
      <c r="H15" t="s">
        <v>567</v>
      </c>
      <c r="I15" t="s">
        <v>568</v>
      </c>
      <c r="L15" t="s">
        <v>584</v>
      </c>
      <c r="AS15">
        <v>2.95</v>
      </c>
      <c r="AV15">
        <v>1.75</v>
      </c>
      <c r="AW15">
        <v>2.25</v>
      </c>
      <c r="AX15">
        <v>1.6</v>
      </c>
      <c r="AY15">
        <v>1.7</v>
      </c>
      <c r="AZ15">
        <v>1.7</v>
      </c>
      <c r="BA15">
        <v>2.7</v>
      </c>
      <c r="BB15" s="12">
        <v>2</v>
      </c>
      <c r="BC15" s="12">
        <v>1.9</v>
      </c>
      <c r="BD15">
        <v>2</v>
      </c>
      <c r="BE15">
        <v>2.6</v>
      </c>
      <c r="BF15">
        <v>1.6</v>
      </c>
      <c r="BG15">
        <v>1.35</v>
      </c>
      <c r="BH15">
        <v>1.6</v>
      </c>
      <c r="BQ15" t="s">
        <v>281</v>
      </c>
      <c r="BR15" t="s">
        <v>570</v>
      </c>
    </row>
    <row r="16" spans="1:74">
      <c r="A16" t="s">
        <v>572</v>
      </c>
      <c r="B16" t="s">
        <v>493</v>
      </c>
      <c r="D16" t="s">
        <v>494</v>
      </c>
      <c r="F16" t="s">
        <v>567</v>
      </c>
      <c r="G16" t="s">
        <v>568</v>
      </c>
      <c r="H16" t="s">
        <v>567</v>
      </c>
      <c r="I16" t="s">
        <v>568</v>
      </c>
      <c r="L16" t="s">
        <v>584</v>
      </c>
      <c r="AS16">
        <v>2.8</v>
      </c>
      <c r="AV16">
        <v>1.8</v>
      </c>
      <c r="AW16">
        <v>2.2999999999999998</v>
      </c>
      <c r="AX16">
        <v>1.7</v>
      </c>
      <c r="AY16">
        <v>1.8</v>
      </c>
      <c r="AZ16">
        <v>1.8</v>
      </c>
      <c r="BA16">
        <v>2.2999999999999998</v>
      </c>
      <c r="BB16">
        <v>2.0499999999999998</v>
      </c>
      <c r="BC16">
        <v>1.95</v>
      </c>
      <c r="BD16">
        <v>2.0499999999999998</v>
      </c>
      <c r="BE16">
        <v>2.5</v>
      </c>
      <c r="BF16">
        <v>1.7</v>
      </c>
      <c r="BG16">
        <v>1.4</v>
      </c>
      <c r="BH16">
        <v>1.7</v>
      </c>
      <c r="BQ16" t="s">
        <v>281</v>
      </c>
      <c r="BR16" t="s">
        <v>570</v>
      </c>
    </row>
    <row r="17" spans="1:70">
      <c r="A17" t="s">
        <v>573</v>
      </c>
      <c r="B17" t="s">
        <v>493</v>
      </c>
      <c r="D17" t="s">
        <v>494</v>
      </c>
      <c r="F17" t="s">
        <v>567</v>
      </c>
      <c r="G17" t="s">
        <v>568</v>
      </c>
      <c r="H17" t="s">
        <v>567</v>
      </c>
      <c r="I17" t="s">
        <v>568</v>
      </c>
      <c r="L17" t="s">
        <v>584</v>
      </c>
      <c r="AS17">
        <v>2.9</v>
      </c>
      <c r="AV17">
        <v>1.7</v>
      </c>
      <c r="BQ17" t="s">
        <v>281</v>
      </c>
      <c r="BR17" t="s">
        <v>570</v>
      </c>
    </row>
    <row r="18" spans="1:70">
      <c r="A18" t="s">
        <v>574</v>
      </c>
      <c r="B18" t="s">
        <v>493</v>
      </c>
      <c r="D18" t="s">
        <v>494</v>
      </c>
      <c r="F18" t="s">
        <v>567</v>
      </c>
      <c r="G18" t="s">
        <v>568</v>
      </c>
      <c r="H18" t="s">
        <v>567</v>
      </c>
      <c r="I18" s="3" t="s">
        <v>568</v>
      </c>
      <c r="L18" t="s">
        <v>584</v>
      </c>
      <c r="BA18">
        <v>2.4500000000000002</v>
      </c>
      <c r="BB18">
        <v>1.95</v>
      </c>
      <c r="BC18">
        <v>1.9</v>
      </c>
      <c r="BD18">
        <v>1.95</v>
      </c>
      <c r="BQ18" t="s">
        <v>281</v>
      </c>
      <c r="BR18" t="s">
        <v>570</v>
      </c>
    </row>
    <row r="19" spans="1:70">
      <c r="A19" t="s">
        <v>575</v>
      </c>
      <c r="B19" t="s">
        <v>493</v>
      </c>
      <c r="D19" t="s">
        <v>494</v>
      </c>
      <c r="F19" t="s">
        <v>567</v>
      </c>
      <c r="G19" t="s">
        <v>568</v>
      </c>
      <c r="H19" t="s">
        <v>567</v>
      </c>
      <c r="I19" s="3" t="s">
        <v>568</v>
      </c>
      <c r="L19" t="s">
        <v>584</v>
      </c>
      <c r="BA19">
        <v>2.4</v>
      </c>
      <c r="BB19">
        <v>2</v>
      </c>
      <c r="BC19">
        <v>2</v>
      </c>
      <c r="BD19">
        <v>2</v>
      </c>
      <c r="BQ19" t="s">
        <v>281</v>
      </c>
      <c r="BR19" t="s">
        <v>570</v>
      </c>
    </row>
    <row r="20" spans="1:70">
      <c r="A20" t="s">
        <v>576</v>
      </c>
      <c r="B20" t="s">
        <v>493</v>
      </c>
      <c r="D20" t="s">
        <v>494</v>
      </c>
      <c r="F20" t="s">
        <v>567</v>
      </c>
      <c r="G20" t="s">
        <v>568</v>
      </c>
      <c r="H20" t="s">
        <v>567</v>
      </c>
      <c r="I20" s="3" t="s">
        <v>568</v>
      </c>
      <c r="L20" t="s">
        <v>584</v>
      </c>
      <c r="AO20">
        <v>1.8</v>
      </c>
      <c r="AR20">
        <v>1.1499999999999999</v>
      </c>
      <c r="BP20" t="s">
        <v>579</v>
      </c>
      <c r="BQ20" t="s">
        <v>281</v>
      </c>
      <c r="BR20" t="s">
        <v>570</v>
      </c>
    </row>
    <row r="21" spans="1:70">
      <c r="A21" t="s">
        <v>577</v>
      </c>
      <c r="B21" t="s">
        <v>493</v>
      </c>
      <c r="D21" t="s">
        <v>494</v>
      </c>
      <c r="F21" t="s">
        <v>567</v>
      </c>
      <c r="G21" t="s">
        <v>568</v>
      </c>
      <c r="H21" t="s">
        <v>567</v>
      </c>
      <c r="I21" s="3" t="s">
        <v>568</v>
      </c>
      <c r="L21" t="s">
        <v>584</v>
      </c>
      <c r="AW21">
        <v>2.2000000000000002</v>
      </c>
      <c r="AX21">
        <v>1.5</v>
      </c>
      <c r="AY21">
        <v>1.6</v>
      </c>
      <c r="AZ21">
        <v>1.6</v>
      </c>
      <c r="BQ21" t="s">
        <v>281</v>
      </c>
      <c r="BR21" t="s">
        <v>570</v>
      </c>
    </row>
    <row r="22" spans="1:70">
      <c r="A22" t="s">
        <v>578</v>
      </c>
      <c r="B22" t="s">
        <v>493</v>
      </c>
      <c r="D22" t="s">
        <v>494</v>
      </c>
      <c r="F22" t="s">
        <v>567</v>
      </c>
      <c r="G22" t="s">
        <v>568</v>
      </c>
      <c r="H22" t="s">
        <v>567</v>
      </c>
      <c r="I22" s="3" t="s">
        <v>568</v>
      </c>
      <c r="L22" t="s">
        <v>584</v>
      </c>
      <c r="BA22">
        <v>2.4500000000000002</v>
      </c>
      <c r="BB22">
        <v>1.95</v>
      </c>
      <c r="BC22">
        <v>1.95</v>
      </c>
      <c r="BD22">
        <v>1.95</v>
      </c>
      <c r="BE22">
        <v>2.5</v>
      </c>
      <c r="BF22">
        <v>1.7</v>
      </c>
      <c r="BG22">
        <v>1.4</v>
      </c>
      <c r="BH22">
        <v>1.7</v>
      </c>
      <c r="BQ22" t="s">
        <v>281</v>
      </c>
      <c r="BR22" t="s">
        <v>570</v>
      </c>
    </row>
    <row r="23" spans="1:70">
      <c r="A23" t="s">
        <v>608</v>
      </c>
      <c r="B23" t="s">
        <v>493</v>
      </c>
      <c r="D23" t="s">
        <v>494</v>
      </c>
      <c r="F23" t="s">
        <v>567</v>
      </c>
      <c r="G23" t="s">
        <v>568</v>
      </c>
      <c r="H23" t="s">
        <v>567</v>
      </c>
      <c r="I23" t="s">
        <v>568</v>
      </c>
      <c r="L23" t="s">
        <v>584</v>
      </c>
      <c r="Y23">
        <v>2.0499999999999998</v>
      </c>
      <c r="AB23">
        <v>3.35</v>
      </c>
      <c r="BP23" t="s">
        <v>611</v>
      </c>
      <c r="BQ23" t="s">
        <v>281</v>
      </c>
      <c r="BR23" t="s">
        <v>570</v>
      </c>
    </row>
    <row r="24" spans="1:70">
      <c r="A24" t="s">
        <v>614</v>
      </c>
      <c r="B24" t="s">
        <v>493</v>
      </c>
      <c r="D24" t="s">
        <v>494</v>
      </c>
      <c r="F24" t="s">
        <v>567</v>
      </c>
      <c r="G24" t="s">
        <v>586</v>
      </c>
      <c r="H24" t="s">
        <v>567</v>
      </c>
      <c r="I24" t="s">
        <v>586</v>
      </c>
      <c r="L24" t="s">
        <v>587</v>
      </c>
      <c r="Y24">
        <v>2.2999999999999998</v>
      </c>
      <c r="AB24">
        <v>3.55</v>
      </c>
      <c r="BP24" t="s">
        <v>235</v>
      </c>
      <c r="BQ24" t="s">
        <v>281</v>
      </c>
      <c r="BR24" t="s">
        <v>570</v>
      </c>
    </row>
    <row r="25" spans="1:70">
      <c r="A25" t="s">
        <v>588</v>
      </c>
      <c r="B25" t="s">
        <v>493</v>
      </c>
      <c r="D25" t="s">
        <v>494</v>
      </c>
      <c r="F25" t="s">
        <v>567</v>
      </c>
      <c r="G25" t="s">
        <v>586</v>
      </c>
      <c r="H25" t="s">
        <v>567</v>
      </c>
      <c r="I25" t="s">
        <v>586</v>
      </c>
      <c r="L25" t="s">
        <v>587</v>
      </c>
      <c r="AS25">
        <v>2.7</v>
      </c>
      <c r="AV25">
        <v>1.4</v>
      </c>
      <c r="BQ25" t="s">
        <v>281</v>
      </c>
      <c r="BR25" t="s">
        <v>570</v>
      </c>
    </row>
    <row r="26" spans="1:70">
      <c r="A26" t="s">
        <v>589</v>
      </c>
      <c r="B26" t="s">
        <v>493</v>
      </c>
      <c r="D26" t="s">
        <v>494</v>
      </c>
      <c r="F26" t="s">
        <v>567</v>
      </c>
      <c r="G26" t="s">
        <v>586</v>
      </c>
      <c r="H26" t="s">
        <v>567</v>
      </c>
      <c r="I26" t="s">
        <v>586</v>
      </c>
      <c r="L26" t="s">
        <v>587</v>
      </c>
      <c r="BA26">
        <v>2.5</v>
      </c>
      <c r="BB26">
        <v>2.1</v>
      </c>
      <c r="BC26">
        <v>1.95</v>
      </c>
      <c r="BD26">
        <v>2.1</v>
      </c>
      <c r="BQ26" t="s">
        <v>281</v>
      </c>
      <c r="BR26" t="s">
        <v>570</v>
      </c>
    </row>
    <row r="27" spans="1:70">
      <c r="A27" t="s">
        <v>615</v>
      </c>
      <c r="B27" t="s">
        <v>493</v>
      </c>
      <c r="D27" t="s">
        <v>494</v>
      </c>
      <c r="F27" t="s">
        <v>567</v>
      </c>
      <c r="G27" t="s">
        <v>586</v>
      </c>
      <c r="H27" t="s">
        <v>567</v>
      </c>
      <c r="I27" t="s">
        <v>586</v>
      </c>
      <c r="L27" t="s">
        <v>587</v>
      </c>
      <c r="Y27">
        <v>2.2999999999999998</v>
      </c>
      <c r="AB27">
        <v>3.55</v>
      </c>
      <c r="BP27" t="s">
        <v>235</v>
      </c>
      <c r="BQ27" t="s">
        <v>281</v>
      </c>
      <c r="BR27" t="s">
        <v>570</v>
      </c>
    </row>
    <row r="28" spans="1:70">
      <c r="A28" t="s">
        <v>616</v>
      </c>
      <c r="B28" t="s">
        <v>493</v>
      </c>
      <c r="D28" t="s">
        <v>494</v>
      </c>
      <c r="F28" t="s">
        <v>567</v>
      </c>
      <c r="G28" t="s">
        <v>586</v>
      </c>
      <c r="H28" t="s">
        <v>567</v>
      </c>
      <c r="I28" t="s">
        <v>586</v>
      </c>
      <c r="L28" t="s">
        <v>587</v>
      </c>
      <c r="U28">
        <v>2.4500000000000002</v>
      </c>
      <c r="X28">
        <v>2.95</v>
      </c>
      <c r="BQ28" t="s">
        <v>281</v>
      </c>
      <c r="BR28" t="s">
        <v>570</v>
      </c>
    </row>
    <row r="29" spans="1:70">
      <c r="A29" t="s">
        <v>590</v>
      </c>
      <c r="B29" t="s">
        <v>493</v>
      </c>
      <c r="D29" t="s">
        <v>494</v>
      </c>
      <c r="F29" t="s">
        <v>567</v>
      </c>
      <c r="G29" t="s">
        <v>586</v>
      </c>
      <c r="H29" t="s">
        <v>567</v>
      </c>
      <c r="I29" t="s">
        <v>586</v>
      </c>
      <c r="L29" t="s">
        <v>587</v>
      </c>
      <c r="AV29">
        <v>1.55</v>
      </c>
      <c r="BQ29" t="s">
        <v>281</v>
      </c>
      <c r="BR29" t="s">
        <v>570</v>
      </c>
    </row>
    <row r="30" spans="1:70">
      <c r="A30" t="s">
        <v>591</v>
      </c>
      <c r="B30" t="s">
        <v>493</v>
      </c>
      <c r="D30" t="s">
        <v>494</v>
      </c>
      <c r="F30" t="s">
        <v>567</v>
      </c>
      <c r="G30" t="s">
        <v>586</v>
      </c>
      <c r="H30" t="s">
        <v>567</v>
      </c>
      <c r="I30" t="s">
        <v>586</v>
      </c>
      <c r="L30" t="s">
        <v>587</v>
      </c>
      <c r="AS30">
        <v>2.5</v>
      </c>
      <c r="AV30">
        <v>1.5</v>
      </c>
      <c r="BQ30" t="s">
        <v>281</v>
      </c>
      <c r="BR30" t="s">
        <v>570</v>
      </c>
    </row>
    <row r="31" spans="1:70">
      <c r="A31" t="s">
        <v>617</v>
      </c>
      <c r="B31" t="s">
        <v>493</v>
      </c>
      <c r="D31" t="s">
        <v>494</v>
      </c>
      <c r="F31" t="s">
        <v>567</v>
      </c>
      <c r="G31" t="s">
        <v>586</v>
      </c>
      <c r="H31" t="s">
        <v>567</v>
      </c>
      <c r="I31" t="s">
        <v>586</v>
      </c>
      <c r="L31" t="s">
        <v>587</v>
      </c>
      <c r="Y31">
        <v>2.2999999999999998</v>
      </c>
      <c r="BP31" t="s">
        <v>235</v>
      </c>
      <c r="BQ31" t="s">
        <v>281</v>
      </c>
      <c r="BR31" t="s">
        <v>570</v>
      </c>
    </row>
    <row r="32" spans="1:70">
      <c r="A32" t="s">
        <v>592</v>
      </c>
      <c r="B32" t="s">
        <v>493</v>
      </c>
      <c r="D32" t="s">
        <v>494</v>
      </c>
      <c r="F32" t="s">
        <v>567</v>
      </c>
      <c r="G32" t="s">
        <v>586</v>
      </c>
      <c r="H32" t="s">
        <v>567</v>
      </c>
      <c r="I32" t="s">
        <v>586</v>
      </c>
      <c r="L32" t="s">
        <v>587</v>
      </c>
      <c r="AV32">
        <v>1.65</v>
      </c>
      <c r="BQ32" t="s">
        <v>281</v>
      </c>
      <c r="BR32" t="s">
        <v>570</v>
      </c>
    </row>
    <row r="33" spans="1:70">
      <c r="A33" t="s">
        <v>593</v>
      </c>
      <c r="B33" t="s">
        <v>493</v>
      </c>
      <c r="D33" t="s">
        <v>494</v>
      </c>
      <c r="F33" t="s">
        <v>567</v>
      </c>
      <c r="G33" t="s">
        <v>586</v>
      </c>
      <c r="H33" t="s">
        <v>567</v>
      </c>
      <c r="I33" t="s">
        <v>586</v>
      </c>
      <c r="L33" t="s">
        <v>587</v>
      </c>
      <c r="AX33">
        <v>1.5</v>
      </c>
      <c r="AZ33">
        <v>1.5</v>
      </c>
      <c r="BQ33" t="s">
        <v>281</v>
      </c>
      <c r="BR33" t="s">
        <v>570</v>
      </c>
    </row>
    <row r="34" spans="1:70">
      <c r="A34" t="s">
        <v>594</v>
      </c>
      <c r="B34" t="s">
        <v>493</v>
      </c>
      <c r="D34" t="s">
        <v>494</v>
      </c>
      <c r="F34" t="s">
        <v>567</v>
      </c>
      <c r="G34" t="s">
        <v>586</v>
      </c>
      <c r="H34" t="s">
        <v>567</v>
      </c>
      <c r="I34" t="s">
        <v>586</v>
      </c>
      <c r="L34" t="s">
        <v>587</v>
      </c>
      <c r="BF34">
        <v>1.4</v>
      </c>
      <c r="BH34">
        <v>1.4</v>
      </c>
      <c r="BQ34" t="s">
        <v>281</v>
      </c>
      <c r="BR34" t="s">
        <v>570</v>
      </c>
    </row>
    <row r="35" spans="1:70">
      <c r="A35" t="s">
        <v>595</v>
      </c>
      <c r="B35" t="s">
        <v>493</v>
      </c>
      <c r="D35" t="s">
        <v>494</v>
      </c>
      <c r="F35" t="s">
        <v>567</v>
      </c>
      <c r="G35" t="s">
        <v>586</v>
      </c>
      <c r="H35" t="s">
        <v>567</v>
      </c>
      <c r="I35" t="s">
        <v>586</v>
      </c>
      <c r="L35" t="s">
        <v>587</v>
      </c>
      <c r="BA35">
        <v>2.2999999999999998</v>
      </c>
      <c r="BB35">
        <v>1.9</v>
      </c>
      <c r="BC35">
        <v>1.8</v>
      </c>
      <c r="BD35">
        <v>1.9</v>
      </c>
      <c r="BQ35" t="s">
        <v>281</v>
      </c>
      <c r="BR35" t="s">
        <v>570</v>
      </c>
    </row>
    <row r="36" spans="1:70">
      <c r="A36" t="s">
        <v>618</v>
      </c>
      <c r="B36" t="s">
        <v>493</v>
      </c>
      <c r="D36" t="s">
        <v>494</v>
      </c>
      <c r="F36" t="s">
        <v>567</v>
      </c>
      <c r="G36" t="s">
        <v>586</v>
      </c>
      <c r="H36" t="s">
        <v>567</v>
      </c>
      <c r="I36" t="s">
        <v>586</v>
      </c>
      <c r="L36" t="s">
        <v>587</v>
      </c>
      <c r="U36">
        <v>2.15</v>
      </c>
      <c r="X36">
        <v>2.5499999999999998</v>
      </c>
      <c r="BQ36" t="s">
        <v>281</v>
      </c>
      <c r="BR36" t="s">
        <v>570</v>
      </c>
    </row>
    <row r="37" spans="1:70">
      <c r="A37" t="s">
        <v>596</v>
      </c>
      <c r="B37" t="s">
        <v>493</v>
      </c>
      <c r="D37" t="s">
        <v>494</v>
      </c>
      <c r="F37" t="s">
        <v>567</v>
      </c>
      <c r="G37" t="s">
        <v>586</v>
      </c>
      <c r="H37" t="s">
        <v>567</v>
      </c>
      <c r="I37" t="s">
        <v>586</v>
      </c>
      <c r="L37" t="s">
        <v>587</v>
      </c>
      <c r="BF37">
        <v>1.4</v>
      </c>
      <c r="BH37">
        <v>1.4</v>
      </c>
      <c r="BQ37" t="s">
        <v>281</v>
      </c>
      <c r="BR37" t="s">
        <v>570</v>
      </c>
    </row>
    <row r="38" spans="1:70">
      <c r="A38" t="s">
        <v>597</v>
      </c>
      <c r="B38" t="s">
        <v>493</v>
      </c>
      <c r="D38" t="s">
        <v>494</v>
      </c>
      <c r="F38" t="s">
        <v>567</v>
      </c>
      <c r="G38" t="s">
        <v>586</v>
      </c>
      <c r="H38" t="s">
        <v>567</v>
      </c>
      <c r="I38" t="s">
        <v>586</v>
      </c>
      <c r="L38" t="s">
        <v>587</v>
      </c>
      <c r="AS38">
        <v>2.75</v>
      </c>
      <c r="AV38">
        <v>1.55</v>
      </c>
      <c r="BQ38" t="s">
        <v>281</v>
      </c>
      <c r="BR38" t="s">
        <v>570</v>
      </c>
    </row>
    <row r="39" spans="1:70">
      <c r="A39" t="s">
        <v>598</v>
      </c>
      <c r="B39" t="s">
        <v>493</v>
      </c>
      <c r="D39" t="s">
        <v>494</v>
      </c>
      <c r="F39" t="s">
        <v>567</v>
      </c>
      <c r="G39" t="s">
        <v>586</v>
      </c>
      <c r="H39" t="s">
        <v>567</v>
      </c>
      <c r="I39" t="s">
        <v>586</v>
      </c>
      <c r="L39" t="s">
        <v>587</v>
      </c>
      <c r="BA39">
        <v>2.5499999999999998</v>
      </c>
      <c r="BB39">
        <v>2</v>
      </c>
      <c r="BC39">
        <v>1.9</v>
      </c>
      <c r="BD39">
        <v>2</v>
      </c>
      <c r="BQ39" t="s">
        <v>281</v>
      </c>
      <c r="BR39" t="s">
        <v>570</v>
      </c>
    </row>
    <row r="40" spans="1:70">
      <c r="A40" t="s">
        <v>599</v>
      </c>
      <c r="B40" t="s">
        <v>493</v>
      </c>
      <c r="D40" t="s">
        <v>494</v>
      </c>
      <c r="F40" t="s">
        <v>567</v>
      </c>
      <c r="G40" t="s">
        <v>586</v>
      </c>
      <c r="H40" t="s">
        <v>567</v>
      </c>
      <c r="I40" t="s">
        <v>586</v>
      </c>
      <c r="L40" t="s">
        <v>587</v>
      </c>
      <c r="AS40">
        <v>2.9</v>
      </c>
      <c r="AV40">
        <v>1.7</v>
      </c>
      <c r="BQ40" t="s">
        <v>281</v>
      </c>
      <c r="BR40" t="s">
        <v>570</v>
      </c>
    </row>
    <row r="41" spans="1:70">
      <c r="A41" t="s">
        <v>619</v>
      </c>
      <c r="B41" t="s">
        <v>493</v>
      </c>
      <c r="D41" t="s">
        <v>494</v>
      </c>
      <c r="F41" t="s">
        <v>567</v>
      </c>
      <c r="G41" t="s">
        <v>586</v>
      </c>
      <c r="H41" t="s">
        <v>567</v>
      </c>
      <c r="I41" t="s">
        <v>586</v>
      </c>
      <c r="L41" t="s">
        <v>587</v>
      </c>
      <c r="Y41">
        <v>2.2000000000000002</v>
      </c>
      <c r="AB41">
        <v>3.1</v>
      </c>
      <c r="BP41" t="s">
        <v>235</v>
      </c>
      <c r="BQ41" t="s">
        <v>281</v>
      </c>
      <c r="BR41" t="s">
        <v>570</v>
      </c>
    </row>
    <row r="42" spans="1:70">
      <c r="A42" t="s">
        <v>600</v>
      </c>
      <c r="B42" t="s">
        <v>493</v>
      </c>
      <c r="D42" t="s">
        <v>494</v>
      </c>
      <c r="F42" t="s">
        <v>567</v>
      </c>
      <c r="G42" t="s">
        <v>586</v>
      </c>
      <c r="H42" t="s">
        <v>567</v>
      </c>
      <c r="I42" t="s">
        <v>586</v>
      </c>
      <c r="L42" t="s">
        <v>587</v>
      </c>
      <c r="AW42">
        <v>2.0499999999999998</v>
      </c>
      <c r="AX42">
        <v>1.45</v>
      </c>
      <c r="AY42">
        <v>1.5</v>
      </c>
      <c r="AZ42">
        <v>1.5</v>
      </c>
      <c r="BQ42" t="s">
        <v>281</v>
      </c>
      <c r="BR42" t="s">
        <v>570</v>
      </c>
    </row>
    <row r="43" spans="1:70">
      <c r="A43" t="s">
        <v>601</v>
      </c>
      <c r="B43" t="s">
        <v>493</v>
      </c>
      <c r="D43" t="s">
        <v>494</v>
      </c>
      <c r="F43" t="s">
        <v>567</v>
      </c>
      <c r="G43" t="s">
        <v>586</v>
      </c>
      <c r="H43" t="s">
        <v>567</v>
      </c>
      <c r="I43" t="s">
        <v>586</v>
      </c>
      <c r="L43" t="s">
        <v>587</v>
      </c>
      <c r="AW43">
        <v>2.2000000000000002</v>
      </c>
      <c r="AX43">
        <v>1.4</v>
      </c>
      <c r="AY43">
        <v>1.65</v>
      </c>
      <c r="AZ43">
        <v>1.65</v>
      </c>
      <c r="BQ43" t="s">
        <v>281</v>
      </c>
      <c r="BR43" t="s">
        <v>570</v>
      </c>
    </row>
    <row r="44" spans="1:70">
      <c r="A44" t="s">
        <v>585</v>
      </c>
      <c r="B44" t="s">
        <v>493</v>
      </c>
      <c r="D44" t="s">
        <v>494</v>
      </c>
      <c r="F44" t="s">
        <v>567</v>
      </c>
      <c r="G44" t="s">
        <v>586</v>
      </c>
      <c r="H44" t="s">
        <v>567</v>
      </c>
      <c r="I44" t="s">
        <v>586</v>
      </c>
      <c r="L44" t="s">
        <v>587</v>
      </c>
      <c r="AS44">
        <v>2.4</v>
      </c>
      <c r="AV44">
        <v>1.45</v>
      </c>
      <c r="BQ44" t="s">
        <v>281</v>
      </c>
      <c r="BR44" t="s">
        <v>570</v>
      </c>
    </row>
    <row r="45" spans="1:70">
      <c r="A45" t="s">
        <v>602</v>
      </c>
      <c r="B45" t="s">
        <v>493</v>
      </c>
      <c r="D45" t="s">
        <v>494</v>
      </c>
      <c r="F45" t="s">
        <v>567</v>
      </c>
      <c r="G45" t="s">
        <v>586</v>
      </c>
      <c r="H45" t="s">
        <v>567</v>
      </c>
      <c r="I45" t="s">
        <v>586</v>
      </c>
      <c r="L45" t="s">
        <v>587</v>
      </c>
      <c r="BF45">
        <v>1.5</v>
      </c>
      <c r="BH45">
        <v>1.5</v>
      </c>
      <c r="BQ45" t="s">
        <v>281</v>
      </c>
      <c r="BR45" t="s">
        <v>570</v>
      </c>
    </row>
    <row r="46" spans="1:70">
      <c r="A46" t="s">
        <v>620</v>
      </c>
      <c r="B46" t="s">
        <v>493</v>
      </c>
      <c r="D46" t="s">
        <v>494</v>
      </c>
      <c r="F46" t="s">
        <v>567</v>
      </c>
      <c r="G46" t="s">
        <v>586</v>
      </c>
      <c r="H46" t="s">
        <v>567</v>
      </c>
      <c r="I46" t="s">
        <v>586</v>
      </c>
      <c r="L46" t="s">
        <v>587</v>
      </c>
      <c r="AB46">
        <v>3.3</v>
      </c>
      <c r="BP46" t="s">
        <v>235</v>
      </c>
      <c r="BQ46" t="s">
        <v>281</v>
      </c>
      <c r="BR46" t="s">
        <v>570</v>
      </c>
    </row>
    <row r="47" spans="1:70">
      <c r="A47" t="s">
        <v>603</v>
      </c>
      <c r="B47" t="s">
        <v>493</v>
      </c>
      <c r="D47" t="s">
        <v>494</v>
      </c>
      <c r="F47" t="s">
        <v>567</v>
      </c>
      <c r="G47" t="s">
        <v>586</v>
      </c>
      <c r="H47" t="s">
        <v>567</v>
      </c>
      <c r="I47" t="s">
        <v>586</v>
      </c>
      <c r="L47" t="s">
        <v>587</v>
      </c>
      <c r="BF47">
        <v>1.4</v>
      </c>
      <c r="BH47">
        <v>1.4</v>
      </c>
      <c r="BQ47" t="s">
        <v>281</v>
      </c>
      <c r="BR47" t="s">
        <v>570</v>
      </c>
    </row>
    <row r="48" spans="1:70">
      <c r="A48" t="s">
        <v>604</v>
      </c>
      <c r="B48" t="s">
        <v>493</v>
      </c>
      <c r="D48" t="s">
        <v>494</v>
      </c>
      <c r="F48" t="s">
        <v>567</v>
      </c>
      <c r="G48" t="s">
        <v>586</v>
      </c>
      <c r="H48" t="s">
        <v>567</v>
      </c>
      <c r="I48" t="s">
        <v>586</v>
      </c>
      <c r="L48" t="s">
        <v>587</v>
      </c>
      <c r="BC48">
        <v>1.55</v>
      </c>
      <c r="BD48">
        <v>1.55</v>
      </c>
      <c r="BQ48" t="s">
        <v>281</v>
      </c>
      <c r="BR48" t="s">
        <v>570</v>
      </c>
    </row>
    <row r="49" spans="1:74" s="9" customFormat="1">
      <c r="A49" t="s">
        <v>621</v>
      </c>
      <c r="B49" s="12" t="s">
        <v>493</v>
      </c>
      <c r="C49" s="12"/>
      <c r="D49" s="12" t="s">
        <v>494</v>
      </c>
      <c r="E49" s="12"/>
      <c r="F49" s="12" t="s">
        <v>567</v>
      </c>
      <c r="G49" s="12" t="s">
        <v>586</v>
      </c>
      <c r="H49" s="12" t="s">
        <v>567</v>
      </c>
      <c r="I49" s="12" t="s">
        <v>586</v>
      </c>
      <c r="J49" s="12"/>
      <c r="K49" s="12"/>
      <c r="L49" s="12" t="s">
        <v>587</v>
      </c>
      <c r="M49"/>
      <c r="N49"/>
      <c r="O49"/>
      <c r="P49"/>
      <c r="Q49"/>
      <c r="R49"/>
      <c r="S49"/>
      <c r="T49"/>
      <c r="U49"/>
      <c r="V49"/>
      <c r="W49"/>
      <c r="X49"/>
      <c r="Y49">
        <v>2.2999999999999998</v>
      </c>
      <c r="Z49"/>
      <c r="AA49"/>
      <c r="AB49">
        <v>3.4</v>
      </c>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t="s">
        <v>235</v>
      </c>
      <c r="BQ49" t="s">
        <v>281</v>
      </c>
      <c r="BR49" t="s">
        <v>570</v>
      </c>
      <c r="BS49"/>
      <c r="BT49"/>
      <c r="BU49"/>
      <c r="BV49"/>
    </row>
    <row r="50" spans="1:74">
      <c r="A50" t="s">
        <v>605</v>
      </c>
      <c r="B50" t="s">
        <v>493</v>
      </c>
      <c r="D50" t="s">
        <v>494</v>
      </c>
      <c r="F50" t="s">
        <v>567</v>
      </c>
      <c r="G50" t="s">
        <v>622</v>
      </c>
      <c r="H50" t="s">
        <v>567</v>
      </c>
      <c r="I50" t="s">
        <v>622</v>
      </c>
      <c r="L50" t="s">
        <v>606</v>
      </c>
      <c r="AS50">
        <v>2.2999999999999998</v>
      </c>
      <c r="AV50">
        <v>1.3</v>
      </c>
      <c r="BQ50" t="s">
        <v>281</v>
      </c>
      <c r="BR50" t="s">
        <v>570</v>
      </c>
    </row>
    <row r="51" spans="1:74">
      <c r="A51" t="s">
        <v>261</v>
      </c>
      <c r="B51" t="s">
        <v>493</v>
      </c>
      <c r="D51" t="s">
        <v>494</v>
      </c>
      <c r="F51" t="s">
        <v>262</v>
      </c>
      <c r="G51" t="s">
        <v>263</v>
      </c>
      <c r="H51" t="s">
        <v>262</v>
      </c>
      <c r="I51" t="s">
        <v>263</v>
      </c>
      <c r="AC51">
        <v>3.2</v>
      </c>
      <c r="AF51">
        <v>4.0999999999999996</v>
      </c>
      <c r="BQ51" t="s">
        <v>166</v>
      </c>
      <c r="BR51" t="s">
        <v>197</v>
      </c>
      <c r="BS51" t="s">
        <v>181</v>
      </c>
      <c r="BT51" t="s">
        <v>197</v>
      </c>
    </row>
    <row r="52" spans="1:74">
      <c r="A52" t="s">
        <v>319</v>
      </c>
      <c r="B52" t="s">
        <v>493</v>
      </c>
      <c r="D52" t="s">
        <v>494</v>
      </c>
      <c r="F52" t="s">
        <v>262</v>
      </c>
      <c r="G52" t="s">
        <v>356</v>
      </c>
      <c r="H52" t="s">
        <v>262</v>
      </c>
      <c r="I52" t="s">
        <v>356</v>
      </c>
      <c r="AO52">
        <v>2.2000000000000002</v>
      </c>
      <c r="AR52">
        <v>1.4</v>
      </c>
      <c r="AS52">
        <v>2.5</v>
      </c>
      <c r="AV52">
        <v>1.65</v>
      </c>
      <c r="AW52">
        <v>2.48</v>
      </c>
      <c r="AZ52">
        <v>2.1800000000000002</v>
      </c>
      <c r="BA52">
        <v>2.65</v>
      </c>
      <c r="BD52">
        <v>2.5099999999999998</v>
      </c>
      <c r="BE52">
        <v>2.8</v>
      </c>
      <c r="BH52">
        <v>2.31</v>
      </c>
      <c r="BQ52" t="s">
        <v>281</v>
      </c>
      <c r="BR52" t="s">
        <v>412</v>
      </c>
      <c r="BS52" t="s">
        <v>371</v>
      </c>
      <c r="BT52" t="s">
        <v>412</v>
      </c>
    </row>
    <row r="53" spans="1:74">
      <c r="A53" t="s">
        <v>360</v>
      </c>
      <c r="B53" t="s">
        <v>493</v>
      </c>
      <c r="D53" t="s">
        <v>494</v>
      </c>
      <c r="F53" t="s">
        <v>262</v>
      </c>
      <c r="G53" t="s">
        <v>356</v>
      </c>
      <c r="H53" t="s">
        <v>262</v>
      </c>
      <c r="I53" t="s">
        <v>356</v>
      </c>
      <c r="AW53">
        <v>3.1</v>
      </c>
      <c r="AX53">
        <v>2.17</v>
      </c>
      <c r="AY53">
        <v>2.2799999999999998</v>
      </c>
      <c r="AZ53">
        <f>MAX(AX53:AY53)</f>
        <v>2.2799999999999998</v>
      </c>
      <c r="BA53">
        <v>3.32</v>
      </c>
      <c r="BB53">
        <v>2.61</v>
      </c>
      <c r="BC53">
        <v>2.58</v>
      </c>
      <c r="BD53">
        <f>MAX(BB53:BC53)</f>
        <v>2.61</v>
      </c>
      <c r="BP53" t="s">
        <v>366</v>
      </c>
      <c r="BQ53" t="s">
        <v>281</v>
      </c>
      <c r="BR53" t="s">
        <v>322</v>
      </c>
    </row>
    <row r="54" spans="1:74">
      <c r="A54" t="s">
        <v>357</v>
      </c>
      <c r="B54" t="s">
        <v>493</v>
      </c>
      <c r="D54" t="s">
        <v>494</v>
      </c>
      <c r="F54" t="s">
        <v>262</v>
      </c>
      <c r="G54" t="s">
        <v>356</v>
      </c>
      <c r="H54" t="s">
        <v>262</v>
      </c>
      <c r="I54" t="s">
        <v>356</v>
      </c>
      <c r="AW54">
        <v>2.46</v>
      </c>
      <c r="AX54">
        <v>2.0499999999999998</v>
      </c>
      <c r="AY54">
        <v>2.1</v>
      </c>
      <c r="AZ54">
        <f>MAX(AX54:AY54)</f>
        <v>2.1</v>
      </c>
      <c r="BA54">
        <v>2.79</v>
      </c>
      <c r="BB54">
        <v>2.4700000000000002</v>
      </c>
      <c r="BC54">
        <v>2.42</v>
      </c>
      <c r="BD54">
        <f>MAX(BB54:BC54)</f>
        <v>2.4700000000000002</v>
      </c>
      <c r="BP54" t="s">
        <v>366</v>
      </c>
      <c r="BQ54" t="s">
        <v>281</v>
      </c>
      <c r="BR54" t="s">
        <v>322</v>
      </c>
    </row>
    <row r="55" spans="1:74">
      <c r="A55" t="s">
        <v>357</v>
      </c>
      <c r="B55" t="s">
        <v>493</v>
      </c>
      <c r="D55" t="s">
        <v>494</v>
      </c>
      <c r="F55" t="s">
        <v>262</v>
      </c>
      <c r="G55" t="s">
        <v>356</v>
      </c>
      <c r="H55" t="s">
        <v>262</v>
      </c>
      <c r="I55" t="s">
        <v>356</v>
      </c>
      <c r="AO55">
        <v>2.1</v>
      </c>
      <c r="AR55">
        <v>1.4</v>
      </c>
      <c r="AS55">
        <v>2.5</v>
      </c>
      <c r="AV55">
        <v>1.6</v>
      </c>
      <c r="AW55">
        <v>2.4</v>
      </c>
      <c r="AZ55">
        <v>2.2000000000000002</v>
      </c>
      <c r="BA55">
        <v>2.6</v>
      </c>
      <c r="BD55">
        <v>2.6</v>
      </c>
      <c r="BE55">
        <v>2.8</v>
      </c>
      <c r="BH55">
        <v>2.2000000000000002</v>
      </c>
      <c r="BQ55" t="s">
        <v>166</v>
      </c>
      <c r="BR55" t="s">
        <v>503</v>
      </c>
    </row>
    <row r="56" spans="1:74">
      <c r="A56" t="s">
        <v>469</v>
      </c>
      <c r="B56" t="s">
        <v>493</v>
      </c>
      <c r="D56" t="s">
        <v>494</v>
      </c>
      <c r="F56" t="s">
        <v>262</v>
      </c>
      <c r="G56" t="s">
        <v>356</v>
      </c>
      <c r="H56" t="s">
        <v>262</v>
      </c>
      <c r="I56" t="s">
        <v>356</v>
      </c>
      <c r="M56">
        <v>1.5</v>
      </c>
      <c r="P56">
        <v>1.1000000000000001</v>
      </c>
      <c r="Q56">
        <v>2.2000000000000002</v>
      </c>
      <c r="T56">
        <v>2.1</v>
      </c>
      <c r="U56">
        <v>2.4</v>
      </c>
      <c r="X56">
        <v>2.9</v>
      </c>
      <c r="Y56">
        <v>2.4</v>
      </c>
      <c r="AB56">
        <v>3.2</v>
      </c>
      <c r="AC56">
        <v>2.6</v>
      </c>
      <c r="AF56">
        <v>3.7</v>
      </c>
      <c r="AG56">
        <v>1.9</v>
      </c>
      <c r="AJ56">
        <v>3.1</v>
      </c>
      <c r="BQ56" t="s">
        <v>281</v>
      </c>
      <c r="BR56" t="s">
        <v>412</v>
      </c>
      <c r="BS56" t="s">
        <v>371</v>
      </c>
      <c r="BT56" t="s">
        <v>412</v>
      </c>
    </row>
    <row r="57" spans="1:74">
      <c r="A57" t="s">
        <v>470</v>
      </c>
      <c r="B57" t="s">
        <v>493</v>
      </c>
      <c r="D57" t="s">
        <v>494</v>
      </c>
      <c r="F57" t="s">
        <v>262</v>
      </c>
      <c r="G57" t="s">
        <v>356</v>
      </c>
      <c r="H57" t="s">
        <v>262</v>
      </c>
      <c r="I57" t="s">
        <v>356</v>
      </c>
      <c r="U57">
        <v>2.2000000000000002</v>
      </c>
      <c r="Y57">
        <v>2.5</v>
      </c>
      <c r="AB57">
        <v>3.1</v>
      </c>
      <c r="AC57">
        <v>2.9</v>
      </c>
      <c r="AF57">
        <v>3.7</v>
      </c>
      <c r="BQ57" t="s">
        <v>281</v>
      </c>
      <c r="BR57" t="s">
        <v>412</v>
      </c>
    </row>
    <row r="58" spans="1:74">
      <c r="A58" t="s">
        <v>360</v>
      </c>
      <c r="B58" t="s">
        <v>493</v>
      </c>
      <c r="D58" t="s">
        <v>494</v>
      </c>
      <c r="F58" t="s">
        <v>262</v>
      </c>
      <c r="G58" t="s">
        <v>848</v>
      </c>
      <c r="H58" t="s">
        <v>262</v>
      </c>
      <c r="I58" t="s">
        <v>848</v>
      </c>
      <c r="AO58">
        <v>2.6</v>
      </c>
      <c r="AR58">
        <v>1.6</v>
      </c>
      <c r="AS58">
        <v>3.3</v>
      </c>
      <c r="AV58">
        <v>2</v>
      </c>
      <c r="AW58">
        <v>3</v>
      </c>
      <c r="AZ58">
        <v>2.2999999999999998</v>
      </c>
      <c r="BA58">
        <v>3.2</v>
      </c>
      <c r="BD58">
        <v>2.8</v>
      </c>
      <c r="BE58">
        <v>3.3</v>
      </c>
      <c r="BH58">
        <v>2.6</v>
      </c>
      <c r="BP58" t="s">
        <v>849</v>
      </c>
      <c r="BQ58" t="s">
        <v>281</v>
      </c>
      <c r="BR58" t="s">
        <v>818</v>
      </c>
      <c r="BS58" t="s">
        <v>181</v>
      </c>
      <c r="BT58" t="s">
        <v>818</v>
      </c>
    </row>
    <row r="59" spans="1:74">
      <c r="A59" t="s">
        <v>311</v>
      </c>
      <c r="B59" t="s">
        <v>493</v>
      </c>
      <c r="D59" t="s">
        <v>494</v>
      </c>
      <c r="F59" t="s">
        <v>277</v>
      </c>
      <c r="G59" t="s">
        <v>309</v>
      </c>
      <c r="H59" t="s">
        <v>277</v>
      </c>
      <c r="I59" t="s">
        <v>309</v>
      </c>
      <c r="AZ59">
        <v>1.55</v>
      </c>
      <c r="BQ59" t="s">
        <v>281</v>
      </c>
      <c r="BR59" t="s">
        <v>312</v>
      </c>
      <c r="BS59" t="s">
        <v>181</v>
      </c>
      <c r="BT59" t="s">
        <v>312</v>
      </c>
    </row>
    <row r="60" spans="1:74" s="9" customFormat="1">
      <c r="A60" t="s">
        <v>310</v>
      </c>
      <c r="B60" t="s">
        <v>493</v>
      </c>
      <c r="C60"/>
      <c r="D60" t="s">
        <v>494</v>
      </c>
      <c r="E60"/>
      <c r="F60" t="s">
        <v>277</v>
      </c>
      <c r="G60" t="s">
        <v>309</v>
      </c>
      <c r="H60" t="s">
        <v>277</v>
      </c>
      <c r="I60" t="s">
        <v>309</v>
      </c>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v>2.2000000000000002</v>
      </c>
      <c r="BB60"/>
      <c r="BC60"/>
      <c r="BD60">
        <v>1.8</v>
      </c>
      <c r="BE60"/>
      <c r="BF60"/>
      <c r="BG60"/>
      <c r="BH60"/>
      <c r="BI60"/>
      <c r="BJ60"/>
      <c r="BK60"/>
      <c r="BL60"/>
      <c r="BM60"/>
      <c r="BN60"/>
      <c r="BO60"/>
      <c r="BP60"/>
      <c r="BQ60" t="s">
        <v>281</v>
      </c>
      <c r="BR60" t="s">
        <v>312</v>
      </c>
      <c r="BS60" t="s">
        <v>181</v>
      </c>
      <c r="BT60" t="s">
        <v>312</v>
      </c>
      <c r="BU60"/>
      <c r="BV60"/>
    </row>
    <row r="61" spans="1:74">
      <c r="B61" t="s">
        <v>493</v>
      </c>
      <c r="D61" t="s">
        <v>494</v>
      </c>
      <c r="F61" t="s">
        <v>277</v>
      </c>
      <c r="G61" t="s">
        <v>278</v>
      </c>
      <c r="H61" t="s">
        <v>277</v>
      </c>
      <c r="I61" t="s">
        <v>278</v>
      </c>
      <c r="L61" t="s">
        <v>279</v>
      </c>
      <c r="U61">
        <v>2.66</v>
      </c>
      <c r="X61">
        <v>2.82</v>
      </c>
      <c r="AG61">
        <v>2</v>
      </c>
      <c r="AJ61">
        <v>2.38</v>
      </c>
      <c r="AO61">
        <v>2.9</v>
      </c>
      <c r="AR61">
        <v>1.61</v>
      </c>
      <c r="AS61">
        <v>2.97</v>
      </c>
      <c r="AV61">
        <v>1.63</v>
      </c>
      <c r="AW61">
        <v>2.73</v>
      </c>
      <c r="AZ61">
        <v>2.1800000000000002</v>
      </c>
      <c r="BA61">
        <v>2.8</v>
      </c>
      <c r="BD61">
        <v>2.2999999999999998</v>
      </c>
      <c r="BE61">
        <v>2.48</v>
      </c>
      <c r="BH61">
        <v>1.8</v>
      </c>
      <c r="BP61" t="s">
        <v>280</v>
      </c>
      <c r="BQ61" t="s">
        <v>281</v>
      </c>
      <c r="BR61" t="s">
        <v>273</v>
      </c>
    </row>
    <row r="62" spans="1:74">
      <c r="B62" t="s">
        <v>493</v>
      </c>
      <c r="D62" t="s">
        <v>494</v>
      </c>
      <c r="F62" t="s">
        <v>277</v>
      </c>
      <c r="G62" t="s">
        <v>278</v>
      </c>
      <c r="H62" t="s">
        <v>277</v>
      </c>
      <c r="I62" t="s">
        <v>278</v>
      </c>
      <c r="L62" t="s">
        <v>282</v>
      </c>
      <c r="U62">
        <v>2.4</v>
      </c>
      <c r="X62">
        <v>2.5299999999999998</v>
      </c>
      <c r="Y62">
        <v>2.72</v>
      </c>
      <c r="AB62">
        <v>3.2</v>
      </c>
      <c r="AC62">
        <v>2.5499999999999998</v>
      </c>
      <c r="AF62">
        <v>3.72</v>
      </c>
      <c r="AG62">
        <v>1.75</v>
      </c>
      <c r="AJ62">
        <v>2.37</v>
      </c>
      <c r="AO62">
        <v>2.6</v>
      </c>
      <c r="AR62">
        <v>1.1499999999999999</v>
      </c>
      <c r="AS62">
        <v>3.06</v>
      </c>
      <c r="AV62">
        <v>1.66</v>
      </c>
      <c r="AW62">
        <v>2.71</v>
      </c>
      <c r="AZ62">
        <v>2.21</v>
      </c>
      <c r="BA62">
        <v>2.75</v>
      </c>
      <c r="BD62">
        <v>2.37</v>
      </c>
      <c r="BE62">
        <v>2.5499999999999998</v>
      </c>
      <c r="BH62">
        <v>1.79</v>
      </c>
      <c r="BP62" t="s">
        <v>280</v>
      </c>
      <c r="BQ62" t="s">
        <v>281</v>
      </c>
      <c r="BR62" t="s">
        <v>273</v>
      </c>
    </row>
    <row r="63" spans="1:74" s="10" customFormat="1">
      <c r="A63"/>
      <c r="B63" t="s">
        <v>493</v>
      </c>
      <c r="C63"/>
      <c r="D63" t="s">
        <v>494</v>
      </c>
      <c r="E63"/>
      <c r="F63" t="s">
        <v>277</v>
      </c>
      <c r="G63" t="s">
        <v>278</v>
      </c>
      <c r="H63" t="s">
        <v>277</v>
      </c>
      <c r="I63" t="s">
        <v>278</v>
      </c>
      <c r="J63"/>
      <c r="K63"/>
      <c r="L63" t="s">
        <v>283</v>
      </c>
      <c r="M63"/>
      <c r="N63"/>
      <c r="O63"/>
      <c r="P63"/>
      <c r="Q63"/>
      <c r="R63"/>
      <c r="S63"/>
      <c r="T63"/>
      <c r="U63">
        <v>3.08</v>
      </c>
      <c r="V63"/>
      <c r="W63"/>
      <c r="X63">
        <v>2.75</v>
      </c>
      <c r="Y63">
        <v>3.2</v>
      </c>
      <c r="Z63"/>
      <c r="AA63"/>
      <c r="AB63">
        <v>3.55</v>
      </c>
      <c r="AC63">
        <v>3</v>
      </c>
      <c r="AD63"/>
      <c r="AE63"/>
      <c r="AF63">
        <v>4.2</v>
      </c>
      <c r="AG63">
        <v>2.2000000000000002</v>
      </c>
      <c r="AH63"/>
      <c r="AI63"/>
      <c r="AJ63">
        <v>2.9</v>
      </c>
      <c r="AK63"/>
      <c r="AL63"/>
      <c r="AM63"/>
      <c r="AN63"/>
      <c r="AO63">
        <v>3.12</v>
      </c>
      <c r="AP63"/>
      <c r="AQ63"/>
      <c r="AR63">
        <v>1.3</v>
      </c>
      <c r="AS63">
        <v>3.21</v>
      </c>
      <c r="AT63"/>
      <c r="AU63"/>
      <c r="AV63">
        <v>1.4</v>
      </c>
      <c r="AW63">
        <v>2.63</v>
      </c>
      <c r="AX63"/>
      <c r="AY63"/>
      <c r="AZ63">
        <v>2.04</v>
      </c>
      <c r="BA63">
        <v>2.76</v>
      </c>
      <c r="BB63"/>
      <c r="BC63"/>
      <c r="BD63">
        <v>2.31</v>
      </c>
      <c r="BE63">
        <v>2.54</v>
      </c>
      <c r="BF63"/>
      <c r="BG63"/>
      <c r="BH63">
        <v>1.72</v>
      </c>
      <c r="BI63"/>
      <c r="BJ63"/>
      <c r="BK63"/>
      <c r="BL63"/>
      <c r="BM63"/>
      <c r="BN63"/>
      <c r="BO63"/>
      <c r="BP63" t="s">
        <v>280</v>
      </c>
      <c r="BQ63" t="s">
        <v>281</v>
      </c>
      <c r="BR63" t="s">
        <v>273</v>
      </c>
      <c r="BS63" t="s">
        <v>181</v>
      </c>
      <c r="BT63" t="s">
        <v>284</v>
      </c>
      <c r="BU63"/>
      <c r="BV63"/>
    </row>
    <row r="64" spans="1:74">
      <c r="A64" t="s">
        <v>856</v>
      </c>
      <c r="B64" t="s">
        <v>493</v>
      </c>
      <c r="C64" t="s">
        <v>11</v>
      </c>
      <c r="D64" t="s">
        <v>494</v>
      </c>
      <c r="F64" t="s">
        <v>860</v>
      </c>
      <c r="G64" t="s">
        <v>484</v>
      </c>
      <c r="H64" t="s">
        <v>855</v>
      </c>
      <c r="I64" t="s">
        <v>484</v>
      </c>
      <c r="AS64">
        <v>3.2</v>
      </c>
      <c r="AV64">
        <v>1.9</v>
      </c>
      <c r="AW64">
        <v>2.7</v>
      </c>
      <c r="AZ64">
        <v>2</v>
      </c>
      <c r="BQ64" t="s">
        <v>281</v>
      </c>
      <c r="BR64" t="s">
        <v>818</v>
      </c>
      <c r="BS64" t="s">
        <v>181</v>
      </c>
      <c r="BT64" t="s">
        <v>818</v>
      </c>
    </row>
    <row r="65" spans="1:74">
      <c r="A65" t="s">
        <v>857</v>
      </c>
      <c r="B65" t="s">
        <v>493</v>
      </c>
      <c r="C65" t="s">
        <v>11</v>
      </c>
      <c r="D65" t="s">
        <v>494</v>
      </c>
      <c r="F65" t="s">
        <v>860</v>
      </c>
      <c r="G65" t="s">
        <v>484</v>
      </c>
      <c r="H65" t="s">
        <v>855</v>
      </c>
      <c r="I65" t="s">
        <v>484</v>
      </c>
      <c r="BC65">
        <v>2.2000000000000002</v>
      </c>
      <c r="BD65">
        <v>2.2000000000000002</v>
      </c>
      <c r="BE65">
        <v>2.2000000000000002</v>
      </c>
      <c r="BH65">
        <v>1.6</v>
      </c>
      <c r="BQ65" t="s">
        <v>281</v>
      </c>
      <c r="BR65" t="s">
        <v>818</v>
      </c>
      <c r="BS65" t="s">
        <v>181</v>
      </c>
      <c r="BT65" t="s">
        <v>818</v>
      </c>
    </row>
    <row r="66" spans="1:74">
      <c r="A66" t="s">
        <v>266</v>
      </c>
      <c r="B66" t="s">
        <v>493</v>
      </c>
      <c r="D66" t="s">
        <v>494</v>
      </c>
      <c r="F66" t="s">
        <v>192</v>
      </c>
      <c r="G66" t="s">
        <v>267</v>
      </c>
      <c r="H66" t="s">
        <v>192</v>
      </c>
      <c r="I66" t="s">
        <v>267</v>
      </c>
      <c r="AW66">
        <v>3</v>
      </c>
      <c r="AZ66">
        <v>2.2000000000000002</v>
      </c>
      <c r="BQ66" t="s">
        <v>166</v>
      </c>
      <c r="BR66" t="s">
        <v>197</v>
      </c>
      <c r="BS66" t="s">
        <v>181</v>
      </c>
      <c r="BT66" t="s">
        <v>197</v>
      </c>
    </row>
    <row r="67" spans="1:74">
      <c r="A67" t="s">
        <v>845</v>
      </c>
      <c r="B67" t="s">
        <v>493</v>
      </c>
      <c r="D67" t="s">
        <v>494</v>
      </c>
      <c r="F67" t="s">
        <v>192</v>
      </c>
      <c r="G67" t="s">
        <v>463</v>
      </c>
      <c r="H67" t="s">
        <v>192</v>
      </c>
      <c r="I67" t="s">
        <v>846</v>
      </c>
      <c r="AO67">
        <v>3.7</v>
      </c>
      <c r="AR67">
        <v>1.65</v>
      </c>
      <c r="AS67">
        <v>3.8</v>
      </c>
      <c r="AW67">
        <v>3.2</v>
      </c>
      <c r="AZ67">
        <v>2.2000000000000002</v>
      </c>
      <c r="BA67">
        <v>3.3</v>
      </c>
      <c r="BD67">
        <v>2.5</v>
      </c>
      <c r="BQ67" t="s">
        <v>281</v>
      </c>
      <c r="BR67" t="s">
        <v>818</v>
      </c>
      <c r="BS67" t="s">
        <v>181</v>
      </c>
      <c r="BT67" t="s">
        <v>818</v>
      </c>
    </row>
    <row r="68" spans="1:74">
      <c r="A68" t="s">
        <v>847</v>
      </c>
      <c r="B68" t="s">
        <v>493</v>
      </c>
      <c r="D68" t="s">
        <v>494</v>
      </c>
      <c r="F68" s="3" t="s">
        <v>192</v>
      </c>
      <c r="G68" t="s">
        <v>463</v>
      </c>
      <c r="H68" t="s">
        <v>192</v>
      </c>
      <c r="I68" t="s">
        <v>846</v>
      </c>
      <c r="BA68">
        <v>3.6</v>
      </c>
      <c r="BD68">
        <v>3.1</v>
      </c>
      <c r="BE68">
        <v>3.8</v>
      </c>
      <c r="BH68">
        <v>2.6</v>
      </c>
      <c r="BQ68" t="s">
        <v>281</v>
      </c>
      <c r="BR68" t="s">
        <v>818</v>
      </c>
      <c r="BS68" t="s">
        <v>181</v>
      </c>
      <c r="BT68" t="s">
        <v>818</v>
      </c>
    </row>
    <row r="69" spans="1:74">
      <c r="A69" t="s">
        <v>465</v>
      </c>
      <c r="B69" t="s">
        <v>493</v>
      </c>
      <c r="D69" t="s">
        <v>494</v>
      </c>
      <c r="F69" t="s">
        <v>192</v>
      </c>
      <c r="G69" t="s">
        <v>463</v>
      </c>
      <c r="H69" t="s">
        <v>192</v>
      </c>
      <c r="I69" t="s">
        <v>463</v>
      </c>
      <c r="AW69">
        <v>2.9</v>
      </c>
      <c r="AZ69">
        <v>2.1</v>
      </c>
      <c r="BA69">
        <v>3</v>
      </c>
      <c r="BD69">
        <v>2.5</v>
      </c>
      <c r="BE69">
        <v>3.4</v>
      </c>
      <c r="BH69">
        <v>2.2000000000000002</v>
      </c>
      <c r="BQ69" t="s">
        <v>281</v>
      </c>
      <c r="BR69" t="s">
        <v>412</v>
      </c>
    </row>
    <row r="70" spans="1:74">
      <c r="A70" t="s">
        <v>464</v>
      </c>
      <c r="B70" t="s">
        <v>493</v>
      </c>
      <c r="D70" t="s">
        <v>494</v>
      </c>
      <c r="F70" t="s">
        <v>192</v>
      </c>
      <c r="G70" t="s">
        <v>463</v>
      </c>
      <c r="H70" t="s">
        <v>192</v>
      </c>
      <c r="I70" t="s">
        <v>463</v>
      </c>
      <c r="AO70">
        <v>3.3</v>
      </c>
      <c r="AR70">
        <v>1.7</v>
      </c>
      <c r="AS70">
        <v>3.5</v>
      </c>
      <c r="AV70">
        <v>1.9</v>
      </c>
      <c r="AW70">
        <v>2.9</v>
      </c>
      <c r="AZ70">
        <v>2.4</v>
      </c>
      <c r="BA70">
        <v>3</v>
      </c>
      <c r="BD70">
        <v>2.7</v>
      </c>
      <c r="BE70">
        <v>3.2</v>
      </c>
      <c r="BH70">
        <v>2.2000000000000002</v>
      </c>
      <c r="BQ70" t="s">
        <v>281</v>
      </c>
      <c r="BR70" t="s">
        <v>412</v>
      </c>
      <c r="BS70" t="s">
        <v>371</v>
      </c>
      <c r="BT70" t="s">
        <v>412</v>
      </c>
    </row>
    <row r="71" spans="1:74">
      <c r="A71" t="s">
        <v>466</v>
      </c>
      <c r="B71" t="s">
        <v>493</v>
      </c>
      <c r="D71" t="s">
        <v>494</v>
      </c>
      <c r="F71" t="s">
        <v>192</v>
      </c>
      <c r="G71" t="s">
        <v>463</v>
      </c>
      <c r="H71" t="s">
        <v>192</v>
      </c>
      <c r="I71" t="s">
        <v>463</v>
      </c>
      <c r="AO71">
        <v>3.6</v>
      </c>
      <c r="AR71">
        <v>1.6</v>
      </c>
      <c r="AS71">
        <v>3.9</v>
      </c>
      <c r="AV71">
        <v>1.7</v>
      </c>
      <c r="BQ71" t="s">
        <v>281</v>
      </c>
      <c r="BR71" t="s">
        <v>412</v>
      </c>
    </row>
    <row r="72" spans="1:74" s="15" customFormat="1">
      <c r="A72" t="s">
        <v>467</v>
      </c>
      <c r="B72" t="s">
        <v>493</v>
      </c>
      <c r="C72"/>
      <c r="D72" t="s">
        <v>494</v>
      </c>
      <c r="E72"/>
      <c r="F72" t="s">
        <v>192</v>
      </c>
      <c r="G72" t="s">
        <v>463</v>
      </c>
      <c r="H72" t="s">
        <v>192</v>
      </c>
      <c r="I72" t="s">
        <v>463</v>
      </c>
      <c r="J72"/>
      <c r="K72"/>
      <c r="L72"/>
      <c r="M72"/>
      <c r="N72"/>
      <c r="O72"/>
      <c r="P72"/>
      <c r="Q72"/>
      <c r="R72"/>
      <c r="S72"/>
      <c r="T72"/>
      <c r="U72"/>
      <c r="V72"/>
      <c r="W72"/>
      <c r="X72"/>
      <c r="Y72">
        <v>3.2</v>
      </c>
      <c r="Z72"/>
      <c r="AA72"/>
      <c r="AB72">
        <v>4.2</v>
      </c>
      <c r="AC72">
        <v>3.3</v>
      </c>
      <c r="AD72"/>
      <c r="AE72"/>
      <c r="AF72">
        <v>4.7</v>
      </c>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t="s">
        <v>281</v>
      </c>
      <c r="BR72" t="s">
        <v>412</v>
      </c>
      <c r="BS72" t="s">
        <v>371</v>
      </c>
      <c r="BT72" t="s">
        <v>412</v>
      </c>
      <c r="BU72"/>
      <c r="BV72"/>
    </row>
    <row r="73" spans="1:74" s="15" customFormat="1">
      <c r="A73" t="s">
        <v>468</v>
      </c>
      <c r="B73" t="s">
        <v>493</v>
      </c>
      <c r="C73"/>
      <c r="D73" t="s">
        <v>494</v>
      </c>
      <c r="E73"/>
      <c r="F73" t="s">
        <v>192</v>
      </c>
      <c r="G73" t="s">
        <v>463</v>
      </c>
      <c r="H73" t="s">
        <v>192</v>
      </c>
      <c r="I73" t="s">
        <v>463</v>
      </c>
      <c r="J73"/>
      <c r="K73"/>
      <c r="L73"/>
      <c r="M73"/>
      <c r="N73"/>
      <c r="O73"/>
      <c r="P73"/>
      <c r="Q73"/>
      <c r="R73"/>
      <c r="S73"/>
      <c r="T73"/>
      <c r="U73"/>
      <c r="V73"/>
      <c r="W73"/>
      <c r="X73"/>
      <c r="Y73">
        <v>2.9</v>
      </c>
      <c r="Z73"/>
      <c r="AA73"/>
      <c r="AB73">
        <v>3.9</v>
      </c>
      <c r="AC73">
        <v>3.2</v>
      </c>
      <c r="AD73"/>
      <c r="AE73"/>
      <c r="AF73">
        <v>4.5</v>
      </c>
      <c r="AG73">
        <v>2.6</v>
      </c>
      <c r="AH73"/>
      <c r="AI73"/>
      <c r="AJ73">
        <v>4.0999999999999996</v>
      </c>
      <c r="AK73"/>
      <c r="AL73"/>
      <c r="AM73"/>
      <c r="AN73"/>
      <c r="AO73"/>
      <c r="AP73"/>
      <c r="AQ73"/>
      <c r="AR73"/>
      <c r="AS73"/>
      <c r="AT73"/>
      <c r="AU73"/>
      <c r="AV73"/>
      <c r="AW73"/>
      <c r="AX73"/>
      <c r="AY73"/>
      <c r="AZ73"/>
      <c r="BA73"/>
      <c r="BB73"/>
      <c r="BC73"/>
      <c r="BD73"/>
      <c r="BE73"/>
      <c r="BF73"/>
      <c r="BG73"/>
      <c r="BH73"/>
      <c r="BI73"/>
      <c r="BJ73"/>
      <c r="BK73"/>
      <c r="BL73"/>
      <c r="BM73"/>
      <c r="BN73"/>
      <c r="BO73"/>
      <c r="BP73"/>
      <c r="BQ73" t="s">
        <v>281</v>
      </c>
      <c r="BR73" t="s">
        <v>412</v>
      </c>
      <c r="BS73"/>
      <c r="BT73"/>
      <c r="BU73"/>
      <c r="BV73"/>
    </row>
    <row r="74" spans="1:74" ht="18">
      <c r="A74" t="s">
        <v>268</v>
      </c>
      <c r="B74" t="s">
        <v>493</v>
      </c>
      <c r="D74" t="s">
        <v>494</v>
      </c>
      <c r="F74" s="23" t="s">
        <v>855</v>
      </c>
      <c r="G74" t="s">
        <v>484</v>
      </c>
      <c r="H74" t="s">
        <v>269</v>
      </c>
      <c r="I74" t="s">
        <v>270</v>
      </c>
      <c r="BA74">
        <v>2.4</v>
      </c>
      <c r="BD74">
        <v>2</v>
      </c>
      <c r="BQ74" t="s">
        <v>166</v>
      </c>
      <c r="BR74" t="s">
        <v>197</v>
      </c>
      <c r="BS74" t="s">
        <v>181</v>
      </c>
      <c r="BT74" t="s">
        <v>197</v>
      </c>
    </row>
    <row r="75" spans="1:74">
      <c r="A75" t="s">
        <v>813</v>
      </c>
      <c r="B75" t="s">
        <v>493</v>
      </c>
      <c r="D75" t="s">
        <v>494</v>
      </c>
      <c r="F75" t="s">
        <v>192</v>
      </c>
      <c r="G75" t="s">
        <v>846</v>
      </c>
      <c r="H75" t="s">
        <v>192</v>
      </c>
      <c r="I75" t="s">
        <v>846</v>
      </c>
      <c r="L75" t="s">
        <v>814</v>
      </c>
      <c r="Y75">
        <v>3.3</v>
      </c>
      <c r="AB75">
        <v>4.7699999999999996</v>
      </c>
      <c r="BQ75" t="s">
        <v>281</v>
      </c>
      <c r="BR75" t="s">
        <v>793</v>
      </c>
    </row>
    <row r="76" spans="1:74">
      <c r="A76" t="s">
        <v>812</v>
      </c>
      <c r="B76" t="s">
        <v>493</v>
      </c>
      <c r="D76" t="s">
        <v>494</v>
      </c>
      <c r="F76" t="s">
        <v>192</v>
      </c>
      <c r="G76" t="s">
        <v>846</v>
      </c>
      <c r="H76" t="s">
        <v>192</v>
      </c>
      <c r="I76" t="s">
        <v>846</v>
      </c>
      <c r="L76" t="s">
        <v>815</v>
      </c>
      <c r="AC76">
        <v>3.65</v>
      </c>
      <c r="AF76">
        <v>5.3</v>
      </c>
      <c r="AG76">
        <v>2.77</v>
      </c>
      <c r="AJ76">
        <v>4.7</v>
      </c>
      <c r="BP76" t="s">
        <v>762</v>
      </c>
      <c r="BQ76" t="s">
        <v>281</v>
      </c>
      <c r="BR76" t="s">
        <v>793</v>
      </c>
    </row>
    <row r="77" spans="1:74">
      <c r="A77" t="s">
        <v>810</v>
      </c>
      <c r="B77" t="s">
        <v>493</v>
      </c>
      <c r="D77" t="s">
        <v>494</v>
      </c>
      <c r="F77" t="s">
        <v>192</v>
      </c>
      <c r="G77" t="s">
        <v>846</v>
      </c>
      <c r="H77" t="s">
        <v>192</v>
      </c>
      <c r="I77" t="s">
        <v>846</v>
      </c>
      <c r="BA77">
        <v>3.46</v>
      </c>
      <c r="BB77">
        <v>2.71</v>
      </c>
      <c r="BC77">
        <v>2.75</v>
      </c>
      <c r="BD77">
        <v>2.75</v>
      </c>
      <c r="BP77" t="s">
        <v>811</v>
      </c>
      <c r="BQ77" t="s">
        <v>281</v>
      </c>
      <c r="BR77" t="s">
        <v>793</v>
      </c>
    </row>
    <row r="78" spans="1:74">
      <c r="A78" t="s">
        <v>809</v>
      </c>
      <c r="B78" t="s">
        <v>493</v>
      </c>
      <c r="D78" t="s">
        <v>494</v>
      </c>
      <c r="F78" t="s">
        <v>192</v>
      </c>
      <c r="G78" t="s">
        <v>846</v>
      </c>
      <c r="H78" t="s">
        <v>192</v>
      </c>
      <c r="I78" t="s">
        <v>846</v>
      </c>
      <c r="AC78">
        <v>3.49</v>
      </c>
      <c r="AF78">
        <v>4.72</v>
      </c>
      <c r="BQ78" t="s">
        <v>281</v>
      </c>
      <c r="BR78" t="s">
        <v>793</v>
      </c>
    </row>
    <row r="79" spans="1:74">
      <c r="A79" t="s">
        <v>191</v>
      </c>
      <c r="B79" t="s">
        <v>493</v>
      </c>
      <c r="D79" t="s">
        <v>494</v>
      </c>
      <c r="F79" t="s">
        <v>192</v>
      </c>
      <c r="G79" t="s">
        <v>60</v>
      </c>
      <c r="H79" t="s">
        <v>192</v>
      </c>
      <c r="I79" t="s">
        <v>60</v>
      </c>
      <c r="K79" t="s">
        <v>165</v>
      </c>
      <c r="Y79">
        <v>2.7</v>
      </c>
      <c r="AB79">
        <v>3.3</v>
      </c>
      <c r="BQ79" t="s">
        <v>166</v>
      </c>
      <c r="BR79" t="s">
        <v>193</v>
      </c>
      <c r="BS79" t="s">
        <v>181</v>
      </c>
      <c r="BT79" t="s">
        <v>193</v>
      </c>
    </row>
    <row r="80" spans="1:74">
      <c r="A80" t="s">
        <v>194</v>
      </c>
      <c r="B80" t="s">
        <v>493</v>
      </c>
      <c r="D80" t="s">
        <v>494</v>
      </c>
      <c r="F80" t="s">
        <v>192</v>
      </c>
      <c r="G80" t="s">
        <v>60</v>
      </c>
      <c r="H80" t="s">
        <v>192</v>
      </c>
      <c r="I80" t="s">
        <v>60</v>
      </c>
      <c r="K80" t="s">
        <v>165</v>
      </c>
      <c r="AC80">
        <v>2.8</v>
      </c>
      <c r="AF80">
        <v>4</v>
      </c>
      <c r="BQ80" t="s">
        <v>166</v>
      </c>
      <c r="BR80" t="s">
        <v>167</v>
      </c>
      <c r="BS80" t="s">
        <v>181</v>
      </c>
      <c r="BT80" t="s">
        <v>167</v>
      </c>
    </row>
    <row r="81" spans="1:74">
      <c r="A81" t="s">
        <v>850</v>
      </c>
      <c r="B81" t="s">
        <v>493</v>
      </c>
      <c r="D81" t="s">
        <v>494</v>
      </c>
      <c r="F81" t="s">
        <v>859</v>
      </c>
      <c r="G81" t="s">
        <v>851</v>
      </c>
      <c r="H81" t="s">
        <v>262</v>
      </c>
      <c r="I81" t="s">
        <v>851</v>
      </c>
      <c r="BA81">
        <v>3.7</v>
      </c>
      <c r="BD81">
        <v>3.4</v>
      </c>
      <c r="BE81">
        <v>3.7</v>
      </c>
      <c r="BH81">
        <v>3.1</v>
      </c>
      <c r="BQ81" t="s">
        <v>281</v>
      </c>
      <c r="BR81" t="s">
        <v>818</v>
      </c>
      <c r="BS81" t="s">
        <v>181</v>
      </c>
      <c r="BT81" t="s">
        <v>818</v>
      </c>
    </row>
    <row r="82" spans="1:74" s="4" customFormat="1">
      <c r="A82" s="15" t="s">
        <v>377</v>
      </c>
      <c r="B82" s="15" t="s">
        <v>10</v>
      </c>
      <c r="C82" s="15" t="s">
        <v>11</v>
      </c>
      <c r="D82" s="15" t="s">
        <v>172</v>
      </c>
      <c r="E82" s="15"/>
      <c r="F82" s="15" t="s">
        <v>485</v>
      </c>
      <c r="G82" s="15" t="s">
        <v>378</v>
      </c>
      <c r="H82" s="15" t="s">
        <v>485</v>
      </c>
      <c r="I82" s="15" t="s">
        <v>378</v>
      </c>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t="s">
        <v>281</v>
      </c>
      <c r="BR82" s="15" t="s">
        <v>370</v>
      </c>
      <c r="BS82" s="15" t="s">
        <v>371</v>
      </c>
      <c r="BT82" s="15" t="s">
        <v>370</v>
      </c>
      <c r="BU82" s="15"/>
      <c r="BV82" s="15"/>
    </row>
    <row r="83" spans="1:74" s="11" customFormat="1">
      <c r="A83" s="15" t="s">
        <v>375</v>
      </c>
      <c r="B83" s="15" t="s">
        <v>10</v>
      </c>
      <c r="C83" s="15" t="s">
        <v>11</v>
      </c>
      <c r="D83" s="15" t="s">
        <v>172</v>
      </c>
      <c r="E83" s="15"/>
      <c r="F83" s="15" t="s">
        <v>485</v>
      </c>
      <c r="G83" s="15" t="s">
        <v>376</v>
      </c>
      <c r="H83" s="15" t="s">
        <v>485</v>
      </c>
      <c r="I83" s="15" t="s">
        <v>376</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t="s">
        <v>281</v>
      </c>
      <c r="BR83" s="15" t="s">
        <v>370</v>
      </c>
      <c r="BS83" s="15" t="s">
        <v>371</v>
      </c>
      <c r="BT83" s="15" t="s">
        <v>370</v>
      </c>
      <c r="BU83" s="15"/>
      <c r="BV83" s="15"/>
    </row>
    <row r="84" spans="1:74" s="11" customFormat="1">
      <c r="A84" s="15" t="s">
        <v>423</v>
      </c>
      <c r="B84" s="15" t="s">
        <v>10</v>
      </c>
      <c r="C84" s="15" t="s">
        <v>11</v>
      </c>
      <c r="D84" s="15" t="s">
        <v>172</v>
      </c>
      <c r="E84" s="15"/>
      <c r="F84" s="15" t="s">
        <v>473</v>
      </c>
      <c r="G84" s="15" t="s">
        <v>414</v>
      </c>
      <c r="H84" s="15" t="s">
        <v>1048</v>
      </c>
      <c r="I84" s="15" t="s">
        <v>226</v>
      </c>
      <c r="J84" s="15"/>
      <c r="K84" s="15"/>
      <c r="L84" s="15"/>
      <c r="M84" s="15"/>
      <c r="N84" s="15"/>
      <c r="O84" s="15"/>
      <c r="P84" s="15"/>
      <c r="Q84" s="15"/>
      <c r="R84" s="15"/>
      <c r="S84" s="15"/>
      <c r="T84" s="15"/>
      <c r="U84" s="15">
        <v>7.3</v>
      </c>
      <c r="V84" s="15"/>
      <c r="W84" s="15"/>
      <c r="X84" s="15">
        <v>7.5</v>
      </c>
      <c r="Y84" s="15">
        <v>9.4</v>
      </c>
      <c r="Z84" s="15"/>
      <c r="AA84" s="15"/>
      <c r="AB84" s="15">
        <v>10</v>
      </c>
      <c r="AC84" s="15"/>
      <c r="AD84" s="15"/>
      <c r="AE84" s="15"/>
      <c r="AF84" s="15"/>
      <c r="AG84" s="15">
        <v>5.5</v>
      </c>
      <c r="AH84" s="15"/>
      <c r="AI84" s="15"/>
      <c r="AJ84" s="15">
        <v>9.3000000000000007</v>
      </c>
      <c r="AK84" s="15"/>
      <c r="AL84" s="15"/>
      <c r="AM84" s="15"/>
      <c r="AN84" s="15"/>
      <c r="AO84" s="15"/>
      <c r="AP84" s="15"/>
      <c r="AQ84" s="15"/>
      <c r="AR84" s="15"/>
      <c r="AS84" s="15"/>
      <c r="AT84" s="15"/>
      <c r="AU84" s="15"/>
      <c r="AV84" s="15"/>
      <c r="AW84" s="15"/>
      <c r="AX84" s="15"/>
      <c r="AY84" s="15"/>
      <c r="AZ84" s="15"/>
      <c r="BA84" s="15">
        <v>9.4</v>
      </c>
      <c r="BB84" s="15"/>
      <c r="BC84" s="15"/>
      <c r="BD84" s="15">
        <v>7.5</v>
      </c>
      <c r="BE84" s="15">
        <v>9.9</v>
      </c>
      <c r="BF84" s="15"/>
      <c r="BG84" s="15"/>
      <c r="BH84" s="15">
        <v>6.5</v>
      </c>
      <c r="BI84" s="15"/>
      <c r="BJ84" s="15"/>
      <c r="BK84" s="15"/>
      <c r="BL84" s="15"/>
      <c r="BM84" s="15"/>
      <c r="BN84" s="15"/>
      <c r="BO84" s="15"/>
      <c r="BP84" s="15" t="s">
        <v>424</v>
      </c>
      <c r="BQ84" s="15" t="s">
        <v>166</v>
      </c>
      <c r="BR84" s="15" t="s">
        <v>1049</v>
      </c>
      <c r="BS84" s="15" t="s">
        <v>371</v>
      </c>
      <c r="BT84" s="15" t="s">
        <v>1049</v>
      </c>
      <c r="BU84" s="15"/>
      <c r="BV84" s="15"/>
    </row>
    <row r="85" spans="1:74" s="11" customFormat="1">
      <c r="A85" t="s">
        <v>792</v>
      </c>
      <c r="B85" t="s">
        <v>10</v>
      </c>
      <c r="C85" t="s">
        <v>11</v>
      </c>
      <c r="D85" t="s">
        <v>172</v>
      </c>
      <c r="E85"/>
      <c r="F85" t="s">
        <v>473</v>
      </c>
      <c r="G85" t="s">
        <v>781</v>
      </c>
      <c r="H85" t="s">
        <v>473</v>
      </c>
      <c r="I85" t="s">
        <v>778</v>
      </c>
      <c r="J85"/>
      <c r="K85"/>
      <c r="L85"/>
      <c r="M85"/>
      <c r="N85"/>
      <c r="O85"/>
      <c r="P85"/>
      <c r="Q85"/>
      <c r="R85"/>
      <c r="S85"/>
      <c r="T85"/>
      <c r="U85"/>
      <c r="V85"/>
      <c r="W85"/>
      <c r="X85"/>
      <c r="Y85">
        <v>14.4</v>
      </c>
      <c r="Z85"/>
      <c r="AA85"/>
      <c r="AB85">
        <v>16.600000000000001</v>
      </c>
      <c r="AC85">
        <v>15</v>
      </c>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t="s">
        <v>281</v>
      </c>
      <c r="BR85" t="s">
        <v>793</v>
      </c>
      <c r="BS85"/>
      <c r="BT85"/>
      <c r="BU85"/>
      <c r="BV85"/>
    </row>
    <row r="86" spans="1:74" s="10" customFormat="1">
      <c r="A86" s="10" t="s">
        <v>996</v>
      </c>
      <c r="B86" s="10" t="s">
        <v>10</v>
      </c>
      <c r="C86" s="10" t="s">
        <v>11</v>
      </c>
      <c r="D86" s="10" t="s">
        <v>172</v>
      </c>
      <c r="F86" s="18" t="s">
        <v>473</v>
      </c>
      <c r="G86" s="18" t="s">
        <v>781</v>
      </c>
      <c r="H86" s="10" t="s">
        <v>473</v>
      </c>
      <c r="I86" s="10" t="s">
        <v>781</v>
      </c>
      <c r="X86" s="10">
        <v>11.6</v>
      </c>
      <c r="Y86" s="10">
        <v>10.6</v>
      </c>
      <c r="AB86" s="10">
        <v>12.6</v>
      </c>
      <c r="AC86" s="10">
        <v>13.7</v>
      </c>
      <c r="AF86" s="10">
        <v>17.100000000000001</v>
      </c>
      <c r="BA86" s="10">
        <v>16.5</v>
      </c>
      <c r="BB86" s="10">
        <v>14.8</v>
      </c>
      <c r="BC86" s="10">
        <v>13.6</v>
      </c>
      <c r="BD86" s="10">
        <v>14.8</v>
      </c>
      <c r="BP86" s="10" t="s">
        <v>1047</v>
      </c>
      <c r="BQ86" s="10" t="s">
        <v>166</v>
      </c>
      <c r="BR86" s="10" t="s">
        <v>937</v>
      </c>
    </row>
    <row r="87" spans="1:74" s="10" customFormat="1">
      <c r="A87" s="10" t="s">
        <v>1045</v>
      </c>
      <c r="B87" s="10" t="s">
        <v>10</v>
      </c>
      <c r="C87" s="10" t="s">
        <v>11</v>
      </c>
      <c r="D87" s="10" t="s">
        <v>172</v>
      </c>
      <c r="F87" s="18" t="s">
        <v>473</v>
      </c>
      <c r="G87" s="18" t="s">
        <v>781</v>
      </c>
      <c r="H87" s="10" t="s">
        <v>473</v>
      </c>
      <c r="I87" s="10" t="s">
        <v>781</v>
      </c>
      <c r="BE87" s="10">
        <v>15.1</v>
      </c>
      <c r="BF87" s="10">
        <v>9.8000000000000007</v>
      </c>
      <c r="BG87" s="10">
        <v>8.1</v>
      </c>
      <c r="BH87" s="10">
        <v>9.8000000000000007</v>
      </c>
      <c r="BP87" s="10" t="s">
        <v>1046</v>
      </c>
      <c r="BQ87" s="10" t="s">
        <v>166</v>
      </c>
      <c r="BR87" s="10" t="s">
        <v>937</v>
      </c>
    </row>
    <row r="88" spans="1:74">
      <c r="A88" t="s">
        <v>417</v>
      </c>
      <c r="B88" t="s">
        <v>10</v>
      </c>
      <c r="C88" t="s">
        <v>11</v>
      </c>
      <c r="D88" t="s">
        <v>172</v>
      </c>
      <c r="E88" t="s">
        <v>176</v>
      </c>
      <c r="F88" t="s">
        <v>473</v>
      </c>
      <c r="G88" t="s">
        <v>411</v>
      </c>
      <c r="H88" t="s">
        <v>410</v>
      </c>
      <c r="I88" t="s">
        <v>414</v>
      </c>
      <c r="AW88">
        <v>11</v>
      </c>
      <c r="BQ88" t="s">
        <v>281</v>
      </c>
      <c r="BR88" t="s">
        <v>412</v>
      </c>
    </row>
    <row r="89" spans="1:74">
      <c r="A89" t="s">
        <v>417</v>
      </c>
      <c r="B89" t="s">
        <v>10</v>
      </c>
      <c r="C89" t="s">
        <v>11</v>
      </c>
      <c r="D89" t="s">
        <v>172</v>
      </c>
      <c r="F89" t="s">
        <v>473</v>
      </c>
      <c r="G89" t="s">
        <v>411</v>
      </c>
      <c r="H89" t="s">
        <v>473</v>
      </c>
      <c r="I89" t="s">
        <v>411</v>
      </c>
      <c r="AS89">
        <v>10.4</v>
      </c>
      <c r="AV89">
        <v>5.9</v>
      </c>
      <c r="AW89">
        <v>10.3</v>
      </c>
      <c r="AX89">
        <v>7.1</v>
      </c>
      <c r="AY89">
        <v>8.1999999999999993</v>
      </c>
      <c r="AZ89">
        <v>8.1999999999999993</v>
      </c>
      <c r="BA89">
        <v>11</v>
      </c>
      <c r="BB89">
        <v>9.1999999999999993</v>
      </c>
      <c r="BC89">
        <v>9.4</v>
      </c>
      <c r="BD89">
        <v>9.4</v>
      </c>
      <c r="BE89">
        <v>10.6</v>
      </c>
      <c r="BF89">
        <v>8.6999999999999993</v>
      </c>
      <c r="BG89">
        <v>7.9</v>
      </c>
      <c r="BH89">
        <v>8.6999999999999993</v>
      </c>
      <c r="BQ89" t="s">
        <v>166</v>
      </c>
      <c r="BR89" t="s">
        <v>937</v>
      </c>
    </row>
    <row r="90" spans="1:74">
      <c r="A90" t="s">
        <v>951</v>
      </c>
      <c r="B90" t="s">
        <v>10</v>
      </c>
      <c r="C90" t="s">
        <v>11</v>
      </c>
      <c r="D90" t="s">
        <v>172</v>
      </c>
      <c r="F90" t="s">
        <v>473</v>
      </c>
      <c r="G90" t="s">
        <v>411</v>
      </c>
      <c r="H90" t="s">
        <v>473</v>
      </c>
      <c r="I90" t="s">
        <v>411</v>
      </c>
      <c r="BA90">
        <v>12.1</v>
      </c>
      <c r="BB90">
        <v>7.8</v>
      </c>
      <c r="BC90">
        <v>9.3000000000000007</v>
      </c>
      <c r="BD90">
        <v>9.3000000000000007</v>
      </c>
      <c r="BE90">
        <v>12.3</v>
      </c>
      <c r="BF90">
        <v>8.5</v>
      </c>
      <c r="BG90">
        <v>7.5</v>
      </c>
      <c r="BH90">
        <v>8.5</v>
      </c>
      <c r="BQ90" t="s">
        <v>166</v>
      </c>
      <c r="BR90" t="s">
        <v>937</v>
      </c>
    </row>
    <row r="91" spans="1:74">
      <c r="A91" t="s">
        <v>952</v>
      </c>
      <c r="B91" t="s">
        <v>10</v>
      </c>
      <c r="C91" t="s">
        <v>11</v>
      </c>
      <c r="D91" t="s">
        <v>172</v>
      </c>
      <c r="F91" t="s">
        <v>473</v>
      </c>
      <c r="G91" t="s">
        <v>411</v>
      </c>
      <c r="H91" t="s">
        <v>473</v>
      </c>
      <c r="I91" t="s">
        <v>411</v>
      </c>
      <c r="U91">
        <v>10.8</v>
      </c>
      <c r="X91">
        <v>9.3000000000000007</v>
      </c>
      <c r="AG91">
        <f>AVERAGE(8.6,7.7)</f>
        <v>8.15</v>
      </c>
      <c r="AJ91">
        <f>AVERAGE(11.2,11.3)</f>
        <v>11.25</v>
      </c>
      <c r="BE91">
        <v>12.1</v>
      </c>
      <c r="BF91">
        <v>8.4</v>
      </c>
      <c r="BG91">
        <v>7.2</v>
      </c>
      <c r="BH91">
        <v>8.4</v>
      </c>
      <c r="BQ91" t="s">
        <v>166</v>
      </c>
      <c r="BR91" t="s">
        <v>937</v>
      </c>
    </row>
    <row r="92" spans="1:74" s="10" customFormat="1">
      <c r="A92" s="10" t="s">
        <v>953</v>
      </c>
      <c r="B92" s="10" t="s">
        <v>10</v>
      </c>
      <c r="C92" s="10" t="s">
        <v>11</v>
      </c>
      <c r="D92" s="10" t="s">
        <v>172</v>
      </c>
      <c r="F92" s="10" t="s">
        <v>473</v>
      </c>
      <c r="G92" s="10" t="s">
        <v>411</v>
      </c>
      <c r="H92" s="10" t="s">
        <v>473</v>
      </c>
      <c r="I92" s="10" t="s">
        <v>411</v>
      </c>
      <c r="AO92" s="10">
        <v>10.1</v>
      </c>
      <c r="AR92" s="10">
        <v>5.7</v>
      </c>
      <c r="AS92" s="10">
        <v>1.1000000000000001</v>
      </c>
      <c r="AV92" s="10">
        <v>6.9</v>
      </c>
      <c r="AW92" s="10">
        <v>10.4</v>
      </c>
      <c r="AX92" s="10">
        <v>7.4</v>
      </c>
      <c r="AY92" s="10">
        <v>9.3000000000000007</v>
      </c>
      <c r="AZ92" s="10">
        <v>9.3000000000000007</v>
      </c>
      <c r="BA92" s="10">
        <v>11.8</v>
      </c>
      <c r="BB92" s="10">
        <v>10.3</v>
      </c>
      <c r="BC92" s="10">
        <v>11.2</v>
      </c>
      <c r="BD92" s="10">
        <v>11.2</v>
      </c>
      <c r="BP92" s="10" t="s">
        <v>954</v>
      </c>
      <c r="BQ92" s="30" t="s">
        <v>166</v>
      </c>
      <c r="BR92" s="10" t="s">
        <v>937</v>
      </c>
    </row>
    <row r="93" spans="1:74" s="15" customFormat="1">
      <c r="A93" t="s">
        <v>955</v>
      </c>
      <c r="B93" t="s">
        <v>10</v>
      </c>
      <c r="C93" t="s">
        <v>11</v>
      </c>
      <c r="D93" t="s">
        <v>172</v>
      </c>
      <c r="E93"/>
      <c r="F93" t="s">
        <v>473</v>
      </c>
      <c r="G93" t="s">
        <v>411</v>
      </c>
      <c r="H93" t="s">
        <v>473</v>
      </c>
      <c r="I93" t="s">
        <v>411</v>
      </c>
      <c r="J93"/>
      <c r="K93"/>
      <c r="L93"/>
      <c r="M93"/>
      <c r="N93"/>
      <c r="O93"/>
      <c r="P93"/>
      <c r="Q93"/>
      <c r="R93"/>
      <c r="S93"/>
      <c r="T93"/>
      <c r="U93"/>
      <c r="V93"/>
      <c r="W93"/>
      <c r="X93"/>
      <c r="Y93"/>
      <c r="Z93"/>
      <c r="AA93"/>
      <c r="AB93"/>
      <c r="AC93"/>
      <c r="AD93"/>
      <c r="AE93"/>
      <c r="AF93"/>
      <c r="AG93"/>
      <c r="AH93"/>
      <c r="AI93"/>
      <c r="AJ93"/>
      <c r="AK93"/>
      <c r="AL93"/>
      <c r="AM93"/>
      <c r="AN93"/>
      <c r="AO93">
        <v>9.1</v>
      </c>
      <c r="AP93"/>
      <c r="AQ93"/>
      <c r="AR93">
        <v>4.9000000000000004</v>
      </c>
      <c r="AS93">
        <v>11.9</v>
      </c>
      <c r="AT93"/>
      <c r="AU93"/>
      <c r="AV93">
        <v>5.3</v>
      </c>
      <c r="AW93"/>
      <c r="AX93"/>
      <c r="AY93"/>
      <c r="AZ93"/>
      <c r="BA93"/>
      <c r="BB93"/>
      <c r="BC93"/>
      <c r="BD93"/>
      <c r="BE93"/>
      <c r="BF93"/>
      <c r="BG93"/>
      <c r="BH93"/>
      <c r="BI93"/>
      <c r="BJ93"/>
      <c r="BK93"/>
      <c r="BL93"/>
      <c r="BM93"/>
      <c r="BN93"/>
      <c r="BO93"/>
      <c r="BP93"/>
      <c r="BQ93" t="s">
        <v>166</v>
      </c>
      <c r="BR93" t="s">
        <v>937</v>
      </c>
      <c r="BS93"/>
      <c r="BT93"/>
      <c r="BU93"/>
      <c r="BV93"/>
    </row>
    <row r="94" spans="1:74" s="15" customFormat="1">
      <c r="A94" t="s">
        <v>1001</v>
      </c>
      <c r="B94" t="s">
        <v>10</v>
      </c>
      <c r="C94" t="s">
        <v>11</v>
      </c>
      <c r="D94" t="s">
        <v>172</v>
      </c>
      <c r="E94"/>
      <c r="F94" t="s">
        <v>473</v>
      </c>
      <c r="G94" t="s">
        <v>411</v>
      </c>
      <c r="H94" t="s">
        <v>473</v>
      </c>
      <c r="I94" t="s">
        <v>411</v>
      </c>
      <c r="J94"/>
      <c r="K94"/>
      <c r="L94"/>
      <c r="M94"/>
      <c r="N94"/>
      <c r="O94"/>
      <c r="P94"/>
      <c r="Q94"/>
      <c r="R94"/>
      <c r="S94"/>
      <c r="T94"/>
      <c r="U94">
        <v>8.9</v>
      </c>
      <c r="V94"/>
      <c r="W94"/>
      <c r="X94">
        <v>9.1999999999999993</v>
      </c>
      <c r="Y94">
        <f>AVERAGE(10.05,10.1)</f>
        <v>10.074999999999999</v>
      </c>
      <c r="Z94"/>
      <c r="AA94"/>
      <c r="AB94">
        <f>AVERAGE(11.2,11.1)</f>
        <v>11.149999999999999</v>
      </c>
      <c r="AC94">
        <f>AVERAGE(10.3,10.3)</f>
        <v>10.3</v>
      </c>
      <c r="AD94"/>
      <c r="AE94"/>
      <c r="AF94">
        <f>AVERAGE(13.1,13.4)</f>
        <v>13.25</v>
      </c>
      <c r="AG94">
        <v>7</v>
      </c>
      <c r="AH94"/>
      <c r="AI94"/>
      <c r="AJ94">
        <v>9.6999999999999993</v>
      </c>
      <c r="AK94"/>
      <c r="AL94"/>
      <c r="AM94"/>
      <c r="AN94"/>
      <c r="AO94"/>
      <c r="AP94"/>
      <c r="AQ94"/>
      <c r="AR94"/>
      <c r="AS94"/>
      <c r="AT94"/>
      <c r="AU94"/>
      <c r="AV94"/>
      <c r="AW94"/>
      <c r="AX94"/>
      <c r="AY94"/>
      <c r="AZ94"/>
      <c r="BA94"/>
      <c r="BB94"/>
      <c r="BC94"/>
      <c r="BD94"/>
      <c r="BE94"/>
      <c r="BF94"/>
      <c r="BG94"/>
      <c r="BH94"/>
      <c r="BI94"/>
      <c r="BJ94"/>
      <c r="BK94"/>
      <c r="BL94"/>
      <c r="BM94"/>
      <c r="BN94"/>
      <c r="BO94"/>
      <c r="BP94"/>
      <c r="BQ94" t="s">
        <v>166</v>
      </c>
      <c r="BR94" t="s">
        <v>937</v>
      </c>
      <c r="BS94"/>
      <c r="BT94"/>
      <c r="BU94"/>
      <c r="BV94"/>
    </row>
    <row r="95" spans="1:74" s="15" customFormat="1">
      <c r="A95" t="s">
        <v>1002</v>
      </c>
      <c r="B95" t="s">
        <v>10</v>
      </c>
      <c r="C95" t="s">
        <v>11</v>
      </c>
      <c r="D95" t="s">
        <v>172</v>
      </c>
      <c r="E95"/>
      <c r="F95" t="s">
        <v>473</v>
      </c>
      <c r="G95" t="s">
        <v>411</v>
      </c>
      <c r="H95" t="s">
        <v>473</v>
      </c>
      <c r="I95" t="s">
        <v>411</v>
      </c>
      <c r="J95"/>
      <c r="K95"/>
      <c r="L95"/>
      <c r="M95"/>
      <c r="N95"/>
      <c r="O95"/>
      <c r="P95"/>
      <c r="Q95"/>
      <c r="R95"/>
      <c r="S95"/>
      <c r="T95"/>
      <c r="U95"/>
      <c r="V95"/>
      <c r="W95"/>
      <c r="X95"/>
      <c r="Y95">
        <v>10.199999999999999</v>
      </c>
      <c r="Z95"/>
      <c r="AA95"/>
      <c r="AB95">
        <v>12.7</v>
      </c>
      <c r="AC95">
        <v>11.1</v>
      </c>
      <c r="AD95"/>
      <c r="AE95"/>
      <c r="AF95">
        <v>14.9</v>
      </c>
      <c r="AG95">
        <v>7.9</v>
      </c>
      <c r="AH95"/>
      <c r="AI95"/>
      <c r="AJ95">
        <v>12.1</v>
      </c>
      <c r="AK95"/>
      <c r="AL95"/>
      <c r="AM95"/>
      <c r="AN95"/>
      <c r="AO95"/>
      <c r="AP95"/>
      <c r="AQ95"/>
      <c r="AR95"/>
      <c r="AS95"/>
      <c r="AT95"/>
      <c r="AU95"/>
      <c r="AV95"/>
      <c r="AW95"/>
      <c r="AX95"/>
      <c r="AY95"/>
      <c r="AZ95"/>
      <c r="BA95"/>
      <c r="BB95"/>
      <c r="BC95"/>
      <c r="BD95"/>
      <c r="BE95"/>
      <c r="BF95"/>
      <c r="BG95"/>
      <c r="BH95"/>
      <c r="BI95"/>
      <c r="BJ95"/>
      <c r="BK95"/>
      <c r="BL95"/>
      <c r="BM95"/>
      <c r="BN95"/>
      <c r="BO95"/>
      <c r="BP95"/>
      <c r="BQ95" t="s">
        <v>166</v>
      </c>
      <c r="BR95" t="s">
        <v>937</v>
      </c>
      <c r="BS95"/>
      <c r="BT95"/>
      <c r="BU95"/>
      <c r="BV95"/>
    </row>
    <row r="96" spans="1:74" s="4" customFormat="1">
      <c r="A96" t="s">
        <v>956</v>
      </c>
      <c r="B96" t="s">
        <v>10</v>
      </c>
      <c r="C96" t="s">
        <v>11</v>
      </c>
      <c r="D96" t="s">
        <v>172</v>
      </c>
      <c r="E96"/>
      <c r="F96" t="s">
        <v>473</v>
      </c>
      <c r="G96" t="s">
        <v>411</v>
      </c>
      <c r="H96" t="s">
        <v>473</v>
      </c>
      <c r="I96" t="s">
        <v>411</v>
      </c>
      <c r="J96"/>
      <c r="K96"/>
      <c r="L96"/>
      <c r="M96"/>
      <c r="N96"/>
      <c r="O96"/>
      <c r="P96"/>
      <c r="Q96"/>
      <c r="R96"/>
      <c r="S96"/>
      <c r="T96"/>
      <c r="U96"/>
      <c r="V96"/>
      <c r="W96"/>
      <c r="X96"/>
      <c r="Y96"/>
      <c r="Z96"/>
      <c r="AA96"/>
      <c r="AB96"/>
      <c r="AC96"/>
      <c r="AD96"/>
      <c r="AE96"/>
      <c r="AF96"/>
      <c r="AG96"/>
      <c r="AH96"/>
      <c r="AI96"/>
      <c r="AJ96"/>
      <c r="AK96"/>
      <c r="AL96"/>
      <c r="AM96"/>
      <c r="AN96"/>
      <c r="AO96"/>
      <c r="AP96"/>
      <c r="AQ96"/>
      <c r="AR96"/>
      <c r="AS96">
        <v>10.6</v>
      </c>
      <c r="AT96"/>
      <c r="AU96"/>
      <c r="AV96">
        <v>6</v>
      </c>
      <c r="AW96">
        <v>11.7</v>
      </c>
      <c r="AX96">
        <v>7.3</v>
      </c>
      <c r="AY96">
        <v>9.4</v>
      </c>
      <c r="AZ96">
        <v>9.4</v>
      </c>
      <c r="BA96"/>
      <c r="BB96">
        <v>9.8000000000000007</v>
      </c>
      <c r="BC96"/>
      <c r="BD96"/>
      <c r="BE96">
        <v>12.3</v>
      </c>
      <c r="BF96">
        <v>8</v>
      </c>
      <c r="BG96">
        <v>7.2</v>
      </c>
      <c r="BH96">
        <v>8</v>
      </c>
      <c r="BI96"/>
      <c r="BJ96"/>
      <c r="BK96"/>
      <c r="BL96"/>
      <c r="BM96"/>
      <c r="BN96"/>
      <c r="BO96"/>
      <c r="BP96"/>
      <c r="BQ96" t="s">
        <v>166</v>
      </c>
      <c r="BR96" t="s">
        <v>937</v>
      </c>
      <c r="BS96"/>
      <c r="BT96"/>
      <c r="BU96"/>
      <c r="BV96"/>
    </row>
    <row r="97" spans="1:74">
      <c r="A97" t="s">
        <v>957</v>
      </c>
      <c r="B97" t="s">
        <v>10</v>
      </c>
      <c r="C97" t="s">
        <v>11</v>
      </c>
      <c r="D97" t="s">
        <v>172</v>
      </c>
      <c r="F97" t="s">
        <v>473</v>
      </c>
      <c r="G97" t="s">
        <v>411</v>
      </c>
      <c r="H97" t="s">
        <v>473</v>
      </c>
      <c r="I97" t="s">
        <v>411</v>
      </c>
      <c r="AV97">
        <v>6.2</v>
      </c>
      <c r="AW97">
        <v>12.1</v>
      </c>
      <c r="AX97">
        <v>7.3</v>
      </c>
      <c r="AY97">
        <v>8.1999999999999993</v>
      </c>
      <c r="AZ97">
        <v>8.1999999999999993</v>
      </c>
      <c r="BB97">
        <v>9.9</v>
      </c>
      <c r="BC97">
        <v>10.1</v>
      </c>
      <c r="BD97">
        <v>10.1</v>
      </c>
      <c r="BQ97" t="s">
        <v>166</v>
      </c>
      <c r="BR97" t="s">
        <v>937</v>
      </c>
    </row>
    <row r="98" spans="1:74">
      <c r="A98" t="s">
        <v>958</v>
      </c>
      <c r="B98" t="s">
        <v>10</v>
      </c>
      <c r="C98" t="s">
        <v>11</v>
      </c>
      <c r="D98" t="s">
        <v>172</v>
      </c>
      <c r="F98" t="s">
        <v>473</v>
      </c>
      <c r="G98" t="s">
        <v>411</v>
      </c>
      <c r="H98" t="s">
        <v>473</v>
      </c>
      <c r="I98" t="s">
        <v>411</v>
      </c>
      <c r="AO98">
        <v>7.9</v>
      </c>
      <c r="AR98">
        <v>5.0999999999999996</v>
      </c>
      <c r="AS98">
        <v>10.6</v>
      </c>
      <c r="AV98">
        <v>6.4</v>
      </c>
      <c r="AW98">
        <v>9.8000000000000007</v>
      </c>
      <c r="AX98">
        <v>7</v>
      </c>
      <c r="AY98">
        <v>8.1999999999999993</v>
      </c>
      <c r="AZ98">
        <v>8.1999999999999993</v>
      </c>
      <c r="BA98">
        <v>12</v>
      </c>
      <c r="BB98">
        <v>8.9</v>
      </c>
      <c r="BC98">
        <v>9.1999999999999993</v>
      </c>
      <c r="BD98">
        <v>9.1999999999999993</v>
      </c>
      <c r="BF98">
        <v>6.3</v>
      </c>
      <c r="BH98">
        <v>6.3</v>
      </c>
      <c r="BQ98" t="s">
        <v>166</v>
      </c>
      <c r="BR98" t="s">
        <v>937</v>
      </c>
    </row>
    <row r="99" spans="1:74">
      <c r="A99" t="s">
        <v>416</v>
      </c>
      <c r="B99" t="s">
        <v>10</v>
      </c>
      <c r="C99" t="s">
        <v>11</v>
      </c>
      <c r="D99" t="s">
        <v>172</v>
      </c>
      <c r="E99" t="s">
        <v>176</v>
      </c>
      <c r="F99" t="s">
        <v>473</v>
      </c>
      <c r="G99" t="s">
        <v>411</v>
      </c>
      <c r="H99" t="s">
        <v>410</v>
      </c>
      <c r="I99" t="s">
        <v>414</v>
      </c>
      <c r="Y99">
        <v>10</v>
      </c>
      <c r="BQ99" t="s">
        <v>281</v>
      </c>
      <c r="BR99" t="s">
        <v>412</v>
      </c>
    </row>
    <row r="100" spans="1:74">
      <c r="A100" t="s">
        <v>413</v>
      </c>
      <c r="B100" t="s">
        <v>10</v>
      </c>
      <c r="C100" t="s">
        <v>11</v>
      </c>
      <c r="D100" t="s">
        <v>172</v>
      </c>
      <c r="E100" t="s">
        <v>176</v>
      </c>
      <c r="F100" t="s">
        <v>473</v>
      </c>
      <c r="G100" t="s">
        <v>411</v>
      </c>
      <c r="H100" t="s">
        <v>410</v>
      </c>
      <c r="I100" t="s">
        <v>414</v>
      </c>
      <c r="Y100">
        <v>10.5</v>
      </c>
      <c r="AW100">
        <v>12.5</v>
      </c>
      <c r="BP100" t="s">
        <v>415</v>
      </c>
      <c r="BQ100" t="s">
        <v>281</v>
      </c>
      <c r="BR100" t="s">
        <v>412</v>
      </c>
    </row>
    <row r="101" spans="1:74">
      <c r="A101" t="s">
        <v>938</v>
      </c>
      <c r="B101" t="s">
        <v>10</v>
      </c>
      <c r="C101" t="s">
        <v>11</v>
      </c>
      <c r="D101" t="s">
        <v>172</v>
      </c>
      <c r="F101" t="s">
        <v>473</v>
      </c>
      <c r="G101" t="s">
        <v>411</v>
      </c>
      <c r="H101" t="s">
        <v>473</v>
      </c>
      <c r="I101" t="s">
        <v>411</v>
      </c>
      <c r="AK101">
        <v>5.0999999999999996</v>
      </c>
      <c r="AN101">
        <v>2.8</v>
      </c>
      <c r="AS101">
        <v>11.1</v>
      </c>
      <c r="AV101">
        <v>6.1</v>
      </c>
      <c r="AW101">
        <v>10.6</v>
      </c>
      <c r="AX101">
        <v>7.8</v>
      </c>
      <c r="AY101">
        <v>7.9</v>
      </c>
      <c r="AZ101">
        <v>7.9</v>
      </c>
      <c r="BA101">
        <v>12.6</v>
      </c>
      <c r="BB101">
        <v>10.1</v>
      </c>
      <c r="BC101">
        <v>10</v>
      </c>
      <c r="BD101">
        <v>10.1</v>
      </c>
      <c r="BE101">
        <v>11.3</v>
      </c>
      <c r="BF101">
        <v>8.6999999999999993</v>
      </c>
      <c r="BG101">
        <v>7.2</v>
      </c>
      <c r="BH101">
        <v>8.6999999999999993</v>
      </c>
      <c r="BQ101" t="s">
        <v>166</v>
      </c>
      <c r="BR101" t="s">
        <v>937</v>
      </c>
    </row>
    <row r="102" spans="1:74">
      <c r="A102" t="s">
        <v>939</v>
      </c>
      <c r="B102" t="s">
        <v>10</v>
      </c>
      <c r="C102" t="s">
        <v>11</v>
      </c>
      <c r="D102" t="s">
        <v>172</v>
      </c>
      <c r="F102" t="s">
        <v>473</v>
      </c>
      <c r="G102" t="s">
        <v>411</v>
      </c>
      <c r="H102" t="s">
        <v>473</v>
      </c>
      <c r="I102" t="s">
        <v>411</v>
      </c>
      <c r="AO102">
        <v>10.199999999999999</v>
      </c>
      <c r="AR102">
        <v>4.8</v>
      </c>
      <c r="AS102">
        <f>AVERAGE(12.9)</f>
        <v>12.9</v>
      </c>
      <c r="AV102">
        <f>AVERAGE(6.6, 6.7)</f>
        <v>6.65</v>
      </c>
      <c r="AW102">
        <f>AVERAGE(10.8)</f>
        <v>10.8</v>
      </c>
      <c r="AX102">
        <f>AVERAGE(7.5)</f>
        <v>7.5</v>
      </c>
      <c r="AY102">
        <f>AVERAGE(8.6,8.6)</f>
        <v>8.6</v>
      </c>
      <c r="AZ102">
        <f>MAX(AX102:AY102)</f>
        <v>8.6</v>
      </c>
      <c r="BA102">
        <f>AVERAGE(12.7,12.9)</f>
        <v>12.8</v>
      </c>
      <c r="BB102">
        <f>AVERAGE(10.3,10.4)</f>
        <v>10.350000000000001</v>
      </c>
      <c r="BC102">
        <f>AVERAGE(10.2,10.2)</f>
        <v>10.199999999999999</v>
      </c>
      <c r="BD102">
        <f>MAX(BB102:BC102)</f>
        <v>10.350000000000001</v>
      </c>
      <c r="BE102">
        <f>AVERAGE(13.4,12.9)</f>
        <v>13.15</v>
      </c>
      <c r="BF102">
        <f>AVERAGE(9.2,9.2)</f>
        <v>9.1999999999999993</v>
      </c>
      <c r="BG102">
        <f>AVERAGE(8.9,8.7)</f>
        <v>8.8000000000000007</v>
      </c>
      <c r="BH102">
        <f>MAX(BF102:BG102)</f>
        <v>9.1999999999999993</v>
      </c>
      <c r="BQ102" t="s">
        <v>166</v>
      </c>
      <c r="BR102" t="s">
        <v>937</v>
      </c>
    </row>
    <row r="103" spans="1:74">
      <c r="A103" t="s">
        <v>940</v>
      </c>
      <c r="B103" t="s">
        <v>10</v>
      </c>
      <c r="C103" t="s">
        <v>11</v>
      </c>
      <c r="D103" t="s">
        <v>172</v>
      </c>
      <c r="F103" t="s">
        <v>473</v>
      </c>
      <c r="G103" t="s">
        <v>411</v>
      </c>
      <c r="H103" t="s">
        <v>473</v>
      </c>
      <c r="I103" t="s">
        <v>411</v>
      </c>
      <c r="AY103">
        <v>8.6999999999999993</v>
      </c>
      <c r="AZ103">
        <v>8.6999999999999993</v>
      </c>
      <c r="BQ103" t="s">
        <v>166</v>
      </c>
      <c r="BR103" t="s">
        <v>937</v>
      </c>
    </row>
    <row r="104" spans="1:74">
      <c r="A104" t="s">
        <v>941</v>
      </c>
      <c r="B104" t="s">
        <v>10</v>
      </c>
      <c r="C104" t="s">
        <v>11</v>
      </c>
      <c r="D104" t="s">
        <v>172</v>
      </c>
      <c r="F104" t="s">
        <v>473</v>
      </c>
      <c r="G104" t="s">
        <v>411</v>
      </c>
      <c r="H104" t="s">
        <v>473</v>
      </c>
      <c r="I104" t="s">
        <v>411</v>
      </c>
      <c r="AV104">
        <v>8.1</v>
      </c>
      <c r="BA104">
        <v>13.4</v>
      </c>
      <c r="BE104">
        <f>AVERAGE(12.9,13.7)</f>
        <v>13.3</v>
      </c>
      <c r="BF104">
        <f>AVERAGE(9,9.1)</f>
        <v>9.0500000000000007</v>
      </c>
      <c r="BG104">
        <f>AVERAGE(8.3,8.7)</f>
        <v>8.5</v>
      </c>
      <c r="BH104">
        <f>MAX(BF104:BG104)</f>
        <v>9.0500000000000007</v>
      </c>
      <c r="BQ104" t="s">
        <v>166</v>
      </c>
      <c r="BR104" t="s">
        <v>937</v>
      </c>
    </row>
    <row r="105" spans="1:74">
      <c r="A105" t="s">
        <v>1038</v>
      </c>
      <c r="B105" t="s">
        <v>10</v>
      </c>
      <c r="C105" t="s">
        <v>11</v>
      </c>
      <c r="D105" t="s">
        <v>172</v>
      </c>
      <c r="F105" t="s">
        <v>473</v>
      </c>
      <c r="G105" t="s">
        <v>411</v>
      </c>
      <c r="H105" t="s">
        <v>473</v>
      </c>
      <c r="I105" t="s">
        <v>414</v>
      </c>
      <c r="U105">
        <v>9</v>
      </c>
      <c r="X105">
        <v>8.1</v>
      </c>
      <c r="Y105">
        <v>9.1</v>
      </c>
      <c r="AB105">
        <v>11.1</v>
      </c>
      <c r="AC105">
        <v>9.9</v>
      </c>
      <c r="AF105">
        <v>11.6</v>
      </c>
      <c r="AG105">
        <v>7.3</v>
      </c>
      <c r="AJ105">
        <v>10.5</v>
      </c>
      <c r="BQ105" t="s">
        <v>166</v>
      </c>
      <c r="BR105" t="s">
        <v>937</v>
      </c>
      <c r="BS105" t="s">
        <v>371</v>
      </c>
      <c r="BT105" t="s">
        <v>937</v>
      </c>
    </row>
    <row r="106" spans="1:74">
      <c r="A106" t="s">
        <v>997</v>
      </c>
      <c r="B106" t="s">
        <v>10</v>
      </c>
      <c r="C106" t="s">
        <v>11</v>
      </c>
      <c r="D106" t="s">
        <v>172</v>
      </c>
      <c r="F106" t="s">
        <v>473</v>
      </c>
      <c r="G106" t="s">
        <v>411</v>
      </c>
      <c r="H106" t="s">
        <v>473</v>
      </c>
      <c r="I106" t="s">
        <v>411</v>
      </c>
      <c r="AC106">
        <v>10.8</v>
      </c>
      <c r="AF106">
        <v>13.4</v>
      </c>
      <c r="BQ106" t="s">
        <v>166</v>
      </c>
      <c r="BR106" t="s">
        <v>937</v>
      </c>
    </row>
    <row r="107" spans="1:74">
      <c r="A107" t="s">
        <v>942</v>
      </c>
      <c r="B107" t="s">
        <v>10</v>
      </c>
      <c r="C107" t="s">
        <v>11</v>
      </c>
      <c r="D107" t="s">
        <v>172</v>
      </c>
      <c r="F107" t="s">
        <v>473</v>
      </c>
      <c r="G107" t="s">
        <v>411</v>
      </c>
      <c r="H107" t="s">
        <v>473</v>
      </c>
      <c r="I107" t="s">
        <v>411</v>
      </c>
      <c r="AW107">
        <v>10.8</v>
      </c>
      <c r="AX107">
        <v>6.9</v>
      </c>
      <c r="AY107">
        <v>8.3000000000000007</v>
      </c>
      <c r="AZ107">
        <v>8.3000000000000007</v>
      </c>
      <c r="BA107">
        <v>12.7</v>
      </c>
      <c r="BB107">
        <v>9.1999999999999993</v>
      </c>
      <c r="BC107">
        <v>10.1</v>
      </c>
      <c r="BD107">
        <v>10.1</v>
      </c>
      <c r="BE107">
        <v>12.8</v>
      </c>
      <c r="BF107">
        <v>8.6</v>
      </c>
      <c r="BG107">
        <v>7.9</v>
      </c>
      <c r="BH107">
        <v>8.6</v>
      </c>
      <c r="BQ107" t="s">
        <v>166</v>
      </c>
      <c r="BR107" t="s">
        <v>937</v>
      </c>
    </row>
    <row r="108" spans="1:74">
      <c r="A108" t="s">
        <v>943</v>
      </c>
      <c r="B108" t="s">
        <v>10</v>
      </c>
      <c r="C108" t="s">
        <v>11</v>
      </c>
      <c r="D108" t="s">
        <v>172</v>
      </c>
      <c r="F108" t="s">
        <v>473</v>
      </c>
      <c r="G108" t="s">
        <v>411</v>
      </c>
      <c r="H108" t="s">
        <v>473</v>
      </c>
      <c r="I108" t="s">
        <v>411</v>
      </c>
      <c r="AO108">
        <v>9.8000000000000007</v>
      </c>
      <c r="AR108">
        <v>5.9</v>
      </c>
      <c r="AV108">
        <v>7</v>
      </c>
      <c r="AW108">
        <v>12.5</v>
      </c>
      <c r="AX108">
        <v>8.1999999999999993</v>
      </c>
      <c r="AZ108">
        <v>8.1999999999999993</v>
      </c>
      <c r="BA108">
        <v>13</v>
      </c>
      <c r="BB108">
        <v>10.9</v>
      </c>
      <c r="BC108">
        <v>10.9</v>
      </c>
      <c r="BD108">
        <v>10.9</v>
      </c>
      <c r="BE108">
        <v>12.4</v>
      </c>
      <c r="BF108">
        <v>9.1999999999999993</v>
      </c>
      <c r="BG108">
        <v>8.5</v>
      </c>
      <c r="BH108">
        <v>9.1999999999999993</v>
      </c>
      <c r="BQ108" t="s">
        <v>166</v>
      </c>
      <c r="BR108" t="s">
        <v>937</v>
      </c>
    </row>
    <row r="109" spans="1:74">
      <c r="A109" t="s">
        <v>944</v>
      </c>
      <c r="B109" t="s">
        <v>10</v>
      </c>
      <c r="C109" t="s">
        <v>11</v>
      </c>
      <c r="D109" t="s">
        <v>172</v>
      </c>
      <c r="F109" t="s">
        <v>473</v>
      </c>
      <c r="G109" t="s">
        <v>411</v>
      </c>
      <c r="H109" t="s">
        <v>473</v>
      </c>
      <c r="I109" t="s">
        <v>411</v>
      </c>
      <c r="AW109">
        <v>11.9</v>
      </c>
      <c r="AX109">
        <v>8</v>
      </c>
      <c r="AY109">
        <v>9.3000000000000007</v>
      </c>
      <c r="AZ109">
        <v>9.3000000000000007</v>
      </c>
      <c r="BE109">
        <v>14.4</v>
      </c>
      <c r="BF109">
        <v>8.9</v>
      </c>
      <c r="BG109">
        <v>7.8</v>
      </c>
      <c r="BH109">
        <v>8.9</v>
      </c>
      <c r="BQ109" t="s">
        <v>166</v>
      </c>
      <c r="BR109" t="s">
        <v>937</v>
      </c>
    </row>
    <row r="110" spans="1:74">
      <c r="A110" t="s">
        <v>419</v>
      </c>
      <c r="B110" t="s">
        <v>10</v>
      </c>
      <c r="C110" t="s">
        <v>11</v>
      </c>
      <c r="D110" t="s">
        <v>172</v>
      </c>
      <c r="E110" t="s">
        <v>176</v>
      </c>
      <c r="F110" t="s">
        <v>473</v>
      </c>
      <c r="G110" t="s">
        <v>411</v>
      </c>
      <c r="H110" t="s">
        <v>410</v>
      </c>
      <c r="I110" t="s">
        <v>414</v>
      </c>
      <c r="AW110">
        <v>11.2</v>
      </c>
      <c r="BQ110" t="s">
        <v>281</v>
      </c>
      <c r="BR110" t="s">
        <v>412</v>
      </c>
    </row>
    <row r="111" spans="1:74">
      <c r="A111" t="s">
        <v>419</v>
      </c>
      <c r="B111" t="s">
        <v>10</v>
      </c>
      <c r="C111" t="s">
        <v>11</v>
      </c>
      <c r="D111" t="s">
        <v>172</v>
      </c>
      <c r="F111" t="s">
        <v>473</v>
      </c>
      <c r="G111" t="s">
        <v>411</v>
      </c>
      <c r="H111" t="s">
        <v>473</v>
      </c>
      <c r="I111" t="s">
        <v>411</v>
      </c>
      <c r="AK111">
        <v>6</v>
      </c>
      <c r="AN111">
        <v>3.2</v>
      </c>
      <c r="AO111">
        <v>9.8000000000000007</v>
      </c>
      <c r="AR111">
        <v>4.3</v>
      </c>
      <c r="AS111">
        <v>11</v>
      </c>
      <c r="AV111">
        <v>6.1</v>
      </c>
      <c r="AW111">
        <f>AVERAGE(10.8,11.1)</f>
        <v>10.95</v>
      </c>
      <c r="AX111">
        <f>AVERAGE(8.2,7.1)</f>
        <v>7.6499999999999995</v>
      </c>
      <c r="AY111">
        <f>AVERAGE(8.7,8.7)</f>
        <v>8.6999999999999993</v>
      </c>
      <c r="AZ111">
        <f>MAX(AX111:AY111)</f>
        <v>8.6999999999999993</v>
      </c>
      <c r="BA111">
        <v>12.1</v>
      </c>
      <c r="BB111">
        <v>9.5</v>
      </c>
      <c r="BC111">
        <v>10.1</v>
      </c>
      <c r="BD111">
        <v>10.1</v>
      </c>
      <c r="BQ111" t="s">
        <v>166</v>
      </c>
      <c r="BR111" t="s">
        <v>937</v>
      </c>
    </row>
    <row r="112" spans="1:74" s="15" customFormat="1">
      <c r="A112" s="22" t="s">
        <v>409</v>
      </c>
      <c r="B112" t="s">
        <v>10</v>
      </c>
      <c r="C112" t="s">
        <v>11</v>
      </c>
      <c r="D112" t="s">
        <v>172</v>
      </c>
      <c r="E112" t="s">
        <v>176</v>
      </c>
      <c r="F112" t="s">
        <v>473</v>
      </c>
      <c r="G112" t="s">
        <v>411</v>
      </c>
      <c r="H112" t="s">
        <v>410</v>
      </c>
      <c r="I112" t="s">
        <v>411</v>
      </c>
      <c r="J112"/>
      <c r="K112"/>
      <c r="L112"/>
      <c r="M112"/>
      <c r="N112"/>
      <c r="O112"/>
      <c r="P112"/>
      <c r="Q112"/>
      <c r="R112"/>
      <c r="S112"/>
      <c r="T112"/>
      <c r="U112"/>
      <c r="V112"/>
      <c r="W112"/>
      <c r="X112"/>
      <c r="Y112">
        <v>11.1</v>
      </c>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t="s">
        <v>208</v>
      </c>
      <c r="BQ112" t="s">
        <v>281</v>
      </c>
      <c r="BR112" t="s">
        <v>412</v>
      </c>
      <c r="BS112"/>
      <c r="BT112"/>
      <c r="BU112"/>
      <c r="BV112"/>
    </row>
    <row r="113" spans="1:74">
      <c r="A113" s="22" t="s">
        <v>409</v>
      </c>
      <c r="B113" t="s">
        <v>10</v>
      </c>
      <c r="C113" t="s">
        <v>11</v>
      </c>
      <c r="D113" t="s">
        <v>172</v>
      </c>
      <c r="F113" t="s">
        <v>473</v>
      </c>
      <c r="G113" t="s">
        <v>411</v>
      </c>
      <c r="H113" t="s">
        <v>473</v>
      </c>
      <c r="I113" t="s">
        <v>411</v>
      </c>
      <c r="BA113">
        <v>14.3</v>
      </c>
      <c r="BB113">
        <v>9.9</v>
      </c>
      <c r="BC113">
        <v>10.9</v>
      </c>
      <c r="BD113">
        <v>10.9</v>
      </c>
      <c r="BE113">
        <v>14.5</v>
      </c>
      <c r="BF113">
        <v>8.9</v>
      </c>
      <c r="BG113">
        <v>8</v>
      </c>
      <c r="BH113">
        <v>8.9</v>
      </c>
      <c r="BQ113" t="s">
        <v>166</v>
      </c>
      <c r="BR113" t="s">
        <v>937</v>
      </c>
    </row>
    <row r="114" spans="1:74">
      <c r="A114" s="22" t="s">
        <v>409</v>
      </c>
      <c r="B114" t="s">
        <v>10</v>
      </c>
      <c r="C114" t="s">
        <v>11</v>
      </c>
      <c r="D114" t="s">
        <v>172</v>
      </c>
      <c r="F114" t="s">
        <v>473</v>
      </c>
      <c r="G114" t="s">
        <v>411</v>
      </c>
      <c r="H114" t="s">
        <v>473</v>
      </c>
      <c r="I114" t="s">
        <v>411</v>
      </c>
      <c r="Y114">
        <f>AVERAGE(11,10.8)</f>
        <v>10.9</v>
      </c>
      <c r="AB114">
        <f>AVERAGE(11.4,11.5)</f>
        <v>11.45</v>
      </c>
      <c r="AG114">
        <v>9.1</v>
      </c>
      <c r="AJ114">
        <v>11.6</v>
      </c>
      <c r="BQ114" t="s">
        <v>166</v>
      </c>
      <c r="BR114" t="s">
        <v>937</v>
      </c>
      <c r="BS114" t="s">
        <v>371</v>
      </c>
      <c r="BT114" t="s">
        <v>937</v>
      </c>
    </row>
    <row r="115" spans="1:74">
      <c r="A115" t="s">
        <v>945</v>
      </c>
      <c r="B115" t="s">
        <v>10</v>
      </c>
      <c r="C115" t="s">
        <v>11</v>
      </c>
      <c r="D115" t="s">
        <v>172</v>
      </c>
      <c r="F115" t="s">
        <v>473</v>
      </c>
      <c r="G115" t="s">
        <v>411</v>
      </c>
      <c r="H115" t="s">
        <v>473</v>
      </c>
      <c r="I115" t="s">
        <v>411</v>
      </c>
      <c r="AS115">
        <v>11.2</v>
      </c>
      <c r="AV115">
        <v>5.8</v>
      </c>
      <c r="BE115">
        <v>12.1</v>
      </c>
      <c r="BF115">
        <v>8.1999999999999993</v>
      </c>
      <c r="BG115">
        <v>7.6</v>
      </c>
      <c r="BH115">
        <v>8.1999999999999993</v>
      </c>
      <c r="BQ115" t="s">
        <v>166</v>
      </c>
      <c r="BR115" t="s">
        <v>937</v>
      </c>
    </row>
    <row r="116" spans="1:74">
      <c r="A116" t="s">
        <v>945</v>
      </c>
      <c r="B116" t="s">
        <v>10</v>
      </c>
      <c r="C116" t="s">
        <v>11</v>
      </c>
      <c r="D116" t="s">
        <v>172</v>
      </c>
      <c r="F116" t="s">
        <v>473</v>
      </c>
      <c r="G116" t="s">
        <v>411</v>
      </c>
      <c r="H116" t="s">
        <v>473</v>
      </c>
      <c r="I116" t="s">
        <v>411</v>
      </c>
      <c r="U116">
        <v>9.6</v>
      </c>
      <c r="AC116">
        <v>11.4</v>
      </c>
      <c r="AG116">
        <v>8.6999999999999993</v>
      </c>
      <c r="AJ116">
        <v>12.2</v>
      </c>
      <c r="BQ116" t="s">
        <v>166</v>
      </c>
      <c r="BR116" t="s">
        <v>937</v>
      </c>
    </row>
    <row r="117" spans="1:74">
      <c r="A117" t="s">
        <v>998</v>
      </c>
      <c r="B117" t="s">
        <v>10</v>
      </c>
      <c r="C117" t="s">
        <v>11</v>
      </c>
      <c r="D117" t="s">
        <v>172</v>
      </c>
      <c r="F117" t="s">
        <v>473</v>
      </c>
      <c r="G117" t="s">
        <v>411</v>
      </c>
      <c r="H117" t="s">
        <v>473</v>
      </c>
      <c r="I117" t="s">
        <v>411</v>
      </c>
      <c r="AC117">
        <v>12.5</v>
      </c>
      <c r="AF117">
        <v>15.3</v>
      </c>
      <c r="BQ117" t="s">
        <v>166</v>
      </c>
      <c r="BR117" t="s">
        <v>937</v>
      </c>
    </row>
    <row r="118" spans="1:74">
      <c r="A118" t="s">
        <v>418</v>
      </c>
      <c r="B118" t="s">
        <v>10</v>
      </c>
      <c r="C118" t="s">
        <v>11</v>
      </c>
      <c r="D118" t="s">
        <v>172</v>
      </c>
      <c r="E118" t="s">
        <v>176</v>
      </c>
      <c r="F118" t="s">
        <v>473</v>
      </c>
      <c r="G118" t="s">
        <v>411</v>
      </c>
      <c r="H118" t="s">
        <v>410</v>
      </c>
      <c r="I118" t="s">
        <v>411</v>
      </c>
      <c r="AW118">
        <v>10.6</v>
      </c>
      <c r="BQ118" t="s">
        <v>281</v>
      </c>
      <c r="BR118" t="s">
        <v>412</v>
      </c>
    </row>
    <row r="119" spans="1:74">
      <c r="A119" t="s">
        <v>418</v>
      </c>
      <c r="B119" t="s">
        <v>10</v>
      </c>
      <c r="C119" t="s">
        <v>11</v>
      </c>
      <c r="D119" t="s">
        <v>172</v>
      </c>
      <c r="F119" t="s">
        <v>473</v>
      </c>
      <c r="G119" t="s">
        <v>411</v>
      </c>
      <c r="H119" t="s">
        <v>473</v>
      </c>
      <c r="I119" t="s">
        <v>411</v>
      </c>
      <c r="AS119">
        <v>10.9</v>
      </c>
      <c r="AV119">
        <v>6.3</v>
      </c>
      <c r="AW119">
        <v>11.1</v>
      </c>
      <c r="AX119">
        <v>7.8</v>
      </c>
      <c r="AY119">
        <v>9.1999999999999993</v>
      </c>
      <c r="AZ119">
        <v>9.1999999999999993</v>
      </c>
      <c r="BQ119" t="s">
        <v>166</v>
      </c>
      <c r="BR119" t="s">
        <v>937</v>
      </c>
    </row>
    <row r="120" spans="1:74" s="4" customFormat="1">
      <c r="A120" t="s">
        <v>999</v>
      </c>
      <c r="B120" t="s">
        <v>10</v>
      </c>
      <c r="C120" t="s">
        <v>11</v>
      </c>
      <c r="D120" t="s">
        <v>172</v>
      </c>
      <c r="E120"/>
      <c r="F120" t="s">
        <v>473</v>
      </c>
      <c r="G120" t="s">
        <v>411</v>
      </c>
      <c r="H120" t="s">
        <v>473</v>
      </c>
      <c r="I120" t="s">
        <v>411</v>
      </c>
      <c r="J120"/>
      <c r="K120"/>
      <c r="L120"/>
      <c r="M120"/>
      <c r="N120"/>
      <c r="O120"/>
      <c r="P120"/>
      <c r="Q120"/>
      <c r="R120"/>
      <c r="S120"/>
      <c r="T120"/>
      <c r="U120"/>
      <c r="V120"/>
      <c r="W120"/>
      <c r="X120"/>
      <c r="Y120"/>
      <c r="Z120"/>
      <c r="AA120"/>
      <c r="AB120"/>
      <c r="AC120">
        <v>12.5</v>
      </c>
      <c r="AD120"/>
      <c r="AE120"/>
      <c r="AF120">
        <v>13.6</v>
      </c>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t="s">
        <v>166</v>
      </c>
      <c r="BR120" t="s">
        <v>937</v>
      </c>
      <c r="BS120"/>
      <c r="BT120"/>
      <c r="BU120"/>
      <c r="BV120"/>
    </row>
    <row r="121" spans="1:74">
      <c r="A121" t="s">
        <v>1000</v>
      </c>
      <c r="B121" t="s">
        <v>10</v>
      </c>
      <c r="C121" t="s">
        <v>11</v>
      </c>
      <c r="D121" t="s">
        <v>172</v>
      </c>
      <c r="F121" t="s">
        <v>473</v>
      </c>
      <c r="G121" t="s">
        <v>411</v>
      </c>
      <c r="H121" t="s">
        <v>473</v>
      </c>
      <c r="I121" t="s">
        <v>411</v>
      </c>
      <c r="U121">
        <v>9.9</v>
      </c>
      <c r="X121">
        <v>8</v>
      </c>
      <c r="BQ121" t="s">
        <v>166</v>
      </c>
      <c r="BR121" t="s">
        <v>937</v>
      </c>
    </row>
    <row r="122" spans="1:74">
      <c r="A122" t="s">
        <v>946</v>
      </c>
      <c r="B122" t="s">
        <v>10</v>
      </c>
      <c r="C122" t="s">
        <v>11</v>
      </c>
      <c r="D122" t="s">
        <v>172</v>
      </c>
      <c r="F122" t="s">
        <v>473</v>
      </c>
      <c r="G122" t="s">
        <v>411</v>
      </c>
      <c r="H122" t="s">
        <v>473</v>
      </c>
      <c r="I122" t="s">
        <v>411</v>
      </c>
      <c r="BA122">
        <v>10.9</v>
      </c>
      <c r="BB122">
        <v>9.3000000000000007</v>
      </c>
      <c r="BC122">
        <v>8.3000000000000007</v>
      </c>
      <c r="BD122">
        <v>9.3000000000000007</v>
      </c>
      <c r="BQ122" t="s">
        <v>166</v>
      </c>
      <c r="BR122" t="s">
        <v>937</v>
      </c>
    </row>
    <row r="123" spans="1:74">
      <c r="A123" t="s">
        <v>947</v>
      </c>
      <c r="B123" t="s">
        <v>10</v>
      </c>
      <c r="C123" t="s">
        <v>11</v>
      </c>
      <c r="D123" t="s">
        <v>172</v>
      </c>
      <c r="F123" t="s">
        <v>473</v>
      </c>
      <c r="G123" t="s">
        <v>411</v>
      </c>
      <c r="H123" t="s">
        <v>473</v>
      </c>
      <c r="I123" t="s">
        <v>411</v>
      </c>
      <c r="BE123">
        <v>13.7</v>
      </c>
      <c r="BF123">
        <v>8.6</v>
      </c>
      <c r="BG123">
        <v>7.9</v>
      </c>
      <c r="BH123">
        <v>8.6</v>
      </c>
      <c r="BQ123" s="3" t="s">
        <v>166</v>
      </c>
      <c r="BR123" t="s">
        <v>937</v>
      </c>
    </row>
    <row r="124" spans="1:74">
      <c r="A124" t="s">
        <v>948</v>
      </c>
      <c r="B124" t="s">
        <v>10</v>
      </c>
      <c r="C124" t="s">
        <v>11</v>
      </c>
      <c r="D124" t="s">
        <v>172</v>
      </c>
      <c r="F124" t="s">
        <v>473</v>
      </c>
      <c r="G124" t="s">
        <v>411</v>
      </c>
      <c r="H124" t="s">
        <v>473</v>
      </c>
      <c r="I124" t="s">
        <v>411</v>
      </c>
      <c r="BA124">
        <v>13.9</v>
      </c>
      <c r="BC124">
        <v>11.2</v>
      </c>
      <c r="BD124">
        <v>11</v>
      </c>
      <c r="BQ124" t="s">
        <v>166</v>
      </c>
      <c r="BR124" t="s">
        <v>937</v>
      </c>
    </row>
    <row r="125" spans="1:74">
      <c r="A125" t="s">
        <v>949</v>
      </c>
      <c r="B125" t="s">
        <v>10</v>
      </c>
      <c r="C125" t="s">
        <v>11</v>
      </c>
      <c r="D125" t="s">
        <v>172</v>
      </c>
      <c r="F125" t="s">
        <v>473</v>
      </c>
      <c r="G125" t="s">
        <v>411</v>
      </c>
      <c r="H125" t="s">
        <v>473</v>
      </c>
      <c r="I125" t="s">
        <v>411</v>
      </c>
      <c r="AV125">
        <v>6.6</v>
      </c>
      <c r="AW125">
        <v>12</v>
      </c>
      <c r="AX125">
        <v>7.8</v>
      </c>
      <c r="AY125">
        <v>9.1999999999999993</v>
      </c>
      <c r="AZ125">
        <v>9.1999999999999993</v>
      </c>
      <c r="BB125">
        <v>9.9</v>
      </c>
      <c r="BC125">
        <v>10.3</v>
      </c>
      <c r="BD125">
        <v>10.3</v>
      </c>
      <c r="BQ125" s="3" t="s">
        <v>166</v>
      </c>
      <c r="BR125" t="s">
        <v>937</v>
      </c>
    </row>
    <row r="126" spans="1:74">
      <c r="A126" t="s">
        <v>950</v>
      </c>
      <c r="B126" t="s">
        <v>10</v>
      </c>
      <c r="C126" t="s">
        <v>11</v>
      </c>
      <c r="D126" t="s">
        <v>172</v>
      </c>
      <c r="F126" t="s">
        <v>473</v>
      </c>
      <c r="G126" t="s">
        <v>411</v>
      </c>
      <c r="H126" t="s">
        <v>473</v>
      </c>
      <c r="I126" t="s">
        <v>411</v>
      </c>
      <c r="BA126">
        <v>13.8</v>
      </c>
      <c r="BB126">
        <v>9.9</v>
      </c>
      <c r="BC126">
        <v>10.4</v>
      </c>
      <c r="BD126">
        <v>10.4</v>
      </c>
      <c r="BE126">
        <v>14.6</v>
      </c>
      <c r="BF126">
        <v>9.8000000000000007</v>
      </c>
      <c r="BG126">
        <v>7.9</v>
      </c>
      <c r="BH126">
        <v>9.8000000000000007</v>
      </c>
      <c r="BQ126" t="s">
        <v>166</v>
      </c>
      <c r="BR126" t="s">
        <v>937</v>
      </c>
    </row>
    <row r="127" spans="1:74">
      <c r="A127" t="s">
        <v>936</v>
      </c>
      <c r="B127" t="s">
        <v>10</v>
      </c>
      <c r="C127" t="s">
        <v>11</v>
      </c>
      <c r="D127" t="s">
        <v>172</v>
      </c>
      <c r="F127" t="s">
        <v>473</v>
      </c>
      <c r="G127" t="s">
        <v>411</v>
      </c>
      <c r="H127" t="s">
        <v>473</v>
      </c>
      <c r="I127" t="s">
        <v>411</v>
      </c>
      <c r="AK127">
        <v>5.9</v>
      </c>
      <c r="AN127">
        <v>2.9</v>
      </c>
      <c r="AR127">
        <v>4.9000000000000004</v>
      </c>
      <c r="AS127">
        <v>10.9</v>
      </c>
      <c r="AV127">
        <v>7.6</v>
      </c>
      <c r="AW127">
        <v>11.6</v>
      </c>
      <c r="AX127">
        <v>8.3000000000000007</v>
      </c>
      <c r="AZ127">
        <v>8.3000000000000007</v>
      </c>
      <c r="BC127">
        <v>9.5</v>
      </c>
      <c r="BD127">
        <v>9.5</v>
      </c>
      <c r="BE127">
        <v>12</v>
      </c>
      <c r="BF127">
        <v>8.9</v>
      </c>
      <c r="BG127">
        <v>8</v>
      </c>
      <c r="BH127">
        <v>8.9</v>
      </c>
      <c r="BQ127" t="s">
        <v>166</v>
      </c>
      <c r="BR127" t="s">
        <v>937</v>
      </c>
    </row>
    <row r="128" spans="1:74" s="15" customFormat="1">
      <c r="A128" t="s">
        <v>961</v>
      </c>
      <c r="B128" t="s">
        <v>10</v>
      </c>
      <c r="C128" t="s">
        <v>11</v>
      </c>
      <c r="D128" t="s">
        <v>172</v>
      </c>
      <c r="E128"/>
      <c r="F128" t="s">
        <v>473</v>
      </c>
      <c r="G128" t="s">
        <v>411</v>
      </c>
      <c r="H128" t="s">
        <v>473</v>
      </c>
      <c r="I128" t="s">
        <v>411</v>
      </c>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v>11.89</v>
      </c>
      <c r="BF128">
        <v>7.96</v>
      </c>
      <c r="BG128">
        <v>7.44</v>
      </c>
      <c r="BH128">
        <v>7.96</v>
      </c>
      <c r="BI128"/>
      <c r="BJ128"/>
      <c r="BK128"/>
      <c r="BL128"/>
      <c r="BM128"/>
      <c r="BN128"/>
      <c r="BO128"/>
      <c r="BP128"/>
      <c r="BQ128" t="s">
        <v>166</v>
      </c>
      <c r="BR128" t="s">
        <v>937</v>
      </c>
      <c r="BS128"/>
      <c r="BT128"/>
      <c r="BU128"/>
      <c r="BV128"/>
    </row>
    <row r="129" spans="1:74">
      <c r="A129" t="s">
        <v>962</v>
      </c>
      <c r="B129" t="s">
        <v>10</v>
      </c>
      <c r="C129" t="s">
        <v>11</v>
      </c>
      <c r="D129" t="s">
        <v>172</v>
      </c>
      <c r="F129" t="s">
        <v>473</v>
      </c>
      <c r="G129" t="s">
        <v>411</v>
      </c>
      <c r="H129" t="s">
        <v>473</v>
      </c>
      <c r="I129" t="s">
        <v>411</v>
      </c>
      <c r="AK129">
        <v>8.17</v>
      </c>
      <c r="AN129">
        <v>3.99</v>
      </c>
      <c r="BQ129" t="s">
        <v>166</v>
      </c>
      <c r="BR129" t="s">
        <v>937</v>
      </c>
    </row>
    <row r="130" spans="1:74">
      <c r="A130" t="s">
        <v>965</v>
      </c>
      <c r="B130" t="s">
        <v>10</v>
      </c>
      <c r="C130" t="s">
        <v>11</v>
      </c>
      <c r="D130" t="s">
        <v>172</v>
      </c>
      <c r="F130" t="s">
        <v>473</v>
      </c>
      <c r="G130" t="s">
        <v>411</v>
      </c>
      <c r="H130" t="s">
        <v>473</v>
      </c>
      <c r="I130" t="s">
        <v>411</v>
      </c>
      <c r="BE130">
        <v>11.78</v>
      </c>
      <c r="BF130">
        <v>8.5</v>
      </c>
      <c r="BG130">
        <v>7.45</v>
      </c>
      <c r="BH130">
        <v>8.5</v>
      </c>
      <c r="BQ130" t="s">
        <v>166</v>
      </c>
      <c r="BR130" t="s">
        <v>937</v>
      </c>
    </row>
    <row r="131" spans="1:74">
      <c r="A131" t="s">
        <v>1010</v>
      </c>
      <c r="B131" t="s">
        <v>10</v>
      </c>
      <c r="C131" t="s">
        <v>11</v>
      </c>
      <c r="D131" t="s">
        <v>172</v>
      </c>
      <c r="F131" t="s">
        <v>473</v>
      </c>
      <c r="G131" t="s">
        <v>411</v>
      </c>
      <c r="H131" t="s">
        <v>473</v>
      </c>
      <c r="I131" t="s">
        <v>411</v>
      </c>
      <c r="AC131">
        <v>12.14</v>
      </c>
      <c r="AF131">
        <v>15.05</v>
      </c>
      <c r="BQ131" t="s">
        <v>166</v>
      </c>
      <c r="BR131" t="s">
        <v>937</v>
      </c>
    </row>
    <row r="132" spans="1:74">
      <c r="A132" t="s">
        <v>1004</v>
      </c>
      <c r="B132" t="s">
        <v>10</v>
      </c>
      <c r="C132" t="s">
        <v>11</v>
      </c>
      <c r="D132" t="s">
        <v>172</v>
      </c>
      <c r="F132" t="s">
        <v>473</v>
      </c>
      <c r="G132" t="s">
        <v>411</v>
      </c>
      <c r="H132" t="s">
        <v>473</v>
      </c>
      <c r="I132" t="s">
        <v>411</v>
      </c>
      <c r="U132">
        <v>9.7799999999999994</v>
      </c>
      <c r="X132">
        <v>9.14</v>
      </c>
      <c r="BQ132" t="s">
        <v>166</v>
      </c>
      <c r="BR132" t="s">
        <v>937</v>
      </c>
    </row>
    <row r="133" spans="1:74">
      <c r="A133" t="s">
        <v>966</v>
      </c>
      <c r="B133" t="s">
        <v>10</v>
      </c>
      <c r="C133" t="s">
        <v>11</v>
      </c>
      <c r="D133" t="s">
        <v>172</v>
      </c>
      <c r="F133" t="s">
        <v>473</v>
      </c>
      <c r="G133" t="s">
        <v>411</v>
      </c>
      <c r="H133" t="s">
        <v>473</v>
      </c>
      <c r="I133" t="s">
        <v>411</v>
      </c>
      <c r="AV133">
        <v>6.83</v>
      </c>
      <c r="AW133">
        <v>11.14</v>
      </c>
      <c r="AX133">
        <v>7.22</v>
      </c>
      <c r="AY133">
        <v>8.8699999999999992</v>
      </c>
      <c r="AZ133">
        <v>8.8699999999999992</v>
      </c>
      <c r="BB133">
        <v>9.75</v>
      </c>
      <c r="BD133">
        <v>9.75</v>
      </c>
      <c r="BE133">
        <v>13.33</v>
      </c>
      <c r="BG133">
        <v>6.17</v>
      </c>
      <c r="BH133">
        <v>6.17</v>
      </c>
      <c r="BQ133" t="s">
        <v>166</v>
      </c>
      <c r="BR133" t="s">
        <v>937</v>
      </c>
    </row>
    <row r="134" spans="1:74">
      <c r="A134" t="s">
        <v>967</v>
      </c>
      <c r="B134" t="s">
        <v>10</v>
      </c>
      <c r="C134" t="s">
        <v>11</v>
      </c>
      <c r="D134" t="s">
        <v>172</v>
      </c>
      <c r="F134" t="s">
        <v>473</v>
      </c>
      <c r="G134" t="s">
        <v>411</v>
      </c>
      <c r="H134" t="s">
        <v>473</v>
      </c>
      <c r="I134" t="s">
        <v>411</v>
      </c>
      <c r="AO134">
        <v>8.5</v>
      </c>
      <c r="AR134">
        <v>4.51</v>
      </c>
      <c r="BQ134" t="s">
        <v>166</v>
      </c>
      <c r="BR134" t="s">
        <v>937</v>
      </c>
    </row>
    <row r="135" spans="1:74">
      <c r="A135" t="s">
        <v>1011</v>
      </c>
      <c r="B135" t="s">
        <v>10</v>
      </c>
      <c r="C135" t="s">
        <v>11</v>
      </c>
      <c r="D135" t="s">
        <v>172</v>
      </c>
      <c r="F135" t="s">
        <v>473</v>
      </c>
      <c r="G135" t="s">
        <v>411</v>
      </c>
      <c r="H135" t="s">
        <v>473</v>
      </c>
      <c r="I135" t="s">
        <v>411</v>
      </c>
      <c r="Y135">
        <v>10.93</v>
      </c>
      <c r="AB135">
        <v>11.2</v>
      </c>
      <c r="BQ135" t="s">
        <v>166</v>
      </c>
      <c r="BR135" t="s">
        <v>937</v>
      </c>
    </row>
    <row r="136" spans="1:74">
      <c r="A136" t="s">
        <v>1012</v>
      </c>
      <c r="B136" t="s">
        <v>10</v>
      </c>
      <c r="C136" t="s">
        <v>11</v>
      </c>
      <c r="D136" t="s">
        <v>172</v>
      </c>
      <c r="F136" t="s">
        <v>473</v>
      </c>
      <c r="G136" t="s">
        <v>411</v>
      </c>
      <c r="H136" t="s">
        <v>473</v>
      </c>
      <c r="I136" t="s">
        <v>411</v>
      </c>
      <c r="Y136">
        <v>11.08</v>
      </c>
      <c r="AB136">
        <v>11.76</v>
      </c>
      <c r="BQ136" t="s">
        <v>166</v>
      </c>
      <c r="BR136" t="s">
        <v>937</v>
      </c>
    </row>
    <row r="137" spans="1:74">
      <c r="A137" t="s">
        <v>968</v>
      </c>
      <c r="B137" t="s">
        <v>10</v>
      </c>
      <c r="C137" t="s">
        <v>11</v>
      </c>
      <c r="D137" t="s">
        <v>172</v>
      </c>
      <c r="F137" t="s">
        <v>473</v>
      </c>
      <c r="G137" t="s">
        <v>411</v>
      </c>
      <c r="H137" t="s">
        <v>473</v>
      </c>
      <c r="I137" t="s">
        <v>411</v>
      </c>
      <c r="BA137">
        <v>12.56</v>
      </c>
      <c r="BB137">
        <v>9.6199999999999992</v>
      </c>
      <c r="BC137">
        <v>9.7200000000000006</v>
      </c>
      <c r="BD137">
        <v>9.7200000000000006</v>
      </c>
      <c r="BQ137" t="s">
        <v>166</v>
      </c>
      <c r="BR137" t="s">
        <v>937</v>
      </c>
    </row>
    <row r="138" spans="1:74">
      <c r="A138" t="s">
        <v>969</v>
      </c>
      <c r="B138" t="s">
        <v>10</v>
      </c>
      <c r="C138" t="s">
        <v>11</v>
      </c>
      <c r="D138" t="s">
        <v>172</v>
      </c>
      <c r="F138" t="s">
        <v>473</v>
      </c>
      <c r="G138" t="s">
        <v>411</v>
      </c>
      <c r="H138" t="s">
        <v>473</v>
      </c>
      <c r="I138" t="s">
        <v>411</v>
      </c>
      <c r="AS138">
        <f>AVERAGE(12.01,12.09)</f>
        <v>12.05</v>
      </c>
      <c r="AV138">
        <f>AVERAGE(6.3,6.67)</f>
        <v>6.4849999999999994</v>
      </c>
      <c r="AX138">
        <v>7.28</v>
      </c>
      <c r="AY138">
        <v>8.5299999999999994</v>
      </c>
      <c r="AZ138">
        <v>8.5299999999999994</v>
      </c>
      <c r="BA138">
        <v>13.55</v>
      </c>
      <c r="BB138">
        <v>10.4</v>
      </c>
      <c r="BC138">
        <v>10.18</v>
      </c>
      <c r="BD138">
        <v>10.4</v>
      </c>
      <c r="BE138">
        <v>12.23</v>
      </c>
      <c r="BF138">
        <v>8.65</v>
      </c>
      <c r="BG138">
        <v>7.55</v>
      </c>
      <c r="BH138">
        <v>8.65</v>
      </c>
      <c r="BQ138" s="3" t="s">
        <v>166</v>
      </c>
      <c r="BR138" t="s">
        <v>937</v>
      </c>
    </row>
    <row r="139" spans="1:74">
      <c r="A139" t="s">
        <v>969</v>
      </c>
      <c r="B139" t="s">
        <v>10</v>
      </c>
      <c r="C139" t="s">
        <v>11</v>
      </c>
      <c r="D139" t="s">
        <v>172</v>
      </c>
      <c r="F139" t="s">
        <v>473</v>
      </c>
      <c r="G139" t="s">
        <v>411</v>
      </c>
      <c r="H139" t="s">
        <v>473</v>
      </c>
      <c r="I139" t="s">
        <v>411</v>
      </c>
      <c r="Q139">
        <v>9.99</v>
      </c>
      <c r="T139">
        <v>7.11</v>
      </c>
      <c r="U139">
        <v>10.27</v>
      </c>
      <c r="Y139">
        <v>10.37</v>
      </c>
      <c r="AB139">
        <v>11.26</v>
      </c>
      <c r="AC139">
        <v>11.99</v>
      </c>
      <c r="AF139">
        <v>15.2</v>
      </c>
      <c r="BQ139" t="s">
        <v>166</v>
      </c>
      <c r="BR139" t="s">
        <v>937</v>
      </c>
    </row>
    <row r="140" spans="1:74" s="4" customFormat="1">
      <c r="A140" t="s">
        <v>1013</v>
      </c>
      <c r="B140" t="s">
        <v>10</v>
      </c>
      <c r="C140" t="s">
        <v>11</v>
      </c>
      <c r="D140" t="s">
        <v>172</v>
      </c>
      <c r="E140"/>
      <c r="F140" t="s">
        <v>473</v>
      </c>
      <c r="G140" t="s">
        <v>411</v>
      </c>
      <c r="H140" t="s">
        <v>473</v>
      </c>
      <c r="I140" t="s">
        <v>411</v>
      </c>
      <c r="J140"/>
      <c r="K140"/>
      <c r="L140"/>
      <c r="M140"/>
      <c r="N140"/>
      <c r="O140"/>
      <c r="P140"/>
      <c r="Q140"/>
      <c r="R140"/>
      <c r="S140"/>
      <c r="T140"/>
      <c r="U140"/>
      <c r="V140"/>
      <c r="W140"/>
      <c r="X140"/>
      <c r="Y140"/>
      <c r="Z140"/>
      <c r="AA140"/>
      <c r="AB140"/>
      <c r="AC140">
        <v>10.61</v>
      </c>
      <c r="AD140"/>
      <c r="AE140"/>
      <c r="AF140">
        <v>14.09</v>
      </c>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t="s">
        <v>166</v>
      </c>
      <c r="BR140" t="s">
        <v>937</v>
      </c>
      <c r="BS140"/>
      <c r="BT140"/>
      <c r="BU140"/>
      <c r="BV140"/>
    </row>
    <row r="141" spans="1:74" s="4" customFormat="1">
      <c r="A141" t="s">
        <v>970</v>
      </c>
      <c r="B141" t="s">
        <v>10</v>
      </c>
      <c r="C141" t="s">
        <v>11</v>
      </c>
      <c r="D141" t="s">
        <v>172</v>
      </c>
      <c r="E141"/>
      <c r="F141" t="s">
        <v>473</v>
      </c>
      <c r="G141" t="s">
        <v>411</v>
      </c>
      <c r="H141" t="s">
        <v>473</v>
      </c>
      <c r="I141" t="s">
        <v>411</v>
      </c>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v>10.96</v>
      </c>
      <c r="BB141"/>
      <c r="BC141"/>
      <c r="BD141"/>
      <c r="BE141">
        <v>13.19</v>
      </c>
      <c r="BF141">
        <v>8.9</v>
      </c>
      <c r="BG141">
        <v>8.09</v>
      </c>
      <c r="BH141">
        <v>8.9</v>
      </c>
      <c r="BI141"/>
      <c r="BJ141"/>
      <c r="BK141"/>
      <c r="BL141"/>
      <c r="BM141"/>
      <c r="BN141"/>
      <c r="BO141"/>
      <c r="BP141"/>
      <c r="BQ141" t="s">
        <v>166</v>
      </c>
      <c r="BR141" t="s">
        <v>937</v>
      </c>
      <c r="BS141"/>
      <c r="BT141"/>
      <c r="BU141"/>
      <c r="BV141"/>
    </row>
    <row r="142" spans="1:74" s="4" customFormat="1">
      <c r="A142" t="s">
        <v>1025</v>
      </c>
      <c r="B142" t="s">
        <v>10</v>
      </c>
      <c r="C142" t="s">
        <v>11</v>
      </c>
      <c r="D142" t="s">
        <v>172</v>
      </c>
      <c r="E142"/>
      <c r="F142" t="s">
        <v>473</v>
      </c>
      <c r="G142" t="s">
        <v>411</v>
      </c>
      <c r="H142" t="s">
        <v>473</v>
      </c>
      <c r="I142" t="s">
        <v>414</v>
      </c>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v>9.17</v>
      </c>
      <c r="AX142">
        <v>5.71</v>
      </c>
      <c r="AY142">
        <v>5.83</v>
      </c>
      <c r="AZ142">
        <v>5.83</v>
      </c>
      <c r="BA142">
        <v>9.9700000000000006</v>
      </c>
      <c r="BB142"/>
      <c r="BC142">
        <v>7.88</v>
      </c>
      <c r="BD142">
        <v>7.88</v>
      </c>
      <c r="BE142"/>
      <c r="BF142"/>
      <c r="BG142">
        <v>7.04</v>
      </c>
      <c r="BH142">
        <v>7.04</v>
      </c>
      <c r="BI142"/>
      <c r="BJ142"/>
      <c r="BK142"/>
      <c r="BL142"/>
      <c r="BM142"/>
      <c r="BN142"/>
      <c r="BO142"/>
      <c r="BP142"/>
      <c r="BQ142" t="s">
        <v>166</v>
      </c>
      <c r="BR142" t="s">
        <v>937</v>
      </c>
      <c r="BS142"/>
      <c r="BT142"/>
      <c r="BU142"/>
      <c r="BV142"/>
    </row>
    <row r="143" spans="1:74" s="4" customFormat="1">
      <c r="A143" t="s">
        <v>971</v>
      </c>
      <c r="B143" t="s">
        <v>10</v>
      </c>
      <c r="C143" t="s">
        <v>11</v>
      </c>
      <c r="D143" t="s">
        <v>172</v>
      </c>
      <c r="E143"/>
      <c r="F143" t="s">
        <v>473</v>
      </c>
      <c r="G143" t="s">
        <v>411</v>
      </c>
      <c r="H143" t="s">
        <v>473</v>
      </c>
      <c r="I143" t="s">
        <v>411</v>
      </c>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v>8.3800000000000008</v>
      </c>
      <c r="AY143">
        <v>9.08</v>
      </c>
      <c r="AZ143">
        <v>9.08</v>
      </c>
      <c r="BA143">
        <v>11.87</v>
      </c>
      <c r="BB143">
        <v>7.43</v>
      </c>
      <c r="BC143">
        <v>9.4600000000000009</v>
      </c>
      <c r="BD143">
        <v>9.4600000000000009</v>
      </c>
      <c r="BE143">
        <v>12.09</v>
      </c>
      <c r="BF143">
        <v>6.88</v>
      </c>
      <c r="BG143">
        <v>5.29</v>
      </c>
      <c r="BH143">
        <v>6.88</v>
      </c>
      <c r="BI143"/>
      <c r="BJ143"/>
      <c r="BK143"/>
      <c r="BL143"/>
      <c r="BM143"/>
      <c r="BN143"/>
      <c r="BO143"/>
      <c r="BP143"/>
      <c r="BQ143" t="s">
        <v>166</v>
      </c>
      <c r="BR143" t="s">
        <v>937</v>
      </c>
      <c r="BS143"/>
      <c r="BT143"/>
      <c r="BU143"/>
      <c r="BV143"/>
    </row>
    <row r="144" spans="1:74">
      <c r="A144" t="s">
        <v>972</v>
      </c>
      <c r="B144" t="s">
        <v>10</v>
      </c>
      <c r="C144" t="s">
        <v>11</v>
      </c>
      <c r="D144" t="s">
        <v>172</v>
      </c>
      <c r="F144" t="s">
        <v>473</v>
      </c>
      <c r="G144" t="s">
        <v>411</v>
      </c>
      <c r="H144" t="s">
        <v>473</v>
      </c>
      <c r="I144" t="s">
        <v>411</v>
      </c>
      <c r="AO144">
        <v>9.6999999999999993</v>
      </c>
      <c r="AR144">
        <v>5.04</v>
      </c>
      <c r="AS144">
        <v>11.78</v>
      </c>
      <c r="AV144">
        <v>6.61</v>
      </c>
      <c r="AW144">
        <v>10.96</v>
      </c>
      <c r="AX144">
        <v>8.32</v>
      </c>
      <c r="AZ144">
        <v>8.32</v>
      </c>
      <c r="BE144">
        <v>11.48</v>
      </c>
      <c r="BF144">
        <v>8.91</v>
      </c>
      <c r="BG144">
        <v>7.23</v>
      </c>
      <c r="BH144">
        <v>8.91</v>
      </c>
      <c r="BQ144" t="s">
        <v>166</v>
      </c>
      <c r="BR144" t="s">
        <v>937</v>
      </c>
    </row>
    <row r="145" spans="1:74">
      <c r="A145" t="s">
        <v>1005</v>
      </c>
      <c r="B145" t="s">
        <v>10</v>
      </c>
      <c r="C145" t="s">
        <v>11</v>
      </c>
      <c r="D145" t="s">
        <v>172</v>
      </c>
      <c r="F145" t="s">
        <v>473</v>
      </c>
      <c r="G145" t="s">
        <v>411</v>
      </c>
      <c r="H145" t="s">
        <v>473</v>
      </c>
      <c r="I145" t="s">
        <v>411</v>
      </c>
      <c r="AG145">
        <v>7.18</v>
      </c>
      <c r="AJ145">
        <v>9.7799999999999994</v>
      </c>
      <c r="BQ145" t="s">
        <v>166</v>
      </c>
      <c r="BR145" t="s">
        <v>937</v>
      </c>
    </row>
    <row r="146" spans="1:74">
      <c r="A146" t="s">
        <v>973</v>
      </c>
      <c r="B146" t="s">
        <v>10</v>
      </c>
      <c r="C146" t="s">
        <v>11</v>
      </c>
      <c r="D146" t="s">
        <v>172</v>
      </c>
      <c r="F146" t="s">
        <v>473</v>
      </c>
      <c r="G146" t="s">
        <v>411</v>
      </c>
      <c r="H146" t="s">
        <v>473</v>
      </c>
      <c r="I146" t="s">
        <v>411</v>
      </c>
      <c r="AW146">
        <v>9.8699999999999992</v>
      </c>
      <c r="AX146">
        <v>6.58</v>
      </c>
      <c r="AY146">
        <v>7.55</v>
      </c>
      <c r="AZ146">
        <v>7.55</v>
      </c>
      <c r="BA146">
        <v>11.05</v>
      </c>
      <c r="BB146">
        <v>8.59</v>
      </c>
      <c r="BC146">
        <v>8.64</v>
      </c>
      <c r="BD146">
        <v>8.64</v>
      </c>
      <c r="BE146">
        <v>11.44</v>
      </c>
      <c r="BF146">
        <v>7.5</v>
      </c>
      <c r="BG146">
        <v>6.55</v>
      </c>
      <c r="BH146">
        <v>7.5</v>
      </c>
      <c r="BQ146" t="s">
        <v>166</v>
      </c>
      <c r="BR146" t="s">
        <v>937</v>
      </c>
    </row>
    <row r="147" spans="1:74">
      <c r="A147" t="s">
        <v>1014</v>
      </c>
      <c r="B147" t="s">
        <v>10</v>
      </c>
      <c r="C147" t="s">
        <v>11</v>
      </c>
      <c r="D147" t="s">
        <v>172</v>
      </c>
      <c r="F147" t="s">
        <v>473</v>
      </c>
      <c r="G147" t="s">
        <v>411</v>
      </c>
      <c r="H147" t="s">
        <v>473</v>
      </c>
      <c r="I147" t="s">
        <v>411</v>
      </c>
      <c r="Q147">
        <v>9.81</v>
      </c>
      <c r="T147">
        <v>6.91</v>
      </c>
      <c r="U147">
        <v>10.51</v>
      </c>
      <c r="X147">
        <v>9.76</v>
      </c>
      <c r="Y147">
        <v>10.32</v>
      </c>
      <c r="AC147">
        <v>11.33</v>
      </c>
      <c r="AG147">
        <v>8.75</v>
      </c>
      <c r="AJ147">
        <v>11.38</v>
      </c>
      <c r="BQ147" t="s">
        <v>166</v>
      </c>
      <c r="BR147" t="s">
        <v>937</v>
      </c>
    </row>
    <row r="148" spans="1:74">
      <c r="A148" t="s">
        <v>963</v>
      </c>
      <c r="B148" t="s">
        <v>10</v>
      </c>
      <c r="C148" t="s">
        <v>11</v>
      </c>
      <c r="D148" t="s">
        <v>172</v>
      </c>
      <c r="F148" t="s">
        <v>473</v>
      </c>
      <c r="G148" t="s">
        <v>411</v>
      </c>
      <c r="H148" t="s">
        <v>473</v>
      </c>
      <c r="I148" t="s">
        <v>411</v>
      </c>
      <c r="AO148">
        <v>9.65</v>
      </c>
      <c r="AR148">
        <v>5.57</v>
      </c>
      <c r="BQ148" t="s">
        <v>166</v>
      </c>
      <c r="BR148" t="s">
        <v>937</v>
      </c>
    </row>
    <row r="149" spans="1:74">
      <c r="A149" t="s">
        <v>974</v>
      </c>
      <c r="B149" t="s">
        <v>10</v>
      </c>
      <c r="C149" t="s">
        <v>11</v>
      </c>
      <c r="D149" t="s">
        <v>172</v>
      </c>
      <c r="F149" t="s">
        <v>473</v>
      </c>
      <c r="G149" t="s">
        <v>411</v>
      </c>
      <c r="H149" t="s">
        <v>473</v>
      </c>
      <c r="I149" t="s">
        <v>411</v>
      </c>
      <c r="AS149">
        <v>11.79</v>
      </c>
      <c r="AV149">
        <v>6.36</v>
      </c>
      <c r="AW149">
        <f>AVERAGE(11.11,11.4)</f>
        <v>11.254999999999999</v>
      </c>
      <c r="AX149">
        <f>AVERAGE(7.48,7.18)</f>
        <v>7.33</v>
      </c>
      <c r="AY149">
        <f>AVERAGE(8.86,8.73)</f>
        <v>8.7949999999999999</v>
      </c>
      <c r="AZ149">
        <f>MAX(AX149:AY149)</f>
        <v>8.7949999999999999</v>
      </c>
      <c r="BA149">
        <f>AVERAGE(11.87,12.3)</f>
        <v>12.085000000000001</v>
      </c>
      <c r="BB149">
        <f>AVERAGE(9.92,10.09)</f>
        <v>10.004999999999999</v>
      </c>
      <c r="BC149">
        <f>AVERAGE(10.34,10.33)</f>
        <v>10.335000000000001</v>
      </c>
      <c r="BD149">
        <f>MAX(BB149:BC149)</f>
        <v>10.335000000000001</v>
      </c>
      <c r="BE149">
        <v>12.08</v>
      </c>
      <c r="BF149">
        <v>8.83</v>
      </c>
      <c r="BG149">
        <v>7.25</v>
      </c>
      <c r="BH149">
        <v>8.83</v>
      </c>
      <c r="BQ149" t="s">
        <v>166</v>
      </c>
      <c r="BR149" t="s">
        <v>937</v>
      </c>
    </row>
    <row r="150" spans="1:74">
      <c r="A150" t="s">
        <v>964</v>
      </c>
      <c r="B150" t="s">
        <v>10</v>
      </c>
      <c r="C150" t="s">
        <v>11</v>
      </c>
      <c r="D150" t="s">
        <v>172</v>
      </c>
      <c r="F150" t="s">
        <v>473</v>
      </c>
      <c r="G150" t="s">
        <v>411</v>
      </c>
      <c r="H150" t="s">
        <v>473</v>
      </c>
      <c r="I150" t="s">
        <v>411</v>
      </c>
      <c r="BE150">
        <v>10.84</v>
      </c>
      <c r="BF150">
        <v>7.28</v>
      </c>
      <c r="BG150">
        <v>7.06</v>
      </c>
      <c r="BH150">
        <v>7.28</v>
      </c>
      <c r="BQ150" t="s">
        <v>166</v>
      </c>
      <c r="BR150" t="s">
        <v>937</v>
      </c>
    </row>
    <row r="151" spans="1:74">
      <c r="A151" t="s">
        <v>975</v>
      </c>
      <c r="B151" t="s">
        <v>10</v>
      </c>
      <c r="C151" t="s">
        <v>11</v>
      </c>
      <c r="D151" t="s">
        <v>172</v>
      </c>
      <c r="F151" t="s">
        <v>473</v>
      </c>
      <c r="G151" t="s">
        <v>411</v>
      </c>
      <c r="H151" t="s">
        <v>473</v>
      </c>
      <c r="I151" t="s">
        <v>411</v>
      </c>
      <c r="AO151">
        <v>9.5299999999999994</v>
      </c>
      <c r="AR151">
        <v>4.96</v>
      </c>
      <c r="AS151">
        <f>AVERAGE(12.19,14.43)</f>
        <v>13.309999999999999</v>
      </c>
      <c r="AV151">
        <f>AVERAGE(6.74,7.13)</f>
        <v>6.9350000000000005</v>
      </c>
      <c r="AW151">
        <f>AVERAGE(11.3,11.28)</f>
        <v>11.29</v>
      </c>
      <c r="AX151">
        <f>AVERAGE(7.66,7.69)</f>
        <v>7.6750000000000007</v>
      </c>
      <c r="AY151">
        <f>AVERAGE(9.31,9.28)</f>
        <v>9.2949999999999999</v>
      </c>
      <c r="AZ151">
        <f>MAX(AX151:AY151)</f>
        <v>9.2949999999999999</v>
      </c>
      <c r="BA151">
        <f>AVERAGE(12.23,12.61)</f>
        <v>12.42</v>
      </c>
      <c r="BB151">
        <f>AVERAGE(10.43,10.27)</f>
        <v>10.35</v>
      </c>
      <c r="BC151">
        <f>AVERAGE(10.54,10.95)</f>
        <v>10.744999999999999</v>
      </c>
      <c r="BD151">
        <f>MAX(BB151:BC151)</f>
        <v>10.744999999999999</v>
      </c>
      <c r="BE151">
        <f>AVERAGE(14.43,14.4)</f>
        <v>14.414999999999999</v>
      </c>
      <c r="BF151">
        <f>AVERAGE(9.49,9.52)</f>
        <v>9.504999999999999</v>
      </c>
      <c r="BG151">
        <f>AVERAGE(7.87,7.75)</f>
        <v>7.8100000000000005</v>
      </c>
      <c r="BH151">
        <f>MAX(BF151:BG151)</f>
        <v>9.504999999999999</v>
      </c>
      <c r="BQ151" t="s">
        <v>166</v>
      </c>
      <c r="BR151" t="s">
        <v>937</v>
      </c>
    </row>
    <row r="152" spans="1:74">
      <c r="A152" t="s">
        <v>1006</v>
      </c>
      <c r="B152" t="s">
        <v>10</v>
      </c>
      <c r="C152" t="s">
        <v>11</v>
      </c>
      <c r="D152" t="s">
        <v>172</v>
      </c>
      <c r="F152" t="s">
        <v>473</v>
      </c>
      <c r="G152" t="s">
        <v>411</v>
      </c>
      <c r="H152" t="s">
        <v>473</v>
      </c>
      <c r="I152" t="s">
        <v>411</v>
      </c>
      <c r="X152">
        <v>9.18</v>
      </c>
      <c r="BQ152" t="s">
        <v>166</v>
      </c>
      <c r="BR152" t="s">
        <v>937</v>
      </c>
    </row>
    <row r="153" spans="1:74">
      <c r="A153" t="s">
        <v>1007</v>
      </c>
      <c r="B153" t="s">
        <v>10</v>
      </c>
      <c r="C153" t="s">
        <v>11</v>
      </c>
      <c r="D153" t="s">
        <v>172</v>
      </c>
      <c r="F153" t="s">
        <v>473</v>
      </c>
      <c r="G153" t="s">
        <v>411</v>
      </c>
      <c r="H153" t="s">
        <v>473</v>
      </c>
      <c r="I153" t="s">
        <v>411</v>
      </c>
      <c r="AG153">
        <v>7.23</v>
      </c>
      <c r="AJ153">
        <v>10.46</v>
      </c>
      <c r="BQ153" t="s">
        <v>166</v>
      </c>
      <c r="BR153" t="s">
        <v>937</v>
      </c>
    </row>
    <row r="154" spans="1:74">
      <c r="A154" t="s">
        <v>1008</v>
      </c>
      <c r="B154" t="s">
        <v>10</v>
      </c>
      <c r="C154" t="s">
        <v>11</v>
      </c>
      <c r="D154" t="s">
        <v>172</v>
      </c>
      <c r="F154" t="s">
        <v>473</v>
      </c>
      <c r="G154" t="s">
        <v>411</v>
      </c>
      <c r="H154" t="s">
        <v>473</v>
      </c>
      <c r="I154" t="s">
        <v>411</v>
      </c>
      <c r="AG154">
        <v>8.01</v>
      </c>
      <c r="AJ154">
        <v>11.02</v>
      </c>
      <c r="BQ154" s="3" t="s">
        <v>166</v>
      </c>
      <c r="BR154" t="s">
        <v>937</v>
      </c>
    </row>
    <row r="155" spans="1:74">
      <c r="A155" t="s">
        <v>976</v>
      </c>
      <c r="B155" t="s">
        <v>10</v>
      </c>
      <c r="C155" t="s">
        <v>11</v>
      </c>
      <c r="D155" t="s">
        <v>172</v>
      </c>
      <c r="F155" t="s">
        <v>473</v>
      </c>
      <c r="G155" t="s">
        <v>411</v>
      </c>
      <c r="H155" t="s">
        <v>473</v>
      </c>
      <c r="I155" t="s">
        <v>411</v>
      </c>
      <c r="BA155">
        <v>12.8</v>
      </c>
      <c r="BB155">
        <v>10.51</v>
      </c>
      <c r="BC155">
        <v>9.8000000000000007</v>
      </c>
      <c r="BD155">
        <v>10.51</v>
      </c>
      <c r="BE155">
        <v>12.98</v>
      </c>
      <c r="BF155">
        <v>8.84</v>
      </c>
      <c r="BG155">
        <v>6.45</v>
      </c>
      <c r="BH155">
        <v>8.84</v>
      </c>
      <c r="BQ155" t="s">
        <v>166</v>
      </c>
      <c r="BR155" t="s">
        <v>937</v>
      </c>
    </row>
    <row r="156" spans="1:74">
      <c r="A156" t="s">
        <v>977</v>
      </c>
      <c r="B156" t="s">
        <v>10</v>
      </c>
      <c r="C156" t="s">
        <v>11</v>
      </c>
      <c r="D156" t="s">
        <v>172</v>
      </c>
      <c r="F156" t="s">
        <v>473</v>
      </c>
      <c r="G156" t="s">
        <v>411</v>
      </c>
      <c r="H156" t="s">
        <v>473</v>
      </c>
      <c r="I156" t="s">
        <v>411</v>
      </c>
      <c r="BA156">
        <v>14.65</v>
      </c>
      <c r="BB156">
        <v>10.17</v>
      </c>
      <c r="BC156">
        <v>11</v>
      </c>
      <c r="BD156">
        <v>11</v>
      </c>
      <c r="BQ156" t="s">
        <v>166</v>
      </c>
      <c r="BR156" t="s">
        <v>937</v>
      </c>
    </row>
    <row r="157" spans="1:74">
      <c r="A157" t="s">
        <v>978</v>
      </c>
      <c r="B157" t="s">
        <v>10</v>
      </c>
      <c r="C157" t="s">
        <v>11</v>
      </c>
      <c r="D157" t="s">
        <v>172</v>
      </c>
      <c r="F157" t="s">
        <v>473</v>
      </c>
      <c r="G157" t="s">
        <v>411</v>
      </c>
      <c r="H157" t="s">
        <v>473</v>
      </c>
      <c r="I157" t="s">
        <v>411</v>
      </c>
      <c r="BA157">
        <v>13.27</v>
      </c>
      <c r="BB157">
        <v>10.11</v>
      </c>
      <c r="BC157">
        <v>10.49</v>
      </c>
      <c r="BD157">
        <v>10.49</v>
      </c>
      <c r="BQ157" t="s">
        <v>166</v>
      </c>
      <c r="BR157" t="s">
        <v>937</v>
      </c>
    </row>
    <row r="158" spans="1:74">
      <c r="A158" t="s">
        <v>1015</v>
      </c>
      <c r="B158" t="s">
        <v>10</v>
      </c>
      <c r="C158" t="s">
        <v>11</v>
      </c>
      <c r="D158" t="s">
        <v>172</v>
      </c>
      <c r="F158" t="s">
        <v>473</v>
      </c>
      <c r="G158" t="s">
        <v>411</v>
      </c>
      <c r="H158" t="s">
        <v>473</v>
      </c>
      <c r="I158" t="s">
        <v>411</v>
      </c>
      <c r="Y158">
        <v>10.84</v>
      </c>
      <c r="AC158">
        <v>12.62</v>
      </c>
      <c r="BQ158" t="s">
        <v>166</v>
      </c>
      <c r="BR158" t="s">
        <v>937</v>
      </c>
    </row>
    <row r="159" spans="1:74">
      <c r="A159" s="15" t="s">
        <v>959</v>
      </c>
      <c r="B159" s="15" t="s">
        <v>10</v>
      </c>
      <c r="C159" s="15" t="s">
        <v>11</v>
      </c>
      <c r="D159" s="15" t="s">
        <v>172</v>
      </c>
      <c r="E159" s="15"/>
      <c r="F159" s="15" t="s">
        <v>473</v>
      </c>
      <c r="G159" s="15" t="s">
        <v>411</v>
      </c>
      <c r="H159" s="15" t="s">
        <v>473</v>
      </c>
      <c r="I159" s="15" t="s">
        <v>411</v>
      </c>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t="s">
        <v>166</v>
      </c>
      <c r="BR159" s="15" t="s">
        <v>937</v>
      </c>
      <c r="BS159" s="15"/>
      <c r="BT159" s="15"/>
      <c r="BU159" s="15"/>
      <c r="BV159" s="15"/>
    </row>
    <row r="160" spans="1:74">
      <c r="A160" t="s">
        <v>1003</v>
      </c>
      <c r="B160" t="s">
        <v>10</v>
      </c>
      <c r="C160" t="s">
        <v>11</v>
      </c>
      <c r="D160" t="s">
        <v>172</v>
      </c>
      <c r="F160" t="s">
        <v>473</v>
      </c>
      <c r="G160" t="s">
        <v>411</v>
      </c>
      <c r="H160" t="s">
        <v>473</v>
      </c>
      <c r="I160" t="s">
        <v>411</v>
      </c>
      <c r="Q160">
        <v>8.18</v>
      </c>
      <c r="T160">
        <v>6.3</v>
      </c>
      <c r="BQ160" t="s">
        <v>166</v>
      </c>
      <c r="BR160" t="s">
        <v>937</v>
      </c>
    </row>
    <row r="161" spans="1:74">
      <c r="A161" t="s">
        <v>1009</v>
      </c>
      <c r="B161" t="s">
        <v>10</v>
      </c>
      <c r="C161" t="s">
        <v>11</v>
      </c>
      <c r="D161" s="3" t="s">
        <v>172</v>
      </c>
      <c r="F161" t="s">
        <v>473</v>
      </c>
      <c r="G161" t="s">
        <v>411</v>
      </c>
      <c r="H161" t="s">
        <v>473</v>
      </c>
      <c r="I161" t="s">
        <v>411</v>
      </c>
      <c r="Q161">
        <f>AVERAGE(9.04,8.95)</f>
        <v>8.9949999999999992</v>
      </c>
      <c r="T161">
        <f>AVERAGE(6.18,5.85)</f>
        <v>6.0149999999999997</v>
      </c>
      <c r="U161">
        <f>AVERAGE(9.77,9.95)</f>
        <v>9.86</v>
      </c>
      <c r="X161">
        <f>AVERAGE(8.69,8.58)</f>
        <v>8.6349999999999998</v>
      </c>
      <c r="Y161">
        <f>AVERAGE(10.48,10.56)</f>
        <v>10.52</v>
      </c>
      <c r="AB161">
        <f>AVERAGE(11.23,12.01)</f>
        <v>11.620000000000001</v>
      </c>
      <c r="AC161">
        <f>AVERAGE(11.05,11.45)</f>
        <v>11.25</v>
      </c>
      <c r="AF161">
        <f>AVERAGE(15.13,14.96)</f>
        <v>15.045000000000002</v>
      </c>
      <c r="AG161">
        <f>AVERAGE(9,9.4)</f>
        <v>9.1999999999999993</v>
      </c>
      <c r="AJ161">
        <f>AVERAGE(11.99,12.14)</f>
        <v>12.065000000000001</v>
      </c>
      <c r="BQ161" s="3" t="s">
        <v>166</v>
      </c>
      <c r="BR161" t="s">
        <v>937</v>
      </c>
      <c r="BS161" t="s">
        <v>371</v>
      </c>
      <c r="BT161" t="s">
        <v>937</v>
      </c>
    </row>
    <row r="162" spans="1:74">
      <c r="A162" t="s">
        <v>960</v>
      </c>
      <c r="B162" t="s">
        <v>10</v>
      </c>
      <c r="C162" t="s">
        <v>11</v>
      </c>
      <c r="D162" t="s">
        <v>172</v>
      </c>
      <c r="F162" t="s">
        <v>473</v>
      </c>
      <c r="G162" t="s">
        <v>411</v>
      </c>
      <c r="H162" t="s">
        <v>473</v>
      </c>
      <c r="I162" t="s">
        <v>411</v>
      </c>
      <c r="BA162">
        <v>13.29</v>
      </c>
      <c r="BB162">
        <v>9.7200000000000006</v>
      </c>
      <c r="BC162">
        <v>10.02</v>
      </c>
      <c r="BD162">
        <v>10.02</v>
      </c>
      <c r="BQ162" s="3" t="s">
        <v>166</v>
      </c>
      <c r="BR162" t="s">
        <v>937</v>
      </c>
    </row>
    <row r="163" spans="1:74" s="15" customFormat="1">
      <c r="A163" t="s">
        <v>995</v>
      </c>
      <c r="B163" t="s">
        <v>10</v>
      </c>
      <c r="C163" t="s">
        <v>11</v>
      </c>
      <c r="D163" t="s">
        <v>172</v>
      </c>
      <c r="E163" s="3"/>
      <c r="F163" t="s">
        <v>473</v>
      </c>
      <c r="G163" t="s">
        <v>411</v>
      </c>
      <c r="H163" t="s">
        <v>473</v>
      </c>
      <c r="I163" t="s">
        <v>411</v>
      </c>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v>16.5</v>
      </c>
      <c r="BB163">
        <v>14.8</v>
      </c>
      <c r="BC163">
        <v>13.6</v>
      </c>
      <c r="BD163">
        <v>14.8</v>
      </c>
      <c r="BE163"/>
      <c r="BF163"/>
      <c r="BG163"/>
      <c r="BH163"/>
      <c r="BI163"/>
      <c r="BJ163"/>
      <c r="BK163"/>
      <c r="BL163"/>
      <c r="BM163"/>
      <c r="BN163"/>
      <c r="BO163"/>
      <c r="BP163"/>
      <c r="BQ163" t="s">
        <v>166</v>
      </c>
      <c r="BR163" t="s">
        <v>937</v>
      </c>
      <c r="BS163"/>
      <c r="BT163"/>
      <c r="BU163"/>
      <c r="BV163"/>
    </row>
    <row r="164" spans="1:74">
      <c r="A164" t="s">
        <v>319</v>
      </c>
      <c r="B164" t="s">
        <v>10</v>
      </c>
      <c r="C164" t="s">
        <v>11</v>
      </c>
      <c r="D164" t="s">
        <v>172</v>
      </c>
      <c r="F164" t="s">
        <v>473</v>
      </c>
      <c r="G164" t="s">
        <v>411</v>
      </c>
      <c r="H164" t="s">
        <v>410</v>
      </c>
      <c r="I164" t="s">
        <v>414</v>
      </c>
      <c r="AC164">
        <f>0.01*1000</f>
        <v>10</v>
      </c>
      <c r="AF164">
        <f>0.0118*1000</f>
        <v>11.799999999999999</v>
      </c>
      <c r="BQ164" t="s">
        <v>281</v>
      </c>
      <c r="BR164" t="s">
        <v>624</v>
      </c>
    </row>
    <row r="165" spans="1:74">
      <c r="A165" t="s">
        <v>319</v>
      </c>
      <c r="B165" t="s">
        <v>10</v>
      </c>
      <c r="C165" t="s">
        <v>11</v>
      </c>
      <c r="D165" t="s">
        <v>172</v>
      </c>
      <c r="F165" t="s">
        <v>473</v>
      </c>
      <c r="G165" t="s">
        <v>411</v>
      </c>
      <c r="H165" t="s">
        <v>63</v>
      </c>
      <c r="I165" t="s">
        <v>411</v>
      </c>
      <c r="AC165">
        <f>0.013*1000</f>
        <v>13</v>
      </c>
      <c r="AF165">
        <f>0.015*1000</f>
        <v>15</v>
      </c>
      <c r="BQ165" t="s">
        <v>281</v>
      </c>
      <c r="BR165" t="s">
        <v>624</v>
      </c>
    </row>
    <row r="166" spans="1:74">
      <c r="A166" t="s">
        <v>472</v>
      </c>
      <c r="B166" t="s">
        <v>10</v>
      </c>
      <c r="C166" t="s">
        <v>11</v>
      </c>
      <c r="D166" t="s">
        <v>172</v>
      </c>
      <c r="E166" t="s">
        <v>176</v>
      </c>
      <c r="F166" t="s">
        <v>473</v>
      </c>
      <c r="G166" t="s">
        <v>411</v>
      </c>
      <c r="H166" t="s">
        <v>473</v>
      </c>
      <c r="I166" t="s">
        <v>411</v>
      </c>
      <c r="BC166">
        <v>8.35</v>
      </c>
      <c r="BQ166" t="s">
        <v>281</v>
      </c>
      <c r="BR166" t="s">
        <v>389</v>
      </c>
      <c r="BS166" t="s">
        <v>371</v>
      </c>
      <c r="BT166" t="s">
        <v>389</v>
      </c>
    </row>
    <row r="167" spans="1:74">
      <c r="A167" t="s">
        <v>430</v>
      </c>
      <c r="B167" t="s">
        <v>10</v>
      </c>
      <c r="C167" t="s">
        <v>11</v>
      </c>
      <c r="D167" t="s">
        <v>172</v>
      </c>
      <c r="F167" t="s">
        <v>473</v>
      </c>
      <c r="G167" t="s">
        <v>411</v>
      </c>
      <c r="H167" t="s">
        <v>473</v>
      </c>
      <c r="I167" t="s">
        <v>414</v>
      </c>
      <c r="AC167">
        <v>8.9</v>
      </c>
      <c r="AF167">
        <v>12.6</v>
      </c>
      <c r="AG167">
        <v>6.79</v>
      </c>
      <c r="AJ167">
        <v>10.17</v>
      </c>
      <c r="BQ167" t="s">
        <v>166</v>
      </c>
      <c r="BR167" t="s">
        <v>937</v>
      </c>
    </row>
    <row r="168" spans="1:74" s="15" customFormat="1">
      <c r="A168" t="s">
        <v>980</v>
      </c>
      <c r="B168" t="s">
        <v>10</v>
      </c>
      <c r="C168" t="s">
        <v>11</v>
      </c>
      <c r="D168" t="s">
        <v>172</v>
      </c>
      <c r="E168"/>
      <c r="F168" t="s">
        <v>473</v>
      </c>
      <c r="G168" t="s">
        <v>411</v>
      </c>
      <c r="H168" t="s">
        <v>473</v>
      </c>
      <c r="I168" t="s">
        <v>411</v>
      </c>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v>12.3</v>
      </c>
      <c r="BB168">
        <v>9.3000000000000007</v>
      </c>
      <c r="BC168">
        <v>9.8000000000000007</v>
      </c>
      <c r="BD168">
        <v>9.8000000000000007</v>
      </c>
      <c r="BE168"/>
      <c r="BF168"/>
      <c r="BG168"/>
      <c r="BH168"/>
      <c r="BI168"/>
      <c r="BJ168"/>
      <c r="BK168"/>
      <c r="BL168"/>
      <c r="BM168"/>
      <c r="BN168"/>
      <c r="BO168"/>
      <c r="BP168"/>
      <c r="BQ168" t="s">
        <v>166</v>
      </c>
      <c r="BR168" t="s">
        <v>937</v>
      </c>
      <c r="BS168"/>
      <c r="BT168"/>
      <c r="BU168"/>
      <c r="BV168"/>
    </row>
    <row r="169" spans="1:74" s="9" customFormat="1">
      <c r="A169" t="s">
        <v>981</v>
      </c>
      <c r="B169" t="s">
        <v>10</v>
      </c>
      <c r="C169" t="s">
        <v>11</v>
      </c>
      <c r="D169" t="s">
        <v>172</v>
      </c>
      <c r="E169"/>
      <c r="F169" t="s">
        <v>473</v>
      </c>
      <c r="G169" t="s">
        <v>411</v>
      </c>
      <c r="H169" t="s">
        <v>473</v>
      </c>
      <c r="I169" t="s">
        <v>411</v>
      </c>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v>13.2</v>
      </c>
      <c r="BB169">
        <v>9.6999999999999993</v>
      </c>
      <c r="BC169">
        <v>9.9</v>
      </c>
      <c r="BD169">
        <v>9.9</v>
      </c>
      <c r="BE169"/>
      <c r="BF169"/>
      <c r="BG169"/>
      <c r="BH169"/>
      <c r="BI169"/>
      <c r="BJ169"/>
      <c r="BK169"/>
      <c r="BL169"/>
      <c r="BM169"/>
      <c r="BN169"/>
      <c r="BO169"/>
      <c r="BP169"/>
      <c r="BQ169" t="s">
        <v>166</v>
      </c>
      <c r="BR169" t="s">
        <v>937</v>
      </c>
      <c r="BS169"/>
      <c r="BT169"/>
      <c r="BU169"/>
      <c r="BV169"/>
    </row>
    <row r="170" spans="1:74" s="15" customFormat="1">
      <c r="A170" t="s">
        <v>982</v>
      </c>
      <c r="B170" t="s">
        <v>10</v>
      </c>
      <c r="C170" t="s">
        <v>11</v>
      </c>
      <c r="D170" t="s">
        <v>172</v>
      </c>
      <c r="E170"/>
      <c r="F170" t="s">
        <v>473</v>
      </c>
      <c r="G170" t="s">
        <v>411</v>
      </c>
      <c r="H170" t="s">
        <v>473</v>
      </c>
      <c r="I170" t="s">
        <v>411</v>
      </c>
      <c r="J170"/>
      <c r="K170"/>
      <c r="L170"/>
      <c r="M170"/>
      <c r="N170"/>
      <c r="O170"/>
      <c r="P170"/>
      <c r="Q170"/>
      <c r="R170"/>
      <c r="S170"/>
      <c r="T170"/>
      <c r="U170"/>
      <c r="V170"/>
      <c r="W170"/>
      <c r="X170"/>
      <c r="Y170"/>
      <c r="Z170"/>
      <c r="AA170"/>
      <c r="AB170"/>
      <c r="AC170"/>
      <c r="AD170"/>
      <c r="AE170"/>
      <c r="AF170"/>
      <c r="AG170"/>
      <c r="AH170"/>
      <c r="AI170"/>
      <c r="AJ170"/>
      <c r="AK170">
        <v>5.9</v>
      </c>
      <c r="AL170"/>
      <c r="AM170"/>
      <c r="AN170">
        <v>3.4</v>
      </c>
      <c r="AO170">
        <v>9.1999999999999993</v>
      </c>
      <c r="AP170"/>
      <c r="AQ170"/>
      <c r="AR170">
        <v>4.2</v>
      </c>
      <c r="AS170"/>
      <c r="AT170"/>
      <c r="AU170"/>
      <c r="AV170"/>
      <c r="AW170"/>
      <c r="AX170"/>
      <c r="AY170"/>
      <c r="AZ170"/>
      <c r="BA170"/>
      <c r="BB170"/>
      <c r="BC170"/>
      <c r="BD170"/>
      <c r="BE170">
        <v>12.9</v>
      </c>
      <c r="BF170">
        <v>8.6</v>
      </c>
      <c r="BG170">
        <v>7.8</v>
      </c>
      <c r="BH170">
        <v>8.6</v>
      </c>
      <c r="BI170"/>
      <c r="BJ170"/>
      <c r="BK170"/>
      <c r="BL170"/>
      <c r="BM170"/>
      <c r="BN170"/>
      <c r="BO170"/>
      <c r="BP170"/>
      <c r="BQ170" t="s">
        <v>166</v>
      </c>
      <c r="BR170" t="s">
        <v>937</v>
      </c>
      <c r="BS170"/>
      <c r="BT170"/>
      <c r="BU170"/>
      <c r="BV170"/>
    </row>
    <row r="171" spans="1:74" s="9" customFormat="1">
      <c r="A171" t="s">
        <v>983</v>
      </c>
      <c r="B171" t="s">
        <v>10</v>
      </c>
      <c r="C171" t="s">
        <v>11</v>
      </c>
      <c r="D171" t="s">
        <v>172</v>
      </c>
      <c r="E171"/>
      <c r="F171" t="s">
        <v>473</v>
      </c>
      <c r="G171" t="s">
        <v>411</v>
      </c>
      <c r="H171" t="s">
        <v>473</v>
      </c>
      <c r="I171" t="s">
        <v>411</v>
      </c>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v>11.8</v>
      </c>
      <c r="AX171">
        <v>7.2</v>
      </c>
      <c r="AY171">
        <v>8.1999999999999993</v>
      </c>
      <c r="AZ171">
        <v>8.1999999999999993</v>
      </c>
      <c r="BA171"/>
      <c r="BB171"/>
      <c r="BC171"/>
      <c r="BD171"/>
      <c r="BE171"/>
      <c r="BF171"/>
      <c r="BG171"/>
      <c r="BH171"/>
      <c r="BI171"/>
      <c r="BJ171"/>
      <c r="BK171"/>
      <c r="BL171"/>
      <c r="BM171"/>
      <c r="BN171"/>
      <c r="BO171"/>
      <c r="BP171"/>
      <c r="BQ171" t="s">
        <v>166</v>
      </c>
      <c r="BR171" t="s">
        <v>937</v>
      </c>
      <c r="BS171"/>
      <c r="BT171"/>
      <c r="BU171"/>
      <c r="BV171"/>
    </row>
    <row r="172" spans="1:74" s="9" customFormat="1">
      <c r="A172" t="s">
        <v>1027</v>
      </c>
      <c r="B172" t="s">
        <v>10</v>
      </c>
      <c r="C172" t="s">
        <v>11</v>
      </c>
      <c r="D172" t="s">
        <v>172</v>
      </c>
      <c r="E172"/>
      <c r="F172" t="s">
        <v>473</v>
      </c>
      <c r="G172" t="s">
        <v>411</v>
      </c>
      <c r="H172" t="s">
        <v>473</v>
      </c>
      <c r="I172" t="s">
        <v>414</v>
      </c>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v>9.3000000000000007</v>
      </c>
      <c r="AX172">
        <v>5.9</v>
      </c>
      <c r="AY172">
        <v>6.2</v>
      </c>
      <c r="AZ172">
        <v>6.2</v>
      </c>
      <c r="BA172"/>
      <c r="BB172"/>
      <c r="BC172"/>
      <c r="BD172"/>
      <c r="BE172"/>
      <c r="BF172"/>
      <c r="BG172"/>
      <c r="BH172"/>
      <c r="BI172"/>
      <c r="BJ172"/>
      <c r="BK172"/>
      <c r="BL172"/>
      <c r="BM172"/>
      <c r="BN172"/>
      <c r="BO172"/>
      <c r="BP172"/>
      <c r="BQ172" t="s">
        <v>166</v>
      </c>
      <c r="BR172" t="s">
        <v>937</v>
      </c>
      <c r="BS172"/>
      <c r="BT172"/>
      <c r="BU172"/>
      <c r="BV172"/>
    </row>
    <row r="173" spans="1:74" s="9" customFormat="1">
      <c r="A173" t="s">
        <v>835</v>
      </c>
      <c r="B173" t="s">
        <v>10</v>
      </c>
      <c r="C173" t="s">
        <v>11</v>
      </c>
      <c r="D173" t="s">
        <v>172</v>
      </c>
      <c r="E173"/>
      <c r="F173" t="s">
        <v>473</v>
      </c>
      <c r="G173" t="s">
        <v>411</v>
      </c>
      <c r="H173" t="s">
        <v>473</v>
      </c>
      <c r="I173" t="s">
        <v>414</v>
      </c>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v>9.6999999999999993</v>
      </c>
      <c r="BB173">
        <v>7.2</v>
      </c>
      <c r="BC173">
        <v>6</v>
      </c>
      <c r="BD173">
        <v>7.2</v>
      </c>
      <c r="BE173">
        <v>9.4</v>
      </c>
      <c r="BF173">
        <v>6</v>
      </c>
      <c r="BG173">
        <v>5.2</v>
      </c>
      <c r="BH173">
        <v>6</v>
      </c>
      <c r="BI173"/>
      <c r="BJ173"/>
      <c r="BK173"/>
      <c r="BL173"/>
      <c r="BM173"/>
      <c r="BN173"/>
      <c r="BO173"/>
      <c r="BP173"/>
      <c r="BQ173" t="s">
        <v>166</v>
      </c>
      <c r="BR173" t="s">
        <v>937</v>
      </c>
      <c r="BS173"/>
      <c r="BT173"/>
      <c r="BU173"/>
      <c r="BV173"/>
    </row>
    <row r="174" spans="1:74" s="9" customFormat="1">
      <c r="A174" t="s">
        <v>984</v>
      </c>
      <c r="B174" t="s">
        <v>10</v>
      </c>
      <c r="C174" t="s">
        <v>11</v>
      </c>
      <c r="D174" t="s">
        <v>172</v>
      </c>
      <c r="E174"/>
      <c r="F174" t="s">
        <v>473</v>
      </c>
      <c r="G174" t="s">
        <v>411</v>
      </c>
      <c r="H174" t="s">
        <v>473</v>
      </c>
      <c r="I174" t="s">
        <v>411</v>
      </c>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v>9.1999999999999993</v>
      </c>
      <c r="BC174"/>
      <c r="BD174">
        <v>9.1999999999999993</v>
      </c>
      <c r="BE174"/>
      <c r="BF174">
        <v>8.6</v>
      </c>
      <c r="BG174">
        <v>7.1</v>
      </c>
      <c r="BH174">
        <v>8.6</v>
      </c>
      <c r="BI174"/>
      <c r="BJ174"/>
      <c r="BK174"/>
      <c r="BL174"/>
      <c r="BM174"/>
      <c r="BN174"/>
      <c r="BO174"/>
      <c r="BP174"/>
      <c r="BQ174" t="s">
        <v>166</v>
      </c>
      <c r="BR174" t="s">
        <v>937</v>
      </c>
      <c r="BS174"/>
      <c r="BT174"/>
      <c r="BU174"/>
      <c r="BV174"/>
    </row>
    <row r="175" spans="1:74" s="9" customFormat="1">
      <c r="A175" t="s">
        <v>840</v>
      </c>
      <c r="B175" t="s">
        <v>10</v>
      </c>
      <c r="C175" t="s">
        <v>11</v>
      </c>
      <c r="D175" t="s">
        <v>172</v>
      </c>
      <c r="E175"/>
      <c r="F175" t="s">
        <v>473</v>
      </c>
      <c r="G175" t="s">
        <v>411</v>
      </c>
      <c r="H175" t="s">
        <v>410</v>
      </c>
      <c r="I175" t="s">
        <v>838</v>
      </c>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v>11.4</v>
      </c>
      <c r="BB175"/>
      <c r="BC175"/>
      <c r="BD175">
        <v>10.4</v>
      </c>
      <c r="BE175">
        <v>12.7</v>
      </c>
      <c r="BF175"/>
      <c r="BG175"/>
      <c r="BH175">
        <v>9.1</v>
      </c>
      <c r="BI175"/>
      <c r="BJ175"/>
      <c r="BK175"/>
      <c r="BL175"/>
      <c r="BM175"/>
      <c r="BN175"/>
      <c r="BO175"/>
      <c r="BP175"/>
      <c r="BQ175" t="s">
        <v>281</v>
      </c>
      <c r="BR175" t="s">
        <v>818</v>
      </c>
      <c r="BS175" t="s">
        <v>181</v>
      </c>
      <c r="BT175" t="s">
        <v>818</v>
      </c>
      <c r="BU175"/>
      <c r="BV175"/>
    </row>
    <row r="176" spans="1:74" s="9" customFormat="1">
      <c r="A176" t="s">
        <v>1016</v>
      </c>
      <c r="B176" t="s">
        <v>10</v>
      </c>
      <c r="C176" t="s">
        <v>11</v>
      </c>
      <c r="D176" t="s">
        <v>172</v>
      </c>
      <c r="E176"/>
      <c r="F176" t="s">
        <v>473</v>
      </c>
      <c r="G176" t="s">
        <v>411</v>
      </c>
      <c r="H176" t="s">
        <v>473</v>
      </c>
      <c r="I176" t="s">
        <v>411</v>
      </c>
      <c r="J176"/>
      <c r="K176"/>
      <c r="L176"/>
      <c r="M176"/>
      <c r="N176"/>
      <c r="O176"/>
      <c r="P176"/>
      <c r="Q176"/>
      <c r="R176"/>
      <c r="S176"/>
      <c r="T176"/>
      <c r="U176"/>
      <c r="V176"/>
      <c r="W176"/>
      <c r="X176"/>
      <c r="Y176"/>
      <c r="Z176"/>
      <c r="AA176"/>
      <c r="AB176"/>
      <c r="AC176">
        <v>10.8</v>
      </c>
      <c r="AD176"/>
      <c r="AE176"/>
      <c r="AF176">
        <v>15</v>
      </c>
      <c r="AG176">
        <v>7.4</v>
      </c>
      <c r="AH176"/>
      <c r="AI176"/>
      <c r="AJ176">
        <v>11.7</v>
      </c>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t="s">
        <v>166</v>
      </c>
      <c r="BR176" t="s">
        <v>937</v>
      </c>
      <c r="BS176"/>
      <c r="BT176"/>
      <c r="BU176"/>
      <c r="BV176"/>
    </row>
    <row r="177" spans="1:74" s="9" customFormat="1">
      <c r="A177" t="s">
        <v>839</v>
      </c>
      <c r="B177" t="s">
        <v>10</v>
      </c>
      <c r="C177" t="s">
        <v>11</v>
      </c>
      <c r="D177" t="s">
        <v>172</v>
      </c>
      <c r="E177"/>
      <c r="F177" t="s">
        <v>473</v>
      </c>
      <c r="G177" t="s">
        <v>411</v>
      </c>
      <c r="H177" t="s">
        <v>410</v>
      </c>
      <c r="I177" t="s">
        <v>838</v>
      </c>
      <c r="J177"/>
      <c r="K177"/>
      <c r="L177"/>
      <c r="M177"/>
      <c r="N177"/>
      <c r="O177"/>
      <c r="P177"/>
      <c r="Q177"/>
      <c r="R177"/>
      <c r="S177"/>
      <c r="T177"/>
      <c r="U177"/>
      <c r="V177"/>
      <c r="W177"/>
      <c r="X177"/>
      <c r="Y177"/>
      <c r="Z177"/>
      <c r="AA177"/>
      <c r="AB177"/>
      <c r="AC177">
        <v>10.7</v>
      </c>
      <c r="AD177"/>
      <c r="AE177"/>
      <c r="AF177">
        <v>15.9</v>
      </c>
      <c r="AG177">
        <v>8.1999999999999993</v>
      </c>
      <c r="AH177"/>
      <c r="AI177"/>
      <c r="AJ177">
        <v>11.1</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t="s">
        <v>281</v>
      </c>
      <c r="BR177" t="s">
        <v>818</v>
      </c>
      <c r="BS177" t="s">
        <v>181</v>
      </c>
      <c r="BT177" t="s">
        <v>818</v>
      </c>
      <c r="BU177"/>
      <c r="BV177"/>
    </row>
    <row r="178" spans="1:74" s="9" customFormat="1">
      <c r="A178" t="s">
        <v>985</v>
      </c>
      <c r="B178" t="s">
        <v>10</v>
      </c>
      <c r="C178" t="s">
        <v>11</v>
      </c>
      <c r="D178" t="s">
        <v>172</v>
      </c>
      <c r="E178"/>
      <c r="F178" t="s">
        <v>473</v>
      </c>
      <c r="G178" t="s">
        <v>411</v>
      </c>
      <c r="H178" t="s">
        <v>473</v>
      </c>
      <c r="I178" t="s">
        <v>411</v>
      </c>
      <c r="J178"/>
      <c r="K178"/>
      <c r="L178"/>
      <c r="M178"/>
      <c r="N178"/>
      <c r="O178"/>
      <c r="P178"/>
      <c r="Q178"/>
      <c r="R178"/>
      <c r="S178"/>
      <c r="T178"/>
      <c r="U178"/>
      <c r="V178"/>
      <c r="W178"/>
      <c r="X178"/>
      <c r="Y178"/>
      <c r="Z178"/>
      <c r="AA178"/>
      <c r="AB178"/>
      <c r="AC178"/>
      <c r="AD178"/>
      <c r="AE178"/>
      <c r="AF178"/>
      <c r="AG178"/>
      <c r="AH178"/>
      <c r="AI178"/>
      <c r="AJ178"/>
      <c r="AK178"/>
      <c r="AL178"/>
      <c r="AM178"/>
      <c r="AN178"/>
      <c r="AO178">
        <v>10.8</v>
      </c>
      <c r="AP178"/>
      <c r="AQ178"/>
      <c r="AR178">
        <v>4.9000000000000004</v>
      </c>
      <c r="AS178"/>
      <c r="AT178"/>
      <c r="AU178"/>
      <c r="AV178"/>
      <c r="AW178"/>
      <c r="AX178"/>
      <c r="AY178"/>
      <c r="AZ178"/>
      <c r="BA178"/>
      <c r="BB178"/>
      <c r="BC178"/>
      <c r="BD178"/>
      <c r="BE178">
        <v>13.1</v>
      </c>
      <c r="BF178">
        <v>9</v>
      </c>
      <c r="BG178">
        <v>7.6</v>
      </c>
      <c r="BH178">
        <v>9</v>
      </c>
      <c r="BI178"/>
      <c r="BJ178"/>
      <c r="BK178"/>
      <c r="BL178"/>
      <c r="BM178"/>
      <c r="BN178"/>
      <c r="BO178"/>
      <c r="BP178"/>
      <c r="BQ178" t="s">
        <v>166</v>
      </c>
      <c r="BR178" t="s">
        <v>937</v>
      </c>
      <c r="BS178"/>
      <c r="BT178"/>
      <c r="BU178"/>
      <c r="BV178"/>
    </row>
    <row r="179" spans="1:74" s="9" customFormat="1">
      <c r="A179" t="s">
        <v>1028</v>
      </c>
      <c r="B179" t="s">
        <v>10</v>
      </c>
      <c r="C179" t="s">
        <v>11</v>
      </c>
      <c r="D179" t="s">
        <v>172</v>
      </c>
      <c r="E179"/>
      <c r="F179" t="s">
        <v>473</v>
      </c>
      <c r="G179" t="s">
        <v>411</v>
      </c>
      <c r="H179" t="s">
        <v>473</v>
      </c>
      <c r="I179" t="s">
        <v>414</v>
      </c>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v>10</v>
      </c>
      <c r="BB179">
        <v>8.1999999999999993</v>
      </c>
      <c r="BC179">
        <v>8</v>
      </c>
      <c r="BD179">
        <v>8.1999999999999993</v>
      </c>
      <c r="BE179"/>
      <c r="BF179"/>
      <c r="BG179"/>
      <c r="BH179"/>
      <c r="BI179"/>
      <c r="BJ179"/>
      <c r="BK179"/>
      <c r="BL179"/>
      <c r="BM179"/>
      <c r="BN179"/>
      <c r="BO179"/>
      <c r="BP179"/>
      <c r="BQ179" t="s">
        <v>166</v>
      </c>
      <c r="BR179" t="s">
        <v>937</v>
      </c>
      <c r="BS179"/>
      <c r="BT179"/>
      <c r="BU179"/>
      <c r="BV179"/>
    </row>
    <row r="180" spans="1:74" s="9" customFormat="1">
      <c r="A180" t="s">
        <v>1017</v>
      </c>
      <c r="B180" t="s">
        <v>10</v>
      </c>
      <c r="C180" t="s">
        <v>11</v>
      </c>
      <c r="D180" t="s">
        <v>172</v>
      </c>
      <c r="E180"/>
      <c r="F180" t="s">
        <v>473</v>
      </c>
      <c r="G180" t="s">
        <v>411</v>
      </c>
      <c r="H180" t="s">
        <v>473</v>
      </c>
      <c r="I180" t="s">
        <v>411</v>
      </c>
      <c r="J180"/>
      <c r="K180"/>
      <c r="L180"/>
      <c r="M180"/>
      <c r="N180"/>
      <c r="O180"/>
      <c r="P180"/>
      <c r="Q180"/>
      <c r="R180"/>
      <c r="S180"/>
      <c r="T180"/>
      <c r="U180"/>
      <c r="V180"/>
      <c r="W180"/>
      <c r="X180"/>
      <c r="Y180">
        <v>11.5</v>
      </c>
      <c r="Z180"/>
      <c r="AA180"/>
      <c r="AB180">
        <v>12.5</v>
      </c>
      <c r="AC180">
        <f>AVERAGE(11.2,11.9)</f>
        <v>11.55</v>
      </c>
      <c r="AD180"/>
      <c r="AE180"/>
      <c r="AF180">
        <f>AVERAGE(15,14)</f>
        <v>14.5</v>
      </c>
      <c r="AG180">
        <v>7.9</v>
      </c>
      <c r="AH180"/>
      <c r="AI180"/>
      <c r="AJ180">
        <v>11.3</v>
      </c>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t="s">
        <v>166</v>
      </c>
      <c r="BR180" t="s">
        <v>937</v>
      </c>
      <c r="BS180"/>
      <c r="BT180"/>
      <c r="BU180"/>
      <c r="BV180"/>
    </row>
    <row r="181" spans="1:74" s="9" customFormat="1">
      <c r="A181" t="s">
        <v>1018</v>
      </c>
      <c r="B181" t="s">
        <v>10</v>
      </c>
      <c r="C181" t="s">
        <v>11</v>
      </c>
      <c r="D181" t="s">
        <v>172</v>
      </c>
      <c r="E181"/>
      <c r="F181" t="s">
        <v>473</v>
      </c>
      <c r="G181" t="s">
        <v>411</v>
      </c>
      <c r="H181" t="s">
        <v>473</v>
      </c>
      <c r="I181" t="s">
        <v>411</v>
      </c>
      <c r="J181"/>
      <c r="K181"/>
      <c r="L181"/>
      <c r="M181">
        <v>5.8</v>
      </c>
      <c r="N181"/>
      <c r="O181"/>
      <c r="P181">
        <v>2.9</v>
      </c>
      <c r="Q181">
        <v>8.6</v>
      </c>
      <c r="R181"/>
      <c r="S181"/>
      <c r="T181">
        <v>6.8</v>
      </c>
      <c r="U181">
        <f>AVERAGE(9.4,9.5)</f>
        <v>9.4499999999999993</v>
      </c>
      <c r="V181"/>
      <c r="W181"/>
      <c r="X181">
        <f>AVERAGE(9.2,9.3)</f>
        <v>9.25</v>
      </c>
      <c r="Y181">
        <f>AVERAGE(9.9,10.7)</f>
        <v>10.3</v>
      </c>
      <c r="Z181"/>
      <c r="AA181"/>
      <c r="AB181">
        <f>AVERAGE(11.9,11.01)</f>
        <v>11.455</v>
      </c>
      <c r="AC181">
        <f>AVERAGE(11,11.1)</f>
        <v>11.05</v>
      </c>
      <c r="AD181"/>
      <c r="AE181"/>
      <c r="AF181">
        <f>AVERAGE(13.6,14.1)</f>
        <v>13.85</v>
      </c>
      <c r="AG181">
        <f>AVERAGE(8.4,8.5)</f>
        <v>8.4499999999999993</v>
      </c>
      <c r="AH181"/>
      <c r="AI181"/>
      <c r="AJ181">
        <f>AVERAGE(10.9,10.9)</f>
        <v>10.9</v>
      </c>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t="s">
        <v>166</v>
      </c>
      <c r="BR181" t="s">
        <v>937</v>
      </c>
      <c r="BS181"/>
      <c r="BT181"/>
      <c r="BU181"/>
      <c r="BV181"/>
    </row>
    <row r="182" spans="1:74" s="9" customFormat="1">
      <c r="A182" t="s">
        <v>1019</v>
      </c>
      <c r="B182" t="s">
        <v>10</v>
      </c>
      <c r="C182" t="s">
        <v>11</v>
      </c>
      <c r="D182" t="s">
        <v>172</v>
      </c>
      <c r="E182"/>
      <c r="F182" t="s">
        <v>473</v>
      </c>
      <c r="G182" t="s">
        <v>411</v>
      </c>
      <c r="H182" t="s">
        <v>473</v>
      </c>
      <c r="I182" t="s">
        <v>411</v>
      </c>
      <c r="J182"/>
      <c r="K182"/>
      <c r="L182"/>
      <c r="M182"/>
      <c r="N182"/>
      <c r="O182"/>
      <c r="P182"/>
      <c r="Q182"/>
      <c r="R182"/>
      <c r="S182"/>
      <c r="T182"/>
      <c r="U182"/>
      <c r="V182"/>
      <c r="W182"/>
      <c r="X182"/>
      <c r="Y182"/>
      <c r="Z182"/>
      <c r="AA182"/>
      <c r="AB182"/>
      <c r="AC182">
        <v>10.9</v>
      </c>
      <c r="AD182"/>
      <c r="AE182"/>
      <c r="AF182">
        <v>14.1</v>
      </c>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t="s">
        <v>166</v>
      </c>
      <c r="BR182" t="s">
        <v>937</v>
      </c>
      <c r="BS182"/>
      <c r="BT182"/>
      <c r="BU182"/>
      <c r="BV182"/>
    </row>
    <row r="183" spans="1:74" s="9" customFormat="1">
      <c r="A183" t="s">
        <v>986</v>
      </c>
      <c r="B183" t="s">
        <v>10</v>
      </c>
      <c r="C183" t="s">
        <v>11</v>
      </c>
      <c r="D183" t="s">
        <v>172</v>
      </c>
      <c r="E183"/>
      <c r="F183" t="s">
        <v>473</v>
      </c>
      <c r="G183" t="s">
        <v>411</v>
      </c>
      <c r="H183" t="s">
        <v>473</v>
      </c>
      <c r="I183" t="s">
        <v>411</v>
      </c>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v>13.4</v>
      </c>
      <c r="BF183">
        <v>9.4</v>
      </c>
      <c r="BG183">
        <v>7.5</v>
      </c>
      <c r="BH183">
        <v>9.4</v>
      </c>
      <c r="BI183"/>
      <c r="BJ183"/>
      <c r="BK183"/>
      <c r="BL183"/>
      <c r="BM183"/>
      <c r="BN183"/>
      <c r="BO183"/>
      <c r="BP183"/>
      <c r="BQ183" t="s">
        <v>166</v>
      </c>
      <c r="BR183" t="s">
        <v>937</v>
      </c>
      <c r="BS183"/>
      <c r="BT183"/>
      <c r="BU183"/>
      <c r="BV183"/>
    </row>
    <row r="184" spans="1:74" s="9" customFormat="1">
      <c r="A184" t="s">
        <v>1020</v>
      </c>
      <c r="B184" t="s">
        <v>10</v>
      </c>
      <c r="C184" t="s">
        <v>11</v>
      </c>
      <c r="D184" t="s">
        <v>172</v>
      </c>
      <c r="E184"/>
      <c r="F184" t="s">
        <v>473</v>
      </c>
      <c r="G184" t="s">
        <v>411</v>
      </c>
      <c r="H184" t="s">
        <v>473</v>
      </c>
      <c r="I184" t="s">
        <v>411</v>
      </c>
      <c r="J184"/>
      <c r="K184"/>
      <c r="L184"/>
      <c r="M184"/>
      <c r="N184"/>
      <c r="O184"/>
      <c r="P184"/>
      <c r="Q184"/>
      <c r="R184"/>
      <c r="S184"/>
      <c r="T184"/>
      <c r="U184"/>
      <c r="V184"/>
      <c r="W184"/>
      <c r="X184"/>
      <c r="Y184">
        <v>11.1</v>
      </c>
      <c r="Z184"/>
      <c r="AA184"/>
      <c r="AB184">
        <v>12.2</v>
      </c>
      <c r="AC184">
        <v>13.1</v>
      </c>
      <c r="AD184"/>
      <c r="AE184"/>
      <c r="AF184">
        <v>16</v>
      </c>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t="s">
        <v>166</v>
      </c>
      <c r="BR184" t="s">
        <v>937</v>
      </c>
      <c r="BS184"/>
      <c r="BT184"/>
      <c r="BU184"/>
      <c r="BV184"/>
    </row>
    <row r="185" spans="1:74" s="9" customFormat="1">
      <c r="A185" t="s">
        <v>987</v>
      </c>
      <c r="B185" t="s">
        <v>10</v>
      </c>
      <c r="C185" t="s">
        <v>11</v>
      </c>
      <c r="D185" t="s">
        <v>172</v>
      </c>
      <c r="E185"/>
      <c r="F185" t="s">
        <v>473</v>
      </c>
      <c r="G185" t="s">
        <v>411</v>
      </c>
      <c r="H185" t="s">
        <v>473</v>
      </c>
      <c r="I185" t="s">
        <v>411</v>
      </c>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v>8.9</v>
      </c>
      <c r="BA185">
        <v>12.8</v>
      </c>
      <c r="BB185">
        <v>9.8000000000000007</v>
      </c>
      <c r="BC185">
        <v>10.4</v>
      </c>
      <c r="BD185">
        <v>10.4</v>
      </c>
      <c r="BE185">
        <v>12.9</v>
      </c>
      <c r="BF185">
        <v>8.9</v>
      </c>
      <c r="BG185">
        <v>7.9</v>
      </c>
      <c r="BH185">
        <v>8.9</v>
      </c>
      <c r="BI185"/>
      <c r="BJ185"/>
      <c r="BK185"/>
      <c r="BL185"/>
      <c r="BM185"/>
      <c r="BN185"/>
      <c r="BO185"/>
      <c r="BP185"/>
      <c r="BQ185" t="s">
        <v>166</v>
      </c>
      <c r="BR185" t="s">
        <v>937</v>
      </c>
      <c r="BS185"/>
      <c r="BT185"/>
      <c r="BU185"/>
      <c r="BV185"/>
    </row>
    <row r="186" spans="1:74" s="9" customFormat="1">
      <c r="A186" t="s">
        <v>988</v>
      </c>
      <c r="B186" t="s">
        <v>10</v>
      </c>
      <c r="C186" t="s">
        <v>11</v>
      </c>
      <c r="D186" t="s">
        <v>172</v>
      </c>
      <c r="E186"/>
      <c r="F186" t="s">
        <v>473</v>
      </c>
      <c r="G186" t="s">
        <v>411</v>
      </c>
      <c r="H186" t="s">
        <v>473</v>
      </c>
      <c r="I186" t="s">
        <v>411</v>
      </c>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v>13.3</v>
      </c>
      <c r="BB186">
        <v>9.6999999999999993</v>
      </c>
      <c r="BC186">
        <v>9.9</v>
      </c>
      <c r="BD186">
        <v>9.9</v>
      </c>
      <c r="BE186"/>
      <c r="BF186"/>
      <c r="BG186"/>
      <c r="BH186"/>
      <c r="BI186"/>
      <c r="BJ186"/>
      <c r="BK186"/>
      <c r="BL186"/>
      <c r="BM186"/>
      <c r="BN186"/>
      <c r="BO186"/>
      <c r="BP186"/>
      <c r="BQ186" t="s">
        <v>166</v>
      </c>
      <c r="BR186" t="s">
        <v>937</v>
      </c>
      <c r="BS186"/>
      <c r="BT186"/>
      <c r="BU186"/>
      <c r="BV186"/>
    </row>
    <row r="187" spans="1:74" s="9" customFormat="1">
      <c r="A187" t="s">
        <v>989</v>
      </c>
      <c r="B187" t="s">
        <v>10</v>
      </c>
      <c r="C187" t="s">
        <v>11</v>
      </c>
      <c r="D187" t="s">
        <v>172</v>
      </c>
      <c r="E187"/>
      <c r="F187" t="s">
        <v>473</v>
      </c>
      <c r="G187" t="s">
        <v>411</v>
      </c>
      <c r="H187" t="s">
        <v>473</v>
      </c>
      <c r="I187" t="s">
        <v>411</v>
      </c>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v>13</v>
      </c>
      <c r="BB187">
        <v>9</v>
      </c>
      <c r="BC187">
        <v>9.1</v>
      </c>
      <c r="BD187">
        <v>9.1</v>
      </c>
      <c r="BE187">
        <v>12.5</v>
      </c>
      <c r="BF187">
        <v>7.7</v>
      </c>
      <c r="BG187">
        <v>6.8</v>
      </c>
      <c r="BH187">
        <v>7.7</v>
      </c>
      <c r="BI187"/>
      <c r="BJ187"/>
      <c r="BK187"/>
      <c r="BL187"/>
      <c r="BM187"/>
      <c r="BN187"/>
      <c r="BO187"/>
      <c r="BP187"/>
      <c r="BQ187" t="s">
        <v>166</v>
      </c>
      <c r="BR187" t="s">
        <v>937</v>
      </c>
      <c r="BS187"/>
      <c r="BT187"/>
      <c r="BU187"/>
      <c r="BV187"/>
    </row>
    <row r="188" spans="1:74" s="9" customFormat="1">
      <c r="A188" t="s">
        <v>990</v>
      </c>
      <c r="B188" t="s">
        <v>10</v>
      </c>
      <c r="C188" t="s">
        <v>11</v>
      </c>
      <c r="D188" t="s">
        <v>172</v>
      </c>
      <c r="E188"/>
      <c r="F188" t="s">
        <v>473</v>
      </c>
      <c r="G188" t="s">
        <v>411</v>
      </c>
      <c r="H188" t="s">
        <v>473</v>
      </c>
      <c r="I188" t="s">
        <v>411</v>
      </c>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v>11.34</v>
      </c>
      <c r="AT188"/>
      <c r="AU188"/>
      <c r="AV188">
        <v>5.68</v>
      </c>
      <c r="AW188">
        <v>10.39</v>
      </c>
      <c r="AX188">
        <v>6.76</v>
      </c>
      <c r="AY188">
        <v>7.89</v>
      </c>
      <c r="AZ188">
        <v>7.89</v>
      </c>
      <c r="BA188">
        <v>11.22</v>
      </c>
      <c r="BB188">
        <v>88.84</v>
      </c>
      <c r="BC188">
        <v>8.9</v>
      </c>
      <c r="BD188">
        <v>8.9</v>
      </c>
      <c r="BE188">
        <v>11.22</v>
      </c>
      <c r="BF188">
        <v>7.94</v>
      </c>
      <c r="BG188">
        <v>7.19</v>
      </c>
      <c r="BH188">
        <v>7.94</v>
      </c>
      <c r="BI188"/>
      <c r="BJ188"/>
      <c r="BK188"/>
      <c r="BL188"/>
      <c r="BM188"/>
      <c r="BN188"/>
      <c r="BO188"/>
      <c r="BP188"/>
      <c r="BQ188" t="s">
        <v>166</v>
      </c>
      <c r="BR188" t="s">
        <v>937</v>
      </c>
      <c r="BS188" t="s">
        <v>371</v>
      </c>
      <c r="BT188" t="s">
        <v>937</v>
      </c>
      <c r="BU188"/>
      <c r="BV188"/>
    </row>
    <row r="189" spans="1:74" s="9" customFormat="1">
      <c r="A189" t="s">
        <v>979</v>
      </c>
      <c r="B189" t="s">
        <v>10</v>
      </c>
      <c r="C189" t="s">
        <v>11</v>
      </c>
      <c r="D189" t="s">
        <v>172</v>
      </c>
      <c r="E189"/>
      <c r="F189" t="s">
        <v>473</v>
      </c>
      <c r="G189" t="s">
        <v>411</v>
      </c>
      <c r="H189" t="s">
        <v>473</v>
      </c>
      <c r="I189" t="s">
        <v>411</v>
      </c>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v>11.4</v>
      </c>
      <c r="AT189"/>
      <c r="AU189"/>
      <c r="AV189">
        <v>6.3</v>
      </c>
      <c r="AW189">
        <v>11.1</v>
      </c>
      <c r="AX189">
        <v>8.6</v>
      </c>
      <c r="AY189">
        <v>9.1999999999999993</v>
      </c>
      <c r="AZ189">
        <v>9.1999999999999993</v>
      </c>
      <c r="BA189">
        <v>12.3</v>
      </c>
      <c r="BB189">
        <v>10.4</v>
      </c>
      <c r="BC189">
        <v>10.7</v>
      </c>
      <c r="BD189">
        <v>10.7</v>
      </c>
      <c r="BE189">
        <v>12.1</v>
      </c>
      <c r="BF189">
        <v>9</v>
      </c>
      <c r="BG189">
        <v>7.8</v>
      </c>
      <c r="BH189">
        <v>9</v>
      </c>
      <c r="BI189"/>
      <c r="BJ189"/>
      <c r="BK189"/>
      <c r="BL189"/>
      <c r="BM189"/>
      <c r="BN189"/>
      <c r="BO189"/>
      <c r="BP189"/>
      <c r="BQ189" t="s">
        <v>166</v>
      </c>
      <c r="BR189" t="s">
        <v>937</v>
      </c>
      <c r="BS189"/>
      <c r="BT189"/>
      <c r="BU189"/>
      <c r="BV189"/>
    </row>
    <row r="190" spans="1:74" s="9" customFormat="1">
      <c r="A190" s="15" t="s">
        <v>420</v>
      </c>
      <c r="B190" s="15" t="s">
        <v>10</v>
      </c>
      <c r="C190" s="15" t="s">
        <v>11</v>
      </c>
      <c r="D190" s="15" t="s">
        <v>172</v>
      </c>
      <c r="E190" s="15" t="s">
        <v>176</v>
      </c>
      <c r="F190" s="15" t="s">
        <v>473</v>
      </c>
      <c r="G190" s="15" t="s">
        <v>411</v>
      </c>
      <c r="H190" s="15" t="s">
        <v>410</v>
      </c>
      <c r="I190" s="15" t="s">
        <v>411</v>
      </c>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t="s">
        <v>281</v>
      </c>
      <c r="BR190" s="15" t="s">
        <v>412</v>
      </c>
      <c r="BS190" s="15" t="s">
        <v>371</v>
      </c>
      <c r="BT190" s="15" t="s">
        <v>412</v>
      </c>
      <c r="BU190" s="15"/>
      <c r="BV190" s="15"/>
    </row>
    <row r="191" spans="1:74" s="9" customFormat="1">
      <c r="A191" t="s">
        <v>423</v>
      </c>
      <c r="B191" t="s">
        <v>10</v>
      </c>
      <c r="C191" t="s">
        <v>11</v>
      </c>
      <c r="D191" t="s">
        <v>172</v>
      </c>
      <c r="E191"/>
      <c r="F191" t="s">
        <v>473</v>
      </c>
      <c r="G191" t="s">
        <v>411</v>
      </c>
      <c r="H191" t="s">
        <v>473</v>
      </c>
      <c r="I191" t="s">
        <v>414</v>
      </c>
      <c r="J191"/>
      <c r="K191"/>
      <c r="L191"/>
      <c r="M191">
        <v>4.4000000000000004</v>
      </c>
      <c r="N191"/>
      <c r="O191"/>
      <c r="P191">
        <v>2.1</v>
      </c>
      <c r="Q191">
        <v>7.4</v>
      </c>
      <c r="R191"/>
      <c r="S191"/>
      <c r="T191">
        <v>5.3</v>
      </c>
      <c r="U191">
        <v>7.3</v>
      </c>
      <c r="V191"/>
      <c r="W191"/>
      <c r="X191">
        <v>7.7</v>
      </c>
      <c r="Y191">
        <v>9.1</v>
      </c>
      <c r="Z191"/>
      <c r="AA191"/>
      <c r="AB191">
        <v>10.3</v>
      </c>
      <c r="AC191"/>
      <c r="AD191"/>
      <c r="AE191"/>
      <c r="AF191"/>
      <c r="AG191">
        <v>5.2</v>
      </c>
      <c r="AH191"/>
      <c r="AI191"/>
      <c r="AJ191">
        <v>8.1</v>
      </c>
      <c r="AK191"/>
      <c r="AL191"/>
      <c r="AM191"/>
      <c r="AN191"/>
      <c r="AO191">
        <v>7.7</v>
      </c>
      <c r="AP191"/>
      <c r="AQ191"/>
      <c r="AR191">
        <v>3.6</v>
      </c>
      <c r="AS191">
        <v>9.6</v>
      </c>
      <c r="AT191"/>
      <c r="AU191"/>
      <c r="AV191">
        <v>4.9000000000000004</v>
      </c>
      <c r="AW191">
        <v>9.1</v>
      </c>
      <c r="AX191">
        <v>6</v>
      </c>
      <c r="AY191"/>
      <c r="AZ191">
        <v>6</v>
      </c>
      <c r="BA191">
        <v>8.6</v>
      </c>
      <c r="BB191">
        <v>7.1</v>
      </c>
      <c r="BC191">
        <v>7.3</v>
      </c>
      <c r="BD191">
        <v>7.3</v>
      </c>
      <c r="BE191">
        <v>9.4</v>
      </c>
      <c r="BF191">
        <v>6.7</v>
      </c>
      <c r="BG191">
        <v>5.7</v>
      </c>
      <c r="BH191">
        <v>6.7</v>
      </c>
      <c r="BI191"/>
      <c r="BJ191"/>
      <c r="BK191"/>
      <c r="BL191"/>
      <c r="BM191"/>
      <c r="BN191"/>
      <c r="BO191"/>
      <c r="BP191"/>
      <c r="BQ191" t="s">
        <v>166</v>
      </c>
      <c r="BR191" t="s">
        <v>937</v>
      </c>
      <c r="BS191"/>
      <c r="BT191"/>
      <c r="BU191"/>
      <c r="BV191"/>
    </row>
    <row r="192" spans="1:74" s="9" customFormat="1">
      <c r="A192" t="s">
        <v>1037</v>
      </c>
      <c r="B192" t="s">
        <v>10</v>
      </c>
      <c r="C192" t="s">
        <v>11</v>
      </c>
      <c r="D192" t="s">
        <v>172</v>
      </c>
      <c r="E192"/>
      <c r="F192" t="s">
        <v>473</v>
      </c>
      <c r="G192" t="s">
        <v>411</v>
      </c>
      <c r="H192" t="s">
        <v>473</v>
      </c>
      <c r="I192" t="s">
        <v>414</v>
      </c>
      <c r="J192"/>
      <c r="K192"/>
      <c r="L192"/>
      <c r="M192"/>
      <c r="N192"/>
      <c r="O192"/>
      <c r="P192"/>
      <c r="Q192">
        <v>7.52</v>
      </c>
      <c r="R192"/>
      <c r="S192"/>
      <c r="T192">
        <v>5.12</v>
      </c>
      <c r="U192">
        <v>6.69</v>
      </c>
      <c r="V192"/>
      <c r="W192"/>
      <c r="X192">
        <v>7.82</v>
      </c>
      <c r="Y192">
        <v>7.96</v>
      </c>
      <c r="Z192"/>
      <c r="AA192"/>
      <c r="AB192">
        <v>9.4</v>
      </c>
      <c r="AC192">
        <v>8.23</v>
      </c>
      <c r="AD192"/>
      <c r="AE192"/>
      <c r="AF192">
        <v>11.81</v>
      </c>
      <c r="AG192">
        <v>5.7</v>
      </c>
      <c r="AH192"/>
      <c r="AI192"/>
      <c r="AJ192">
        <v>8.99</v>
      </c>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t="s">
        <v>166</v>
      </c>
      <c r="BR192" t="s">
        <v>937</v>
      </c>
      <c r="BS192"/>
      <c r="BT192"/>
      <c r="BU192"/>
      <c r="BV192"/>
    </row>
    <row r="193" spans="1:74" s="9" customFormat="1">
      <c r="A193" t="s">
        <v>1026</v>
      </c>
      <c r="B193" t="s">
        <v>10</v>
      </c>
      <c r="C193" t="s">
        <v>11</v>
      </c>
      <c r="D193" t="s">
        <v>172</v>
      </c>
      <c r="E193"/>
      <c r="F193" t="s">
        <v>473</v>
      </c>
      <c r="G193" t="s">
        <v>411</v>
      </c>
      <c r="H193" t="s">
        <v>473</v>
      </c>
      <c r="I193" t="s">
        <v>414</v>
      </c>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v>10.15</v>
      </c>
      <c r="BB193">
        <v>8.4499999999999993</v>
      </c>
      <c r="BC193">
        <v>8.2200000000000006</v>
      </c>
      <c r="BD193">
        <v>8.4499999999999993</v>
      </c>
      <c r="BE193">
        <v>9.91</v>
      </c>
      <c r="BF193">
        <v>7.59</v>
      </c>
      <c r="BG193">
        <v>6.2</v>
      </c>
      <c r="BH193">
        <v>7.59</v>
      </c>
      <c r="BI193"/>
      <c r="BJ193"/>
      <c r="BK193"/>
      <c r="BL193"/>
      <c r="BM193"/>
      <c r="BN193"/>
      <c r="BO193"/>
      <c r="BP193"/>
      <c r="BQ193" t="s">
        <v>166</v>
      </c>
      <c r="BR193" t="s">
        <v>937</v>
      </c>
      <c r="BS193"/>
      <c r="BT193"/>
      <c r="BU193"/>
      <c r="BV193"/>
    </row>
    <row r="194" spans="1:74" s="9" customFormat="1">
      <c r="A194" s="15" t="s">
        <v>421</v>
      </c>
      <c r="B194" s="15" t="s">
        <v>10</v>
      </c>
      <c r="C194" s="15" t="s">
        <v>11</v>
      </c>
      <c r="D194" s="15" t="s">
        <v>172</v>
      </c>
      <c r="E194" s="15" t="s">
        <v>176</v>
      </c>
      <c r="F194" s="15" t="s">
        <v>473</v>
      </c>
      <c r="G194" s="15" t="s">
        <v>411</v>
      </c>
      <c r="H194" s="15" t="s">
        <v>410</v>
      </c>
      <c r="I194" s="15" t="s">
        <v>411</v>
      </c>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t="s">
        <v>281</v>
      </c>
      <c r="BR194" s="15" t="s">
        <v>412</v>
      </c>
      <c r="BS194" s="15" t="s">
        <v>371</v>
      </c>
      <c r="BT194" s="15" t="s">
        <v>412</v>
      </c>
      <c r="BU194" s="15"/>
      <c r="BV194" s="15"/>
    </row>
    <row r="195" spans="1:74" s="9" customFormat="1">
      <c r="A195" s="15" t="s">
        <v>422</v>
      </c>
      <c r="B195" s="15" t="s">
        <v>10</v>
      </c>
      <c r="C195" s="15" t="s">
        <v>11</v>
      </c>
      <c r="D195" s="15" t="s">
        <v>172</v>
      </c>
      <c r="E195" s="15" t="s">
        <v>176</v>
      </c>
      <c r="F195" s="15" t="s">
        <v>473</v>
      </c>
      <c r="G195" s="15" t="s">
        <v>411</v>
      </c>
      <c r="H195" s="15" t="s">
        <v>410</v>
      </c>
      <c r="I195" s="15" t="s">
        <v>411</v>
      </c>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t="s">
        <v>281</v>
      </c>
      <c r="BR195" s="15" t="s">
        <v>412</v>
      </c>
      <c r="BS195" s="15" t="s">
        <v>371</v>
      </c>
      <c r="BT195" s="15" t="s">
        <v>412</v>
      </c>
      <c r="BU195" s="15"/>
      <c r="BV195" s="15"/>
    </row>
    <row r="196" spans="1:74" s="9" customFormat="1">
      <c r="A196" t="s">
        <v>1021</v>
      </c>
      <c r="B196" t="s">
        <v>10</v>
      </c>
      <c r="C196" t="s">
        <v>11</v>
      </c>
      <c r="D196" t="s">
        <v>172</v>
      </c>
      <c r="E196"/>
      <c r="F196" t="s">
        <v>473</v>
      </c>
      <c r="G196" t="s">
        <v>411</v>
      </c>
      <c r="H196" t="s">
        <v>473</v>
      </c>
      <c r="I196" t="s">
        <v>411</v>
      </c>
      <c r="J196"/>
      <c r="K196"/>
      <c r="L196"/>
      <c r="M196"/>
      <c r="N196"/>
      <c r="O196"/>
      <c r="P196"/>
      <c r="Q196"/>
      <c r="R196"/>
      <c r="S196"/>
      <c r="T196"/>
      <c r="U196"/>
      <c r="V196"/>
      <c r="W196"/>
      <c r="X196"/>
      <c r="Y196"/>
      <c r="Z196"/>
      <c r="AA196"/>
      <c r="AB196">
        <v>12.9</v>
      </c>
      <c r="AC196">
        <v>11.4</v>
      </c>
      <c r="AD196"/>
      <c r="AE196"/>
      <c r="AF196">
        <v>14.1</v>
      </c>
      <c r="AG196">
        <v>7.4</v>
      </c>
      <c r="AH196"/>
      <c r="AI196"/>
      <c r="AJ196">
        <v>11.6</v>
      </c>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t="s">
        <v>166</v>
      </c>
      <c r="BR196" t="s">
        <v>937</v>
      </c>
      <c r="BS196"/>
      <c r="BT196"/>
      <c r="BU196"/>
      <c r="BV196"/>
    </row>
    <row r="197" spans="1:74" s="9" customFormat="1">
      <c r="A197" t="s">
        <v>1022</v>
      </c>
      <c r="B197" t="s">
        <v>10</v>
      </c>
      <c r="C197" t="s">
        <v>11</v>
      </c>
      <c r="D197" t="s">
        <v>172</v>
      </c>
      <c r="E197"/>
      <c r="F197" t="s">
        <v>473</v>
      </c>
      <c r="G197" t="s">
        <v>411</v>
      </c>
      <c r="H197" t="s">
        <v>473</v>
      </c>
      <c r="I197" t="s">
        <v>411</v>
      </c>
      <c r="J197"/>
      <c r="K197"/>
      <c r="L197"/>
      <c r="M197"/>
      <c r="N197"/>
      <c r="O197"/>
      <c r="P197"/>
      <c r="Q197"/>
      <c r="R197"/>
      <c r="S197"/>
      <c r="T197"/>
      <c r="U197"/>
      <c r="V197"/>
      <c r="W197"/>
      <c r="X197"/>
      <c r="Y197">
        <v>10.6</v>
      </c>
      <c r="Z197"/>
      <c r="AA197"/>
      <c r="AB197">
        <v>11.9</v>
      </c>
      <c r="AC197">
        <v>11.4</v>
      </c>
      <c r="AD197"/>
      <c r="AE197"/>
      <c r="AF197">
        <v>14.9</v>
      </c>
      <c r="AG197">
        <v>7.5</v>
      </c>
      <c r="AH197"/>
      <c r="AI197"/>
      <c r="AJ197">
        <v>11.8</v>
      </c>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t="s">
        <v>166</v>
      </c>
      <c r="BR197" t="s">
        <v>937</v>
      </c>
      <c r="BS197"/>
      <c r="BT197"/>
      <c r="BU197"/>
      <c r="BV197"/>
    </row>
    <row r="198" spans="1:74" s="9" customFormat="1">
      <c r="A198" t="s">
        <v>1023</v>
      </c>
      <c r="B198" t="s">
        <v>10</v>
      </c>
      <c r="C198" t="s">
        <v>11</v>
      </c>
      <c r="D198" t="s">
        <v>172</v>
      </c>
      <c r="E198"/>
      <c r="F198" t="s">
        <v>473</v>
      </c>
      <c r="G198" t="s">
        <v>411</v>
      </c>
      <c r="H198" t="s">
        <v>473</v>
      </c>
      <c r="I198" t="s">
        <v>411</v>
      </c>
      <c r="J198"/>
      <c r="K198"/>
      <c r="L198"/>
      <c r="M198"/>
      <c r="N198"/>
      <c r="O198"/>
      <c r="P198"/>
      <c r="Q198"/>
      <c r="R198"/>
      <c r="S198"/>
      <c r="T198"/>
      <c r="U198"/>
      <c r="V198"/>
      <c r="W198"/>
      <c r="X198"/>
      <c r="Y198">
        <v>10.5</v>
      </c>
      <c r="Z198"/>
      <c r="AA198"/>
      <c r="AB198">
        <v>11.8</v>
      </c>
      <c r="AC198">
        <v>10.1</v>
      </c>
      <c r="AD198"/>
      <c r="AE198"/>
      <c r="AF198">
        <v>13.2</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t="s">
        <v>166</v>
      </c>
      <c r="BR198" t="s">
        <v>937</v>
      </c>
      <c r="BS198"/>
      <c r="BT198"/>
      <c r="BU198"/>
      <c r="BV198"/>
    </row>
    <row r="199" spans="1:74" s="9" customFormat="1">
      <c r="A199" t="s">
        <v>1024</v>
      </c>
      <c r="B199" t="s">
        <v>10</v>
      </c>
      <c r="C199" t="s">
        <v>11</v>
      </c>
      <c r="D199" t="s">
        <v>172</v>
      </c>
      <c r="E199"/>
      <c r="F199" t="s">
        <v>473</v>
      </c>
      <c r="G199" t="s">
        <v>411</v>
      </c>
      <c r="H199" t="s">
        <v>473</v>
      </c>
      <c r="I199" t="s">
        <v>411</v>
      </c>
      <c r="J199"/>
      <c r="K199"/>
      <c r="L199"/>
      <c r="M199"/>
      <c r="N199"/>
      <c r="O199"/>
      <c r="P199"/>
      <c r="Q199"/>
      <c r="R199"/>
      <c r="S199"/>
      <c r="T199"/>
      <c r="U199"/>
      <c r="V199"/>
      <c r="W199"/>
      <c r="X199"/>
      <c r="Y199"/>
      <c r="Z199"/>
      <c r="AA199"/>
      <c r="AB199"/>
      <c r="AC199">
        <v>10.3</v>
      </c>
      <c r="AD199"/>
      <c r="AE199"/>
      <c r="AF199">
        <v>13.11</v>
      </c>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t="s">
        <v>166</v>
      </c>
      <c r="BR199" t="s">
        <v>937</v>
      </c>
      <c r="BS199"/>
      <c r="BT199"/>
      <c r="BU199"/>
      <c r="BV199"/>
    </row>
    <row r="200" spans="1:74" s="9" customFormat="1">
      <c r="A200" t="s">
        <v>1039</v>
      </c>
      <c r="B200" t="s">
        <v>10</v>
      </c>
      <c r="C200" t="s">
        <v>11</v>
      </c>
      <c r="D200" t="s">
        <v>172</v>
      </c>
      <c r="E200"/>
      <c r="F200" t="s">
        <v>473</v>
      </c>
      <c r="G200" t="s">
        <v>411</v>
      </c>
      <c r="H200" t="s">
        <v>473</v>
      </c>
      <c r="I200" t="s">
        <v>414</v>
      </c>
      <c r="J200"/>
      <c r="K200"/>
      <c r="L200"/>
      <c r="M200"/>
      <c r="N200"/>
      <c r="O200"/>
      <c r="P200"/>
      <c r="Q200"/>
      <c r="R200"/>
      <c r="S200"/>
      <c r="T200"/>
      <c r="U200"/>
      <c r="V200"/>
      <c r="W200"/>
      <c r="X200"/>
      <c r="Y200">
        <v>9.5</v>
      </c>
      <c r="Z200"/>
      <c r="AA200"/>
      <c r="AB200">
        <v>11.4</v>
      </c>
      <c r="AC200">
        <v>9.6999999999999993</v>
      </c>
      <c r="AD200"/>
      <c r="AE200"/>
      <c r="AF200">
        <v>12.2</v>
      </c>
      <c r="AG200">
        <v>7.3</v>
      </c>
      <c r="AH200"/>
      <c r="AI200"/>
      <c r="AJ200">
        <v>10.199999999999999</v>
      </c>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t="s">
        <v>166</v>
      </c>
      <c r="BR200" t="s">
        <v>937</v>
      </c>
      <c r="BS200"/>
      <c r="BT200"/>
      <c r="BU200"/>
      <c r="BV200"/>
    </row>
    <row r="201" spans="1:74" s="9" customFormat="1">
      <c r="A201" t="s">
        <v>996</v>
      </c>
      <c r="B201" t="s">
        <v>10</v>
      </c>
      <c r="C201" t="s">
        <v>11</v>
      </c>
      <c r="D201" t="s">
        <v>172</v>
      </c>
      <c r="E201"/>
      <c r="F201" t="s">
        <v>473</v>
      </c>
      <c r="G201" t="s">
        <v>411</v>
      </c>
      <c r="H201" t="s">
        <v>473</v>
      </c>
      <c r="I201" t="s">
        <v>411</v>
      </c>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v>15.1</v>
      </c>
      <c r="BF201">
        <v>9.8000000000000007</v>
      </c>
      <c r="BG201">
        <v>8.1</v>
      </c>
      <c r="BH201">
        <v>9.8000000000000007</v>
      </c>
      <c r="BI201"/>
      <c r="BJ201"/>
      <c r="BK201"/>
      <c r="BL201"/>
      <c r="BM201"/>
      <c r="BN201"/>
      <c r="BO201"/>
      <c r="BP201"/>
      <c r="BQ201" t="s">
        <v>166</v>
      </c>
      <c r="BR201" t="s">
        <v>937</v>
      </c>
      <c r="BS201"/>
      <c r="BT201"/>
      <c r="BU201"/>
      <c r="BV201"/>
    </row>
    <row r="202" spans="1:74" s="9" customFormat="1">
      <c r="A202" t="s">
        <v>991</v>
      </c>
      <c r="B202" t="s">
        <v>10</v>
      </c>
      <c r="C202" t="s">
        <v>11</v>
      </c>
      <c r="D202" t="s">
        <v>172</v>
      </c>
      <c r="E202"/>
      <c r="F202" t="s">
        <v>473</v>
      </c>
      <c r="G202" t="s">
        <v>411</v>
      </c>
      <c r="H202" t="s">
        <v>473</v>
      </c>
      <c r="I202" t="s">
        <v>411</v>
      </c>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v>12.1</v>
      </c>
      <c r="AX202">
        <v>7.6</v>
      </c>
      <c r="AY202">
        <v>9.3000000000000007</v>
      </c>
      <c r="AZ202">
        <v>9.3000000000000007</v>
      </c>
      <c r="BA202"/>
      <c r="BB202"/>
      <c r="BC202"/>
      <c r="BD202"/>
      <c r="BE202"/>
      <c r="BF202"/>
      <c r="BG202"/>
      <c r="BH202"/>
      <c r="BI202"/>
      <c r="BJ202"/>
      <c r="BK202"/>
      <c r="BL202"/>
      <c r="BM202"/>
      <c r="BN202"/>
      <c r="BO202"/>
      <c r="BP202"/>
      <c r="BQ202" t="s">
        <v>166</v>
      </c>
      <c r="BR202" t="s">
        <v>937</v>
      </c>
      <c r="BS202"/>
      <c r="BT202"/>
      <c r="BU202"/>
      <c r="BV202"/>
    </row>
    <row r="203" spans="1:74" s="9" customFormat="1">
      <c r="A203" t="s">
        <v>992</v>
      </c>
      <c r="B203" t="s">
        <v>10</v>
      </c>
      <c r="C203" t="s">
        <v>11</v>
      </c>
      <c r="D203" t="s">
        <v>172</v>
      </c>
      <c r="E203"/>
      <c r="F203" t="s">
        <v>473</v>
      </c>
      <c r="G203" t="s">
        <v>411</v>
      </c>
      <c r="H203" t="s">
        <v>473</v>
      </c>
      <c r="I203" t="s">
        <v>411</v>
      </c>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v>9.6999999999999993</v>
      </c>
      <c r="AZ203">
        <v>9.6999999999999993</v>
      </c>
      <c r="BA203">
        <v>12.2</v>
      </c>
      <c r="BB203">
        <v>10.5</v>
      </c>
      <c r="BC203">
        <v>9.9</v>
      </c>
      <c r="BD203">
        <v>10.5</v>
      </c>
      <c r="BE203">
        <v>11.4</v>
      </c>
      <c r="BF203">
        <v>8.3000000000000007</v>
      </c>
      <c r="BG203">
        <v>7.6</v>
      </c>
      <c r="BH203">
        <v>8.3000000000000007</v>
      </c>
      <c r="BI203"/>
      <c r="BJ203"/>
      <c r="BK203"/>
      <c r="BL203"/>
      <c r="BM203"/>
      <c r="BN203"/>
      <c r="BO203"/>
      <c r="BP203"/>
      <c r="BQ203" t="s">
        <v>166</v>
      </c>
      <c r="BR203" t="s">
        <v>937</v>
      </c>
      <c r="BS203"/>
      <c r="BT203"/>
      <c r="BU203"/>
      <c r="BV203"/>
    </row>
    <row r="204" spans="1:74" s="9" customFormat="1">
      <c r="A204" t="s">
        <v>1040</v>
      </c>
      <c r="B204" t="s">
        <v>10</v>
      </c>
      <c r="C204" t="s">
        <v>11</v>
      </c>
      <c r="D204" t="s">
        <v>172</v>
      </c>
      <c r="E204"/>
      <c r="F204" t="s">
        <v>473</v>
      </c>
      <c r="G204" t="s">
        <v>411</v>
      </c>
      <c r="H204" t="s">
        <v>473</v>
      </c>
      <c r="I204" t="s">
        <v>414</v>
      </c>
      <c r="J204"/>
      <c r="K204"/>
      <c r="L204"/>
      <c r="M204"/>
      <c r="N204"/>
      <c r="O204"/>
      <c r="P204"/>
      <c r="Q204"/>
      <c r="R204"/>
      <c r="S204"/>
      <c r="T204"/>
      <c r="U204"/>
      <c r="V204"/>
      <c r="W204"/>
      <c r="X204"/>
      <c r="Y204">
        <v>9.1999999999999993</v>
      </c>
      <c r="Z204"/>
      <c r="AA204"/>
      <c r="AB204"/>
      <c r="AC204">
        <v>9.6999999999999993</v>
      </c>
      <c r="AD204"/>
      <c r="AE204"/>
      <c r="AF204">
        <v>12.5</v>
      </c>
      <c r="AG204">
        <v>7.7</v>
      </c>
      <c r="AH204"/>
      <c r="AI204"/>
      <c r="AJ204">
        <v>10.6</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t="s">
        <v>166</v>
      </c>
      <c r="BR204" t="s">
        <v>937</v>
      </c>
      <c r="BS204" t="s">
        <v>371</v>
      </c>
      <c r="BT204" t="s">
        <v>937</v>
      </c>
      <c r="BU204"/>
      <c r="BV204"/>
    </row>
    <row r="205" spans="1:74" s="9" customFormat="1">
      <c r="A205" t="s">
        <v>1029</v>
      </c>
      <c r="B205" t="s">
        <v>10</v>
      </c>
      <c r="C205" t="s">
        <v>11</v>
      </c>
      <c r="D205" t="s">
        <v>172</v>
      </c>
      <c r="E205"/>
      <c r="F205" t="s">
        <v>473</v>
      </c>
      <c r="G205" t="s">
        <v>411</v>
      </c>
      <c r="H205" t="s">
        <v>473</v>
      </c>
      <c r="I205" t="s">
        <v>414</v>
      </c>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v>10.5</v>
      </c>
      <c r="AT205"/>
      <c r="AU205"/>
      <c r="AV205">
        <v>5</v>
      </c>
      <c r="AW205">
        <v>9.4</v>
      </c>
      <c r="AX205">
        <v>6.1</v>
      </c>
      <c r="AY205">
        <v>7.3</v>
      </c>
      <c r="AZ205">
        <v>7.3</v>
      </c>
      <c r="BA205"/>
      <c r="BB205"/>
      <c r="BC205"/>
      <c r="BD205"/>
      <c r="BE205"/>
      <c r="BF205"/>
      <c r="BG205"/>
      <c r="BH205"/>
      <c r="BI205"/>
      <c r="BJ205"/>
      <c r="BK205"/>
      <c r="BL205"/>
      <c r="BM205"/>
      <c r="BN205"/>
      <c r="BO205"/>
      <c r="BP205"/>
      <c r="BQ205" t="s">
        <v>166</v>
      </c>
      <c r="BR205" t="s">
        <v>937</v>
      </c>
      <c r="BS205"/>
      <c r="BT205"/>
      <c r="BU205"/>
      <c r="BV205"/>
    </row>
    <row r="206" spans="1:74" s="9" customFormat="1">
      <c r="A206" t="s">
        <v>1030</v>
      </c>
      <c r="B206" t="s">
        <v>10</v>
      </c>
      <c r="C206" t="s">
        <v>11</v>
      </c>
      <c r="D206" t="s">
        <v>172</v>
      </c>
      <c r="E206"/>
      <c r="F206" t="s">
        <v>473</v>
      </c>
      <c r="G206" t="s">
        <v>411</v>
      </c>
      <c r="H206" t="s">
        <v>473</v>
      </c>
      <c r="I206" t="s">
        <v>414</v>
      </c>
      <c r="J206"/>
      <c r="K206"/>
      <c r="L206"/>
      <c r="M206"/>
      <c r="N206"/>
      <c r="O206"/>
      <c r="P206"/>
      <c r="Q206"/>
      <c r="R206"/>
      <c r="S206"/>
      <c r="T206"/>
      <c r="U206"/>
      <c r="V206"/>
      <c r="W206"/>
      <c r="X206"/>
      <c r="Y206"/>
      <c r="Z206"/>
      <c r="AA206"/>
      <c r="AB206"/>
      <c r="AC206"/>
      <c r="AD206"/>
      <c r="AE206"/>
      <c r="AF206"/>
      <c r="AG206"/>
      <c r="AH206"/>
      <c r="AI206"/>
      <c r="AJ206"/>
      <c r="AK206">
        <v>5.2</v>
      </c>
      <c r="AL206"/>
      <c r="AM206"/>
      <c r="AN206">
        <v>2.5</v>
      </c>
      <c r="AO206">
        <v>8.1</v>
      </c>
      <c r="AP206"/>
      <c r="AQ206"/>
      <c r="AR206">
        <v>4.0999999999999996</v>
      </c>
      <c r="AS206">
        <v>11.1</v>
      </c>
      <c r="AT206"/>
      <c r="AU206"/>
      <c r="AV206">
        <v>5.2</v>
      </c>
      <c r="AW206"/>
      <c r="AX206"/>
      <c r="AY206"/>
      <c r="AZ206"/>
      <c r="BA206"/>
      <c r="BB206"/>
      <c r="BC206"/>
      <c r="BD206"/>
      <c r="BE206"/>
      <c r="BF206"/>
      <c r="BG206"/>
      <c r="BH206"/>
      <c r="BI206"/>
      <c r="BJ206"/>
      <c r="BK206"/>
      <c r="BL206"/>
      <c r="BM206"/>
      <c r="BN206"/>
      <c r="BO206"/>
      <c r="BP206"/>
      <c r="BQ206" s="3" t="s">
        <v>166</v>
      </c>
      <c r="BR206" t="s">
        <v>937</v>
      </c>
      <c r="BS206"/>
      <c r="BT206"/>
      <c r="BU206"/>
      <c r="BV206"/>
    </row>
    <row r="207" spans="1:74" s="9" customFormat="1">
      <c r="A207" t="s">
        <v>993</v>
      </c>
      <c r="B207" t="s">
        <v>10</v>
      </c>
      <c r="C207" t="s">
        <v>11</v>
      </c>
      <c r="D207" t="s">
        <v>172</v>
      </c>
      <c r="E207"/>
      <c r="F207" t="s">
        <v>473</v>
      </c>
      <c r="G207" t="s">
        <v>411</v>
      </c>
      <c r="H207" t="s">
        <v>473</v>
      </c>
      <c r="I207" t="s">
        <v>411</v>
      </c>
      <c r="J207"/>
      <c r="K207"/>
      <c r="L207"/>
      <c r="M207"/>
      <c r="N207"/>
      <c r="O207"/>
      <c r="P207"/>
      <c r="Q207"/>
      <c r="R207"/>
      <c r="S207"/>
      <c r="T207"/>
      <c r="U207"/>
      <c r="V207"/>
      <c r="W207"/>
      <c r="X207"/>
      <c r="Y207"/>
      <c r="Z207"/>
      <c r="AA207"/>
      <c r="AB207"/>
      <c r="AC207"/>
      <c r="AD207"/>
      <c r="AE207"/>
      <c r="AF207"/>
      <c r="AG207"/>
      <c r="AH207"/>
      <c r="AI207"/>
      <c r="AJ207"/>
      <c r="AK207"/>
      <c r="AL207"/>
      <c r="AM207"/>
      <c r="AN207"/>
      <c r="AO207">
        <v>8.8000000000000007</v>
      </c>
      <c r="AP207"/>
      <c r="AQ207"/>
      <c r="AR207">
        <v>4.0999999999999996</v>
      </c>
      <c r="AS207">
        <v>11.5</v>
      </c>
      <c r="AT207"/>
      <c r="AU207"/>
      <c r="AV207">
        <v>5.5</v>
      </c>
      <c r="AW207">
        <v>10.1</v>
      </c>
      <c r="AX207">
        <v>6.6</v>
      </c>
      <c r="AY207">
        <v>7.8</v>
      </c>
      <c r="AZ207">
        <v>7.8</v>
      </c>
      <c r="BA207"/>
      <c r="BB207"/>
      <c r="BC207"/>
      <c r="BD207"/>
      <c r="BE207"/>
      <c r="BF207"/>
      <c r="BG207"/>
      <c r="BH207"/>
      <c r="BI207"/>
      <c r="BJ207"/>
      <c r="BK207"/>
      <c r="BL207"/>
      <c r="BM207"/>
      <c r="BN207"/>
      <c r="BO207"/>
      <c r="BP207"/>
      <c r="BQ207" t="s">
        <v>166</v>
      </c>
      <c r="BR207" t="s">
        <v>937</v>
      </c>
      <c r="BS207" t="s">
        <v>371</v>
      </c>
      <c r="BT207" t="s">
        <v>937</v>
      </c>
      <c r="BU207"/>
      <c r="BV207"/>
    </row>
    <row r="208" spans="1:74" s="9" customFormat="1">
      <c r="A208" t="s">
        <v>1041</v>
      </c>
      <c r="B208" t="s">
        <v>10</v>
      </c>
      <c r="C208" t="s">
        <v>11</v>
      </c>
      <c r="D208" t="s">
        <v>172</v>
      </c>
      <c r="E208"/>
      <c r="F208" t="s">
        <v>473</v>
      </c>
      <c r="G208" t="s">
        <v>411</v>
      </c>
      <c r="H208" t="s">
        <v>473</v>
      </c>
      <c r="I208" t="s">
        <v>414</v>
      </c>
      <c r="J208"/>
      <c r="K208"/>
      <c r="L208"/>
      <c r="M208"/>
      <c r="N208"/>
      <c r="O208"/>
      <c r="P208"/>
      <c r="Q208"/>
      <c r="R208"/>
      <c r="S208"/>
      <c r="T208"/>
      <c r="U208"/>
      <c r="V208"/>
      <c r="W208"/>
      <c r="X208"/>
      <c r="Y208">
        <v>8.3000000000000007</v>
      </c>
      <c r="Z208"/>
      <c r="AA208"/>
      <c r="AB208">
        <v>9.1</v>
      </c>
      <c r="AC208">
        <v>8.6</v>
      </c>
      <c r="AD208"/>
      <c r="AE208"/>
      <c r="AF208">
        <v>12.1</v>
      </c>
      <c r="AG208">
        <v>6.1</v>
      </c>
      <c r="AH208"/>
      <c r="AI208"/>
      <c r="AJ208">
        <v>8.5</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t="s">
        <v>166</v>
      </c>
      <c r="BR208" t="s">
        <v>937</v>
      </c>
      <c r="BS208" t="s">
        <v>371</v>
      </c>
      <c r="BT208" t="s">
        <v>937</v>
      </c>
      <c r="BU208"/>
      <c r="BV208"/>
    </row>
    <row r="209" spans="1:74" s="9" customFormat="1">
      <c r="A209" t="s">
        <v>1043</v>
      </c>
      <c r="B209" t="s">
        <v>10</v>
      </c>
      <c r="C209" t="s">
        <v>11</v>
      </c>
      <c r="D209" t="s">
        <v>172</v>
      </c>
      <c r="E209"/>
      <c r="F209" t="s">
        <v>473</v>
      </c>
      <c r="G209" t="s">
        <v>411</v>
      </c>
      <c r="H209" t="s">
        <v>473</v>
      </c>
      <c r="I209" t="s">
        <v>414</v>
      </c>
      <c r="J209"/>
      <c r="K209"/>
      <c r="L209"/>
      <c r="M209"/>
      <c r="N209"/>
      <c r="O209"/>
      <c r="P209"/>
      <c r="Q209"/>
      <c r="R209"/>
      <c r="S209"/>
      <c r="T209"/>
      <c r="U209">
        <v>7.7</v>
      </c>
      <c r="V209"/>
      <c r="W209"/>
      <c r="X209">
        <v>8.6</v>
      </c>
      <c r="Y209">
        <v>8.6999999999999993</v>
      </c>
      <c r="Z209"/>
      <c r="AA209"/>
      <c r="AB209">
        <v>9.6999999999999993</v>
      </c>
      <c r="AC209">
        <v>9.9</v>
      </c>
      <c r="AD209"/>
      <c r="AE209"/>
      <c r="AF209">
        <v>12.7</v>
      </c>
      <c r="AG209">
        <v>6.6</v>
      </c>
      <c r="AH209"/>
      <c r="AI209"/>
      <c r="AJ209">
        <v>10.4</v>
      </c>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t="s">
        <v>166</v>
      </c>
      <c r="BR209" t="s">
        <v>937</v>
      </c>
      <c r="BS209" t="s">
        <v>371</v>
      </c>
      <c r="BT209" t="s">
        <v>937</v>
      </c>
      <c r="BU209"/>
      <c r="BV209"/>
    </row>
    <row r="210" spans="1:74" s="9" customFormat="1">
      <c r="A210" t="s">
        <v>994</v>
      </c>
      <c r="B210" t="s">
        <v>10</v>
      </c>
      <c r="C210" t="s">
        <v>11</v>
      </c>
      <c r="D210" t="s">
        <v>172</v>
      </c>
      <c r="E210"/>
      <c r="F210" t="s">
        <v>473</v>
      </c>
      <c r="G210" t="s">
        <v>411</v>
      </c>
      <c r="H210" t="s">
        <v>473</v>
      </c>
      <c r="I210" t="s">
        <v>411</v>
      </c>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v>12</v>
      </c>
      <c r="BF210">
        <v>7.9</v>
      </c>
      <c r="BG210">
        <v>6.1</v>
      </c>
      <c r="BH210">
        <v>7.9</v>
      </c>
      <c r="BI210"/>
      <c r="BJ210"/>
      <c r="BK210"/>
      <c r="BL210"/>
      <c r="BM210"/>
      <c r="BN210"/>
      <c r="BO210"/>
      <c r="BP210"/>
      <c r="BQ210" t="s">
        <v>166</v>
      </c>
      <c r="BR210" t="s">
        <v>937</v>
      </c>
      <c r="BS210" t="s">
        <v>371</v>
      </c>
      <c r="BT210" t="s">
        <v>937</v>
      </c>
      <c r="BU210"/>
      <c r="BV210"/>
    </row>
    <row r="211" spans="1:74" s="9" customFormat="1">
      <c r="A211" t="s">
        <v>1042</v>
      </c>
      <c r="B211" t="s">
        <v>10</v>
      </c>
      <c r="C211" t="s">
        <v>11</v>
      </c>
      <c r="D211" t="s">
        <v>172</v>
      </c>
      <c r="E211"/>
      <c r="F211" t="s">
        <v>473</v>
      </c>
      <c r="G211" t="s">
        <v>411</v>
      </c>
      <c r="H211" t="s">
        <v>473</v>
      </c>
      <c r="I211" t="s">
        <v>414</v>
      </c>
      <c r="J211"/>
      <c r="K211"/>
      <c r="L211"/>
      <c r="M211"/>
      <c r="N211"/>
      <c r="O211"/>
      <c r="P211"/>
      <c r="Q211"/>
      <c r="R211"/>
      <c r="S211"/>
      <c r="T211"/>
      <c r="U211"/>
      <c r="V211"/>
      <c r="W211"/>
      <c r="X211"/>
      <c r="Y211">
        <v>9.6</v>
      </c>
      <c r="Z211"/>
      <c r="AA211"/>
      <c r="AB211">
        <v>10.5</v>
      </c>
      <c r="AC211">
        <v>10.4</v>
      </c>
      <c r="AD211"/>
      <c r="AE211"/>
      <c r="AF211">
        <v>13.3</v>
      </c>
      <c r="AG211">
        <v>7.6</v>
      </c>
      <c r="AH211"/>
      <c r="AI211"/>
      <c r="AJ211">
        <v>12.1</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t="s">
        <v>166</v>
      </c>
      <c r="BR211" t="s">
        <v>937</v>
      </c>
      <c r="BS211" t="s">
        <v>371</v>
      </c>
      <c r="BT211" t="s">
        <v>937</v>
      </c>
      <c r="BU211"/>
      <c r="BV211"/>
    </row>
    <row r="212" spans="1:74" s="9" customFormat="1">
      <c r="A212" t="s">
        <v>1031</v>
      </c>
      <c r="B212" t="s">
        <v>10</v>
      </c>
      <c r="C212" t="s">
        <v>11</v>
      </c>
      <c r="D212" t="s">
        <v>172</v>
      </c>
      <c r="E212"/>
      <c r="F212" t="s">
        <v>473</v>
      </c>
      <c r="G212" t="s">
        <v>411</v>
      </c>
      <c r="H212" t="s">
        <v>473</v>
      </c>
      <c r="I212" t="s">
        <v>414</v>
      </c>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v>8.9</v>
      </c>
      <c r="AX212">
        <v>6.7</v>
      </c>
      <c r="AY212">
        <v>7.3</v>
      </c>
      <c r="AZ212">
        <v>7.3</v>
      </c>
      <c r="BA212">
        <v>9.8000000000000007</v>
      </c>
      <c r="BB212">
        <v>8.1999999999999993</v>
      </c>
      <c r="BC212">
        <v>7.4</v>
      </c>
      <c r="BD212">
        <v>8.1999999999999993</v>
      </c>
      <c r="BE212"/>
      <c r="BF212"/>
      <c r="BG212"/>
      <c r="BH212"/>
      <c r="BI212"/>
      <c r="BJ212"/>
      <c r="BK212"/>
      <c r="BL212"/>
      <c r="BM212"/>
      <c r="BN212"/>
      <c r="BO212"/>
      <c r="BP212"/>
      <c r="BQ212" t="s">
        <v>166</v>
      </c>
      <c r="BR212" t="s">
        <v>937</v>
      </c>
      <c r="BS212"/>
      <c r="BT212"/>
      <c r="BU212"/>
      <c r="BV212"/>
    </row>
    <row r="213" spans="1:74" s="9" customFormat="1">
      <c r="A213" t="s">
        <v>1032</v>
      </c>
      <c r="B213" t="s">
        <v>10</v>
      </c>
      <c r="C213" t="s">
        <v>11</v>
      </c>
      <c r="D213" t="s">
        <v>172</v>
      </c>
      <c r="E213"/>
      <c r="F213" t="s">
        <v>473</v>
      </c>
      <c r="G213" t="s">
        <v>411</v>
      </c>
      <c r="H213" t="s">
        <v>473</v>
      </c>
      <c r="I213" t="s">
        <v>414</v>
      </c>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v>8.8000000000000007</v>
      </c>
      <c r="AX213">
        <v>6.4</v>
      </c>
      <c r="AY213">
        <v>7.5</v>
      </c>
      <c r="AZ213">
        <v>7.5</v>
      </c>
      <c r="BA213">
        <v>9.8000000000000007</v>
      </c>
      <c r="BB213">
        <v>8.5</v>
      </c>
      <c r="BC213">
        <v>8</v>
      </c>
      <c r="BD213">
        <v>8.5</v>
      </c>
      <c r="BE213">
        <v>9.3000000000000007</v>
      </c>
      <c r="BF213">
        <v>7.4</v>
      </c>
      <c r="BG213">
        <v>6.3</v>
      </c>
      <c r="BH213">
        <v>7.4</v>
      </c>
      <c r="BI213"/>
      <c r="BJ213"/>
      <c r="BK213"/>
      <c r="BL213"/>
      <c r="BM213"/>
      <c r="BN213"/>
      <c r="BO213"/>
      <c r="BP213"/>
      <c r="BQ213" t="s">
        <v>166</v>
      </c>
      <c r="BR213" t="s">
        <v>937</v>
      </c>
      <c r="BS213"/>
      <c r="BT213"/>
      <c r="BU213"/>
      <c r="BV213"/>
    </row>
    <row r="214" spans="1:74" s="9" customFormat="1">
      <c r="A214" t="s">
        <v>1044</v>
      </c>
      <c r="B214" t="s">
        <v>10</v>
      </c>
      <c r="C214" t="s">
        <v>11</v>
      </c>
      <c r="D214" t="s">
        <v>172</v>
      </c>
      <c r="E214"/>
      <c r="F214" t="s">
        <v>473</v>
      </c>
      <c r="G214" t="s">
        <v>411</v>
      </c>
      <c r="H214" t="s">
        <v>473</v>
      </c>
      <c r="I214" t="s">
        <v>414</v>
      </c>
      <c r="J214"/>
      <c r="K214"/>
      <c r="L214"/>
      <c r="M214"/>
      <c r="N214"/>
      <c r="O214"/>
      <c r="P214"/>
      <c r="Q214"/>
      <c r="R214"/>
      <c r="S214"/>
      <c r="T214"/>
      <c r="U214"/>
      <c r="V214"/>
      <c r="W214"/>
      <c r="X214"/>
      <c r="Y214"/>
      <c r="Z214"/>
      <c r="AA214"/>
      <c r="AB214">
        <v>10.6</v>
      </c>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t="s">
        <v>166</v>
      </c>
      <c r="BR214" t="s">
        <v>937</v>
      </c>
      <c r="BS214"/>
      <c r="BT214"/>
      <c r="BU214"/>
      <c r="BV214"/>
    </row>
    <row r="215" spans="1:74" s="9" customFormat="1">
      <c r="A215" t="s">
        <v>1033</v>
      </c>
      <c r="B215" t="s">
        <v>10</v>
      </c>
      <c r="C215" t="s">
        <v>11</v>
      </c>
      <c r="D215" t="s">
        <v>172</v>
      </c>
      <c r="E215"/>
      <c r="F215" t="s">
        <v>473</v>
      </c>
      <c r="G215" t="s">
        <v>411</v>
      </c>
      <c r="H215" t="s">
        <v>473</v>
      </c>
      <c r="I215" t="s">
        <v>414</v>
      </c>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v>8.5</v>
      </c>
      <c r="AX215">
        <v>6.4</v>
      </c>
      <c r="AY215">
        <v>6.9</v>
      </c>
      <c r="AZ215">
        <v>6.9</v>
      </c>
      <c r="BA215">
        <v>9.1999999999999993</v>
      </c>
      <c r="BB215">
        <v>7.8</v>
      </c>
      <c r="BC215">
        <v>7.7</v>
      </c>
      <c r="BD215">
        <v>7.8</v>
      </c>
      <c r="BE215"/>
      <c r="BF215"/>
      <c r="BG215"/>
      <c r="BH215"/>
      <c r="BI215"/>
      <c r="BJ215"/>
      <c r="BK215"/>
      <c r="BL215"/>
      <c r="BM215"/>
      <c r="BN215"/>
      <c r="BO215"/>
      <c r="BP215"/>
      <c r="BQ215" t="s">
        <v>166</v>
      </c>
      <c r="BR215" t="s">
        <v>937</v>
      </c>
      <c r="BS215"/>
      <c r="BT215"/>
      <c r="BU215"/>
      <c r="BV215"/>
    </row>
    <row r="216" spans="1:74" s="9" customFormat="1">
      <c r="A216" t="s">
        <v>1034</v>
      </c>
      <c r="B216" t="s">
        <v>10</v>
      </c>
      <c r="C216" t="s">
        <v>11</v>
      </c>
      <c r="D216" t="s">
        <v>172</v>
      </c>
      <c r="E216"/>
      <c r="F216" t="s">
        <v>473</v>
      </c>
      <c r="G216" t="s">
        <v>411</v>
      </c>
      <c r="H216" t="s">
        <v>473</v>
      </c>
      <c r="I216" t="s">
        <v>414</v>
      </c>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v>8.5</v>
      </c>
      <c r="BB216">
        <v>6.8</v>
      </c>
      <c r="BC216">
        <v>8</v>
      </c>
      <c r="BD216">
        <v>8</v>
      </c>
      <c r="BE216"/>
      <c r="BF216"/>
      <c r="BG216"/>
      <c r="BH216"/>
      <c r="BI216"/>
      <c r="BJ216"/>
      <c r="BK216"/>
      <c r="BL216"/>
      <c r="BM216"/>
      <c r="BN216"/>
      <c r="BO216"/>
      <c r="BP216"/>
      <c r="BQ216" t="s">
        <v>166</v>
      </c>
      <c r="BR216" t="s">
        <v>937</v>
      </c>
      <c r="BS216"/>
      <c r="BT216"/>
      <c r="BU216"/>
      <c r="BV216"/>
    </row>
    <row r="217" spans="1:74" s="9" customFormat="1">
      <c r="A217" t="s">
        <v>1035</v>
      </c>
      <c r="B217" t="s">
        <v>10</v>
      </c>
      <c r="C217" s="3" t="s">
        <v>11</v>
      </c>
      <c r="D217" t="s">
        <v>172</v>
      </c>
      <c r="E217"/>
      <c r="F217" t="s">
        <v>473</v>
      </c>
      <c r="G217" t="s">
        <v>411</v>
      </c>
      <c r="H217" t="s">
        <v>473</v>
      </c>
      <c r="I217" t="s">
        <v>414</v>
      </c>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v>10.1</v>
      </c>
      <c r="BF217">
        <v>6.5</v>
      </c>
      <c r="BG217">
        <v>5.4</v>
      </c>
      <c r="BH217">
        <v>6.5</v>
      </c>
      <c r="BI217"/>
      <c r="BJ217"/>
      <c r="BK217"/>
      <c r="BL217"/>
      <c r="BM217"/>
      <c r="BN217"/>
      <c r="BO217"/>
      <c r="BP217"/>
      <c r="BQ217" t="s">
        <v>166</v>
      </c>
      <c r="BR217" t="s">
        <v>937</v>
      </c>
      <c r="BS217"/>
      <c r="BT217"/>
      <c r="BU217"/>
      <c r="BV217"/>
    </row>
    <row r="218" spans="1:74">
      <c r="A218" t="s">
        <v>1036</v>
      </c>
      <c r="B218" t="s">
        <v>10</v>
      </c>
      <c r="C218" t="s">
        <v>11</v>
      </c>
      <c r="D218" t="s">
        <v>172</v>
      </c>
      <c r="F218" t="s">
        <v>473</v>
      </c>
      <c r="G218" t="s">
        <v>411</v>
      </c>
      <c r="H218" t="s">
        <v>473</v>
      </c>
      <c r="I218" t="s">
        <v>414</v>
      </c>
      <c r="U218">
        <v>8.1999999999999993</v>
      </c>
      <c r="X218">
        <v>8.1</v>
      </c>
      <c r="Y218">
        <v>8.6</v>
      </c>
      <c r="AB218">
        <v>10.7</v>
      </c>
      <c r="AC218">
        <v>9.1</v>
      </c>
      <c r="AF218">
        <v>12.9</v>
      </c>
      <c r="BA218">
        <v>9.6</v>
      </c>
      <c r="BB218">
        <v>9.3000000000000007</v>
      </c>
      <c r="BC218">
        <v>8.1</v>
      </c>
      <c r="BD218">
        <v>9.3000000000000007</v>
      </c>
      <c r="BE218">
        <v>9.8000000000000007</v>
      </c>
      <c r="BF218">
        <v>7.1</v>
      </c>
      <c r="BG218">
        <v>6.1</v>
      </c>
      <c r="BH218">
        <v>7.1</v>
      </c>
      <c r="BQ218" t="s">
        <v>166</v>
      </c>
      <c r="BR218" t="s">
        <v>937</v>
      </c>
      <c r="BS218" t="s">
        <v>371</v>
      </c>
      <c r="BT218" t="s">
        <v>937</v>
      </c>
    </row>
    <row r="219" spans="1:74">
      <c r="A219" s="15" t="s">
        <v>917</v>
      </c>
      <c r="B219" s="15" t="s">
        <v>10</v>
      </c>
      <c r="C219" s="15" t="s">
        <v>11</v>
      </c>
      <c r="D219" s="15" t="s">
        <v>172</v>
      </c>
      <c r="E219" s="15"/>
      <c r="F219" s="15" t="s">
        <v>499</v>
      </c>
      <c r="G219" s="15" t="s">
        <v>916</v>
      </c>
      <c r="H219" s="15" t="s">
        <v>499</v>
      </c>
      <c r="I219" s="15" t="s">
        <v>916</v>
      </c>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t="s">
        <v>166</v>
      </c>
      <c r="BR219" s="15" t="s">
        <v>883</v>
      </c>
      <c r="BS219" s="15"/>
      <c r="BT219" s="15"/>
      <c r="BU219" s="15"/>
      <c r="BV219" s="15"/>
    </row>
    <row r="220" spans="1:74">
      <c r="A220" s="15" t="s">
        <v>915</v>
      </c>
      <c r="B220" s="15" t="s">
        <v>10</v>
      </c>
      <c r="C220" s="15" t="s">
        <v>11</v>
      </c>
      <c r="D220" s="15" t="s">
        <v>172</v>
      </c>
      <c r="E220" s="15"/>
      <c r="F220" s="15" t="s">
        <v>499</v>
      </c>
      <c r="G220" s="15" t="s">
        <v>916</v>
      </c>
      <c r="H220" s="15" t="s">
        <v>499</v>
      </c>
      <c r="I220" s="15" t="s">
        <v>916</v>
      </c>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t="s">
        <v>166</v>
      </c>
      <c r="BR220" s="15" t="s">
        <v>883</v>
      </c>
      <c r="BS220" s="15"/>
      <c r="BT220" s="15"/>
      <c r="BU220" s="15"/>
      <c r="BV220" s="15"/>
    </row>
    <row r="221" spans="1:74">
      <c r="A221" t="s">
        <v>519</v>
      </c>
      <c r="B221" t="s">
        <v>10</v>
      </c>
      <c r="C221" t="s">
        <v>11</v>
      </c>
      <c r="D221" t="s">
        <v>172</v>
      </c>
      <c r="E221" t="s">
        <v>514</v>
      </c>
      <c r="F221" t="s">
        <v>499</v>
      </c>
      <c r="G221" t="s">
        <v>520</v>
      </c>
      <c r="H221" t="s">
        <v>499</v>
      </c>
      <c r="I221" t="s">
        <v>520</v>
      </c>
      <c r="BE221">
        <v>8.3000000000000007</v>
      </c>
      <c r="BF221">
        <v>5.5</v>
      </c>
      <c r="BG221">
        <v>4.5999999999999996</v>
      </c>
      <c r="BH221">
        <v>5.5</v>
      </c>
      <c r="BQ221" t="s">
        <v>281</v>
      </c>
      <c r="BR221" t="s">
        <v>510</v>
      </c>
    </row>
    <row r="222" spans="1:74">
      <c r="A222" t="s">
        <v>518</v>
      </c>
      <c r="B222" t="s">
        <v>10</v>
      </c>
      <c r="C222" t="s">
        <v>11</v>
      </c>
      <c r="D222" t="s">
        <v>172</v>
      </c>
      <c r="E222" t="s">
        <v>514</v>
      </c>
      <c r="F222" t="s">
        <v>499</v>
      </c>
      <c r="G222" t="s">
        <v>515</v>
      </c>
      <c r="H222" t="s">
        <v>499</v>
      </c>
      <c r="I222" t="s">
        <v>515</v>
      </c>
      <c r="BA222">
        <v>7.8</v>
      </c>
      <c r="BB222">
        <v>6.35</v>
      </c>
      <c r="BC222">
        <v>6.85</v>
      </c>
      <c r="BD222">
        <v>6.85</v>
      </c>
      <c r="BE222">
        <f>AVERAGE(7.8,8)</f>
        <v>7.9</v>
      </c>
      <c r="BF222">
        <f>AVERAGE(5.75,5.2)</f>
        <v>5.4749999999999996</v>
      </c>
      <c r="BG222">
        <f>AVERAGE(6.05,5.2)</f>
        <v>5.625</v>
      </c>
      <c r="BH222">
        <f>AVERAGE(6.05,5.2)</f>
        <v>5.625</v>
      </c>
      <c r="BQ222" t="s">
        <v>281</v>
      </c>
      <c r="BR222" t="s">
        <v>510</v>
      </c>
    </row>
    <row r="223" spans="1:74">
      <c r="A223" t="s">
        <v>517</v>
      </c>
      <c r="B223" t="s">
        <v>10</v>
      </c>
      <c r="C223" t="s">
        <v>11</v>
      </c>
      <c r="D223" t="s">
        <v>172</v>
      </c>
      <c r="E223" t="s">
        <v>514</v>
      </c>
      <c r="F223" t="s">
        <v>499</v>
      </c>
      <c r="G223" t="s">
        <v>515</v>
      </c>
      <c r="H223" t="s">
        <v>499</v>
      </c>
      <c r="I223" t="s">
        <v>515</v>
      </c>
      <c r="AW223">
        <v>6</v>
      </c>
      <c r="AX223">
        <v>4.8</v>
      </c>
      <c r="AY223">
        <v>5.7</v>
      </c>
      <c r="AZ223">
        <v>5.7</v>
      </c>
      <c r="BA223">
        <v>6.8</v>
      </c>
      <c r="BB223">
        <v>5.9</v>
      </c>
      <c r="BC223">
        <v>6.3</v>
      </c>
      <c r="BD223">
        <v>6.3</v>
      </c>
      <c r="BQ223" t="s">
        <v>281</v>
      </c>
      <c r="BR223" t="s">
        <v>510</v>
      </c>
      <c r="BS223" t="s">
        <v>181</v>
      </c>
      <c r="BT223" t="s">
        <v>510</v>
      </c>
    </row>
    <row r="224" spans="1:74">
      <c r="A224" t="s">
        <v>516</v>
      </c>
      <c r="B224" t="s">
        <v>10</v>
      </c>
      <c r="C224" t="s">
        <v>11</v>
      </c>
      <c r="D224" t="s">
        <v>172</v>
      </c>
      <c r="E224" t="s">
        <v>514</v>
      </c>
      <c r="F224" t="s">
        <v>499</v>
      </c>
      <c r="G224" t="s">
        <v>515</v>
      </c>
      <c r="H224" t="s">
        <v>499</v>
      </c>
      <c r="I224" t="s">
        <v>515</v>
      </c>
      <c r="AS224">
        <v>6.2</v>
      </c>
      <c r="AV224">
        <v>4.8</v>
      </c>
      <c r="AW224">
        <v>6.7</v>
      </c>
      <c r="AX224">
        <v>5</v>
      </c>
      <c r="AY224">
        <v>5.8</v>
      </c>
      <c r="AZ224">
        <v>5.8</v>
      </c>
      <c r="BA224">
        <v>7.6</v>
      </c>
      <c r="BB224">
        <v>6.45</v>
      </c>
      <c r="BC224">
        <v>6.9</v>
      </c>
      <c r="BD224">
        <v>6.9</v>
      </c>
      <c r="BE224">
        <v>7.9</v>
      </c>
      <c r="BF224">
        <v>5.85</v>
      </c>
      <c r="BG224">
        <v>5.3</v>
      </c>
      <c r="BH224">
        <v>5.85</v>
      </c>
      <c r="BQ224" t="s">
        <v>281</v>
      </c>
      <c r="BR224" t="s">
        <v>510</v>
      </c>
      <c r="BS224" t="s">
        <v>181</v>
      </c>
      <c r="BT224" t="s">
        <v>510</v>
      </c>
    </row>
    <row r="225" spans="1:74">
      <c r="A225" t="s">
        <v>227</v>
      </c>
      <c r="B225" t="s">
        <v>10</v>
      </c>
      <c r="C225" t="s">
        <v>11</v>
      </c>
      <c r="D225" t="s">
        <v>172</v>
      </c>
      <c r="E225" t="s">
        <v>176</v>
      </c>
      <c r="F225" t="s">
        <v>499</v>
      </c>
      <c r="G225" t="s">
        <v>500</v>
      </c>
      <c r="H225" t="s">
        <v>228</v>
      </c>
      <c r="I225" t="s">
        <v>229</v>
      </c>
      <c r="BA225">
        <v>5.8</v>
      </c>
      <c r="BD225">
        <v>5.0999999999999996</v>
      </c>
      <c r="BQ225" t="s">
        <v>166</v>
      </c>
      <c r="BR225" t="s">
        <v>197</v>
      </c>
      <c r="BS225" t="s">
        <v>181</v>
      </c>
      <c r="BT225" t="s">
        <v>197</v>
      </c>
    </row>
    <row r="226" spans="1:74">
      <c r="A226" t="s">
        <v>349</v>
      </c>
      <c r="B226" t="s">
        <v>10</v>
      </c>
      <c r="C226" t="s">
        <v>11</v>
      </c>
      <c r="D226" t="s">
        <v>172</v>
      </c>
      <c r="F226" t="s">
        <v>499</v>
      </c>
      <c r="G226" t="s">
        <v>500</v>
      </c>
      <c r="H226" t="s">
        <v>499</v>
      </c>
      <c r="I226" t="s">
        <v>231</v>
      </c>
      <c r="AW226">
        <v>5.18</v>
      </c>
      <c r="AX226">
        <v>3.84</v>
      </c>
      <c r="AY226">
        <v>3.68</v>
      </c>
      <c r="AZ226">
        <f>MAX(AX226:AY226)</f>
        <v>3.84</v>
      </c>
      <c r="BA226">
        <v>5.9</v>
      </c>
      <c r="BB226">
        <v>4.74</v>
      </c>
      <c r="BC226">
        <v>4.58</v>
      </c>
      <c r="BD226">
        <f>MAX(BB226:BC226)</f>
        <v>4.74</v>
      </c>
      <c r="BP226" t="s">
        <v>366</v>
      </c>
      <c r="BQ226" t="s">
        <v>281</v>
      </c>
      <c r="BR226" t="s">
        <v>322</v>
      </c>
    </row>
    <row r="227" spans="1:74">
      <c r="A227" t="s">
        <v>348</v>
      </c>
      <c r="B227" t="s">
        <v>10</v>
      </c>
      <c r="C227" t="s">
        <v>11</v>
      </c>
      <c r="D227" t="s">
        <v>172</v>
      </c>
      <c r="F227" t="s">
        <v>499</v>
      </c>
      <c r="G227" t="s">
        <v>500</v>
      </c>
      <c r="H227" t="s">
        <v>499</v>
      </c>
      <c r="I227" t="s">
        <v>231</v>
      </c>
      <c r="AW227">
        <v>5.26</v>
      </c>
      <c r="AX227">
        <v>3.63</v>
      </c>
      <c r="AY227">
        <v>4.0199999999999996</v>
      </c>
      <c r="AZ227">
        <f>MAX(AX227:AY227)</f>
        <v>4.0199999999999996</v>
      </c>
      <c r="BA227">
        <v>5.83</v>
      </c>
      <c r="BB227">
        <v>4.8600000000000003</v>
      </c>
      <c r="BC227">
        <v>4.92</v>
      </c>
      <c r="BD227">
        <f>MAX(BB227:BC227)</f>
        <v>4.92</v>
      </c>
      <c r="BP227" t="s">
        <v>366</v>
      </c>
      <c r="BQ227" t="s">
        <v>281</v>
      </c>
      <c r="BR227" t="s">
        <v>322</v>
      </c>
    </row>
    <row r="228" spans="1:74">
      <c r="A228" s="15"/>
      <c r="B228" s="15" t="s">
        <v>10</v>
      </c>
      <c r="C228" s="15" t="s">
        <v>11</v>
      </c>
      <c r="D228" s="15" t="s">
        <v>172</v>
      </c>
      <c r="E228" s="15" t="s">
        <v>176</v>
      </c>
      <c r="F228" s="15" t="s">
        <v>499</v>
      </c>
      <c r="G228" s="15" t="s">
        <v>500</v>
      </c>
      <c r="H228" s="15" t="s">
        <v>228</v>
      </c>
      <c r="I228" s="15" t="s">
        <v>231</v>
      </c>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t="s">
        <v>166</v>
      </c>
      <c r="BR228" s="15" t="s">
        <v>197</v>
      </c>
      <c r="BS228" s="15" t="s">
        <v>181</v>
      </c>
      <c r="BT228" s="15" t="s">
        <v>197</v>
      </c>
      <c r="BU228" s="15"/>
      <c r="BV228" s="15"/>
    </row>
    <row r="229" spans="1:74">
      <c r="A229" t="s">
        <v>521</v>
      </c>
      <c r="B229" t="s">
        <v>10</v>
      </c>
      <c r="C229" t="s">
        <v>11</v>
      </c>
      <c r="D229" t="s">
        <v>172</v>
      </c>
      <c r="E229" t="s">
        <v>514</v>
      </c>
      <c r="F229" t="s">
        <v>499</v>
      </c>
      <c r="G229" t="s">
        <v>60</v>
      </c>
      <c r="H229" t="s">
        <v>499</v>
      </c>
      <c r="I229" t="s">
        <v>60</v>
      </c>
      <c r="AS229">
        <v>6</v>
      </c>
      <c r="AV229">
        <v>3.5</v>
      </c>
      <c r="BQ229" t="s">
        <v>281</v>
      </c>
      <c r="BR229" t="s">
        <v>510</v>
      </c>
    </row>
    <row r="230" spans="1:74">
      <c r="A230" t="s">
        <v>230</v>
      </c>
      <c r="B230" t="s">
        <v>10</v>
      </c>
      <c r="C230" t="s">
        <v>11</v>
      </c>
      <c r="D230" t="s">
        <v>172</v>
      </c>
      <c r="E230" t="s">
        <v>176</v>
      </c>
      <c r="F230" t="s">
        <v>499</v>
      </c>
      <c r="G230" t="s">
        <v>779</v>
      </c>
      <c r="H230" t="s">
        <v>228</v>
      </c>
      <c r="I230" t="s">
        <v>779</v>
      </c>
      <c r="AC230">
        <v>5.8</v>
      </c>
      <c r="AF230">
        <v>8.4</v>
      </c>
      <c r="BQ230" t="s">
        <v>166</v>
      </c>
      <c r="BR230" t="s">
        <v>197</v>
      </c>
      <c r="BS230" t="s">
        <v>181</v>
      </c>
      <c r="BT230" t="s">
        <v>197</v>
      </c>
    </row>
    <row r="231" spans="1:74">
      <c r="A231" t="s">
        <v>673</v>
      </c>
      <c r="B231" s="7" t="s">
        <v>10</v>
      </c>
      <c r="C231" s="7" t="s">
        <v>11</v>
      </c>
      <c r="D231" t="s">
        <v>172</v>
      </c>
      <c r="F231" t="s">
        <v>637</v>
      </c>
      <c r="G231" t="s">
        <v>369</v>
      </c>
      <c r="H231" t="s">
        <v>173</v>
      </c>
      <c r="I231" t="s">
        <v>369</v>
      </c>
      <c r="Q231">
        <v>6</v>
      </c>
      <c r="T231">
        <v>4</v>
      </c>
      <c r="Y231">
        <v>7</v>
      </c>
      <c r="AB231">
        <v>8</v>
      </c>
      <c r="AC231">
        <v>7.5</v>
      </c>
      <c r="AF231">
        <v>10</v>
      </c>
      <c r="AG231">
        <v>5.5</v>
      </c>
      <c r="AJ231">
        <v>8</v>
      </c>
      <c r="BP231" t="s">
        <v>674</v>
      </c>
      <c r="BQ231" t="s">
        <v>281</v>
      </c>
      <c r="BR231" t="s">
        <v>671</v>
      </c>
      <c r="BS231" t="s">
        <v>371</v>
      </c>
      <c r="BT231" t="s">
        <v>671</v>
      </c>
    </row>
    <row r="232" spans="1:74">
      <c r="A232" t="s">
        <v>319</v>
      </c>
      <c r="B232" t="s">
        <v>10</v>
      </c>
      <c r="C232" t="s">
        <v>11</v>
      </c>
      <c r="D232" t="s">
        <v>172</v>
      </c>
      <c r="E232" t="s">
        <v>164</v>
      </c>
      <c r="F232" t="s">
        <v>173</v>
      </c>
      <c r="G232" t="s">
        <v>382</v>
      </c>
      <c r="H232" t="s">
        <v>173</v>
      </c>
      <c r="I232" t="s">
        <v>382</v>
      </c>
      <c r="U232">
        <v>4.7</v>
      </c>
      <c r="X232">
        <v>4.3</v>
      </c>
      <c r="AO232">
        <v>5.0999999999999996</v>
      </c>
      <c r="AR232">
        <v>2.5</v>
      </c>
      <c r="AS232">
        <v>5.6</v>
      </c>
      <c r="AV232">
        <v>2.7</v>
      </c>
      <c r="AW232">
        <v>5.3</v>
      </c>
      <c r="AZ232">
        <v>3.4</v>
      </c>
      <c r="BQ232" t="s">
        <v>281</v>
      </c>
      <c r="BR232" t="s">
        <v>315</v>
      </c>
    </row>
    <row r="233" spans="1:74">
      <c r="A233" t="s">
        <v>379</v>
      </c>
      <c r="B233" t="s">
        <v>10</v>
      </c>
      <c r="C233" t="s">
        <v>11</v>
      </c>
      <c r="D233" t="s">
        <v>172</v>
      </c>
      <c r="E233" t="s">
        <v>164</v>
      </c>
      <c r="F233" t="s">
        <v>173</v>
      </c>
      <c r="G233" t="s">
        <v>382</v>
      </c>
      <c r="H233" t="s">
        <v>173</v>
      </c>
      <c r="I233" t="s">
        <v>382</v>
      </c>
      <c r="AB233">
        <v>5.5</v>
      </c>
      <c r="BQ233" t="s">
        <v>281</v>
      </c>
      <c r="BR233" t="s">
        <v>315</v>
      </c>
    </row>
    <row r="234" spans="1:74">
      <c r="A234" t="s">
        <v>381</v>
      </c>
      <c r="B234" t="s">
        <v>10</v>
      </c>
      <c r="C234" t="s">
        <v>11</v>
      </c>
      <c r="D234" t="s">
        <v>172</v>
      </c>
      <c r="E234" t="s">
        <v>164</v>
      </c>
      <c r="F234" t="s">
        <v>173</v>
      </c>
      <c r="G234" t="s">
        <v>382</v>
      </c>
      <c r="H234" t="s">
        <v>173</v>
      </c>
      <c r="I234" t="s">
        <v>382</v>
      </c>
      <c r="Y234">
        <v>5.7</v>
      </c>
      <c r="AB234">
        <v>5.9</v>
      </c>
      <c r="BQ234" t="s">
        <v>281</v>
      </c>
      <c r="BR234" t="s">
        <v>315</v>
      </c>
    </row>
    <row r="235" spans="1:74">
      <c r="A235" t="s">
        <v>319</v>
      </c>
      <c r="B235" t="s">
        <v>10</v>
      </c>
      <c r="C235" t="s">
        <v>11</v>
      </c>
      <c r="D235" t="s">
        <v>172</v>
      </c>
      <c r="E235" t="s">
        <v>164</v>
      </c>
      <c r="F235" t="s">
        <v>173</v>
      </c>
      <c r="G235" t="s">
        <v>64</v>
      </c>
      <c r="H235" t="s">
        <v>438</v>
      </c>
      <c r="I235" t="s">
        <v>440</v>
      </c>
      <c r="U235">
        <v>4.8</v>
      </c>
      <c r="X235">
        <v>4.8</v>
      </c>
      <c r="Y235">
        <v>5.18</v>
      </c>
      <c r="AB235">
        <v>6.3</v>
      </c>
      <c r="AC235">
        <v>5.67</v>
      </c>
      <c r="AF235">
        <v>7.57</v>
      </c>
      <c r="AG235">
        <v>4.55</v>
      </c>
      <c r="AJ235">
        <v>6.15</v>
      </c>
      <c r="AS235">
        <v>4.97</v>
      </c>
      <c r="AV235">
        <v>2.9</v>
      </c>
      <c r="AW235">
        <v>5.37</v>
      </c>
      <c r="AZ235">
        <v>4.21</v>
      </c>
      <c r="BA235">
        <v>5.79</v>
      </c>
      <c r="BD235">
        <v>4.91</v>
      </c>
      <c r="BE235">
        <v>6.7</v>
      </c>
      <c r="BH235">
        <v>4.12</v>
      </c>
      <c r="BQ235" t="s">
        <v>281</v>
      </c>
      <c r="BR235" t="s">
        <v>412</v>
      </c>
      <c r="BS235" t="s">
        <v>371</v>
      </c>
      <c r="BT235" t="s">
        <v>412</v>
      </c>
    </row>
    <row r="236" spans="1:74">
      <c r="A236" t="s">
        <v>683</v>
      </c>
      <c r="B236" s="7" t="s">
        <v>10</v>
      </c>
      <c r="C236" s="7" t="s">
        <v>11</v>
      </c>
      <c r="D236" t="s">
        <v>172</v>
      </c>
      <c r="F236" t="s">
        <v>173</v>
      </c>
      <c r="G236" t="s">
        <v>64</v>
      </c>
      <c r="H236" t="s">
        <v>173</v>
      </c>
      <c r="I236" t="s">
        <v>64</v>
      </c>
      <c r="AC236">
        <v>3.75</v>
      </c>
      <c r="AD236">
        <v>5.93</v>
      </c>
      <c r="AF236">
        <v>5.93</v>
      </c>
      <c r="BP236" t="s">
        <v>235</v>
      </c>
      <c r="BQ236" t="s">
        <v>281</v>
      </c>
      <c r="BR236" t="s">
        <v>682</v>
      </c>
      <c r="BS236" t="s">
        <v>371</v>
      </c>
      <c r="BT236" t="s">
        <v>682</v>
      </c>
    </row>
    <row r="237" spans="1:74">
      <c r="A237" t="s">
        <v>505</v>
      </c>
      <c r="B237" t="s">
        <v>10</v>
      </c>
      <c r="C237" t="s">
        <v>11</v>
      </c>
      <c r="D237" t="s">
        <v>172</v>
      </c>
      <c r="E237" t="s">
        <v>176</v>
      </c>
      <c r="F237" t="s">
        <v>173</v>
      </c>
      <c r="G237" t="s">
        <v>64</v>
      </c>
      <c r="H237" t="s">
        <v>438</v>
      </c>
      <c r="I237" t="s">
        <v>440</v>
      </c>
      <c r="AS237">
        <v>5</v>
      </c>
      <c r="AV237">
        <v>2.9</v>
      </c>
      <c r="AW237">
        <v>5.5</v>
      </c>
      <c r="AZ237">
        <v>4.0999999999999996</v>
      </c>
      <c r="BA237">
        <v>5.7</v>
      </c>
      <c r="BD237">
        <v>5.2</v>
      </c>
      <c r="BE237">
        <v>6.5</v>
      </c>
      <c r="BH237">
        <v>4</v>
      </c>
      <c r="BQ237" t="s">
        <v>166</v>
      </c>
      <c r="BR237" t="s">
        <v>503</v>
      </c>
    </row>
    <row r="238" spans="1:74">
      <c r="A238" t="s">
        <v>451</v>
      </c>
      <c r="B238" t="s">
        <v>10</v>
      </c>
      <c r="C238" t="s">
        <v>11</v>
      </c>
      <c r="D238" t="s">
        <v>172</v>
      </c>
      <c r="E238" t="s">
        <v>164</v>
      </c>
      <c r="F238" t="s">
        <v>173</v>
      </c>
      <c r="G238" t="s">
        <v>64</v>
      </c>
      <c r="H238" s="28" t="s">
        <v>1233</v>
      </c>
      <c r="I238" s="29" t="s">
        <v>441</v>
      </c>
      <c r="AO238">
        <v>3.8</v>
      </c>
      <c r="AR238">
        <v>2.2999999999999998</v>
      </c>
      <c r="AS238">
        <v>5</v>
      </c>
      <c r="AV238">
        <v>2.8</v>
      </c>
      <c r="AW238">
        <v>5.2</v>
      </c>
      <c r="AZ238">
        <v>3.9</v>
      </c>
      <c r="BA238">
        <v>5.8</v>
      </c>
      <c r="BD238">
        <v>4.5</v>
      </c>
      <c r="BQ238" t="s">
        <v>281</v>
      </c>
      <c r="BR238" t="s">
        <v>412</v>
      </c>
    </row>
    <row r="239" spans="1:74">
      <c r="A239" t="s">
        <v>451</v>
      </c>
      <c r="B239" t="s">
        <v>10</v>
      </c>
      <c r="C239" t="s">
        <v>11</v>
      </c>
      <c r="D239" t="s">
        <v>172</v>
      </c>
      <c r="E239" t="s">
        <v>176</v>
      </c>
      <c r="F239" t="s">
        <v>173</v>
      </c>
      <c r="G239" t="s">
        <v>64</v>
      </c>
      <c r="H239" t="s">
        <v>1233</v>
      </c>
      <c r="I239" t="s">
        <v>441</v>
      </c>
      <c r="AO239">
        <v>3.8</v>
      </c>
      <c r="AR239">
        <v>2.2999999999999998</v>
      </c>
      <c r="AS239">
        <v>5</v>
      </c>
      <c r="AV239">
        <v>2.8</v>
      </c>
      <c r="AW239">
        <v>5.2</v>
      </c>
      <c r="AZ239">
        <v>3.9</v>
      </c>
      <c r="BA239">
        <v>5.8</v>
      </c>
      <c r="BD239">
        <v>4.5</v>
      </c>
      <c r="BQ239" t="s">
        <v>166</v>
      </c>
      <c r="BR239" t="s">
        <v>503</v>
      </c>
    </row>
    <row r="240" spans="1:74">
      <c r="A240" t="s">
        <v>680</v>
      </c>
      <c r="B240" s="7" t="s">
        <v>10</v>
      </c>
      <c r="C240" s="7" t="s">
        <v>11</v>
      </c>
      <c r="D240" t="s">
        <v>172</v>
      </c>
      <c r="F240" t="s">
        <v>173</v>
      </c>
      <c r="G240" t="s">
        <v>214</v>
      </c>
      <c r="H240" t="s">
        <v>173</v>
      </c>
      <c r="I240" t="s">
        <v>681</v>
      </c>
      <c r="AC240">
        <v>4.59</v>
      </c>
      <c r="AD240">
        <v>5.74</v>
      </c>
      <c r="AE240">
        <v>5.91</v>
      </c>
      <c r="AF240">
        <v>5.91</v>
      </c>
      <c r="BQ240" t="s">
        <v>281</v>
      </c>
      <c r="BR240" t="s">
        <v>682</v>
      </c>
      <c r="BS240" t="s">
        <v>371</v>
      </c>
      <c r="BT240" t="s">
        <v>682</v>
      </c>
    </row>
    <row r="241" spans="1:74">
      <c r="A241" t="s">
        <v>213</v>
      </c>
      <c r="B241" t="s">
        <v>10</v>
      </c>
      <c r="C241" t="s">
        <v>11</v>
      </c>
      <c r="D241" t="s">
        <v>172</v>
      </c>
      <c r="E241" t="s">
        <v>164</v>
      </c>
      <c r="F241" t="s">
        <v>173</v>
      </c>
      <c r="G241" t="s">
        <v>214</v>
      </c>
      <c r="H241" t="s">
        <v>173</v>
      </c>
      <c r="I241" t="s">
        <v>214</v>
      </c>
      <c r="BA241">
        <v>5.5</v>
      </c>
      <c r="BD241">
        <v>4.5</v>
      </c>
      <c r="BQ241" t="s">
        <v>166</v>
      </c>
      <c r="BR241" t="s">
        <v>197</v>
      </c>
      <c r="BS241" t="s">
        <v>181</v>
      </c>
      <c r="BT241" t="s">
        <v>197</v>
      </c>
    </row>
    <row r="242" spans="1:74">
      <c r="A242" s="15" t="s">
        <v>374</v>
      </c>
      <c r="B242" s="15" t="s">
        <v>10</v>
      </c>
      <c r="C242" s="15" t="s">
        <v>11</v>
      </c>
      <c r="D242" s="15" t="s">
        <v>172</v>
      </c>
      <c r="E242" s="15" t="s">
        <v>164</v>
      </c>
      <c r="F242" s="15" t="s">
        <v>173</v>
      </c>
      <c r="G242" s="15" t="s">
        <v>272</v>
      </c>
      <c r="H242" s="15" t="s">
        <v>173</v>
      </c>
      <c r="I242" s="15" t="s">
        <v>272</v>
      </c>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t="s">
        <v>281</v>
      </c>
      <c r="BR242" s="15" t="s">
        <v>370</v>
      </c>
      <c r="BS242" s="15" t="s">
        <v>371</v>
      </c>
      <c r="BT242" s="15" t="s">
        <v>370</v>
      </c>
      <c r="BU242" s="15"/>
      <c r="BV242" s="15"/>
    </row>
    <row r="243" spans="1:74" ht="16">
      <c r="A243" t="s">
        <v>275</v>
      </c>
      <c r="B243" t="s">
        <v>10</v>
      </c>
      <c r="C243" t="s">
        <v>11</v>
      </c>
      <c r="D243" t="s">
        <v>172</v>
      </c>
      <c r="E243" t="s">
        <v>164</v>
      </c>
      <c r="F243" s="1" t="s">
        <v>173</v>
      </c>
      <c r="G243" t="s">
        <v>272</v>
      </c>
      <c r="H243" t="s">
        <v>174</v>
      </c>
      <c r="I243" t="s">
        <v>272</v>
      </c>
      <c r="AG243">
        <v>5.0999999999999996</v>
      </c>
      <c r="AJ243">
        <v>8.9</v>
      </c>
      <c r="AW243">
        <v>7</v>
      </c>
      <c r="AZ243">
        <v>4.3</v>
      </c>
      <c r="BA243">
        <f>(6.6+6.4)/2</f>
        <v>6.5</v>
      </c>
      <c r="BD243">
        <f>(4.4+4.45)/2</f>
        <v>4.4250000000000007</v>
      </c>
      <c r="BQ243" t="s">
        <v>281</v>
      </c>
      <c r="BR243" t="s">
        <v>273</v>
      </c>
      <c r="BS243" t="s">
        <v>181</v>
      </c>
      <c r="BT243" t="s">
        <v>273</v>
      </c>
    </row>
    <row r="244" spans="1:74" ht="16">
      <c r="A244" t="s">
        <v>271</v>
      </c>
      <c r="B244" t="s">
        <v>10</v>
      </c>
      <c r="C244" t="s">
        <v>11</v>
      </c>
      <c r="D244" t="s">
        <v>172</v>
      </c>
      <c r="E244" t="s">
        <v>164</v>
      </c>
      <c r="F244" s="1" t="s">
        <v>173</v>
      </c>
      <c r="G244" t="s">
        <v>272</v>
      </c>
      <c r="H244" t="s">
        <v>174</v>
      </c>
      <c r="I244" t="s">
        <v>272</v>
      </c>
      <c r="AG244">
        <v>4</v>
      </c>
      <c r="AJ244">
        <v>5.6</v>
      </c>
      <c r="BQ244" t="s">
        <v>281</v>
      </c>
      <c r="BR244" t="s">
        <v>273</v>
      </c>
      <c r="BS244" t="s">
        <v>181</v>
      </c>
      <c r="BT244" t="s">
        <v>273</v>
      </c>
    </row>
    <row r="245" spans="1:74" ht="16">
      <c r="A245" t="s">
        <v>274</v>
      </c>
      <c r="B245" t="s">
        <v>10</v>
      </c>
      <c r="C245" t="s">
        <v>11</v>
      </c>
      <c r="D245" t="s">
        <v>172</v>
      </c>
      <c r="E245" t="s">
        <v>164</v>
      </c>
      <c r="F245" s="1" t="s">
        <v>173</v>
      </c>
      <c r="G245" t="s">
        <v>272</v>
      </c>
      <c r="H245" t="s">
        <v>174</v>
      </c>
      <c r="I245" t="s">
        <v>272</v>
      </c>
      <c r="AW245">
        <v>6</v>
      </c>
      <c r="AZ245">
        <v>4</v>
      </c>
      <c r="BQ245" t="s">
        <v>281</v>
      </c>
      <c r="BR245" t="s">
        <v>273</v>
      </c>
    </row>
    <row r="246" spans="1:74">
      <c r="A246" t="s">
        <v>215</v>
      </c>
      <c r="B246" t="s">
        <v>10</v>
      </c>
      <c r="C246" t="s">
        <v>11</v>
      </c>
      <c r="D246" t="s">
        <v>172</v>
      </c>
      <c r="E246" t="s">
        <v>164</v>
      </c>
      <c r="F246" t="s">
        <v>173</v>
      </c>
      <c r="G246" t="s">
        <v>216</v>
      </c>
      <c r="H246" t="s">
        <v>173</v>
      </c>
      <c r="I246" t="s">
        <v>216</v>
      </c>
      <c r="BA246">
        <v>8.1</v>
      </c>
      <c r="BD246">
        <v>5.9</v>
      </c>
      <c r="BQ246" t="s">
        <v>166</v>
      </c>
      <c r="BR246" t="s">
        <v>197</v>
      </c>
      <c r="BS246" t="s">
        <v>181</v>
      </c>
      <c r="BT246" t="s">
        <v>217</v>
      </c>
    </row>
    <row r="247" spans="1:74">
      <c r="A247" t="s">
        <v>219</v>
      </c>
      <c r="B247" t="s">
        <v>10</v>
      </c>
      <c r="C247" t="s">
        <v>11</v>
      </c>
      <c r="D247" t="s">
        <v>172</v>
      </c>
      <c r="E247" t="s">
        <v>164</v>
      </c>
      <c r="F247" t="s">
        <v>173</v>
      </c>
      <c r="G247" t="s">
        <v>220</v>
      </c>
      <c r="H247" t="s">
        <v>173</v>
      </c>
      <c r="I247" t="s">
        <v>220</v>
      </c>
      <c r="AC247">
        <v>5.4</v>
      </c>
      <c r="AF247">
        <v>6.8</v>
      </c>
      <c r="BQ247" t="s">
        <v>166</v>
      </c>
      <c r="BR247" t="s">
        <v>197</v>
      </c>
      <c r="BS247" t="s">
        <v>181</v>
      </c>
      <c r="BT247" t="s">
        <v>197</v>
      </c>
    </row>
    <row r="248" spans="1:74">
      <c r="A248" t="s">
        <v>858</v>
      </c>
      <c r="B248" t="s">
        <v>10</v>
      </c>
      <c r="C248" t="s">
        <v>11</v>
      </c>
      <c r="D248" t="s">
        <v>172</v>
      </c>
      <c r="E248" t="s">
        <v>164</v>
      </c>
      <c r="F248" t="s">
        <v>173</v>
      </c>
      <c r="G248" t="s">
        <v>218</v>
      </c>
      <c r="H248" t="s">
        <v>173</v>
      </c>
      <c r="I248" t="s">
        <v>218</v>
      </c>
      <c r="BA248">
        <v>7.9</v>
      </c>
      <c r="BD248">
        <v>5.8</v>
      </c>
      <c r="BQ248" t="s">
        <v>166</v>
      </c>
      <c r="BR248" t="s">
        <v>197</v>
      </c>
      <c r="BS248" t="s">
        <v>181</v>
      </c>
      <c r="BT248" t="s">
        <v>197</v>
      </c>
    </row>
    <row r="249" spans="1:74">
      <c r="A249" t="s">
        <v>820</v>
      </c>
      <c r="B249" t="s">
        <v>10</v>
      </c>
      <c r="C249" t="s">
        <v>11</v>
      </c>
      <c r="D249" t="s">
        <v>172</v>
      </c>
      <c r="F249" t="s">
        <v>173</v>
      </c>
      <c r="G249" t="s">
        <v>780</v>
      </c>
      <c r="H249" t="s">
        <v>173</v>
      </c>
      <c r="I249" t="s">
        <v>819</v>
      </c>
      <c r="AS249">
        <v>6.1</v>
      </c>
      <c r="AV249">
        <v>3.7</v>
      </c>
      <c r="AW249">
        <v>7.3</v>
      </c>
      <c r="AZ249">
        <v>5.4</v>
      </c>
      <c r="BQ249" t="s">
        <v>281</v>
      </c>
      <c r="BR249" t="s">
        <v>818</v>
      </c>
      <c r="BS249" t="s">
        <v>181</v>
      </c>
      <c r="BT249" t="s">
        <v>818</v>
      </c>
    </row>
    <row r="250" spans="1:74">
      <c r="A250" t="s">
        <v>821</v>
      </c>
      <c r="B250" t="s">
        <v>10</v>
      </c>
      <c r="C250" t="s">
        <v>11</v>
      </c>
      <c r="D250" t="s">
        <v>172</v>
      </c>
      <c r="F250" t="s">
        <v>173</v>
      </c>
      <c r="G250" t="s">
        <v>780</v>
      </c>
      <c r="H250" t="s">
        <v>173</v>
      </c>
      <c r="I250" t="s">
        <v>819</v>
      </c>
      <c r="AC250">
        <v>6.3</v>
      </c>
      <c r="AF250">
        <v>8.8000000000000007</v>
      </c>
      <c r="BQ250" t="s">
        <v>281</v>
      </c>
      <c r="BR250" t="s">
        <v>818</v>
      </c>
      <c r="BS250" t="s">
        <v>181</v>
      </c>
      <c r="BT250" t="s">
        <v>818</v>
      </c>
    </row>
    <row r="251" spans="1:74">
      <c r="A251" t="s">
        <v>319</v>
      </c>
      <c r="B251" t="s">
        <v>10</v>
      </c>
      <c r="C251" t="s">
        <v>11</v>
      </c>
      <c r="D251" t="s">
        <v>172</v>
      </c>
      <c r="E251" t="s">
        <v>164</v>
      </c>
      <c r="F251" t="s">
        <v>173</v>
      </c>
      <c r="G251" t="s">
        <v>439</v>
      </c>
      <c r="H251" t="s">
        <v>438</v>
      </c>
      <c r="I251" t="s">
        <v>439</v>
      </c>
      <c r="AS251">
        <v>4.32</v>
      </c>
      <c r="AV251">
        <v>2.72</v>
      </c>
      <c r="AW251">
        <v>4.66</v>
      </c>
      <c r="AZ251">
        <v>3.7</v>
      </c>
      <c r="BA251">
        <v>4.9800000000000004</v>
      </c>
      <c r="BD251">
        <v>4.3099999999999996</v>
      </c>
      <c r="BE251">
        <v>5.72</v>
      </c>
      <c r="BH251">
        <v>3.68</v>
      </c>
      <c r="BQ251" t="s">
        <v>281</v>
      </c>
      <c r="BR251" t="s">
        <v>412</v>
      </c>
    </row>
    <row r="252" spans="1:74">
      <c r="A252" t="s">
        <v>479</v>
      </c>
      <c r="B252" t="s">
        <v>10</v>
      </c>
      <c r="C252" t="s">
        <v>11</v>
      </c>
      <c r="D252" t="s">
        <v>172</v>
      </c>
      <c r="E252" t="s">
        <v>164</v>
      </c>
      <c r="F252" t="s">
        <v>173</v>
      </c>
      <c r="G252" t="s">
        <v>439</v>
      </c>
      <c r="H252" t="s">
        <v>173</v>
      </c>
      <c r="I252" t="s">
        <v>439</v>
      </c>
      <c r="AS252">
        <v>4.2</v>
      </c>
      <c r="AV252">
        <v>2.6</v>
      </c>
      <c r="BQ252" t="s">
        <v>281</v>
      </c>
      <c r="BR252" t="s">
        <v>389</v>
      </c>
    </row>
    <row r="253" spans="1:74">
      <c r="A253" t="s">
        <v>476</v>
      </c>
      <c r="B253" t="s">
        <v>10</v>
      </c>
      <c r="C253" t="s">
        <v>11</v>
      </c>
      <c r="D253" t="s">
        <v>172</v>
      </c>
      <c r="E253" t="s">
        <v>164</v>
      </c>
      <c r="F253" t="s">
        <v>173</v>
      </c>
      <c r="G253" t="s">
        <v>439</v>
      </c>
      <c r="H253" t="s">
        <v>173</v>
      </c>
      <c r="I253" t="s">
        <v>439</v>
      </c>
      <c r="AW253">
        <v>5.3</v>
      </c>
      <c r="AX253">
        <v>3.1</v>
      </c>
      <c r="AY253">
        <v>3.6</v>
      </c>
      <c r="AZ253">
        <v>3.6</v>
      </c>
      <c r="BQ253" t="s">
        <v>281</v>
      </c>
      <c r="BR253" t="s">
        <v>389</v>
      </c>
    </row>
    <row r="254" spans="1:74">
      <c r="A254" t="s">
        <v>477</v>
      </c>
      <c r="B254" t="s">
        <v>10</v>
      </c>
      <c r="C254" t="s">
        <v>11</v>
      </c>
      <c r="D254" t="s">
        <v>172</v>
      </c>
      <c r="E254" t="s">
        <v>164</v>
      </c>
      <c r="F254" t="s">
        <v>173</v>
      </c>
      <c r="G254" t="s">
        <v>439</v>
      </c>
      <c r="H254" t="s">
        <v>173</v>
      </c>
      <c r="I254" t="s">
        <v>439</v>
      </c>
      <c r="AB254">
        <v>6.3</v>
      </c>
      <c r="BP254" t="s">
        <v>478</v>
      </c>
      <c r="BQ254" t="s">
        <v>281</v>
      </c>
      <c r="BR254" t="s">
        <v>389</v>
      </c>
    </row>
    <row r="255" spans="1:74">
      <c r="A255" t="s">
        <v>684</v>
      </c>
      <c r="B255" s="7" t="s">
        <v>10</v>
      </c>
      <c r="C255" s="7" t="s">
        <v>11</v>
      </c>
      <c r="D255" t="s">
        <v>172</v>
      </c>
      <c r="E255" t="s">
        <v>164</v>
      </c>
      <c r="F255" t="s">
        <v>173</v>
      </c>
      <c r="G255" t="s">
        <v>439</v>
      </c>
      <c r="H255" t="s">
        <v>173</v>
      </c>
      <c r="I255" t="s">
        <v>685</v>
      </c>
      <c r="BE255">
        <v>5.35</v>
      </c>
      <c r="BF255">
        <v>3.23</v>
      </c>
      <c r="BG255">
        <v>2.95</v>
      </c>
      <c r="BH255">
        <v>3.23</v>
      </c>
      <c r="BQ255" t="s">
        <v>281</v>
      </c>
      <c r="BR255" t="s">
        <v>682</v>
      </c>
      <c r="BS255" t="s">
        <v>371</v>
      </c>
      <c r="BT255" t="s">
        <v>682</v>
      </c>
    </row>
    <row r="256" spans="1:74">
      <c r="A256" t="s">
        <v>450</v>
      </c>
      <c r="B256" t="s">
        <v>10</v>
      </c>
      <c r="C256" t="s">
        <v>11</v>
      </c>
      <c r="D256" t="s">
        <v>172</v>
      </c>
      <c r="E256" t="s">
        <v>164</v>
      </c>
      <c r="F256" t="s">
        <v>173</v>
      </c>
      <c r="G256" t="s">
        <v>439</v>
      </c>
      <c r="H256" t="s">
        <v>438</v>
      </c>
      <c r="I256" t="s">
        <v>439</v>
      </c>
      <c r="AK256">
        <v>2.8</v>
      </c>
      <c r="AN256">
        <v>1.6</v>
      </c>
      <c r="AO256">
        <v>3.5</v>
      </c>
      <c r="AR256">
        <v>2</v>
      </c>
      <c r="AS256">
        <v>4.4000000000000004</v>
      </c>
      <c r="AV256">
        <v>2.6</v>
      </c>
      <c r="AW256">
        <v>4.9000000000000004</v>
      </c>
      <c r="AZ256">
        <v>3.7</v>
      </c>
      <c r="BA256">
        <v>5</v>
      </c>
      <c r="BD256">
        <v>4.3</v>
      </c>
      <c r="BQ256" t="s">
        <v>281</v>
      </c>
      <c r="BR256" t="s">
        <v>412</v>
      </c>
    </row>
    <row r="257" spans="1:74">
      <c r="A257" t="s">
        <v>450</v>
      </c>
      <c r="B257" t="s">
        <v>10</v>
      </c>
      <c r="C257" t="s">
        <v>11</v>
      </c>
      <c r="D257" t="s">
        <v>172</v>
      </c>
      <c r="E257" t="s">
        <v>164</v>
      </c>
      <c r="F257" t="s">
        <v>173</v>
      </c>
      <c r="G257" t="s">
        <v>439</v>
      </c>
      <c r="H257" t="s">
        <v>173</v>
      </c>
      <c r="I257" t="s">
        <v>504</v>
      </c>
      <c r="AO257">
        <v>3.5</v>
      </c>
      <c r="AR257">
        <v>2</v>
      </c>
      <c r="AS257">
        <v>4.4000000000000004</v>
      </c>
      <c r="AV257">
        <v>2.6</v>
      </c>
      <c r="AW257">
        <v>4.9000000000000004</v>
      </c>
      <c r="AZ257">
        <v>3.7</v>
      </c>
      <c r="BA257">
        <v>6</v>
      </c>
      <c r="BD257">
        <v>4.3</v>
      </c>
      <c r="BQ257" t="s">
        <v>166</v>
      </c>
      <c r="BR257" t="s">
        <v>503</v>
      </c>
    </row>
    <row r="258" spans="1:74">
      <c r="A258" t="s">
        <v>449</v>
      </c>
      <c r="B258" t="s">
        <v>10</v>
      </c>
      <c r="C258" t="s">
        <v>11</v>
      </c>
      <c r="D258" t="s">
        <v>172</v>
      </c>
      <c r="E258" t="s">
        <v>164</v>
      </c>
      <c r="F258" t="s">
        <v>173</v>
      </c>
      <c r="G258" t="s">
        <v>439</v>
      </c>
      <c r="H258" t="s">
        <v>438</v>
      </c>
      <c r="I258" s="3" t="s">
        <v>439</v>
      </c>
      <c r="AS258">
        <v>4.0999999999999996</v>
      </c>
      <c r="AV258">
        <v>2.9</v>
      </c>
      <c r="AZ258">
        <v>3.9</v>
      </c>
      <c r="BA258">
        <v>5.2</v>
      </c>
      <c r="BD258">
        <v>4.4000000000000004</v>
      </c>
      <c r="BQ258" t="s">
        <v>281</v>
      </c>
      <c r="BR258" t="s">
        <v>412</v>
      </c>
    </row>
    <row r="259" spans="1:74">
      <c r="A259" t="s">
        <v>448</v>
      </c>
      <c r="B259" t="s">
        <v>10</v>
      </c>
      <c r="C259" t="s">
        <v>11</v>
      </c>
      <c r="D259" t="s">
        <v>172</v>
      </c>
      <c r="E259" t="s">
        <v>164</v>
      </c>
      <c r="F259" t="s">
        <v>173</v>
      </c>
      <c r="G259" t="s">
        <v>439</v>
      </c>
      <c r="H259" t="s">
        <v>438</v>
      </c>
      <c r="I259" t="s">
        <v>439</v>
      </c>
      <c r="AW259">
        <v>4.7</v>
      </c>
      <c r="AZ259">
        <v>3.9</v>
      </c>
      <c r="BA259">
        <v>4.9000000000000004</v>
      </c>
      <c r="BD259">
        <v>4.4000000000000004</v>
      </c>
      <c r="BE259">
        <v>6</v>
      </c>
      <c r="BH259">
        <v>3.8</v>
      </c>
      <c r="BQ259" t="s">
        <v>281</v>
      </c>
      <c r="BR259" t="s">
        <v>412</v>
      </c>
    </row>
    <row r="260" spans="1:74">
      <c r="A260" t="s">
        <v>448</v>
      </c>
      <c r="B260" t="s">
        <v>10</v>
      </c>
      <c r="C260" t="s">
        <v>11</v>
      </c>
      <c r="D260" t="s">
        <v>172</v>
      </c>
      <c r="E260" t="s">
        <v>164</v>
      </c>
      <c r="F260" t="s">
        <v>173</v>
      </c>
      <c r="G260" t="s">
        <v>439</v>
      </c>
      <c r="H260" t="s">
        <v>438</v>
      </c>
      <c r="I260" t="s">
        <v>439</v>
      </c>
      <c r="AW260">
        <v>4.7</v>
      </c>
      <c r="AZ260">
        <v>3.9</v>
      </c>
      <c r="BA260">
        <v>4.9000000000000004</v>
      </c>
      <c r="BD260">
        <v>4.4000000000000004</v>
      </c>
      <c r="BE260">
        <v>6</v>
      </c>
      <c r="BH260">
        <v>3.8</v>
      </c>
      <c r="BQ260" t="s">
        <v>166</v>
      </c>
      <c r="BR260" t="s">
        <v>503</v>
      </c>
    </row>
    <row r="261" spans="1:74" ht="16">
      <c r="A261" t="s">
        <v>171</v>
      </c>
      <c r="B261" t="s">
        <v>10</v>
      </c>
      <c r="C261" t="s">
        <v>11</v>
      </c>
      <c r="D261" t="s">
        <v>172</v>
      </c>
      <c r="E261" t="s">
        <v>164</v>
      </c>
      <c r="F261" s="1" t="s">
        <v>173</v>
      </c>
      <c r="G261" s="2" t="s">
        <v>60</v>
      </c>
      <c r="H261" s="1" t="s">
        <v>174</v>
      </c>
      <c r="I261" s="2" t="s">
        <v>60</v>
      </c>
      <c r="K261" t="s">
        <v>165</v>
      </c>
      <c r="AS261">
        <v>4.8</v>
      </c>
      <c r="AV261">
        <v>2.5</v>
      </c>
      <c r="BQ261" t="s">
        <v>166</v>
      </c>
      <c r="BR261" t="s">
        <v>167</v>
      </c>
      <c r="BT261" t="s">
        <v>167</v>
      </c>
    </row>
    <row r="262" spans="1:74">
      <c r="A262" t="s">
        <v>822</v>
      </c>
      <c r="B262" t="s">
        <v>10</v>
      </c>
      <c r="C262" t="s">
        <v>11</v>
      </c>
      <c r="D262" t="s">
        <v>172</v>
      </c>
      <c r="F262" t="s">
        <v>173</v>
      </c>
      <c r="G262" t="s">
        <v>60</v>
      </c>
      <c r="H262" t="s">
        <v>173</v>
      </c>
      <c r="I262" t="s">
        <v>60</v>
      </c>
      <c r="AC262">
        <v>5.2</v>
      </c>
      <c r="AF262">
        <v>6.3</v>
      </c>
      <c r="BP262" t="s">
        <v>823</v>
      </c>
      <c r="BQ262" t="s">
        <v>281</v>
      </c>
      <c r="BR262" t="s">
        <v>818</v>
      </c>
      <c r="BS262" t="s">
        <v>181</v>
      </c>
      <c r="BT262" t="s">
        <v>818</v>
      </c>
    </row>
    <row r="263" spans="1:74">
      <c r="A263" s="15" t="s">
        <v>428</v>
      </c>
      <c r="B263" s="15" t="s">
        <v>10</v>
      </c>
      <c r="C263" s="15" t="s">
        <v>11</v>
      </c>
      <c r="D263" s="15" t="s">
        <v>172</v>
      </c>
      <c r="E263" s="15" t="s">
        <v>176</v>
      </c>
      <c r="F263" s="15" t="s">
        <v>410</v>
      </c>
      <c r="G263" s="15" t="s">
        <v>28</v>
      </c>
      <c r="H263" s="15" t="s">
        <v>410</v>
      </c>
      <c r="I263" s="15" t="s">
        <v>28</v>
      </c>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v>9.6999999999999993</v>
      </c>
      <c r="BB263" s="15"/>
      <c r="BC263" s="15"/>
      <c r="BD263" s="15">
        <v>8.4</v>
      </c>
      <c r="BE263" s="15">
        <v>9.6</v>
      </c>
      <c r="BF263" s="15"/>
      <c r="BG263" s="15"/>
      <c r="BH263" s="15">
        <v>7.6</v>
      </c>
      <c r="BI263" s="15"/>
      <c r="BJ263" s="15"/>
      <c r="BK263" s="15"/>
      <c r="BL263" s="15"/>
      <c r="BM263" s="15"/>
      <c r="BN263" s="15"/>
      <c r="BO263" s="15"/>
      <c r="BP263" s="15" t="s">
        <v>429</v>
      </c>
      <c r="BQ263" s="15" t="s">
        <v>281</v>
      </c>
      <c r="BR263" s="15" t="s">
        <v>412</v>
      </c>
      <c r="BS263" s="15" t="s">
        <v>371</v>
      </c>
      <c r="BT263" s="15" t="s">
        <v>412</v>
      </c>
      <c r="BU263" s="15"/>
      <c r="BV263" s="15"/>
    </row>
    <row r="264" spans="1:74">
      <c r="A264" s="15" t="s">
        <v>428</v>
      </c>
      <c r="B264" s="15" t="s">
        <v>10</v>
      </c>
      <c r="C264" s="15" t="s">
        <v>11</v>
      </c>
      <c r="D264" s="15" t="s">
        <v>172</v>
      </c>
      <c r="E264" s="15"/>
      <c r="F264" s="15" t="s">
        <v>410</v>
      </c>
      <c r="G264" s="15" t="s">
        <v>28</v>
      </c>
      <c r="H264" s="15" t="s">
        <v>1048</v>
      </c>
      <c r="I264" s="15" t="s">
        <v>28</v>
      </c>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v>9.6999999999999993</v>
      </c>
      <c r="BB264" s="15"/>
      <c r="BC264" s="15"/>
      <c r="BD264" s="15">
        <v>8.4</v>
      </c>
      <c r="BE264" s="15">
        <v>9.6</v>
      </c>
      <c r="BF264" s="15"/>
      <c r="BG264" s="15"/>
      <c r="BH264" s="15">
        <v>7.6</v>
      </c>
      <c r="BI264" s="15"/>
      <c r="BJ264" s="15"/>
      <c r="BK264" s="15"/>
      <c r="BL264" s="15"/>
      <c r="BM264" s="15"/>
      <c r="BN264" s="15"/>
      <c r="BO264" s="15"/>
      <c r="BP264" s="15" t="s">
        <v>429</v>
      </c>
      <c r="BQ264" s="15" t="s">
        <v>166</v>
      </c>
      <c r="BR264" s="15" t="s">
        <v>1049</v>
      </c>
      <c r="BS264" s="15" t="s">
        <v>371</v>
      </c>
      <c r="BT264" s="15" t="s">
        <v>1049</v>
      </c>
      <c r="BU264" s="15"/>
      <c r="BV264" s="15"/>
    </row>
    <row r="265" spans="1:74">
      <c r="A265" t="s">
        <v>224</v>
      </c>
      <c r="B265" t="s">
        <v>10</v>
      </c>
      <c r="C265" t="s">
        <v>11</v>
      </c>
      <c r="D265" t="s">
        <v>172</v>
      </c>
      <c r="E265" t="s">
        <v>176</v>
      </c>
      <c r="F265" t="s">
        <v>410</v>
      </c>
      <c r="G265" t="s">
        <v>226</v>
      </c>
      <c r="H265" t="s">
        <v>225</v>
      </c>
      <c r="I265" t="s">
        <v>226</v>
      </c>
      <c r="BA265">
        <v>16.5</v>
      </c>
      <c r="BD265">
        <v>14.8</v>
      </c>
      <c r="BQ265" t="s">
        <v>166</v>
      </c>
      <c r="BR265" t="s">
        <v>197</v>
      </c>
      <c r="BS265" t="s">
        <v>181</v>
      </c>
      <c r="BT265" t="s">
        <v>197</v>
      </c>
    </row>
    <row r="266" spans="1:74">
      <c r="A266" t="s">
        <v>430</v>
      </c>
      <c r="B266" t="s">
        <v>10</v>
      </c>
      <c r="C266" t="s">
        <v>11</v>
      </c>
      <c r="D266" t="s">
        <v>172</v>
      </c>
      <c r="E266" t="s">
        <v>176</v>
      </c>
      <c r="F266" t="s">
        <v>410</v>
      </c>
      <c r="G266" t="s">
        <v>226</v>
      </c>
      <c r="H266" t="s">
        <v>410</v>
      </c>
      <c r="I266" t="s">
        <v>431</v>
      </c>
      <c r="AC266">
        <v>9</v>
      </c>
      <c r="AF266">
        <v>13.5</v>
      </c>
      <c r="AG266">
        <v>6.7</v>
      </c>
      <c r="AJ266">
        <v>10</v>
      </c>
      <c r="BQ266" t="s">
        <v>281</v>
      </c>
      <c r="BR266" t="s">
        <v>412</v>
      </c>
      <c r="BS266" t="s">
        <v>371</v>
      </c>
      <c r="BT266" t="s">
        <v>412</v>
      </c>
    </row>
    <row r="267" spans="1:74" s="15" customFormat="1">
      <c r="A267" t="s">
        <v>430</v>
      </c>
      <c r="B267" t="s">
        <v>10</v>
      </c>
      <c r="C267" t="s">
        <v>11</v>
      </c>
      <c r="D267" t="s">
        <v>172</v>
      </c>
      <c r="E267" t="s">
        <v>176</v>
      </c>
      <c r="F267" t="s">
        <v>410</v>
      </c>
      <c r="G267" t="s">
        <v>226</v>
      </c>
      <c r="H267" t="s">
        <v>410</v>
      </c>
      <c r="I267" t="s">
        <v>431</v>
      </c>
      <c r="J267"/>
      <c r="K267"/>
      <c r="L267"/>
      <c r="M267"/>
      <c r="N267"/>
      <c r="O267"/>
      <c r="P267"/>
      <c r="Q267"/>
      <c r="R267"/>
      <c r="S267"/>
      <c r="T267"/>
      <c r="U267"/>
      <c r="V267"/>
      <c r="W267"/>
      <c r="X267"/>
      <c r="Y267"/>
      <c r="Z267"/>
      <c r="AA267"/>
      <c r="AB267"/>
      <c r="AC267">
        <v>9</v>
      </c>
      <c r="AD267"/>
      <c r="AE267"/>
      <c r="AF267">
        <v>13.5</v>
      </c>
      <c r="AG267">
        <v>6.7</v>
      </c>
      <c r="AH267"/>
      <c r="AI267"/>
      <c r="AJ267">
        <v>10</v>
      </c>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t="s">
        <v>166</v>
      </c>
      <c r="BR267" t="s">
        <v>503</v>
      </c>
      <c r="BS267"/>
      <c r="BT267"/>
      <c r="BU267"/>
      <c r="BV267"/>
    </row>
    <row r="268" spans="1:74">
      <c r="A268" t="s">
        <v>835</v>
      </c>
      <c r="B268" t="s">
        <v>10</v>
      </c>
      <c r="C268" t="s">
        <v>11</v>
      </c>
      <c r="D268" t="s">
        <v>172</v>
      </c>
      <c r="F268" t="s">
        <v>410</v>
      </c>
      <c r="G268" t="s">
        <v>226</v>
      </c>
      <c r="H268" t="s">
        <v>410</v>
      </c>
      <c r="I268" t="s">
        <v>836</v>
      </c>
      <c r="BA268">
        <v>9.5</v>
      </c>
      <c r="BD268">
        <v>7.5</v>
      </c>
      <c r="BE268">
        <v>9.8000000000000007</v>
      </c>
      <c r="BH268">
        <v>6.3</v>
      </c>
      <c r="BP268" t="s">
        <v>837</v>
      </c>
      <c r="BQ268" t="s">
        <v>281</v>
      </c>
      <c r="BR268" t="s">
        <v>818</v>
      </c>
      <c r="BS268" t="s">
        <v>181</v>
      </c>
      <c r="BT268" t="s">
        <v>818</v>
      </c>
    </row>
    <row r="269" spans="1:74">
      <c r="A269" s="15" t="s">
        <v>423</v>
      </c>
      <c r="B269" s="15" t="s">
        <v>10</v>
      </c>
      <c r="C269" s="15" t="s">
        <v>11</v>
      </c>
      <c r="D269" s="15" t="s">
        <v>172</v>
      </c>
      <c r="E269" s="15" t="s">
        <v>176</v>
      </c>
      <c r="F269" s="15" t="s">
        <v>410</v>
      </c>
      <c r="G269" s="15" t="s">
        <v>226</v>
      </c>
      <c r="H269" s="15" t="s">
        <v>410</v>
      </c>
      <c r="I269" s="15" t="s">
        <v>226</v>
      </c>
      <c r="J269" s="15"/>
      <c r="K269" s="15"/>
      <c r="L269" s="15"/>
      <c r="M269" s="15"/>
      <c r="N269" s="15"/>
      <c r="O269" s="15"/>
      <c r="P269" s="15"/>
      <c r="Q269" s="15"/>
      <c r="R269" s="15"/>
      <c r="S269" s="15"/>
      <c r="T269" s="15"/>
      <c r="U269" s="15">
        <v>7.3</v>
      </c>
      <c r="V269" s="15"/>
      <c r="W269" s="15"/>
      <c r="X269" s="15">
        <v>7.5</v>
      </c>
      <c r="Y269" s="15">
        <v>9.4</v>
      </c>
      <c r="Z269" s="15"/>
      <c r="AA269" s="15"/>
      <c r="AB269" s="15">
        <v>10</v>
      </c>
      <c r="AC269" s="15"/>
      <c r="AD269" s="15"/>
      <c r="AE269" s="15"/>
      <c r="AF269" s="15"/>
      <c r="AG269" s="15">
        <v>5.5</v>
      </c>
      <c r="AH269" s="15"/>
      <c r="AI269" s="15"/>
      <c r="AJ269" s="15">
        <v>9.3000000000000007</v>
      </c>
      <c r="AK269" s="15"/>
      <c r="AL269" s="15"/>
      <c r="AM269" s="15"/>
      <c r="AN269" s="15"/>
      <c r="AO269" s="15"/>
      <c r="AP269" s="15"/>
      <c r="AQ269" s="15"/>
      <c r="AR269" s="15"/>
      <c r="AS269" s="15"/>
      <c r="AT269" s="15"/>
      <c r="AU269" s="15"/>
      <c r="AV269" s="15"/>
      <c r="AW269" s="15">
        <f>28.5-(SUM(BA269,BE269))</f>
        <v>9.1999999999999993</v>
      </c>
      <c r="AX269" s="15"/>
      <c r="AY269" s="15"/>
      <c r="AZ269" s="16"/>
      <c r="BA269" s="15">
        <v>9.4</v>
      </c>
      <c r="BB269" s="15"/>
      <c r="BC269" s="15"/>
      <c r="BD269" s="15">
        <v>7.5</v>
      </c>
      <c r="BE269" s="15">
        <v>9.9</v>
      </c>
      <c r="BF269" s="15"/>
      <c r="BG269" s="15"/>
      <c r="BH269" s="15">
        <v>6.5</v>
      </c>
      <c r="BI269" s="15"/>
      <c r="BJ269" s="15"/>
      <c r="BK269" s="15"/>
      <c r="BL269" s="15"/>
      <c r="BM269" s="15"/>
      <c r="BN269" s="15"/>
      <c r="BO269" s="15"/>
      <c r="BP269" s="15" t="s">
        <v>424</v>
      </c>
      <c r="BQ269" s="15" t="s">
        <v>281</v>
      </c>
      <c r="BR269" s="15" t="s">
        <v>412</v>
      </c>
      <c r="BS269" s="15" t="s">
        <v>371</v>
      </c>
      <c r="BT269" s="15" t="s">
        <v>412</v>
      </c>
      <c r="BU269" s="15"/>
      <c r="BV269" s="15"/>
    </row>
    <row r="270" spans="1:74">
      <c r="A270" t="s">
        <v>1051</v>
      </c>
      <c r="B270" t="s">
        <v>10</v>
      </c>
      <c r="C270" t="s">
        <v>11</v>
      </c>
      <c r="D270" t="s">
        <v>172</v>
      </c>
      <c r="F270" t="s">
        <v>410</v>
      </c>
      <c r="G270" t="s">
        <v>623</v>
      </c>
      <c r="H270" t="s">
        <v>410</v>
      </c>
      <c r="I270" t="s">
        <v>623</v>
      </c>
      <c r="AC270">
        <v>8</v>
      </c>
      <c r="AF270">
        <v>10</v>
      </c>
      <c r="AG270">
        <v>7</v>
      </c>
      <c r="AI270">
        <v>9</v>
      </c>
      <c r="BQ270" t="s">
        <v>166</v>
      </c>
      <c r="BR270" t="s">
        <v>1049</v>
      </c>
    </row>
    <row r="271" spans="1:74">
      <c r="A271" s="15" t="s">
        <v>426</v>
      </c>
      <c r="B271" s="15" t="s">
        <v>10</v>
      </c>
      <c r="C271" s="15" t="s">
        <v>11</v>
      </c>
      <c r="D271" s="15" t="s">
        <v>172</v>
      </c>
      <c r="E271" s="15" t="s">
        <v>176</v>
      </c>
      <c r="F271" s="15" t="s">
        <v>410</v>
      </c>
      <c r="G271" s="15" t="s">
        <v>425</v>
      </c>
      <c r="H271" s="15" t="s">
        <v>410</v>
      </c>
      <c r="I271" s="15" t="s">
        <v>425</v>
      </c>
      <c r="J271" s="15"/>
      <c r="K271" s="15"/>
      <c r="L271" s="15"/>
      <c r="M271" s="15"/>
      <c r="N271" s="15"/>
      <c r="O271" s="15"/>
      <c r="P271" s="15"/>
      <c r="Q271" s="15"/>
      <c r="R271" s="15"/>
      <c r="S271" s="15"/>
      <c r="T271" s="15"/>
      <c r="U271" s="15"/>
      <c r="V271" s="15"/>
      <c r="W271" s="15"/>
      <c r="X271" s="15"/>
      <c r="Y271" s="15">
        <v>7</v>
      </c>
      <c r="Z271" s="15"/>
      <c r="AA271" s="15"/>
      <c r="AB271" s="15">
        <v>8.8000000000000007</v>
      </c>
      <c r="AC271" s="15">
        <v>7.4</v>
      </c>
      <c r="AD271" s="15"/>
      <c r="AE271" s="15"/>
      <c r="AF271" s="15">
        <v>11.5</v>
      </c>
      <c r="AG271" s="15">
        <v>5</v>
      </c>
      <c r="AH271" s="15"/>
      <c r="AI271" s="15"/>
      <c r="AJ271" s="15">
        <v>9</v>
      </c>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t="s">
        <v>427</v>
      </c>
      <c r="BQ271" s="15" t="s">
        <v>281</v>
      </c>
      <c r="BR271" s="15" t="s">
        <v>412</v>
      </c>
      <c r="BS271" s="15" t="s">
        <v>371</v>
      </c>
      <c r="BT271" s="15" t="s">
        <v>412</v>
      </c>
      <c r="BU271" s="15"/>
      <c r="BV271" s="15"/>
    </row>
    <row r="272" spans="1:74">
      <c r="A272" s="15" t="s">
        <v>426</v>
      </c>
      <c r="B272" s="15" t="s">
        <v>10</v>
      </c>
      <c r="C272" s="15" t="s">
        <v>11</v>
      </c>
      <c r="D272" s="15" t="s">
        <v>172</v>
      </c>
      <c r="E272" s="15"/>
      <c r="F272" s="15" t="s">
        <v>410</v>
      </c>
      <c r="G272" s="15" t="s">
        <v>425</v>
      </c>
      <c r="H272" s="15" t="s">
        <v>1048</v>
      </c>
      <c r="I272" s="15" t="s">
        <v>425</v>
      </c>
      <c r="J272" s="15"/>
      <c r="K272" s="15"/>
      <c r="L272" s="15"/>
      <c r="M272" s="15"/>
      <c r="N272" s="15"/>
      <c r="O272" s="15"/>
      <c r="P272" s="15"/>
      <c r="Q272" s="15"/>
      <c r="R272" s="15"/>
      <c r="S272" s="15"/>
      <c r="T272" s="15"/>
      <c r="U272" s="15"/>
      <c r="V272" s="15"/>
      <c r="W272" s="15"/>
      <c r="X272" s="15"/>
      <c r="Y272" s="15">
        <v>7</v>
      </c>
      <c r="Z272" s="15"/>
      <c r="AA272" s="15"/>
      <c r="AB272" s="15">
        <v>8.8000000000000007</v>
      </c>
      <c r="AC272" s="15">
        <v>7.4</v>
      </c>
      <c r="AD272" s="15"/>
      <c r="AE272" s="15"/>
      <c r="AF272" s="15">
        <v>11.5</v>
      </c>
      <c r="AG272" s="15">
        <v>5</v>
      </c>
      <c r="AH272" s="15"/>
      <c r="AI272" s="15"/>
      <c r="AJ272" s="15">
        <v>9</v>
      </c>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t="s">
        <v>1050</v>
      </c>
      <c r="BQ272" s="15" t="s">
        <v>166</v>
      </c>
      <c r="BR272" s="15" t="s">
        <v>1049</v>
      </c>
      <c r="BS272" s="15" t="s">
        <v>371</v>
      </c>
      <c r="BT272" s="15" t="s">
        <v>1049</v>
      </c>
      <c r="BU272" s="15"/>
      <c r="BV272" s="15"/>
    </row>
    <row r="273" spans="1:74" s="10" customFormat="1" ht="16">
      <c r="A273" s="10" t="s">
        <v>175</v>
      </c>
      <c r="B273" s="10" t="s">
        <v>10</v>
      </c>
      <c r="C273" s="10" t="s">
        <v>11</v>
      </c>
      <c r="D273" s="10" t="s">
        <v>172</v>
      </c>
      <c r="E273" s="10" t="s">
        <v>176</v>
      </c>
      <c r="F273" s="26" t="s">
        <v>177</v>
      </c>
      <c r="G273" s="26" t="s">
        <v>178</v>
      </c>
      <c r="H273" s="26" t="s">
        <v>177</v>
      </c>
      <c r="I273" s="26" t="s">
        <v>178</v>
      </c>
      <c r="K273" s="10" t="s">
        <v>165</v>
      </c>
      <c r="BE273" s="10">
        <v>8.5</v>
      </c>
      <c r="BH273" s="10">
        <v>4.8</v>
      </c>
      <c r="BP273" s="18"/>
      <c r="BQ273" s="18"/>
      <c r="BR273" s="18"/>
      <c r="BS273" s="18"/>
      <c r="BT273" s="18"/>
    </row>
    <row r="274" spans="1:74">
      <c r="A274" t="s">
        <v>833</v>
      </c>
      <c r="B274" t="s">
        <v>10</v>
      </c>
      <c r="C274" t="s">
        <v>11</v>
      </c>
      <c r="D274" t="s">
        <v>172</v>
      </c>
      <c r="F274" t="s">
        <v>177</v>
      </c>
      <c r="G274" t="s">
        <v>178</v>
      </c>
      <c r="H274" t="s">
        <v>410</v>
      </c>
      <c r="I274" t="s">
        <v>834</v>
      </c>
      <c r="AW274">
        <v>7.7</v>
      </c>
      <c r="AZ274">
        <v>6.1</v>
      </c>
      <c r="BA274">
        <v>8</v>
      </c>
      <c r="BD274">
        <v>6.7</v>
      </c>
      <c r="BE274">
        <v>8.6999999999999993</v>
      </c>
      <c r="BH274">
        <v>5.6</v>
      </c>
      <c r="BQ274" t="s">
        <v>281</v>
      </c>
      <c r="BR274" t="s">
        <v>818</v>
      </c>
      <c r="BS274" t="s">
        <v>181</v>
      </c>
      <c r="BT274" t="s">
        <v>818</v>
      </c>
    </row>
    <row r="275" spans="1:74">
      <c r="A275" t="s">
        <v>239</v>
      </c>
      <c r="B275" t="s">
        <v>10</v>
      </c>
      <c r="C275" t="s">
        <v>11</v>
      </c>
      <c r="D275" t="s">
        <v>172</v>
      </c>
      <c r="E275" t="s">
        <v>176</v>
      </c>
      <c r="F275" t="s">
        <v>240</v>
      </c>
      <c r="G275" t="s">
        <v>241</v>
      </c>
      <c r="H275" t="s">
        <v>240</v>
      </c>
      <c r="I275" t="s">
        <v>241</v>
      </c>
      <c r="AC275">
        <v>5.8</v>
      </c>
      <c r="AF275">
        <v>7</v>
      </c>
      <c r="BQ275" t="s">
        <v>166</v>
      </c>
      <c r="BR275" t="s">
        <v>197</v>
      </c>
      <c r="BS275" t="s">
        <v>181</v>
      </c>
      <c r="BT275" t="s">
        <v>197</v>
      </c>
    </row>
    <row r="276" spans="1:74">
      <c r="A276" t="s">
        <v>542</v>
      </c>
      <c r="B276" t="s">
        <v>10</v>
      </c>
      <c r="C276" t="s">
        <v>11</v>
      </c>
      <c r="D276" t="s">
        <v>172</v>
      </c>
      <c r="F276" t="s">
        <v>240</v>
      </c>
      <c r="G276" t="s">
        <v>543</v>
      </c>
      <c r="H276" t="s">
        <v>240</v>
      </c>
      <c r="I276" t="s">
        <v>543</v>
      </c>
      <c r="U276">
        <v>6.5</v>
      </c>
      <c r="Y276">
        <v>7.3</v>
      </c>
      <c r="AB276">
        <v>8.6</v>
      </c>
      <c r="AC276">
        <f>AVERAGE(7.3,7.4)</f>
        <v>7.35</v>
      </c>
      <c r="AF276">
        <f>AVERAGE(11)</f>
        <v>11</v>
      </c>
      <c r="AG276">
        <f>AVERAGE(6.2,6)</f>
        <v>6.1</v>
      </c>
      <c r="AJ276">
        <f>AVERAGE(8.7,8.8)</f>
        <v>8.75</v>
      </c>
      <c r="AW276">
        <v>8.8000000000000007</v>
      </c>
      <c r="AX276">
        <v>7.2</v>
      </c>
      <c r="AY276">
        <v>7.4</v>
      </c>
      <c r="AZ276">
        <v>7.4</v>
      </c>
      <c r="BB276">
        <v>6</v>
      </c>
      <c r="BC276">
        <v>6.4</v>
      </c>
      <c r="BD276">
        <v>6.4</v>
      </c>
      <c r="BG276">
        <v>5.2</v>
      </c>
      <c r="BH276">
        <v>5.2</v>
      </c>
      <c r="BQ276" t="s">
        <v>281</v>
      </c>
      <c r="BR276" s="12" t="s">
        <v>544</v>
      </c>
      <c r="BS276" t="s">
        <v>181</v>
      </c>
      <c r="BT276" s="12" t="s">
        <v>544</v>
      </c>
    </row>
    <row r="277" spans="1:74">
      <c r="A277" t="s">
        <v>242</v>
      </c>
      <c r="B277" t="s">
        <v>10</v>
      </c>
      <c r="C277" t="s">
        <v>11</v>
      </c>
      <c r="D277" t="s">
        <v>172</v>
      </c>
      <c r="E277" t="s">
        <v>176</v>
      </c>
      <c r="F277" t="s">
        <v>240</v>
      </c>
      <c r="G277" t="s">
        <v>243</v>
      </c>
      <c r="H277" t="s">
        <v>240</v>
      </c>
      <c r="I277" t="s">
        <v>243</v>
      </c>
      <c r="AC277">
        <v>6</v>
      </c>
      <c r="AF277">
        <v>7.9</v>
      </c>
      <c r="BQ277" t="s">
        <v>166</v>
      </c>
      <c r="BR277" t="s">
        <v>197</v>
      </c>
      <c r="BS277" t="s">
        <v>181</v>
      </c>
      <c r="BT277" t="s">
        <v>197</v>
      </c>
    </row>
    <row r="278" spans="1:74">
      <c r="A278" t="s">
        <v>319</v>
      </c>
      <c r="B278" t="s">
        <v>10</v>
      </c>
      <c r="C278" t="s">
        <v>11</v>
      </c>
      <c r="D278" t="s">
        <v>172</v>
      </c>
      <c r="F278" t="s">
        <v>240</v>
      </c>
      <c r="G278" t="s">
        <v>623</v>
      </c>
      <c r="H278" t="s">
        <v>63</v>
      </c>
      <c r="I278" t="s">
        <v>623</v>
      </c>
      <c r="AC278">
        <f>0.008*1000</f>
        <v>8</v>
      </c>
      <c r="AF278">
        <f>0.011*1000</f>
        <v>11</v>
      </c>
      <c r="BQ278" t="s">
        <v>281</v>
      </c>
      <c r="BR278" t="s">
        <v>624</v>
      </c>
    </row>
    <row r="279" spans="1:74">
      <c r="A279" t="s">
        <v>432</v>
      </c>
      <c r="B279" t="s">
        <v>10</v>
      </c>
      <c r="C279" t="s">
        <v>11</v>
      </c>
      <c r="D279" t="s">
        <v>172</v>
      </c>
      <c r="E279" t="s">
        <v>176</v>
      </c>
      <c r="F279" t="s">
        <v>245</v>
      </c>
      <c r="G279" t="s">
        <v>433</v>
      </c>
      <c r="H279" t="s">
        <v>245</v>
      </c>
      <c r="I279" t="s">
        <v>433</v>
      </c>
      <c r="AF279">
        <v>14.6</v>
      </c>
      <c r="AG279">
        <v>10</v>
      </c>
      <c r="BP279" t="s">
        <v>434</v>
      </c>
      <c r="BQ279" t="s">
        <v>281</v>
      </c>
      <c r="BR279" t="s">
        <v>412</v>
      </c>
      <c r="BS279" t="s">
        <v>371</v>
      </c>
      <c r="BT279" t="s">
        <v>412</v>
      </c>
    </row>
    <row r="280" spans="1:74">
      <c r="A280" t="s">
        <v>432</v>
      </c>
      <c r="B280" t="s">
        <v>10</v>
      </c>
      <c r="C280" t="s">
        <v>11</v>
      </c>
      <c r="D280" t="s">
        <v>172</v>
      </c>
      <c r="E280" t="s">
        <v>176</v>
      </c>
      <c r="F280" t="s">
        <v>245</v>
      </c>
      <c r="G280" t="s">
        <v>433</v>
      </c>
      <c r="H280" t="s">
        <v>245</v>
      </c>
      <c r="I280" t="s">
        <v>433</v>
      </c>
      <c r="BD280">
        <v>14.6</v>
      </c>
      <c r="BE280">
        <v>10</v>
      </c>
      <c r="BQ280" t="s">
        <v>166</v>
      </c>
      <c r="BR280" t="s">
        <v>503</v>
      </c>
    </row>
    <row r="281" spans="1:74">
      <c r="A281" t="s">
        <v>436</v>
      </c>
      <c r="B281" t="s">
        <v>10</v>
      </c>
      <c r="C281" t="s">
        <v>11</v>
      </c>
      <c r="D281" t="s">
        <v>172</v>
      </c>
      <c r="E281" t="s">
        <v>176</v>
      </c>
      <c r="F281" t="s">
        <v>245</v>
      </c>
      <c r="G281" t="s">
        <v>433</v>
      </c>
      <c r="H281" t="s">
        <v>245</v>
      </c>
      <c r="I281" t="s">
        <v>433</v>
      </c>
      <c r="BA281">
        <v>12.6</v>
      </c>
      <c r="BD281">
        <v>10.5</v>
      </c>
      <c r="BP281" t="s">
        <v>435</v>
      </c>
      <c r="BQ281" t="s">
        <v>281</v>
      </c>
      <c r="BR281" t="s">
        <v>412</v>
      </c>
      <c r="BS281" t="s">
        <v>371</v>
      </c>
      <c r="BT281" t="s">
        <v>412</v>
      </c>
    </row>
    <row r="282" spans="1:74">
      <c r="A282" t="s">
        <v>436</v>
      </c>
      <c r="B282" t="s">
        <v>10</v>
      </c>
      <c r="C282" t="s">
        <v>11</v>
      </c>
      <c r="D282" t="s">
        <v>172</v>
      </c>
      <c r="E282" t="s">
        <v>176</v>
      </c>
      <c r="F282" t="s">
        <v>245</v>
      </c>
      <c r="G282" t="s">
        <v>433</v>
      </c>
      <c r="H282" t="s">
        <v>245</v>
      </c>
      <c r="I282" t="s">
        <v>433</v>
      </c>
      <c r="BA282">
        <v>10.5</v>
      </c>
      <c r="BD282">
        <v>12.6</v>
      </c>
      <c r="BQ282" t="s">
        <v>166</v>
      </c>
      <c r="BR282" t="s">
        <v>503</v>
      </c>
    </row>
    <row r="283" spans="1:74">
      <c r="A283" t="s">
        <v>244</v>
      </c>
      <c r="B283" t="s">
        <v>10</v>
      </c>
      <c r="C283" t="s">
        <v>11</v>
      </c>
      <c r="D283" t="s">
        <v>172</v>
      </c>
      <c r="E283" t="s">
        <v>176</v>
      </c>
      <c r="F283" t="s">
        <v>245</v>
      </c>
      <c r="G283" t="s">
        <v>490</v>
      </c>
      <c r="H283" t="s">
        <v>245</v>
      </c>
      <c r="I283" t="s">
        <v>490</v>
      </c>
      <c r="AC283">
        <v>9.5</v>
      </c>
      <c r="AF283">
        <v>13.2</v>
      </c>
      <c r="BQ283" t="s">
        <v>166</v>
      </c>
      <c r="BR283" t="s">
        <v>197</v>
      </c>
      <c r="BS283" t="s">
        <v>181</v>
      </c>
      <c r="BT283" t="s">
        <v>197</v>
      </c>
    </row>
    <row r="284" spans="1:74">
      <c r="A284" t="s">
        <v>523</v>
      </c>
      <c r="B284" t="s">
        <v>10</v>
      </c>
      <c r="C284" t="s">
        <v>11</v>
      </c>
      <c r="D284" t="s">
        <v>172</v>
      </c>
      <c r="E284" t="s">
        <v>514</v>
      </c>
      <c r="F284" t="s">
        <v>496</v>
      </c>
      <c r="G284" t="s">
        <v>522</v>
      </c>
      <c r="H284" t="s">
        <v>496</v>
      </c>
      <c r="I284" t="s">
        <v>522</v>
      </c>
      <c r="AW284">
        <v>10.199999999999999</v>
      </c>
      <c r="AX284">
        <v>7.4</v>
      </c>
      <c r="AY284">
        <v>8.6</v>
      </c>
      <c r="AZ284">
        <v>8.6</v>
      </c>
      <c r="BQ284" t="s">
        <v>281</v>
      </c>
      <c r="BR284" t="s">
        <v>510</v>
      </c>
      <c r="BS284" t="s">
        <v>181</v>
      </c>
      <c r="BT284" t="s">
        <v>510</v>
      </c>
    </row>
    <row r="285" spans="1:74">
      <c r="A285" t="s">
        <v>675</v>
      </c>
      <c r="B285" s="7" t="s">
        <v>10</v>
      </c>
      <c r="C285" s="7" t="s">
        <v>11</v>
      </c>
      <c r="D285" t="s">
        <v>172</v>
      </c>
      <c r="F285" t="s">
        <v>496</v>
      </c>
      <c r="G285" t="s">
        <v>54</v>
      </c>
      <c r="H285" t="s">
        <v>115</v>
      </c>
      <c r="I285" t="s">
        <v>54</v>
      </c>
      <c r="AS285">
        <v>7.5</v>
      </c>
      <c r="AV285">
        <v>5.5</v>
      </c>
      <c r="AW285">
        <v>8.5</v>
      </c>
      <c r="AZ285">
        <v>7.5</v>
      </c>
      <c r="BA285">
        <v>10</v>
      </c>
      <c r="BD285">
        <v>9</v>
      </c>
      <c r="BE285">
        <v>10.5</v>
      </c>
      <c r="BH285">
        <v>7.5</v>
      </c>
      <c r="BQ285" t="s">
        <v>281</v>
      </c>
      <c r="BR285" t="s">
        <v>671</v>
      </c>
      <c r="BS285" t="s">
        <v>371</v>
      </c>
      <c r="BT285" t="s">
        <v>671</v>
      </c>
    </row>
    <row r="286" spans="1:74" s="13" customFormat="1">
      <c r="A286" t="s">
        <v>236</v>
      </c>
      <c r="B286" t="s">
        <v>10</v>
      </c>
      <c r="C286" t="s">
        <v>11</v>
      </c>
      <c r="D286" t="s">
        <v>172</v>
      </c>
      <c r="E286" t="s">
        <v>176</v>
      </c>
      <c r="F286" t="s">
        <v>496</v>
      </c>
      <c r="G286" t="s">
        <v>497</v>
      </c>
      <c r="H286" t="s">
        <v>237</v>
      </c>
      <c r="I286" t="s">
        <v>238</v>
      </c>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v>3.8</v>
      </c>
      <c r="BE286">
        <v>5.5</v>
      </c>
      <c r="BF286"/>
      <c r="BG286"/>
      <c r="BH286">
        <v>3.6</v>
      </c>
      <c r="BI286"/>
      <c r="BJ286"/>
      <c r="BK286"/>
      <c r="BL286"/>
      <c r="BM286"/>
      <c r="BN286"/>
      <c r="BO286"/>
      <c r="BP286"/>
      <c r="BQ286" t="s">
        <v>166</v>
      </c>
      <c r="BR286" t="s">
        <v>197</v>
      </c>
      <c r="BS286" t="s">
        <v>181</v>
      </c>
      <c r="BT286" t="s">
        <v>197</v>
      </c>
      <c r="BU286"/>
      <c r="BV286"/>
    </row>
    <row r="287" spans="1:74">
      <c r="A287" t="s">
        <v>626</v>
      </c>
      <c r="B287" t="s">
        <v>10</v>
      </c>
      <c r="C287" t="s">
        <v>11</v>
      </c>
      <c r="D287" t="s">
        <v>172</v>
      </c>
      <c r="F287" t="s">
        <v>496</v>
      </c>
      <c r="G287" t="s">
        <v>82</v>
      </c>
      <c r="H287" t="s">
        <v>496</v>
      </c>
      <c r="I287" t="s">
        <v>82</v>
      </c>
      <c r="U287">
        <v>5.2</v>
      </c>
      <c r="V287">
        <v>5.9</v>
      </c>
      <c r="X287">
        <v>5.9</v>
      </c>
      <c r="Y287">
        <v>6.1</v>
      </c>
      <c r="Z287">
        <v>7</v>
      </c>
      <c r="AB287">
        <v>7</v>
      </c>
      <c r="AC287">
        <v>6.9</v>
      </c>
      <c r="AD287">
        <v>8.3000000000000007</v>
      </c>
      <c r="AF287">
        <v>8.3000000000000007</v>
      </c>
      <c r="AG287">
        <v>5.0999999999999996</v>
      </c>
      <c r="AH287">
        <v>7.5</v>
      </c>
      <c r="AJ287">
        <v>7.5</v>
      </c>
      <c r="AK287">
        <v>6</v>
      </c>
      <c r="AL287">
        <v>1.8</v>
      </c>
      <c r="AN287">
        <v>1.8</v>
      </c>
      <c r="AO287">
        <v>6</v>
      </c>
      <c r="AP287">
        <v>2.2999999999999998</v>
      </c>
      <c r="AR287">
        <v>2.2999999999999998</v>
      </c>
      <c r="AS287">
        <v>6</v>
      </c>
      <c r="AT287">
        <v>3.6</v>
      </c>
      <c r="AV287">
        <v>3.6</v>
      </c>
      <c r="AW287">
        <v>6.3</v>
      </c>
      <c r="AX287">
        <v>5.0999999999999996</v>
      </c>
      <c r="AZ287">
        <v>5.0999999999999996</v>
      </c>
      <c r="BE287">
        <v>7.7</v>
      </c>
      <c r="BF287">
        <v>5</v>
      </c>
      <c r="BH287">
        <v>5</v>
      </c>
      <c r="BQ287" t="s">
        <v>281</v>
      </c>
      <c r="BR287" t="s">
        <v>624</v>
      </c>
    </row>
    <row r="288" spans="1:74">
      <c r="A288" t="s">
        <v>630</v>
      </c>
      <c r="B288" t="s">
        <v>10</v>
      </c>
      <c r="C288" t="s">
        <v>11</v>
      </c>
      <c r="D288" t="s">
        <v>172</v>
      </c>
      <c r="F288" t="s">
        <v>496</v>
      </c>
      <c r="G288" t="s">
        <v>82</v>
      </c>
      <c r="H288" t="s">
        <v>496</v>
      </c>
      <c r="I288" t="s">
        <v>82</v>
      </c>
      <c r="AW288">
        <v>7.3</v>
      </c>
      <c r="AX288">
        <v>5.6</v>
      </c>
      <c r="AZ288">
        <v>5.6</v>
      </c>
      <c r="BA288">
        <v>7</v>
      </c>
      <c r="BB288">
        <v>6.5</v>
      </c>
      <c r="BD288">
        <v>6.5</v>
      </c>
      <c r="BE288">
        <v>7.1</v>
      </c>
      <c r="BF288">
        <v>5</v>
      </c>
      <c r="BH288">
        <v>5</v>
      </c>
      <c r="BQ288" t="s">
        <v>281</v>
      </c>
      <c r="BR288" t="s">
        <v>624</v>
      </c>
    </row>
    <row r="289" spans="1:72">
      <c r="A289" t="s">
        <v>632</v>
      </c>
      <c r="B289" t="s">
        <v>10</v>
      </c>
      <c r="C289" t="s">
        <v>11</v>
      </c>
      <c r="D289" t="s">
        <v>172</v>
      </c>
      <c r="F289" t="s">
        <v>496</v>
      </c>
      <c r="G289" t="s">
        <v>82</v>
      </c>
      <c r="H289" t="s">
        <v>496</v>
      </c>
      <c r="I289" t="s">
        <v>82</v>
      </c>
      <c r="AS289">
        <v>6</v>
      </c>
      <c r="AT289">
        <v>3.1</v>
      </c>
      <c r="AV289">
        <v>3.1</v>
      </c>
      <c r="AW289">
        <v>6.9</v>
      </c>
      <c r="AX289">
        <v>4.3</v>
      </c>
      <c r="AZ289">
        <v>4.3</v>
      </c>
      <c r="BA289">
        <v>7.1</v>
      </c>
      <c r="BB289">
        <v>5.2</v>
      </c>
      <c r="BD289">
        <v>5.2</v>
      </c>
      <c r="BQ289" t="s">
        <v>281</v>
      </c>
      <c r="BR289" t="s">
        <v>624</v>
      </c>
    </row>
    <row r="290" spans="1:72">
      <c r="A290" t="s">
        <v>631</v>
      </c>
      <c r="B290" t="s">
        <v>10</v>
      </c>
      <c r="C290" t="s">
        <v>11</v>
      </c>
      <c r="D290" t="s">
        <v>172</v>
      </c>
      <c r="F290" t="s">
        <v>496</v>
      </c>
      <c r="G290" t="s">
        <v>82</v>
      </c>
      <c r="H290" t="s">
        <v>496</v>
      </c>
      <c r="I290" t="s">
        <v>82</v>
      </c>
      <c r="AS290">
        <v>5.8</v>
      </c>
      <c r="AT290">
        <v>3.9</v>
      </c>
      <c r="AV290">
        <v>3.9</v>
      </c>
      <c r="AW290">
        <v>6.5</v>
      </c>
      <c r="AX290">
        <v>4.3</v>
      </c>
      <c r="AZ290">
        <v>4.3</v>
      </c>
      <c r="BA290">
        <v>7.1</v>
      </c>
      <c r="BB290">
        <v>5.2</v>
      </c>
      <c r="BD290">
        <v>5.2</v>
      </c>
      <c r="BQ290" t="s">
        <v>281</v>
      </c>
      <c r="BR290" t="s">
        <v>624</v>
      </c>
    </row>
    <row r="291" spans="1:72">
      <c r="A291" t="s">
        <v>625</v>
      </c>
      <c r="B291" t="s">
        <v>10</v>
      </c>
      <c r="C291" t="s">
        <v>11</v>
      </c>
      <c r="D291" t="s">
        <v>172</v>
      </c>
      <c r="F291" t="s">
        <v>496</v>
      </c>
      <c r="G291" t="s">
        <v>82</v>
      </c>
      <c r="H291" t="s">
        <v>496</v>
      </c>
      <c r="I291" t="s">
        <v>82</v>
      </c>
      <c r="Q291">
        <v>6</v>
      </c>
      <c r="R291">
        <v>4.9000000000000004</v>
      </c>
      <c r="T291">
        <v>4.9000000000000004</v>
      </c>
      <c r="U291">
        <v>5.5</v>
      </c>
      <c r="V291">
        <v>5.7</v>
      </c>
      <c r="X291">
        <v>5.7</v>
      </c>
      <c r="Y291">
        <v>6.6</v>
      </c>
      <c r="Z291">
        <v>6.9</v>
      </c>
      <c r="AB291">
        <v>6.9</v>
      </c>
      <c r="AC291">
        <v>7.2</v>
      </c>
      <c r="AD291">
        <v>8.8000000000000007</v>
      </c>
      <c r="AF291">
        <v>8.8000000000000007</v>
      </c>
      <c r="AG291">
        <v>5</v>
      </c>
      <c r="AH291">
        <v>7.7</v>
      </c>
      <c r="AJ291">
        <v>7.7</v>
      </c>
      <c r="AW291">
        <v>6.5</v>
      </c>
      <c r="AX291">
        <v>5.8</v>
      </c>
      <c r="AZ291">
        <v>5.8</v>
      </c>
      <c r="BA291">
        <v>7.1</v>
      </c>
      <c r="BB291">
        <v>6.3</v>
      </c>
      <c r="BD291">
        <v>6.3</v>
      </c>
      <c r="BQ291" t="s">
        <v>281</v>
      </c>
      <c r="BR291" t="s">
        <v>624</v>
      </c>
    </row>
    <row r="292" spans="1:72">
      <c r="A292" t="s">
        <v>627</v>
      </c>
      <c r="B292" t="s">
        <v>10</v>
      </c>
      <c r="C292" t="s">
        <v>11</v>
      </c>
      <c r="D292" t="s">
        <v>172</v>
      </c>
      <c r="F292" t="s">
        <v>496</v>
      </c>
      <c r="G292" t="s">
        <v>82</v>
      </c>
      <c r="H292" t="s">
        <v>496</v>
      </c>
      <c r="I292" t="s">
        <v>82</v>
      </c>
      <c r="M292">
        <v>4.9000000000000004</v>
      </c>
      <c r="N292">
        <v>4.0999999999999996</v>
      </c>
      <c r="P292">
        <v>4.0999999999999996</v>
      </c>
      <c r="Y292">
        <v>6.2</v>
      </c>
      <c r="Z292">
        <v>6.9</v>
      </c>
      <c r="AB292">
        <v>6.9</v>
      </c>
      <c r="AC292">
        <v>6.3</v>
      </c>
      <c r="AD292">
        <v>8.1</v>
      </c>
      <c r="AF292">
        <v>8.1</v>
      </c>
      <c r="AG292">
        <v>5.3</v>
      </c>
      <c r="AH292">
        <v>7.2</v>
      </c>
      <c r="AJ292">
        <v>7.2</v>
      </c>
      <c r="AW292">
        <v>6.5</v>
      </c>
      <c r="AX292">
        <v>5.2</v>
      </c>
      <c r="AZ292">
        <v>5.2</v>
      </c>
      <c r="BA292">
        <v>6.3</v>
      </c>
      <c r="BB292">
        <v>5.7</v>
      </c>
      <c r="BD292">
        <v>5.7</v>
      </c>
      <c r="BE292">
        <v>7</v>
      </c>
      <c r="BF292">
        <v>4.8</v>
      </c>
      <c r="BH292">
        <v>4.8</v>
      </c>
      <c r="BQ292" t="s">
        <v>281</v>
      </c>
      <c r="BR292" t="s">
        <v>624</v>
      </c>
    </row>
    <row r="293" spans="1:72">
      <c r="A293" t="s">
        <v>633</v>
      </c>
      <c r="B293" t="s">
        <v>10</v>
      </c>
      <c r="C293" t="s">
        <v>11</v>
      </c>
      <c r="D293" t="s">
        <v>172</v>
      </c>
      <c r="F293" t="s">
        <v>496</v>
      </c>
      <c r="G293" t="s">
        <v>82</v>
      </c>
      <c r="H293" t="s">
        <v>496</v>
      </c>
      <c r="I293" t="s">
        <v>82</v>
      </c>
      <c r="AS293">
        <v>6.2</v>
      </c>
      <c r="AT293">
        <v>4</v>
      </c>
      <c r="AV293">
        <v>4</v>
      </c>
      <c r="AW293">
        <v>6.1</v>
      </c>
      <c r="AX293">
        <v>5</v>
      </c>
      <c r="AZ293">
        <v>5</v>
      </c>
      <c r="BA293">
        <v>7</v>
      </c>
      <c r="BB293">
        <v>6.5</v>
      </c>
      <c r="BD293">
        <v>6.5</v>
      </c>
      <c r="BE293">
        <v>6.9</v>
      </c>
      <c r="BF293">
        <v>5.0999999999999996</v>
      </c>
      <c r="BH293">
        <v>5.0999999999999996</v>
      </c>
      <c r="BQ293" t="s">
        <v>281</v>
      </c>
      <c r="BR293" t="s">
        <v>624</v>
      </c>
    </row>
    <row r="294" spans="1:72">
      <c r="A294" t="s">
        <v>629</v>
      </c>
      <c r="B294" t="s">
        <v>10</v>
      </c>
      <c r="C294" t="s">
        <v>11</v>
      </c>
      <c r="D294" t="s">
        <v>172</v>
      </c>
      <c r="F294" t="s">
        <v>496</v>
      </c>
      <c r="G294" t="s">
        <v>82</v>
      </c>
      <c r="H294" t="s">
        <v>496</v>
      </c>
      <c r="I294" t="s">
        <v>82</v>
      </c>
      <c r="Y294">
        <v>7</v>
      </c>
      <c r="Z294">
        <v>7.4</v>
      </c>
      <c r="AB294">
        <v>7.4</v>
      </c>
      <c r="AC294">
        <v>7.1</v>
      </c>
      <c r="AD294">
        <v>8.8000000000000007</v>
      </c>
      <c r="AF294">
        <v>8.8000000000000007</v>
      </c>
      <c r="AG294">
        <v>5.2</v>
      </c>
      <c r="AH294">
        <v>7.3</v>
      </c>
      <c r="AJ294">
        <v>7.3</v>
      </c>
      <c r="BQ294" t="s">
        <v>281</v>
      </c>
      <c r="BR294" t="s">
        <v>624</v>
      </c>
    </row>
    <row r="295" spans="1:72">
      <c r="A295" t="s">
        <v>628</v>
      </c>
      <c r="B295" t="s">
        <v>10</v>
      </c>
      <c r="C295" t="s">
        <v>11</v>
      </c>
      <c r="D295" t="s">
        <v>172</v>
      </c>
      <c r="F295" t="s">
        <v>496</v>
      </c>
      <c r="G295" t="s">
        <v>82</v>
      </c>
      <c r="H295" t="s">
        <v>496</v>
      </c>
      <c r="I295" t="s">
        <v>82</v>
      </c>
      <c r="AK295">
        <v>6.1</v>
      </c>
      <c r="AL295">
        <v>3</v>
      </c>
      <c r="AN295">
        <v>3</v>
      </c>
      <c r="AO295">
        <v>5.8</v>
      </c>
      <c r="AP295">
        <v>3.4</v>
      </c>
      <c r="AR295">
        <v>3.4</v>
      </c>
      <c r="AS295">
        <v>5.5</v>
      </c>
      <c r="AT295">
        <v>4</v>
      </c>
      <c r="AV295">
        <v>4</v>
      </c>
      <c r="AW295">
        <v>7</v>
      </c>
      <c r="AX295">
        <v>5.8</v>
      </c>
      <c r="AZ295">
        <v>5.8</v>
      </c>
      <c r="BA295">
        <v>7.5</v>
      </c>
      <c r="BB295">
        <v>6.7</v>
      </c>
      <c r="BD295">
        <v>6.7</v>
      </c>
      <c r="BE295">
        <v>8</v>
      </c>
      <c r="BF295">
        <v>5.9</v>
      </c>
      <c r="BH295">
        <v>5.9</v>
      </c>
      <c r="BQ295" t="s">
        <v>281</v>
      </c>
      <c r="BR295" t="s">
        <v>624</v>
      </c>
    </row>
    <row r="296" spans="1:72">
      <c r="A296" t="s">
        <v>634</v>
      </c>
      <c r="B296" t="s">
        <v>10</v>
      </c>
      <c r="C296" t="s">
        <v>11</v>
      </c>
      <c r="D296" t="s">
        <v>172</v>
      </c>
      <c r="F296" t="s">
        <v>496</v>
      </c>
      <c r="G296" t="s">
        <v>82</v>
      </c>
      <c r="H296" t="s">
        <v>496</v>
      </c>
      <c r="I296" t="s">
        <v>82</v>
      </c>
      <c r="AO296">
        <v>5.8</v>
      </c>
      <c r="AP296">
        <v>3.7</v>
      </c>
      <c r="AR296">
        <v>3.7</v>
      </c>
      <c r="AS296">
        <v>6</v>
      </c>
      <c r="AT296">
        <v>3.9</v>
      </c>
      <c r="AV296">
        <v>3.9</v>
      </c>
      <c r="AW296">
        <v>7.1</v>
      </c>
      <c r="AX296">
        <v>5.8</v>
      </c>
      <c r="AZ296">
        <v>5.8</v>
      </c>
      <c r="BE296">
        <v>8.1999999999999993</v>
      </c>
      <c r="BF296">
        <v>5.5</v>
      </c>
      <c r="BH296">
        <v>5.5</v>
      </c>
      <c r="BQ296" t="s">
        <v>281</v>
      </c>
      <c r="BR296" t="s">
        <v>624</v>
      </c>
    </row>
    <row r="297" spans="1:72">
      <c r="A297" t="s">
        <v>635</v>
      </c>
      <c r="B297" t="s">
        <v>10</v>
      </c>
      <c r="C297" t="s">
        <v>11</v>
      </c>
      <c r="D297" t="s">
        <v>172</v>
      </c>
      <c r="F297" t="s">
        <v>496</v>
      </c>
      <c r="G297" t="s">
        <v>82</v>
      </c>
      <c r="H297" t="s">
        <v>496</v>
      </c>
      <c r="I297" t="s">
        <v>82</v>
      </c>
      <c r="AK297">
        <v>5.0999999999999996</v>
      </c>
      <c r="AO297">
        <v>5.2</v>
      </c>
      <c r="AS297">
        <v>5.5</v>
      </c>
      <c r="AT297">
        <v>3.9</v>
      </c>
      <c r="AV297">
        <v>3.9</v>
      </c>
      <c r="AW297">
        <v>6.1</v>
      </c>
      <c r="AX297">
        <v>4.8</v>
      </c>
      <c r="AZ297">
        <v>4.8</v>
      </c>
      <c r="BE297">
        <v>7.3</v>
      </c>
      <c r="BF297">
        <v>4.8</v>
      </c>
      <c r="BH297">
        <v>4.8</v>
      </c>
      <c r="BQ297" t="s">
        <v>281</v>
      </c>
      <c r="BR297" t="s">
        <v>624</v>
      </c>
    </row>
    <row r="298" spans="1:72">
      <c r="A298" t="s">
        <v>841</v>
      </c>
      <c r="B298" t="s">
        <v>10</v>
      </c>
      <c r="C298" t="s">
        <v>11</v>
      </c>
      <c r="D298" t="s">
        <v>172</v>
      </c>
      <c r="F298" t="s">
        <v>776</v>
      </c>
      <c r="G298" t="s">
        <v>781</v>
      </c>
      <c r="H298" t="s">
        <v>410</v>
      </c>
      <c r="I298" t="s">
        <v>781</v>
      </c>
      <c r="AO298">
        <v>11</v>
      </c>
      <c r="AS298">
        <v>13.5</v>
      </c>
      <c r="AW298">
        <v>12.2</v>
      </c>
      <c r="AZ298">
        <v>9.6999999999999993</v>
      </c>
      <c r="BA298">
        <v>15</v>
      </c>
      <c r="BD298">
        <v>9.9</v>
      </c>
      <c r="BP298" t="s">
        <v>842</v>
      </c>
      <c r="BQ298" t="s">
        <v>281</v>
      </c>
      <c r="BR298" t="s">
        <v>818</v>
      </c>
      <c r="BS298" t="s">
        <v>181</v>
      </c>
      <c r="BT298" t="s">
        <v>818</v>
      </c>
    </row>
    <row r="299" spans="1:72">
      <c r="A299" t="s">
        <v>454</v>
      </c>
      <c r="B299" t="s">
        <v>10</v>
      </c>
      <c r="C299" t="s">
        <v>11</v>
      </c>
      <c r="D299" t="s">
        <v>172</v>
      </c>
      <c r="E299" t="s">
        <v>164</v>
      </c>
      <c r="F299" t="s">
        <v>237</v>
      </c>
      <c r="G299" t="s">
        <v>442</v>
      </c>
      <c r="H299" t="s">
        <v>237</v>
      </c>
      <c r="I299" t="s">
        <v>442</v>
      </c>
      <c r="AS299">
        <v>4.4000000000000004</v>
      </c>
      <c r="AV299">
        <v>3</v>
      </c>
      <c r="AW299">
        <v>4.8</v>
      </c>
      <c r="AZ299">
        <v>3.6</v>
      </c>
      <c r="BA299">
        <v>5.6</v>
      </c>
      <c r="BD299">
        <v>4.5</v>
      </c>
      <c r="BQ299" t="s">
        <v>281</v>
      </c>
      <c r="BR299" t="s">
        <v>412</v>
      </c>
    </row>
    <row r="300" spans="1:72">
      <c r="A300" t="s">
        <v>456</v>
      </c>
      <c r="B300" t="s">
        <v>10</v>
      </c>
      <c r="C300" t="s">
        <v>11</v>
      </c>
      <c r="D300" t="s">
        <v>172</v>
      </c>
      <c r="E300" t="s">
        <v>164</v>
      </c>
      <c r="F300" t="s">
        <v>237</v>
      </c>
      <c r="G300" t="s">
        <v>442</v>
      </c>
      <c r="H300" t="s">
        <v>237</v>
      </c>
      <c r="I300" t="s">
        <v>442</v>
      </c>
      <c r="BA300">
        <v>5.6</v>
      </c>
      <c r="BD300">
        <v>4.5</v>
      </c>
      <c r="BQ300" t="s">
        <v>281</v>
      </c>
      <c r="BR300" t="s">
        <v>412</v>
      </c>
    </row>
    <row r="301" spans="1:72">
      <c r="A301" t="s">
        <v>455</v>
      </c>
      <c r="B301" t="s">
        <v>10</v>
      </c>
      <c r="C301" t="s">
        <v>11</v>
      </c>
      <c r="D301" t="s">
        <v>172</v>
      </c>
      <c r="E301" t="s">
        <v>164</v>
      </c>
      <c r="F301" t="s">
        <v>237</v>
      </c>
      <c r="G301" t="s">
        <v>442</v>
      </c>
      <c r="H301" t="s">
        <v>237</v>
      </c>
      <c r="I301" t="s">
        <v>442</v>
      </c>
      <c r="BA301">
        <v>5.6</v>
      </c>
      <c r="BD301">
        <v>4.5999999999999996</v>
      </c>
      <c r="BQ301" t="s">
        <v>281</v>
      </c>
      <c r="BR301" t="s">
        <v>412</v>
      </c>
    </row>
    <row r="302" spans="1:72">
      <c r="A302" t="s">
        <v>457</v>
      </c>
      <c r="B302" t="s">
        <v>10</v>
      </c>
      <c r="C302" t="s">
        <v>11</v>
      </c>
      <c r="D302" t="s">
        <v>172</v>
      </c>
      <c r="E302" t="s">
        <v>164</v>
      </c>
      <c r="F302" t="s">
        <v>237</v>
      </c>
      <c r="G302" t="s">
        <v>442</v>
      </c>
      <c r="H302" t="s">
        <v>237</v>
      </c>
      <c r="I302" t="s">
        <v>442</v>
      </c>
      <c r="BA302">
        <v>5.7</v>
      </c>
      <c r="BD302">
        <v>4.5999999999999996</v>
      </c>
      <c r="BE302">
        <v>5.5</v>
      </c>
      <c r="BH302">
        <v>3.6</v>
      </c>
      <c r="BQ302" t="s">
        <v>281</v>
      </c>
      <c r="BR302" t="s">
        <v>412</v>
      </c>
      <c r="BS302" t="s">
        <v>371</v>
      </c>
      <c r="BT302" t="s">
        <v>412</v>
      </c>
    </row>
    <row r="303" spans="1:72">
      <c r="A303" t="s">
        <v>816</v>
      </c>
      <c r="B303" t="s">
        <v>10</v>
      </c>
      <c r="C303" t="s">
        <v>11</v>
      </c>
      <c r="D303" t="s">
        <v>172</v>
      </c>
      <c r="F303" t="s">
        <v>237</v>
      </c>
      <c r="G303" t="s">
        <v>782</v>
      </c>
      <c r="H303" t="s">
        <v>105</v>
      </c>
      <c r="I303" t="s">
        <v>782</v>
      </c>
      <c r="AW303">
        <v>6.2</v>
      </c>
      <c r="AX303">
        <v>3.8</v>
      </c>
      <c r="AY303">
        <v>4.5</v>
      </c>
      <c r="AZ303">
        <v>4.5</v>
      </c>
      <c r="BA303">
        <v>6.4</v>
      </c>
      <c r="BD303">
        <v>4.9000000000000004</v>
      </c>
      <c r="BE303">
        <v>6.6</v>
      </c>
      <c r="BH303">
        <v>4.3</v>
      </c>
      <c r="BQ303" t="s">
        <v>281</v>
      </c>
      <c r="BR303" t="s">
        <v>818</v>
      </c>
      <c r="BS303" t="s">
        <v>181</v>
      </c>
      <c r="BT303" t="s">
        <v>818</v>
      </c>
    </row>
    <row r="304" spans="1:72">
      <c r="A304" t="s">
        <v>817</v>
      </c>
      <c r="B304" t="s">
        <v>10</v>
      </c>
      <c r="C304" t="s">
        <v>11</v>
      </c>
      <c r="D304" t="s">
        <v>172</v>
      </c>
      <c r="F304" t="s">
        <v>237</v>
      </c>
      <c r="G304" t="s">
        <v>782</v>
      </c>
      <c r="H304" t="s">
        <v>105</v>
      </c>
      <c r="I304" t="s">
        <v>782</v>
      </c>
      <c r="AO304">
        <v>4</v>
      </c>
      <c r="AR304">
        <v>2.4</v>
      </c>
      <c r="AS304">
        <v>4.5</v>
      </c>
      <c r="AV304">
        <v>2.9</v>
      </c>
      <c r="BQ304" t="s">
        <v>281</v>
      </c>
      <c r="BR304" t="s">
        <v>818</v>
      </c>
      <c r="BS304" t="s">
        <v>181</v>
      </c>
      <c r="BT304" t="s">
        <v>818</v>
      </c>
    </row>
    <row r="305" spans="1:74">
      <c r="A305" t="s">
        <v>640</v>
      </c>
      <c r="B305" t="s">
        <v>10</v>
      </c>
      <c r="C305" t="s">
        <v>11</v>
      </c>
      <c r="D305" t="s">
        <v>172</v>
      </c>
      <c r="F305" t="s">
        <v>483</v>
      </c>
      <c r="G305" t="s">
        <v>641</v>
      </c>
      <c r="H305" t="s">
        <v>483</v>
      </c>
      <c r="I305" t="s">
        <v>641</v>
      </c>
      <c r="AO305">
        <v>6.9</v>
      </c>
      <c r="AR305">
        <v>2.2000000000000002</v>
      </c>
      <c r="AW305">
        <v>5.3</v>
      </c>
      <c r="AZ305">
        <v>4</v>
      </c>
      <c r="BA305">
        <v>6</v>
      </c>
      <c r="BD305">
        <v>4.7</v>
      </c>
      <c r="BE305">
        <v>6</v>
      </c>
      <c r="BH305">
        <v>3.8</v>
      </c>
      <c r="BQ305" t="s">
        <v>281</v>
      </c>
      <c r="BR305" t="s">
        <v>624</v>
      </c>
    </row>
    <row r="306" spans="1:74">
      <c r="A306" t="s">
        <v>642</v>
      </c>
      <c r="B306" t="s">
        <v>10</v>
      </c>
      <c r="C306" t="s">
        <v>11</v>
      </c>
      <c r="D306" t="s">
        <v>172</v>
      </c>
      <c r="F306" t="s">
        <v>483</v>
      </c>
      <c r="G306" t="s">
        <v>641</v>
      </c>
      <c r="H306" t="s">
        <v>483</v>
      </c>
      <c r="I306" t="s">
        <v>641</v>
      </c>
      <c r="AC306">
        <v>6.6</v>
      </c>
      <c r="AF306">
        <v>8.9</v>
      </c>
      <c r="AG306">
        <v>4.2</v>
      </c>
      <c r="AJ306">
        <v>7.3</v>
      </c>
      <c r="BA306">
        <v>6.8</v>
      </c>
      <c r="BD306">
        <v>5</v>
      </c>
      <c r="BE306">
        <v>6.2</v>
      </c>
      <c r="BH306">
        <v>4.7</v>
      </c>
      <c r="BQ306" t="s">
        <v>281</v>
      </c>
      <c r="BR306" t="s">
        <v>624</v>
      </c>
    </row>
    <row r="307" spans="1:74">
      <c r="A307" t="s">
        <v>643</v>
      </c>
      <c r="B307" t="s">
        <v>10</v>
      </c>
      <c r="C307" t="s">
        <v>11</v>
      </c>
      <c r="D307" t="s">
        <v>172</v>
      </c>
      <c r="F307" t="s">
        <v>483</v>
      </c>
      <c r="G307" t="s">
        <v>641</v>
      </c>
      <c r="H307" t="s">
        <v>483</v>
      </c>
      <c r="I307" t="s">
        <v>641</v>
      </c>
      <c r="AC307">
        <v>6.7</v>
      </c>
      <c r="AF307">
        <v>8.8000000000000007</v>
      </c>
      <c r="AG307">
        <v>4.2</v>
      </c>
      <c r="AJ307">
        <v>6.3</v>
      </c>
      <c r="BQ307" t="s">
        <v>281</v>
      </c>
      <c r="BR307" t="s">
        <v>624</v>
      </c>
      <c r="BS307" t="s">
        <v>371</v>
      </c>
      <c r="BT307" t="s">
        <v>624</v>
      </c>
    </row>
    <row r="308" spans="1:74" ht="16">
      <c r="A308" t="s">
        <v>221</v>
      </c>
      <c r="B308" t="s">
        <v>10</v>
      </c>
      <c r="C308" t="s">
        <v>11</v>
      </c>
      <c r="D308" t="s">
        <v>172</v>
      </c>
      <c r="E308" t="s">
        <v>164</v>
      </c>
      <c r="F308" s="1" t="s">
        <v>483</v>
      </c>
      <c r="G308" t="s">
        <v>446</v>
      </c>
      <c r="H308" t="s">
        <v>222</v>
      </c>
      <c r="I308" t="s">
        <v>223</v>
      </c>
      <c r="AW308">
        <v>6.8</v>
      </c>
      <c r="AZ308">
        <v>5.6</v>
      </c>
      <c r="BQ308" t="s">
        <v>166</v>
      </c>
      <c r="BR308" t="s">
        <v>197</v>
      </c>
      <c r="BS308" t="s">
        <v>181</v>
      </c>
      <c r="BT308" t="s">
        <v>197</v>
      </c>
    </row>
    <row r="309" spans="1:74" ht="16">
      <c r="A309" s="15" t="s">
        <v>445</v>
      </c>
      <c r="B309" s="15" t="s">
        <v>10</v>
      </c>
      <c r="C309" s="15" t="s">
        <v>11</v>
      </c>
      <c r="D309" s="15" t="s">
        <v>172</v>
      </c>
      <c r="E309" s="15" t="s">
        <v>164</v>
      </c>
      <c r="F309" s="17" t="s">
        <v>483</v>
      </c>
      <c r="G309" s="15" t="s">
        <v>446</v>
      </c>
      <c r="H309" s="15" t="s">
        <v>437</v>
      </c>
      <c r="I309" s="15" t="s">
        <v>446</v>
      </c>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v>7.1</v>
      </c>
      <c r="AX309" s="15">
        <v>4.9000000000000004</v>
      </c>
      <c r="AY309" s="15">
        <v>5.9</v>
      </c>
      <c r="AZ309" s="15">
        <v>5.9</v>
      </c>
      <c r="BA309" s="15"/>
      <c r="BB309" s="15"/>
      <c r="BC309" s="15"/>
      <c r="BD309" s="15"/>
      <c r="BE309" s="15"/>
      <c r="BF309" s="15"/>
      <c r="BG309" s="15"/>
      <c r="BH309" s="15"/>
      <c r="BI309" s="15"/>
      <c r="BJ309" s="15"/>
      <c r="BK309" s="15"/>
      <c r="BL309" s="15"/>
      <c r="BM309" s="15"/>
      <c r="BN309" s="15"/>
      <c r="BO309" s="15"/>
      <c r="BP309" s="15" t="s">
        <v>447</v>
      </c>
      <c r="BQ309" s="15" t="s">
        <v>281</v>
      </c>
      <c r="BR309" s="15" t="s">
        <v>412</v>
      </c>
      <c r="BS309" s="15" t="s">
        <v>371</v>
      </c>
      <c r="BT309" s="15" t="s">
        <v>412</v>
      </c>
      <c r="BU309" s="15"/>
      <c r="BV309" s="15"/>
    </row>
    <row r="310" spans="1:74">
      <c r="A310" t="s">
        <v>445</v>
      </c>
      <c r="B310" t="s">
        <v>10</v>
      </c>
      <c r="C310" t="s">
        <v>11</v>
      </c>
      <c r="D310" t="s">
        <v>172</v>
      </c>
      <c r="E310" t="s">
        <v>176</v>
      </c>
      <c r="F310" t="s">
        <v>483</v>
      </c>
      <c r="G310" t="s">
        <v>446</v>
      </c>
      <c r="H310" t="s">
        <v>173</v>
      </c>
      <c r="I310" t="s">
        <v>446</v>
      </c>
      <c r="AW310">
        <v>7</v>
      </c>
      <c r="AX310">
        <v>4.9000000000000004</v>
      </c>
      <c r="AY310">
        <v>5.9</v>
      </c>
      <c r="AZ310">
        <v>5.9</v>
      </c>
      <c r="BQ310" t="s">
        <v>166</v>
      </c>
      <c r="BR310" t="s">
        <v>503</v>
      </c>
    </row>
    <row r="311" spans="1:74">
      <c r="A311" t="s">
        <v>690</v>
      </c>
      <c r="B311" s="7" t="s">
        <v>10</v>
      </c>
      <c r="C311" s="7" t="s">
        <v>11</v>
      </c>
      <c r="D311" t="s">
        <v>172</v>
      </c>
      <c r="E311" t="s">
        <v>164</v>
      </c>
      <c r="F311" t="s">
        <v>483</v>
      </c>
      <c r="G311" t="s">
        <v>726</v>
      </c>
      <c r="H311" t="s">
        <v>483</v>
      </c>
      <c r="I311" t="s">
        <v>691</v>
      </c>
      <c r="Y311">
        <v>3.28</v>
      </c>
      <c r="Z311">
        <v>5.04</v>
      </c>
      <c r="AA311">
        <v>5.19</v>
      </c>
      <c r="AB311">
        <v>5.19</v>
      </c>
      <c r="BP311" t="s">
        <v>235</v>
      </c>
      <c r="BQ311" t="s">
        <v>281</v>
      </c>
      <c r="BR311" t="s">
        <v>682</v>
      </c>
    </row>
    <row r="312" spans="1:74">
      <c r="A312" t="s">
        <v>692</v>
      </c>
      <c r="B312" s="7" t="s">
        <v>10</v>
      </c>
      <c r="C312" s="7" t="s">
        <v>11</v>
      </c>
      <c r="D312" t="s">
        <v>172</v>
      </c>
      <c r="E312" t="s">
        <v>164</v>
      </c>
      <c r="F312" t="s">
        <v>483</v>
      </c>
      <c r="G312" t="s">
        <v>726</v>
      </c>
      <c r="H312" t="s">
        <v>483</v>
      </c>
      <c r="I312" t="s">
        <v>691</v>
      </c>
      <c r="BA312">
        <v>3.95</v>
      </c>
      <c r="BB312">
        <v>3.14</v>
      </c>
      <c r="BC312">
        <v>3.28</v>
      </c>
      <c r="BD312">
        <v>3.28</v>
      </c>
      <c r="BQ312" t="s">
        <v>281</v>
      </c>
      <c r="BR312" t="s">
        <v>682</v>
      </c>
      <c r="BS312" t="s">
        <v>371</v>
      </c>
      <c r="BT312" t="s">
        <v>682</v>
      </c>
    </row>
    <row r="313" spans="1:74">
      <c r="A313" t="s">
        <v>201</v>
      </c>
      <c r="B313" t="s">
        <v>10</v>
      </c>
      <c r="C313" t="s">
        <v>11</v>
      </c>
      <c r="D313" t="s">
        <v>172</v>
      </c>
      <c r="E313" t="s">
        <v>164</v>
      </c>
      <c r="F313" t="s">
        <v>85</v>
      </c>
      <c r="G313" t="s">
        <v>202</v>
      </c>
      <c r="H313" t="s">
        <v>85</v>
      </c>
      <c r="I313" t="s">
        <v>202</v>
      </c>
      <c r="Y313">
        <v>3.5</v>
      </c>
      <c r="AB313">
        <v>2.1</v>
      </c>
      <c r="BQ313" t="s">
        <v>166</v>
      </c>
      <c r="BR313" t="s">
        <v>197</v>
      </c>
      <c r="BS313" t="s">
        <v>181</v>
      </c>
      <c r="BT313" t="s">
        <v>197</v>
      </c>
    </row>
    <row r="314" spans="1:74">
      <c r="A314" t="s">
        <v>351</v>
      </c>
      <c r="B314" t="s">
        <v>10</v>
      </c>
      <c r="C314" t="s">
        <v>11</v>
      </c>
      <c r="D314" t="s">
        <v>172</v>
      </c>
      <c r="F314" t="s">
        <v>85</v>
      </c>
      <c r="G314" t="s">
        <v>204</v>
      </c>
      <c r="H314" t="s">
        <v>85</v>
      </c>
      <c r="I314" t="s">
        <v>204</v>
      </c>
      <c r="AW314">
        <v>3.25</v>
      </c>
      <c r="AX314">
        <v>2.12</v>
      </c>
      <c r="AY314">
        <v>2.41</v>
      </c>
      <c r="AZ314">
        <f>MAX(AX314:AY314)</f>
        <v>2.41</v>
      </c>
      <c r="BA314">
        <v>3.47</v>
      </c>
      <c r="BB314">
        <v>2.71</v>
      </c>
      <c r="BC314">
        <v>2.69</v>
      </c>
      <c r="BD314">
        <f>MAX(BB314:BC314)</f>
        <v>2.71</v>
      </c>
      <c r="BP314" t="s">
        <v>366</v>
      </c>
      <c r="BQ314" t="s">
        <v>281</v>
      </c>
      <c r="BR314" t="s">
        <v>322</v>
      </c>
    </row>
    <row r="315" spans="1:74">
      <c r="A315" t="s">
        <v>350</v>
      </c>
      <c r="B315" t="s">
        <v>10</v>
      </c>
      <c r="C315" t="s">
        <v>11</v>
      </c>
      <c r="D315" t="s">
        <v>172</v>
      </c>
      <c r="F315" t="s">
        <v>85</v>
      </c>
      <c r="G315" t="s">
        <v>204</v>
      </c>
      <c r="H315" t="s">
        <v>85</v>
      </c>
      <c r="I315" t="s">
        <v>204</v>
      </c>
      <c r="AW315">
        <v>3.32</v>
      </c>
      <c r="AX315">
        <v>2.2799999999999998</v>
      </c>
      <c r="AY315">
        <v>2.4500000000000002</v>
      </c>
      <c r="AZ315">
        <f>MAX(AX315:AY315)</f>
        <v>2.4500000000000002</v>
      </c>
      <c r="BA315">
        <v>3.82</v>
      </c>
      <c r="BB315">
        <v>2.9</v>
      </c>
      <c r="BC315">
        <v>2.79</v>
      </c>
      <c r="BD315">
        <f>MAX(BB315:BC315)</f>
        <v>2.9</v>
      </c>
      <c r="BP315" t="s">
        <v>366</v>
      </c>
      <c r="BQ315" t="s">
        <v>281</v>
      </c>
      <c r="BR315" t="s">
        <v>322</v>
      </c>
    </row>
    <row r="316" spans="1:74">
      <c r="A316" t="s">
        <v>203</v>
      </c>
      <c r="B316" t="s">
        <v>10</v>
      </c>
      <c r="C316" t="s">
        <v>11</v>
      </c>
      <c r="D316" t="s">
        <v>172</v>
      </c>
      <c r="E316" t="s">
        <v>164</v>
      </c>
      <c r="F316" t="s">
        <v>85</v>
      </c>
      <c r="G316" t="s">
        <v>204</v>
      </c>
      <c r="H316" t="s">
        <v>85</v>
      </c>
      <c r="I316" t="s">
        <v>204</v>
      </c>
      <c r="AC316">
        <v>3.8</v>
      </c>
      <c r="AF316">
        <v>6.1</v>
      </c>
      <c r="BQ316" t="s">
        <v>166</v>
      </c>
      <c r="BR316" t="s">
        <v>197</v>
      </c>
      <c r="BS316" t="s">
        <v>181</v>
      </c>
      <c r="BT316" t="s">
        <v>197</v>
      </c>
    </row>
    <row r="317" spans="1:74">
      <c r="A317" t="s">
        <v>205</v>
      </c>
      <c r="B317" t="s">
        <v>10</v>
      </c>
      <c r="C317" t="s">
        <v>11</v>
      </c>
      <c r="D317" t="s">
        <v>172</v>
      </c>
      <c r="E317" t="s">
        <v>164</v>
      </c>
      <c r="F317" t="s">
        <v>85</v>
      </c>
      <c r="G317" t="s">
        <v>206</v>
      </c>
      <c r="H317" t="s">
        <v>85</v>
      </c>
      <c r="I317" t="s">
        <v>206</v>
      </c>
      <c r="AC317">
        <v>3.4</v>
      </c>
      <c r="AF317">
        <v>4.8</v>
      </c>
      <c r="BP317" t="s">
        <v>207</v>
      </c>
      <c r="BQ317" t="s">
        <v>166</v>
      </c>
      <c r="BR317" t="s">
        <v>197</v>
      </c>
      <c r="BS317" t="s">
        <v>181</v>
      </c>
      <c r="BT317" t="s">
        <v>197</v>
      </c>
    </row>
    <row r="318" spans="1:74">
      <c r="A318" t="s">
        <v>702</v>
      </c>
      <c r="B318" s="7" t="s">
        <v>10</v>
      </c>
      <c r="C318" s="7" t="s">
        <v>11</v>
      </c>
      <c r="D318" t="s">
        <v>172</v>
      </c>
      <c r="E318" t="s">
        <v>693</v>
      </c>
      <c r="F318" t="s">
        <v>703</v>
      </c>
      <c r="G318" t="s">
        <v>706</v>
      </c>
      <c r="H318" t="s">
        <v>703</v>
      </c>
      <c r="I318" t="s">
        <v>704</v>
      </c>
      <c r="AW318">
        <v>2.65</v>
      </c>
      <c r="AX318">
        <v>2.2799999999999998</v>
      </c>
      <c r="AY318">
        <v>2.17</v>
      </c>
      <c r="AZ318">
        <v>2.2799999999999998</v>
      </c>
      <c r="BP318" t="s">
        <v>696</v>
      </c>
      <c r="BQ318" t="s">
        <v>281</v>
      </c>
      <c r="BR318" t="s">
        <v>682</v>
      </c>
      <c r="BS318" t="s">
        <v>371</v>
      </c>
      <c r="BT318" t="s">
        <v>682</v>
      </c>
    </row>
    <row r="319" spans="1:74">
      <c r="A319" t="s">
        <v>705</v>
      </c>
      <c r="B319" s="7" t="s">
        <v>10</v>
      </c>
      <c r="C319" s="7" t="s">
        <v>11</v>
      </c>
      <c r="D319" t="s">
        <v>172</v>
      </c>
      <c r="E319" t="s">
        <v>693</v>
      </c>
      <c r="F319" t="s">
        <v>703</v>
      </c>
      <c r="G319" t="s">
        <v>706</v>
      </c>
      <c r="H319" t="s">
        <v>703</v>
      </c>
      <c r="I319" t="s">
        <v>706</v>
      </c>
      <c r="BA319">
        <v>3.47</v>
      </c>
      <c r="BB319">
        <v>2.73</v>
      </c>
      <c r="BC319">
        <v>2.66</v>
      </c>
      <c r="BD319">
        <v>2.73</v>
      </c>
      <c r="BP319" t="s">
        <v>707</v>
      </c>
      <c r="BQ319" t="s">
        <v>281</v>
      </c>
      <c r="BR319" t="s">
        <v>682</v>
      </c>
    </row>
    <row r="320" spans="1:74">
      <c r="A320" t="s">
        <v>388</v>
      </c>
      <c r="B320" t="s">
        <v>10</v>
      </c>
      <c r="C320" t="s">
        <v>11</v>
      </c>
      <c r="D320" t="s">
        <v>172</v>
      </c>
      <c r="F320" t="s">
        <v>385</v>
      </c>
      <c r="G320" t="s">
        <v>386</v>
      </c>
      <c r="H320" t="s">
        <v>385</v>
      </c>
      <c r="I320" t="s">
        <v>386</v>
      </c>
      <c r="AS320">
        <v>5.5</v>
      </c>
      <c r="AV320">
        <v>2.4</v>
      </c>
      <c r="BA320">
        <v>5.3</v>
      </c>
      <c r="BD320">
        <v>4</v>
      </c>
      <c r="BE320">
        <v>5.3</v>
      </c>
      <c r="BH320">
        <v>3.4</v>
      </c>
      <c r="BP320" t="s">
        <v>387</v>
      </c>
      <c r="BQ320" t="s">
        <v>281</v>
      </c>
      <c r="BR320" t="s">
        <v>315</v>
      </c>
      <c r="BS320" t="s">
        <v>371</v>
      </c>
      <c r="BT320" t="s">
        <v>315</v>
      </c>
    </row>
    <row r="321" spans="1:74" ht="16">
      <c r="A321" t="s">
        <v>208</v>
      </c>
      <c r="B321" t="s">
        <v>10</v>
      </c>
      <c r="C321" t="s">
        <v>11</v>
      </c>
      <c r="D321" t="s">
        <v>172</v>
      </c>
      <c r="E321" t="s">
        <v>164</v>
      </c>
      <c r="F321" s="1" t="s">
        <v>13</v>
      </c>
      <c r="G321" s="2" t="s">
        <v>14</v>
      </c>
      <c r="H321" t="s">
        <v>85</v>
      </c>
      <c r="I321" t="s">
        <v>14</v>
      </c>
      <c r="AC321">
        <v>3.8</v>
      </c>
      <c r="BP321" t="s">
        <v>209</v>
      </c>
      <c r="BQ321" t="s">
        <v>166</v>
      </c>
      <c r="BR321" t="s">
        <v>197</v>
      </c>
    </row>
    <row r="322" spans="1:74" ht="16">
      <c r="A322" t="s">
        <v>163</v>
      </c>
      <c r="B322" t="s">
        <v>10</v>
      </c>
      <c r="C322" t="s">
        <v>11</v>
      </c>
      <c r="D322" t="s">
        <v>172</v>
      </c>
      <c r="E322" t="s">
        <v>164</v>
      </c>
      <c r="F322" s="1" t="s">
        <v>13</v>
      </c>
      <c r="G322" s="2" t="s">
        <v>14</v>
      </c>
      <c r="H322" s="1" t="s">
        <v>13</v>
      </c>
      <c r="I322" s="2" t="s">
        <v>14</v>
      </c>
      <c r="K322" t="s">
        <v>165</v>
      </c>
      <c r="AO322">
        <v>2.8</v>
      </c>
      <c r="AR322">
        <v>2.8</v>
      </c>
      <c r="BQ322" t="s">
        <v>166</v>
      </c>
      <c r="BR322" t="s">
        <v>167</v>
      </c>
      <c r="BT322" t="s">
        <v>167</v>
      </c>
    </row>
    <row r="323" spans="1:74" ht="16">
      <c r="A323" t="s">
        <v>168</v>
      </c>
      <c r="B323" t="s">
        <v>10</v>
      </c>
      <c r="C323" t="s">
        <v>11</v>
      </c>
      <c r="D323" t="s">
        <v>172</v>
      </c>
      <c r="E323" t="s">
        <v>164</v>
      </c>
      <c r="F323" s="1" t="s">
        <v>13</v>
      </c>
      <c r="G323" s="2" t="s">
        <v>14</v>
      </c>
      <c r="H323" t="s">
        <v>13</v>
      </c>
      <c r="I323" t="s">
        <v>14</v>
      </c>
      <c r="K323" t="s">
        <v>165</v>
      </c>
      <c r="AS323">
        <v>3.4</v>
      </c>
      <c r="AV323">
        <v>1.8</v>
      </c>
      <c r="BQ323" t="s">
        <v>166</v>
      </c>
      <c r="BR323" t="s">
        <v>167</v>
      </c>
      <c r="BT323" t="s">
        <v>167</v>
      </c>
    </row>
    <row r="324" spans="1:74" ht="16">
      <c r="A324" t="s">
        <v>169</v>
      </c>
      <c r="B324" t="s">
        <v>10</v>
      </c>
      <c r="C324" t="s">
        <v>11</v>
      </c>
      <c r="D324" t="s">
        <v>172</v>
      </c>
      <c r="E324" t="s">
        <v>164</v>
      </c>
      <c r="F324" s="1" t="s">
        <v>13</v>
      </c>
      <c r="G324" s="2" t="s">
        <v>14</v>
      </c>
      <c r="H324" t="s">
        <v>13</v>
      </c>
      <c r="I324" t="s">
        <v>14</v>
      </c>
      <c r="K324" t="s">
        <v>165</v>
      </c>
      <c r="AW324">
        <v>4.0999999999999996</v>
      </c>
      <c r="AZ324">
        <v>2.6</v>
      </c>
      <c r="BQ324" t="s">
        <v>166</v>
      </c>
      <c r="BR324" t="s">
        <v>167</v>
      </c>
      <c r="BT324" t="s">
        <v>167</v>
      </c>
    </row>
    <row r="325" spans="1:74" ht="16">
      <c r="A325" t="s">
        <v>170</v>
      </c>
      <c r="B325" t="s">
        <v>10</v>
      </c>
      <c r="C325" t="s">
        <v>11</v>
      </c>
      <c r="D325" t="s">
        <v>172</v>
      </c>
      <c r="E325" t="s">
        <v>164</v>
      </c>
      <c r="F325" s="1" t="s">
        <v>13</v>
      </c>
      <c r="G325" s="2" t="s">
        <v>14</v>
      </c>
      <c r="H325" t="s">
        <v>13</v>
      </c>
      <c r="I325" t="s">
        <v>14</v>
      </c>
      <c r="K325" t="s">
        <v>165</v>
      </c>
      <c r="BA325">
        <v>4</v>
      </c>
      <c r="BD325">
        <v>2.9</v>
      </c>
      <c r="BQ325" t="s">
        <v>166</v>
      </c>
      <c r="BR325" t="s">
        <v>167</v>
      </c>
      <c r="BT325" t="s">
        <v>167</v>
      </c>
    </row>
    <row r="326" spans="1:74">
      <c r="A326" t="s">
        <v>686</v>
      </c>
      <c r="B326" s="7" t="s">
        <v>10</v>
      </c>
      <c r="C326" s="7" t="s">
        <v>11</v>
      </c>
      <c r="D326" t="s">
        <v>172</v>
      </c>
      <c r="F326" t="s">
        <v>13</v>
      </c>
      <c r="G326" t="s">
        <v>14</v>
      </c>
      <c r="H326" t="s">
        <v>13</v>
      </c>
      <c r="I326" t="s">
        <v>14</v>
      </c>
      <c r="AW326">
        <v>3.86</v>
      </c>
      <c r="AX326">
        <v>2.69</v>
      </c>
      <c r="AY326">
        <v>2.65</v>
      </c>
      <c r="AZ326">
        <v>2.69</v>
      </c>
      <c r="BP326" t="s">
        <v>696</v>
      </c>
      <c r="BQ326" t="s">
        <v>281</v>
      </c>
      <c r="BR326" t="s">
        <v>682</v>
      </c>
    </row>
    <row r="327" spans="1:74">
      <c r="A327" t="s">
        <v>687</v>
      </c>
      <c r="B327" s="7" t="s">
        <v>10</v>
      </c>
      <c r="C327" s="7" t="s">
        <v>11</v>
      </c>
      <c r="D327" t="s">
        <v>172</v>
      </c>
      <c r="F327" t="s">
        <v>13</v>
      </c>
      <c r="G327" t="s">
        <v>14</v>
      </c>
      <c r="H327" t="s">
        <v>13</v>
      </c>
      <c r="I327" t="s">
        <v>14</v>
      </c>
      <c r="AW327">
        <v>3.84</v>
      </c>
      <c r="AX327">
        <v>2.79</v>
      </c>
      <c r="AY327">
        <v>2.84</v>
      </c>
      <c r="AZ327">
        <v>2.84</v>
      </c>
      <c r="BP327" t="s">
        <v>696</v>
      </c>
      <c r="BQ327" t="s">
        <v>281</v>
      </c>
      <c r="BR327" t="s">
        <v>682</v>
      </c>
    </row>
    <row r="328" spans="1:74">
      <c r="A328" t="s">
        <v>475</v>
      </c>
      <c r="B328" t="s">
        <v>10</v>
      </c>
      <c r="C328" t="s">
        <v>11</v>
      </c>
      <c r="D328" t="s">
        <v>172</v>
      </c>
      <c r="E328" t="s">
        <v>164</v>
      </c>
      <c r="F328" t="s">
        <v>13</v>
      </c>
      <c r="G328" t="s">
        <v>16</v>
      </c>
      <c r="H328" t="s">
        <v>13</v>
      </c>
      <c r="I328" t="s">
        <v>474</v>
      </c>
      <c r="BA328">
        <v>4.8</v>
      </c>
      <c r="BB328">
        <v>3.7</v>
      </c>
      <c r="BC328">
        <v>3.8</v>
      </c>
      <c r="BD328">
        <v>3.8</v>
      </c>
      <c r="BQ328" t="s">
        <v>281</v>
      </c>
      <c r="BR328" t="s">
        <v>389</v>
      </c>
      <c r="BS328" t="s">
        <v>371</v>
      </c>
      <c r="BT328" t="s">
        <v>389</v>
      </c>
    </row>
    <row r="329" spans="1:74">
      <c r="A329" t="s">
        <v>443</v>
      </c>
      <c r="B329" t="s">
        <v>10</v>
      </c>
      <c r="C329" t="s">
        <v>11</v>
      </c>
      <c r="D329" t="s">
        <v>172</v>
      </c>
      <c r="E329" t="s">
        <v>164</v>
      </c>
      <c r="F329" t="s">
        <v>13</v>
      </c>
      <c r="G329" t="s">
        <v>16</v>
      </c>
      <c r="H329" t="s">
        <v>13</v>
      </c>
      <c r="I329" t="s">
        <v>16</v>
      </c>
      <c r="AS329">
        <v>4.9000000000000004</v>
      </c>
      <c r="AV329">
        <v>2.7</v>
      </c>
      <c r="AW329">
        <v>5.2</v>
      </c>
      <c r="AZ329">
        <v>3.7</v>
      </c>
      <c r="BA329">
        <v>5.2</v>
      </c>
      <c r="BD329">
        <v>4.2</v>
      </c>
      <c r="BE329">
        <v>5.3</v>
      </c>
      <c r="BH329">
        <v>4</v>
      </c>
      <c r="BQ329" t="s">
        <v>281</v>
      </c>
      <c r="BR329" t="s">
        <v>412</v>
      </c>
      <c r="BS329" t="s">
        <v>371</v>
      </c>
      <c r="BT329" t="s">
        <v>412</v>
      </c>
    </row>
    <row r="330" spans="1:74">
      <c r="A330" t="s">
        <v>443</v>
      </c>
      <c r="B330" t="s">
        <v>10</v>
      </c>
      <c r="C330" t="s">
        <v>11</v>
      </c>
      <c r="D330" t="s">
        <v>172</v>
      </c>
      <c r="E330" t="s">
        <v>176</v>
      </c>
      <c r="F330" t="s">
        <v>13</v>
      </c>
      <c r="G330" t="s">
        <v>16</v>
      </c>
      <c r="H330" t="s">
        <v>13</v>
      </c>
      <c r="I330" t="s">
        <v>16</v>
      </c>
      <c r="AS330">
        <v>4.9000000000000004</v>
      </c>
      <c r="AV330">
        <v>2.7</v>
      </c>
      <c r="AW330">
        <v>5.2</v>
      </c>
      <c r="AZ330">
        <v>3.7</v>
      </c>
      <c r="BA330">
        <v>5.2</v>
      </c>
      <c r="BD330">
        <v>4.2</v>
      </c>
      <c r="BE330">
        <v>5.3</v>
      </c>
      <c r="BH330">
        <v>4</v>
      </c>
      <c r="BQ330" t="s">
        <v>166</v>
      </c>
      <c r="BR330" t="s">
        <v>503</v>
      </c>
    </row>
    <row r="331" spans="1:74">
      <c r="A331" t="s">
        <v>444</v>
      </c>
      <c r="B331" t="s">
        <v>10</v>
      </c>
      <c r="C331" t="s">
        <v>11</v>
      </c>
      <c r="D331" t="s">
        <v>172</v>
      </c>
      <c r="E331" t="s">
        <v>164</v>
      </c>
      <c r="F331" t="s">
        <v>13</v>
      </c>
      <c r="G331" t="s">
        <v>16</v>
      </c>
      <c r="H331" t="s">
        <v>13</v>
      </c>
      <c r="I331" t="s">
        <v>16</v>
      </c>
      <c r="BA331">
        <v>5.0999999999999996</v>
      </c>
      <c r="BD331">
        <v>4.2</v>
      </c>
      <c r="BQ331" t="s">
        <v>281</v>
      </c>
      <c r="BR331" t="s">
        <v>412</v>
      </c>
      <c r="BS331" t="s">
        <v>371</v>
      </c>
      <c r="BT331" t="s">
        <v>412</v>
      </c>
    </row>
    <row r="332" spans="1:74">
      <c r="A332" t="s">
        <v>672</v>
      </c>
      <c r="B332" s="7" t="s">
        <v>10</v>
      </c>
      <c r="C332" s="7" t="s">
        <v>11</v>
      </c>
      <c r="D332" t="s">
        <v>172</v>
      </c>
      <c r="F332" t="s">
        <v>511</v>
      </c>
      <c r="G332" t="s">
        <v>43</v>
      </c>
      <c r="H332" t="s">
        <v>483</v>
      </c>
      <c r="I332" t="s">
        <v>43</v>
      </c>
      <c r="Y332">
        <v>5</v>
      </c>
      <c r="AB332">
        <v>5.9</v>
      </c>
      <c r="AC332">
        <v>5.5</v>
      </c>
      <c r="AF332">
        <v>7</v>
      </c>
      <c r="AG332">
        <v>3.5</v>
      </c>
      <c r="AJ332">
        <v>5.7</v>
      </c>
      <c r="BQ332" t="s">
        <v>281</v>
      </c>
      <c r="BR332" t="s">
        <v>671</v>
      </c>
    </row>
    <row r="333" spans="1:74">
      <c r="A333" t="s">
        <v>670</v>
      </c>
      <c r="B333" s="7" t="s">
        <v>10</v>
      </c>
      <c r="C333" s="7" t="s">
        <v>11</v>
      </c>
      <c r="D333" t="s">
        <v>172</v>
      </c>
      <c r="F333" t="s">
        <v>511</v>
      </c>
      <c r="G333" t="s">
        <v>43</v>
      </c>
      <c r="H333" t="s">
        <v>483</v>
      </c>
      <c r="I333" t="s">
        <v>43</v>
      </c>
      <c r="U333">
        <v>4.5999999999999996</v>
      </c>
      <c r="X333">
        <v>5.9</v>
      </c>
      <c r="Y333">
        <v>4.9000000000000004</v>
      </c>
      <c r="AB333">
        <v>5.7</v>
      </c>
      <c r="AC333">
        <v>4.9000000000000004</v>
      </c>
      <c r="AF333">
        <v>6.5</v>
      </c>
      <c r="AG333">
        <v>3.3</v>
      </c>
      <c r="AJ333">
        <v>5.4</v>
      </c>
      <c r="BQ333" t="s">
        <v>281</v>
      </c>
      <c r="BR333" t="s">
        <v>671</v>
      </c>
      <c r="BS333" t="s">
        <v>371</v>
      </c>
      <c r="BT333" t="s">
        <v>671</v>
      </c>
    </row>
    <row r="334" spans="1:74">
      <c r="A334" s="13" t="s">
        <v>636</v>
      </c>
      <c r="B334" s="13" t="s">
        <v>10</v>
      </c>
      <c r="C334" s="13" t="s">
        <v>11</v>
      </c>
      <c r="D334" s="13" t="s">
        <v>172</v>
      </c>
      <c r="E334" s="13"/>
      <c r="F334" s="13" t="s">
        <v>511</v>
      </c>
      <c r="G334" s="13" t="s">
        <v>43</v>
      </c>
      <c r="H334" s="13" t="s">
        <v>637</v>
      </c>
      <c r="I334" s="13" t="s">
        <v>638</v>
      </c>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v>4.7</v>
      </c>
      <c r="AP334" s="13"/>
      <c r="AQ334" s="13"/>
      <c r="AR334" s="13">
        <v>2.9</v>
      </c>
      <c r="AS334" s="13"/>
      <c r="AT334" s="13"/>
      <c r="AU334" s="13"/>
      <c r="AV334" s="13"/>
      <c r="AW334" s="13">
        <v>4.8</v>
      </c>
      <c r="AX334" s="13"/>
      <c r="AY334" s="13"/>
      <c r="AZ334" s="13">
        <v>3.1</v>
      </c>
      <c r="BA334" s="13">
        <v>5</v>
      </c>
      <c r="BB334" s="13"/>
      <c r="BC334" s="13"/>
      <c r="BD334" s="13">
        <v>3.9</v>
      </c>
      <c r="BE334" s="13">
        <v>6.5</v>
      </c>
      <c r="BF334" s="13"/>
      <c r="BG334" s="13"/>
      <c r="BH334" s="13">
        <v>3.5</v>
      </c>
      <c r="BI334" s="13"/>
      <c r="BJ334" s="13"/>
      <c r="BK334" s="13"/>
      <c r="BL334" s="13"/>
      <c r="BM334" s="13"/>
      <c r="BN334" s="13"/>
      <c r="BO334" s="13"/>
      <c r="BP334" s="13" t="s">
        <v>639</v>
      </c>
      <c r="BQ334" s="13" t="s">
        <v>281</v>
      </c>
      <c r="BR334" s="13" t="s">
        <v>624</v>
      </c>
      <c r="BS334" s="13" t="s">
        <v>371</v>
      </c>
      <c r="BT334" s="13" t="s">
        <v>624</v>
      </c>
      <c r="BU334" s="13"/>
      <c r="BV334" s="13"/>
    </row>
    <row r="335" spans="1:74">
      <c r="A335" t="s">
        <v>512</v>
      </c>
      <c r="B335" t="s">
        <v>10</v>
      </c>
      <c r="C335" t="s">
        <v>11</v>
      </c>
      <c r="D335" t="s">
        <v>172</v>
      </c>
      <c r="F335" t="s">
        <v>511</v>
      </c>
      <c r="G335" t="s">
        <v>43</v>
      </c>
      <c r="H335" t="s">
        <v>483</v>
      </c>
      <c r="I335" t="s">
        <v>43</v>
      </c>
      <c r="Y335">
        <v>4.51</v>
      </c>
      <c r="AB335">
        <v>6.42</v>
      </c>
      <c r="AC335">
        <v>5.28</v>
      </c>
      <c r="AF335">
        <v>7.4</v>
      </c>
      <c r="AG335">
        <v>3.6</v>
      </c>
      <c r="AJ335">
        <v>6.4</v>
      </c>
      <c r="AW335">
        <v>4.5</v>
      </c>
      <c r="AX335">
        <v>3.13</v>
      </c>
      <c r="AY335">
        <v>3.44</v>
      </c>
      <c r="AZ335">
        <v>3.44</v>
      </c>
      <c r="BA335">
        <v>5.45</v>
      </c>
      <c r="BB335">
        <v>3.9</v>
      </c>
      <c r="BC335">
        <v>3.7</v>
      </c>
      <c r="BD335">
        <v>3.9</v>
      </c>
      <c r="BE335">
        <v>6.3</v>
      </c>
      <c r="BF335">
        <v>3.37</v>
      </c>
      <c r="BG335">
        <v>2.9</v>
      </c>
      <c r="BH335">
        <v>3.37</v>
      </c>
      <c r="BQ335" t="s">
        <v>281</v>
      </c>
      <c r="BR335" t="s">
        <v>510</v>
      </c>
      <c r="BS335" t="s">
        <v>181</v>
      </c>
      <c r="BT335" t="s">
        <v>510</v>
      </c>
    </row>
    <row r="336" spans="1:74">
      <c r="A336" t="s">
        <v>513</v>
      </c>
      <c r="B336" t="s">
        <v>10</v>
      </c>
      <c r="C336" t="s">
        <v>11</v>
      </c>
      <c r="D336" t="s">
        <v>172</v>
      </c>
      <c r="F336" t="s">
        <v>511</v>
      </c>
      <c r="G336" t="s">
        <v>43</v>
      </c>
      <c r="H336" t="s">
        <v>483</v>
      </c>
      <c r="I336" t="s">
        <v>43</v>
      </c>
      <c r="BF336">
        <v>3.73</v>
      </c>
      <c r="BH336">
        <v>3.73</v>
      </c>
      <c r="BQ336" t="s">
        <v>281</v>
      </c>
      <c r="BR336" t="s">
        <v>510</v>
      </c>
    </row>
    <row r="337" spans="1:74">
      <c r="A337" t="s">
        <v>688</v>
      </c>
      <c r="B337" s="7" t="s">
        <v>10</v>
      </c>
      <c r="C337" s="7" t="s">
        <v>11</v>
      </c>
      <c r="D337" t="s">
        <v>172</v>
      </c>
      <c r="E337" t="s">
        <v>164</v>
      </c>
      <c r="F337" t="s">
        <v>511</v>
      </c>
      <c r="G337" t="s">
        <v>43</v>
      </c>
      <c r="H337" t="s">
        <v>483</v>
      </c>
      <c r="I337" t="s">
        <v>689</v>
      </c>
      <c r="BE337">
        <v>4.47</v>
      </c>
      <c r="BF337">
        <v>2.99</v>
      </c>
      <c r="BG337">
        <v>2.73</v>
      </c>
      <c r="BH337">
        <v>2.99</v>
      </c>
      <c r="BQ337" t="s">
        <v>281</v>
      </c>
      <c r="BR337" t="s">
        <v>682</v>
      </c>
      <c r="BS337" t="s">
        <v>371</v>
      </c>
      <c r="BT337" t="s">
        <v>682</v>
      </c>
    </row>
    <row r="338" spans="1:74">
      <c r="A338" t="s">
        <v>320</v>
      </c>
      <c r="B338" t="s">
        <v>10</v>
      </c>
      <c r="C338" t="s">
        <v>11</v>
      </c>
      <c r="D338" t="s">
        <v>172</v>
      </c>
      <c r="F338" t="s">
        <v>509</v>
      </c>
      <c r="G338" t="s">
        <v>321</v>
      </c>
      <c r="H338" t="s">
        <v>509</v>
      </c>
      <c r="I338" t="s">
        <v>321</v>
      </c>
      <c r="AW338">
        <v>3.84</v>
      </c>
      <c r="AX338">
        <v>2.67</v>
      </c>
      <c r="AY338">
        <v>2.81</v>
      </c>
      <c r="AZ338">
        <f>MAX(AX338:AY338)</f>
        <v>2.81</v>
      </c>
      <c r="BA338" s="5">
        <v>4.25</v>
      </c>
      <c r="BB338" s="5">
        <v>3.35</v>
      </c>
      <c r="BC338" s="5">
        <v>3.08</v>
      </c>
      <c r="BD338">
        <f>MAX(BB338:BC338)</f>
        <v>3.35</v>
      </c>
      <c r="BE338" s="5">
        <v>4.95</v>
      </c>
      <c r="BF338" s="5">
        <v>3.08</v>
      </c>
      <c r="BP338" t="s">
        <v>366</v>
      </c>
      <c r="BQ338" t="s">
        <v>281</v>
      </c>
      <c r="BR338" t="s">
        <v>322</v>
      </c>
    </row>
    <row r="339" spans="1:74">
      <c r="A339" t="s">
        <v>323</v>
      </c>
      <c r="B339" t="s">
        <v>10</v>
      </c>
      <c r="C339" t="s">
        <v>11</v>
      </c>
      <c r="D339" t="s">
        <v>172</v>
      </c>
      <c r="F339" t="s">
        <v>509</v>
      </c>
      <c r="G339" t="s">
        <v>321</v>
      </c>
      <c r="H339" t="s">
        <v>509</v>
      </c>
      <c r="I339" t="s">
        <v>321</v>
      </c>
      <c r="AW339" s="8"/>
      <c r="AX339" s="8"/>
      <c r="AY339" s="8"/>
      <c r="AZ339">
        <f>MAX(AX339:AY339)</f>
        <v>0</v>
      </c>
      <c r="BA339">
        <v>3.84</v>
      </c>
      <c r="BB339">
        <v>2.99</v>
      </c>
      <c r="BC339">
        <v>2.71</v>
      </c>
      <c r="BD339">
        <f>MAX(BB339:BC339)</f>
        <v>2.99</v>
      </c>
      <c r="BE339">
        <v>4.3899999999999997</v>
      </c>
      <c r="BF339">
        <v>2.66</v>
      </c>
      <c r="BP339" t="s">
        <v>366</v>
      </c>
      <c r="BQ339" t="s">
        <v>281</v>
      </c>
      <c r="BR339" t="s">
        <v>322</v>
      </c>
    </row>
    <row r="340" spans="1:74">
      <c r="A340" t="s">
        <v>195</v>
      </c>
      <c r="B340" t="s">
        <v>10</v>
      </c>
      <c r="C340" t="s">
        <v>11</v>
      </c>
      <c r="D340" t="s">
        <v>172</v>
      </c>
      <c r="E340" t="s">
        <v>164</v>
      </c>
      <c r="F340" t="s">
        <v>509</v>
      </c>
      <c r="G340" t="s">
        <v>196</v>
      </c>
      <c r="H340" t="s">
        <v>509</v>
      </c>
      <c r="I340" t="s">
        <v>196</v>
      </c>
      <c r="BA340">
        <v>5.5</v>
      </c>
      <c r="BD340">
        <v>3.8</v>
      </c>
      <c r="BQ340" t="s">
        <v>166</v>
      </c>
      <c r="BR340" t="s">
        <v>197</v>
      </c>
      <c r="BS340" t="s">
        <v>181</v>
      </c>
      <c r="BT340" t="s">
        <v>197</v>
      </c>
    </row>
    <row r="341" spans="1:74">
      <c r="A341" t="s">
        <v>198</v>
      </c>
      <c r="B341" t="s">
        <v>10</v>
      </c>
      <c r="C341" t="s">
        <v>11</v>
      </c>
      <c r="D341" t="s">
        <v>172</v>
      </c>
      <c r="E341" t="s">
        <v>164</v>
      </c>
      <c r="F341" t="s">
        <v>509</v>
      </c>
      <c r="G341" t="s">
        <v>199</v>
      </c>
      <c r="H341" t="s">
        <v>509</v>
      </c>
      <c r="I341" t="s">
        <v>199</v>
      </c>
      <c r="BA341">
        <v>3.6</v>
      </c>
      <c r="BD341">
        <v>2.8</v>
      </c>
      <c r="BP341" t="s">
        <v>200</v>
      </c>
      <c r="BQ341" t="s">
        <v>166</v>
      </c>
      <c r="BR341" t="s">
        <v>197</v>
      </c>
      <c r="BS341" t="s">
        <v>181</v>
      </c>
      <c r="BT341" t="s">
        <v>197</v>
      </c>
    </row>
    <row r="342" spans="1:74">
      <c r="A342" t="s">
        <v>195</v>
      </c>
      <c r="B342" t="s">
        <v>10</v>
      </c>
      <c r="C342" t="s">
        <v>11</v>
      </c>
      <c r="D342" t="s">
        <v>172</v>
      </c>
      <c r="F342" t="s">
        <v>509</v>
      </c>
      <c r="G342" t="s">
        <v>196</v>
      </c>
      <c r="H342" t="s">
        <v>509</v>
      </c>
      <c r="I342" t="s">
        <v>196</v>
      </c>
      <c r="BA342">
        <v>5.5</v>
      </c>
      <c r="BB342">
        <v>3.8</v>
      </c>
      <c r="BC342">
        <v>3.7</v>
      </c>
      <c r="BD342">
        <v>3.8</v>
      </c>
      <c r="BQ342" t="s">
        <v>281</v>
      </c>
      <c r="BR342" t="s">
        <v>197</v>
      </c>
      <c r="BS342" t="s">
        <v>181</v>
      </c>
      <c r="BT342" t="s">
        <v>197</v>
      </c>
    </row>
    <row r="343" spans="1:74">
      <c r="A343" t="s">
        <v>198</v>
      </c>
      <c r="B343" t="s">
        <v>10</v>
      </c>
      <c r="C343" t="s">
        <v>11</v>
      </c>
      <c r="D343" t="s">
        <v>172</v>
      </c>
      <c r="F343" t="s">
        <v>509</v>
      </c>
      <c r="G343" t="s">
        <v>199</v>
      </c>
      <c r="H343" t="s">
        <v>509</v>
      </c>
      <c r="I343" t="s">
        <v>199</v>
      </c>
      <c r="BA343">
        <v>3.6</v>
      </c>
      <c r="BB343">
        <v>2.8</v>
      </c>
      <c r="BC343">
        <v>2.8</v>
      </c>
      <c r="BD343">
        <v>2.8</v>
      </c>
      <c r="BP343" t="s">
        <v>794</v>
      </c>
      <c r="BQ343" t="s">
        <v>281</v>
      </c>
      <c r="BR343" t="s">
        <v>197</v>
      </c>
      <c r="BS343" t="s">
        <v>371</v>
      </c>
      <c r="BT343" t="s">
        <v>197</v>
      </c>
    </row>
    <row r="344" spans="1:74">
      <c r="A344" t="s">
        <v>372</v>
      </c>
      <c r="B344" t="s">
        <v>10</v>
      </c>
      <c r="C344" t="s">
        <v>11</v>
      </c>
      <c r="D344" t="s">
        <v>172</v>
      </c>
      <c r="F344" t="s">
        <v>367</v>
      </c>
      <c r="G344" t="s">
        <v>369</v>
      </c>
      <c r="H344" t="s">
        <v>367</v>
      </c>
      <c r="I344" t="s">
        <v>368</v>
      </c>
      <c r="Q344">
        <v>4.5</v>
      </c>
      <c r="T344">
        <v>4.0999999999999996</v>
      </c>
      <c r="U344">
        <v>5.8</v>
      </c>
      <c r="X344">
        <v>6.5</v>
      </c>
      <c r="Y344">
        <v>6.8</v>
      </c>
      <c r="AB344">
        <v>8.1999999999999993</v>
      </c>
      <c r="AC344">
        <v>6.7</v>
      </c>
      <c r="AF344">
        <v>8.8000000000000007</v>
      </c>
      <c r="AG344">
        <v>5</v>
      </c>
      <c r="AJ344">
        <v>7</v>
      </c>
      <c r="BQ344" t="s">
        <v>281</v>
      </c>
      <c r="BR344" t="s">
        <v>370</v>
      </c>
      <c r="BS344" t="s">
        <v>371</v>
      </c>
      <c r="BT344" t="s">
        <v>370</v>
      </c>
    </row>
    <row r="345" spans="1:74" s="9" customFormat="1">
      <c r="A345" s="15" t="s">
        <v>373</v>
      </c>
      <c r="B345" s="15" t="s">
        <v>10</v>
      </c>
      <c r="C345" s="15" t="s">
        <v>11</v>
      </c>
      <c r="D345" s="15" t="s">
        <v>172</v>
      </c>
      <c r="E345" s="15"/>
      <c r="F345" s="15" t="s">
        <v>367</v>
      </c>
      <c r="G345" s="15" t="s">
        <v>369</v>
      </c>
      <c r="H345" s="15" t="s">
        <v>367</v>
      </c>
      <c r="I345" s="15" t="s">
        <v>369</v>
      </c>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t="s">
        <v>281</v>
      </c>
      <c r="BR345" s="15" t="s">
        <v>370</v>
      </c>
      <c r="BS345" s="15" t="s">
        <v>371</v>
      </c>
      <c r="BT345" s="15" t="s">
        <v>370</v>
      </c>
      <c r="BU345" s="15"/>
      <c r="BV345" s="15"/>
    </row>
    <row r="346" spans="1:74" s="9" customFormat="1">
      <c r="A346" s="15" t="s">
        <v>1230</v>
      </c>
      <c r="B346" s="15" t="s">
        <v>10</v>
      </c>
      <c r="C346" s="15" t="s">
        <v>11</v>
      </c>
      <c r="D346" s="15" t="s">
        <v>172</v>
      </c>
      <c r="E346" s="15"/>
      <c r="F346" s="15" t="s">
        <v>367</v>
      </c>
      <c r="G346" s="15" t="s">
        <v>369</v>
      </c>
      <c r="H346" s="15" t="s">
        <v>367</v>
      </c>
      <c r="I346" s="15" t="s">
        <v>368</v>
      </c>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t="s">
        <v>281</v>
      </c>
      <c r="BR346" s="15" t="s">
        <v>370</v>
      </c>
      <c r="BS346" s="15" t="s">
        <v>371</v>
      </c>
      <c r="BT346" s="15" t="s">
        <v>370</v>
      </c>
      <c r="BU346" s="15"/>
      <c r="BV346" s="15"/>
    </row>
    <row r="347" spans="1:74" s="9" customFormat="1">
      <c r="A347" t="s">
        <v>825</v>
      </c>
      <c r="B347" t="s">
        <v>10</v>
      </c>
      <c r="C347" t="s">
        <v>11</v>
      </c>
      <c r="D347" t="s">
        <v>172</v>
      </c>
      <c r="E347"/>
      <c r="F347" t="s">
        <v>367</v>
      </c>
      <c r="G347" t="s">
        <v>783</v>
      </c>
      <c r="H347" t="s">
        <v>367</v>
      </c>
      <c r="I347" t="s">
        <v>824</v>
      </c>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v>5.0999999999999996</v>
      </c>
      <c r="AT347"/>
      <c r="AU347"/>
      <c r="AV347">
        <v>2.9</v>
      </c>
      <c r="AW347">
        <v>6.7</v>
      </c>
      <c r="AX347"/>
      <c r="AY347"/>
      <c r="AZ347">
        <v>4.5999999999999996</v>
      </c>
      <c r="BA347"/>
      <c r="BB347"/>
      <c r="BC347"/>
      <c r="BD347"/>
      <c r="BE347">
        <v>7.1</v>
      </c>
      <c r="BF347"/>
      <c r="BG347"/>
      <c r="BH347">
        <v>5.3</v>
      </c>
      <c r="BI347"/>
      <c r="BJ347"/>
      <c r="BK347"/>
      <c r="BL347"/>
      <c r="BM347"/>
      <c r="BN347"/>
      <c r="BO347"/>
      <c r="BP347"/>
      <c r="BQ347" t="s">
        <v>281</v>
      </c>
      <c r="BR347" t="s">
        <v>818</v>
      </c>
      <c r="BS347" t="s">
        <v>181</v>
      </c>
      <c r="BT347" t="s">
        <v>818</v>
      </c>
      <c r="BU347"/>
      <c r="BV347"/>
    </row>
    <row r="348" spans="1:74" s="9" customFormat="1">
      <c r="A348" t="s">
        <v>384</v>
      </c>
      <c r="B348" t="s">
        <v>10</v>
      </c>
      <c r="C348" t="s">
        <v>11</v>
      </c>
      <c r="D348" t="s">
        <v>172</v>
      </c>
      <c r="E348"/>
      <c r="F348" t="s">
        <v>367</v>
      </c>
      <c r="G348" t="s">
        <v>380</v>
      </c>
      <c r="H348" t="s">
        <v>367</v>
      </c>
      <c r="I348" t="s">
        <v>380</v>
      </c>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v>5</v>
      </c>
      <c r="BB348"/>
      <c r="BC348"/>
      <c r="BD348">
        <v>4.2</v>
      </c>
      <c r="BE348">
        <v>5.3</v>
      </c>
      <c r="BF348"/>
      <c r="BG348"/>
      <c r="BH348">
        <v>3.8</v>
      </c>
      <c r="BI348"/>
      <c r="BJ348"/>
      <c r="BK348"/>
      <c r="BL348"/>
      <c r="BM348"/>
      <c r="BN348"/>
      <c r="BO348"/>
      <c r="BP348"/>
      <c r="BQ348" t="s">
        <v>281</v>
      </c>
      <c r="BR348" t="s">
        <v>315</v>
      </c>
      <c r="BS348" t="s">
        <v>371</v>
      </c>
      <c r="BT348" t="s">
        <v>315</v>
      </c>
      <c r="BU348"/>
      <c r="BV348"/>
    </row>
    <row r="349" spans="1:74" s="9" customFormat="1">
      <c r="A349" t="s">
        <v>383</v>
      </c>
      <c r="B349" t="s">
        <v>10</v>
      </c>
      <c r="C349" t="s">
        <v>11</v>
      </c>
      <c r="D349" t="s">
        <v>172</v>
      </c>
      <c r="E349"/>
      <c r="F349" t="s">
        <v>367</v>
      </c>
      <c r="G349" t="s">
        <v>380</v>
      </c>
      <c r="H349" t="s">
        <v>367</v>
      </c>
      <c r="I349" t="s">
        <v>380</v>
      </c>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v>5.6</v>
      </c>
      <c r="AX349"/>
      <c r="AY349"/>
      <c r="AZ349">
        <v>3.8</v>
      </c>
      <c r="BA349"/>
      <c r="BB349"/>
      <c r="BC349"/>
      <c r="BD349"/>
      <c r="BE349"/>
      <c r="BF349"/>
      <c r="BG349"/>
      <c r="BH349"/>
      <c r="BI349"/>
      <c r="BJ349"/>
      <c r="BK349"/>
      <c r="BL349"/>
      <c r="BM349"/>
      <c r="BN349"/>
      <c r="BO349"/>
      <c r="BP349"/>
      <c r="BQ349" t="s">
        <v>281</v>
      </c>
      <c r="BR349" t="s">
        <v>315</v>
      </c>
      <c r="BS349" t="s">
        <v>371</v>
      </c>
      <c r="BT349" t="s">
        <v>315</v>
      </c>
      <c r="BU349"/>
      <c r="BV349"/>
    </row>
    <row r="350" spans="1:74" s="9" customFormat="1">
      <c r="A350" t="s">
        <v>828</v>
      </c>
      <c r="B350" t="s">
        <v>10</v>
      </c>
      <c r="C350" t="s">
        <v>11</v>
      </c>
      <c r="D350" t="s">
        <v>172</v>
      </c>
      <c r="E350"/>
      <c r="F350" t="s">
        <v>367</v>
      </c>
      <c r="G350" t="s">
        <v>784</v>
      </c>
      <c r="H350" t="s">
        <v>367</v>
      </c>
      <c r="I350" t="s">
        <v>826</v>
      </c>
      <c r="J350"/>
      <c r="K350"/>
      <c r="L350"/>
      <c r="M350"/>
      <c r="N350"/>
      <c r="O350"/>
      <c r="P350"/>
      <c r="Q350"/>
      <c r="R350"/>
      <c r="S350"/>
      <c r="T350"/>
      <c r="U350"/>
      <c r="V350"/>
      <c r="W350"/>
      <c r="X350"/>
      <c r="Y350">
        <v>5.7</v>
      </c>
      <c r="Z350"/>
      <c r="AA350"/>
      <c r="AB350">
        <v>6.2</v>
      </c>
      <c r="AC350">
        <v>6.5</v>
      </c>
      <c r="AD350"/>
      <c r="AE350"/>
      <c r="AF350">
        <v>8</v>
      </c>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t="s">
        <v>829</v>
      </c>
      <c r="BQ350" t="s">
        <v>281</v>
      </c>
      <c r="BR350" t="s">
        <v>818</v>
      </c>
      <c r="BS350"/>
      <c r="BT350"/>
      <c r="BU350"/>
      <c r="BV350"/>
    </row>
    <row r="351" spans="1:74" s="9" customFormat="1">
      <c r="A351" t="s">
        <v>827</v>
      </c>
      <c r="B351" t="s">
        <v>10</v>
      </c>
      <c r="C351" t="s">
        <v>11</v>
      </c>
      <c r="D351" t="s">
        <v>172</v>
      </c>
      <c r="E351"/>
      <c r="F351" t="s">
        <v>367</v>
      </c>
      <c r="G351" t="s">
        <v>784</v>
      </c>
      <c r="H351" t="s">
        <v>367</v>
      </c>
      <c r="I351" t="s">
        <v>826</v>
      </c>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v>5.2</v>
      </c>
      <c r="AT351"/>
      <c r="AU351"/>
      <c r="AV351">
        <v>2.7</v>
      </c>
      <c r="AW351">
        <v>6.7</v>
      </c>
      <c r="AX351"/>
      <c r="AY351"/>
      <c r="AZ351">
        <v>4.3</v>
      </c>
      <c r="BA351">
        <v>6.2</v>
      </c>
      <c r="BB351"/>
      <c r="BC351"/>
      <c r="BD351">
        <v>5.3</v>
      </c>
      <c r="BE351">
        <v>6.2</v>
      </c>
      <c r="BF351"/>
      <c r="BG351"/>
      <c r="BH351">
        <v>4.8</v>
      </c>
      <c r="BI351"/>
      <c r="BJ351"/>
      <c r="BK351"/>
      <c r="BL351"/>
      <c r="BM351"/>
      <c r="BN351"/>
      <c r="BO351"/>
      <c r="BP351" t="s">
        <v>208</v>
      </c>
      <c r="BQ351" t="s">
        <v>281</v>
      </c>
      <c r="BR351" t="s">
        <v>818</v>
      </c>
      <c r="BS351" t="s">
        <v>181</v>
      </c>
      <c r="BT351" t="s">
        <v>818</v>
      </c>
      <c r="BU351"/>
      <c r="BV351"/>
    </row>
    <row r="352" spans="1:74" s="9" customFormat="1">
      <c r="A352" t="s">
        <v>832</v>
      </c>
      <c r="B352" t="s">
        <v>10</v>
      </c>
      <c r="C352" t="s">
        <v>11</v>
      </c>
      <c r="D352" t="s">
        <v>172</v>
      </c>
      <c r="E352"/>
      <c r="F352" t="s">
        <v>367</v>
      </c>
      <c r="G352" t="s">
        <v>784</v>
      </c>
      <c r="H352" t="s">
        <v>367</v>
      </c>
      <c r="I352" t="s">
        <v>830</v>
      </c>
      <c r="J352"/>
      <c r="K352"/>
      <c r="L352"/>
      <c r="M352"/>
      <c r="N352"/>
      <c r="O352"/>
      <c r="P352"/>
      <c r="Q352"/>
      <c r="R352"/>
      <c r="S352"/>
      <c r="T352"/>
      <c r="U352"/>
      <c r="V352"/>
      <c r="W352"/>
      <c r="X352"/>
      <c r="Y352"/>
      <c r="Z352"/>
      <c r="AA352"/>
      <c r="AB352"/>
      <c r="AC352">
        <v>5.2</v>
      </c>
      <c r="AD352"/>
      <c r="AE352"/>
      <c r="AF352">
        <v>7.1</v>
      </c>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t="s">
        <v>281</v>
      </c>
      <c r="BR352" t="s">
        <v>818</v>
      </c>
      <c r="BS352"/>
      <c r="BT352"/>
      <c r="BU352"/>
      <c r="BV352"/>
    </row>
    <row r="353" spans="1:74" s="9" customFormat="1">
      <c r="A353" t="s">
        <v>831</v>
      </c>
      <c r="B353" t="s">
        <v>10</v>
      </c>
      <c r="C353" t="s">
        <v>11</v>
      </c>
      <c r="D353" t="s">
        <v>172</v>
      </c>
      <c r="E353"/>
      <c r="F353" t="s">
        <v>367</v>
      </c>
      <c r="G353" t="s">
        <v>784</v>
      </c>
      <c r="H353" t="s">
        <v>367</v>
      </c>
      <c r="I353" t="s">
        <v>830</v>
      </c>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v>5.6</v>
      </c>
      <c r="AX353"/>
      <c r="AY353"/>
      <c r="AZ353">
        <v>3.8</v>
      </c>
      <c r="BA353">
        <v>5.4</v>
      </c>
      <c r="BB353"/>
      <c r="BC353"/>
      <c r="BD353">
        <v>4.7</v>
      </c>
      <c r="BE353">
        <v>5.3</v>
      </c>
      <c r="BF353"/>
      <c r="BG353"/>
      <c r="BH353">
        <v>4</v>
      </c>
      <c r="BI353"/>
      <c r="BJ353"/>
      <c r="BK353"/>
      <c r="BL353"/>
      <c r="BM353"/>
      <c r="BN353"/>
      <c r="BO353"/>
      <c r="BP353"/>
      <c r="BQ353" t="s">
        <v>281</v>
      </c>
      <c r="BR353" t="s">
        <v>818</v>
      </c>
      <c r="BS353"/>
      <c r="BT353"/>
      <c r="BU353"/>
      <c r="BV353"/>
    </row>
    <row r="354" spans="1:74" s="9" customFormat="1">
      <c r="A354" t="s">
        <v>208</v>
      </c>
      <c r="B354" t="s">
        <v>10</v>
      </c>
      <c r="C354" t="s">
        <v>11</v>
      </c>
      <c r="D354" t="s">
        <v>172</v>
      </c>
      <c r="E354"/>
      <c r="F354" t="s">
        <v>367</v>
      </c>
      <c r="G354" t="s">
        <v>785</v>
      </c>
      <c r="H354" t="s">
        <v>367</v>
      </c>
      <c r="I354" t="s">
        <v>785</v>
      </c>
      <c r="J354"/>
      <c r="K354"/>
      <c r="L354"/>
      <c r="M354"/>
      <c r="N354"/>
      <c r="O354"/>
      <c r="P354"/>
      <c r="Q354"/>
      <c r="R354"/>
      <c r="S354"/>
      <c r="T354"/>
      <c r="U354"/>
      <c r="V354"/>
      <c r="W354"/>
      <c r="X354"/>
      <c r="Y354"/>
      <c r="Z354"/>
      <c r="AA354"/>
      <c r="AB354"/>
      <c r="AC354">
        <v>6.9</v>
      </c>
      <c r="AD354"/>
      <c r="AE354"/>
      <c r="AF354">
        <v>8.6</v>
      </c>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t="s">
        <v>281</v>
      </c>
      <c r="BR354" t="s">
        <v>818</v>
      </c>
      <c r="BS354"/>
      <c r="BT354"/>
      <c r="BU354"/>
      <c r="BV354"/>
    </row>
    <row r="355" spans="1:74" s="9" customFormat="1">
      <c r="A355" t="s">
        <v>795</v>
      </c>
      <c r="B355" t="s">
        <v>10</v>
      </c>
      <c r="C355" t="s">
        <v>11</v>
      </c>
      <c r="D355" t="s">
        <v>172</v>
      </c>
      <c r="E355"/>
      <c r="F355" t="s">
        <v>367</v>
      </c>
      <c r="G355" t="s">
        <v>60</v>
      </c>
      <c r="H355" t="s">
        <v>367</v>
      </c>
      <c r="I355" t="s">
        <v>60</v>
      </c>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v>3.57</v>
      </c>
      <c r="AY355"/>
      <c r="AZ355">
        <v>3.57</v>
      </c>
      <c r="BA355"/>
      <c r="BB355"/>
      <c r="BC355"/>
      <c r="BD355"/>
      <c r="BE355"/>
      <c r="BF355"/>
      <c r="BG355"/>
      <c r="BH355"/>
      <c r="BI355"/>
      <c r="BJ355"/>
      <c r="BK355"/>
      <c r="BL355"/>
      <c r="BM355"/>
      <c r="BN355"/>
      <c r="BO355"/>
      <c r="BP355"/>
      <c r="BQ355" t="s">
        <v>281</v>
      </c>
      <c r="BR355" t="s">
        <v>793</v>
      </c>
      <c r="BS355"/>
      <c r="BT355"/>
      <c r="BU355"/>
      <c r="BV355"/>
    </row>
    <row r="356" spans="1:74" s="9" customFormat="1">
      <c r="A356" t="s">
        <v>695</v>
      </c>
      <c r="B356" s="7" t="s">
        <v>10</v>
      </c>
      <c r="C356" s="7" t="s">
        <v>11</v>
      </c>
      <c r="D356" t="s">
        <v>172</v>
      </c>
      <c r="E356" t="s">
        <v>693</v>
      </c>
      <c r="F356" t="s">
        <v>105</v>
      </c>
      <c r="G356" t="s">
        <v>495</v>
      </c>
      <c r="H356" t="s">
        <v>237</v>
      </c>
      <c r="I356" t="s">
        <v>495</v>
      </c>
      <c r="J356"/>
      <c r="K356"/>
      <c r="L356"/>
      <c r="M356"/>
      <c r="N356"/>
      <c r="O356"/>
      <c r="P356"/>
      <c r="Q356"/>
      <c r="R356"/>
      <c r="S356"/>
      <c r="T356"/>
      <c r="U356"/>
      <c r="V356"/>
      <c r="W356"/>
      <c r="X356"/>
      <c r="Y356"/>
      <c r="Z356"/>
      <c r="AA356"/>
      <c r="AB356"/>
      <c r="AC356"/>
      <c r="AD356"/>
      <c r="AE356"/>
      <c r="AF356"/>
      <c r="AG356">
        <v>4.72</v>
      </c>
      <c r="AH356">
        <v>5.86</v>
      </c>
      <c r="AI356">
        <v>5.47</v>
      </c>
      <c r="AJ356">
        <v>5.86</v>
      </c>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t="s">
        <v>281</v>
      </c>
      <c r="BR356" t="s">
        <v>682</v>
      </c>
      <c r="BS356"/>
      <c r="BT356"/>
      <c r="BU356"/>
      <c r="BV356"/>
    </row>
    <row r="357" spans="1:74" s="9" customFormat="1">
      <c r="A357" t="s">
        <v>694</v>
      </c>
      <c r="B357" s="7" t="s">
        <v>10</v>
      </c>
      <c r="C357" s="7" t="s">
        <v>11</v>
      </c>
      <c r="D357" t="s">
        <v>172</v>
      </c>
      <c r="E357" t="s">
        <v>693</v>
      </c>
      <c r="F357" t="s">
        <v>105</v>
      </c>
      <c r="G357" t="s">
        <v>495</v>
      </c>
      <c r="H357" t="s">
        <v>237</v>
      </c>
      <c r="I357" t="s">
        <v>495</v>
      </c>
      <c r="J357"/>
      <c r="K357"/>
      <c r="L357"/>
      <c r="M357"/>
      <c r="N357"/>
      <c r="O357"/>
      <c r="P357"/>
      <c r="Q357"/>
      <c r="R357"/>
      <c r="S357"/>
      <c r="T357"/>
      <c r="U357"/>
      <c r="V357"/>
      <c r="W357"/>
      <c r="X357"/>
      <c r="Y357"/>
      <c r="Z357"/>
      <c r="AA357"/>
      <c r="AB357"/>
      <c r="AC357"/>
      <c r="AD357"/>
      <c r="AE357"/>
      <c r="AF357"/>
      <c r="AG357">
        <v>4.0999999999999996</v>
      </c>
      <c r="AH357">
        <v>5.38</v>
      </c>
      <c r="AI357">
        <v>4.96</v>
      </c>
      <c r="AJ357">
        <v>5.38</v>
      </c>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t="s">
        <v>281</v>
      </c>
      <c r="BR357" t="s">
        <v>682</v>
      </c>
      <c r="BS357"/>
      <c r="BT357"/>
      <c r="BU357"/>
      <c r="BV357"/>
    </row>
    <row r="358" spans="1:74" s="9" customFormat="1">
      <c r="A358" t="s">
        <v>700</v>
      </c>
      <c r="B358" s="7" t="s">
        <v>10</v>
      </c>
      <c r="C358" s="7" t="s">
        <v>11</v>
      </c>
      <c r="D358" t="s">
        <v>172</v>
      </c>
      <c r="E358" t="s">
        <v>693</v>
      </c>
      <c r="F358" t="s">
        <v>105</v>
      </c>
      <c r="G358" t="s">
        <v>495</v>
      </c>
      <c r="H358" t="s">
        <v>237</v>
      </c>
      <c r="I358" t="s">
        <v>495</v>
      </c>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v>5.59</v>
      </c>
      <c r="AX358">
        <v>4.76</v>
      </c>
      <c r="AY358">
        <v>4.4800000000000004</v>
      </c>
      <c r="AZ358">
        <v>4.76</v>
      </c>
      <c r="BA358"/>
      <c r="BB358"/>
      <c r="BC358"/>
      <c r="BD358"/>
      <c r="BE358"/>
      <c r="BF358"/>
      <c r="BG358"/>
      <c r="BH358"/>
      <c r="BI358"/>
      <c r="BJ358"/>
      <c r="BK358"/>
      <c r="BL358"/>
      <c r="BM358"/>
      <c r="BN358"/>
      <c r="BO358"/>
      <c r="BP358" t="s">
        <v>696</v>
      </c>
      <c r="BQ358" t="s">
        <v>281</v>
      </c>
      <c r="BR358" t="s">
        <v>682</v>
      </c>
      <c r="BS358"/>
      <c r="BT358"/>
      <c r="BU358"/>
      <c r="BV358"/>
    </row>
    <row r="359" spans="1:74" s="9" customFormat="1">
      <c r="A359" t="s">
        <v>697</v>
      </c>
      <c r="B359" s="7" t="s">
        <v>10</v>
      </c>
      <c r="C359" s="7" t="s">
        <v>11</v>
      </c>
      <c r="D359" t="s">
        <v>172</v>
      </c>
      <c r="E359" t="s">
        <v>693</v>
      </c>
      <c r="F359" t="s">
        <v>105</v>
      </c>
      <c r="G359" t="s">
        <v>495</v>
      </c>
      <c r="H359" t="s">
        <v>237</v>
      </c>
      <c r="I359" t="s">
        <v>495</v>
      </c>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v>5.78</v>
      </c>
      <c r="AX359">
        <v>5.67</v>
      </c>
      <c r="AY359">
        <v>5.87</v>
      </c>
      <c r="AZ359">
        <v>5.87</v>
      </c>
      <c r="BA359"/>
      <c r="BB359"/>
      <c r="BC359"/>
      <c r="BD359"/>
      <c r="BE359"/>
      <c r="BF359"/>
      <c r="BG359"/>
      <c r="BH359"/>
      <c r="BI359"/>
      <c r="BJ359"/>
      <c r="BK359"/>
      <c r="BL359"/>
      <c r="BM359"/>
      <c r="BN359"/>
      <c r="BO359"/>
      <c r="BP359" t="s">
        <v>696</v>
      </c>
      <c r="BQ359" t="s">
        <v>281</v>
      </c>
      <c r="BR359" t="s">
        <v>682</v>
      </c>
      <c r="BS359"/>
      <c r="BT359"/>
      <c r="BU359"/>
      <c r="BV359"/>
    </row>
    <row r="360" spans="1:74" s="9" customFormat="1">
      <c r="A360" t="s">
        <v>698</v>
      </c>
      <c r="B360" s="7" t="s">
        <v>10</v>
      </c>
      <c r="C360" s="7" t="s">
        <v>11</v>
      </c>
      <c r="D360" t="s">
        <v>172</v>
      </c>
      <c r="E360" t="s">
        <v>693</v>
      </c>
      <c r="F360" t="s">
        <v>105</v>
      </c>
      <c r="G360" t="s">
        <v>495</v>
      </c>
      <c r="H360" t="s">
        <v>237</v>
      </c>
      <c r="I360" t="s">
        <v>495</v>
      </c>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v>6.09</v>
      </c>
      <c r="AX360">
        <v>5.31</v>
      </c>
      <c r="AY360">
        <v>5.25</v>
      </c>
      <c r="AZ360">
        <v>5.31</v>
      </c>
      <c r="BA360"/>
      <c r="BB360"/>
      <c r="BC360"/>
      <c r="BD360"/>
      <c r="BE360"/>
      <c r="BF360"/>
      <c r="BG360"/>
      <c r="BH360"/>
      <c r="BI360"/>
      <c r="BJ360"/>
      <c r="BK360"/>
      <c r="BL360"/>
      <c r="BM360"/>
      <c r="BN360"/>
      <c r="BO360"/>
      <c r="BP360" t="s">
        <v>696</v>
      </c>
      <c r="BQ360" t="s">
        <v>281</v>
      </c>
      <c r="BR360" t="s">
        <v>682</v>
      </c>
      <c r="BS360" t="s">
        <v>371</v>
      </c>
      <c r="BT360" t="s">
        <v>682</v>
      </c>
      <c r="BU360"/>
      <c r="BV360"/>
    </row>
    <row r="361" spans="1:74" s="9" customFormat="1">
      <c r="A361" t="s">
        <v>701</v>
      </c>
      <c r="B361" s="7" t="s">
        <v>10</v>
      </c>
      <c r="C361" s="7" t="s">
        <v>11</v>
      </c>
      <c r="D361" t="s">
        <v>172</v>
      </c>
      <c r="E361" t="s">
        <v>693</v>
      </c>
      <c r="F361" t="s">
        <v>105</v>
      </c>
      <c r="G361" t="s">
        <v>495</v>
      </c>
      <c r="H361" t="s">
        <v>237</v>
      </c>
      <c r="I361" t="s">
        <v>495</v>
      </c>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v>4.46</v>
      </c>
      <c r="AY361"/>
      <c r="AZ361"/>
      <c r="BA361"/>
      <c r="BB361"/>
      <c r="BC361"/>
      <c r="BD361"/>
      <c r="BE361"/>
      <c r="BF361"/>
      <c r="BG361"/>
      <c r="BH361"/>
      <c r="BI361"/>
      <c r="BJ361"/>
      <c r="BK361"/>
      <c r="BL361"/>
      <c r="BM361"/>
      <c r="BN361"/>
      <c r="BO361"/>
      <c r="BP361" t="s">
        <v>696</v>
      </c>
      <c r="BQ361" t="s">
        <v>281</v>
      </c>
      <c r="BR361" t="s">
        <v>682</v>
      </c>
      <c r="BS361"/>
      <c r="BT361"/>
      <c r="BU361"/>
      <c r="BV361"/>
    </row>
    <row r="362" spans="1:74" s="9" customFormat="1">
      <c r="A362" t="s">
        <v>699</v>
      </c>
      <c r="B362" s="7" t="s">
        <v>10</v>
      </c>
      <c r="C362" s="7" t="s">
        <v>11</v>
      </c>
      <c r="D362" t="s">
        <v>172</v>
      </c>
      <c r="E362" t="s">
        <v>693</v>
      </c>
      <c r="F362" t="s">
        <v>105</v>
      </c>
      <c r="G362" t="s">
        <v>495</v>
      </c>
      <c r="H362" t="s">
        <v>237</v>
      </c>
      <c r="I362" t="s">
        <v>495</v>
      </c>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v>4.2300000000000004</v>
      </c>
      <c r="AY362"/>
      <c r="AZ362"/>
      <c r="BA362"/>
      <c r="BB362"/>
      <c r="BC362"/>
      <c r="BD362"/>
      <c r="BE362"/>
      <c r="BF362"/>
      <c r="BG362"/>
      <c r="BH362"/>
      <c r="BI362"/>
      <c r="BJ362"/>
      <c r="BK362"/>
      <c r="BL362"/>
      <c r="BM362"/>
      <c r="BN362"/>
      <c r="BO362"/>
      <c r="BP362" t="s">
        <v>696</v>
      </c>
      <c r="BQ362" t="s">
        <v>281</v>
      </c>
      <c r="BR362" t="s">
        <v>682</v>
      </c>
      <c r="BS362"/>
      <c r="BT362"/>
      <c r="BU362"/>
      <c r="BV362"/>
    </row>
    <row r="363" spans="1:74" s="9" customFormat="1">
      <c r="A363" t="s">
        <v>452</v>
      </c>
      <c r="B363" t="s">
        <v>10</v>
      </c>
      <c r="C363" t="s">
        <v>11</v>
      </c>
      <c r="D363" t="s">
        <v>172</v>
      </c>
      <c r="E363" t="s">
        <v>164</v>
      </c>
      <c r="F363" t="s">
        <v>105</v>
      </c>
      <c r="G363" t="s">
        <v>495</v>
      </c>
      <c r="H363" t="s">
        <v>237</v>
      </c>
      <c r="I363" t="s">
        <v>28</v>
      </c>
      <c r="J363"/>
      <c r="K363"/>
      <c r="L363"/>
      <c r="M363"/>
      <c r="N363"/>
      <c r="O363"/>
      <c r="P363"/>
      <c r="Q363"/>
      <c r="R363"/>
      <c r="S363"/>
      <c r="T363"/>
      <c r="U363"/>
      <c r="V363"/>
      <c r="W363"/>
      <c r="X363"/>
      <c r="Y363"/>
      <c r="Z363"/>
      <c r="AA363"/>
      <c r="AB363"/>
      <c r="AC363"/>
      <c r="AD363"/>
      <c r="AE363"/>
      <c r="AF363"/>
      <c r="AG363"/>
      <c r="AH363"/>
      <c r="AI363"/>
      <c r="AJ363"/>
      <c r="AK363">
        <v>3.6</v>
      </c>
      <c r="AL363"/>
      <c r="AM363"/>
      <c r="AN363">
        <v>2.8</v>
      </c>
      <c r="AO363">
        <v>4.5999999999999996</v>
      </c>
      <c r="AP363"/>
      <c r="AQ363"/>
      <c r="AR363">
        <v>3.3</v>
      </c>
      <c r="AS363">
        <v>5.4</v>
      </c>
      <c r="AT363"/>
      <c r="AU363"/>
      <c r="AV363">
        <v>4</v>
      </c>
      <c r="AW363">
        <v>5.5</v>
      </c>
      <c r="AX363"/>
      <c r="AY363"/>
      <c r="AZ363">
        <v>4.7</v>
      </c>
      <c r="BA363">
        <v>6</v>
      </c>
      <c r="BB363"/>
      <c r="BC363"/>
      <c r="BD363">
        <v>5.5</v>
      </c>
      <c r="BE363">
        <v>6.1</v>
      </c>
      <c r="BF363"/>
      <c r="BG363"/>
      <c r="BH363">
        <v>4.7</v>
      </c>
      <c r="BI363"/>
      <c r="BJ363"/>
      <c r="BK363"/>
      <c r="BL363"/>
      <c r="BM363"/>
      <c r="BN363"/>
      <c r="BO363"/>
      <c r="BP363"/>
      <c r="BQ363" t="s">
        <v>281</v>
      </c>
      <c r="BR363" t="s">
        <v>412</v>
      </c>
      <c r="BS363" t="s">
        <v>371</v>
      </c>
      <c r="BT363" t="s">
        <v>412</v>
      </c>
      <c r="BU363"/>
      <c r="BV363"/>
    </row>
    <row r="364" spans="1:74" s="9" customFormat="1">
      <c r="A364" t="s">
        <v>452</v>
      </c>
      <c r="B364" t="s">
        <v>10</v>
      </c>
      <c r="C364" t="s">
        <v>11</v>
      </c>
      <c r="D364" t="s">
        <v>172</v>
      </c>
      <c r="E364" t="s">
        <v>176</v>
      </c>
      <c r="F364" t="s">
        <v>105</v>
      </c>
      <c r="G364" t="s">
        <v>495</v>
      </c>
      <c r="H364" t="s">
        <v>105</v>
      </c>
      <c r="I364" t="s">
        <v>28</v>
      </c>
      <c r="J364"/>
      <c r="K364"/>
      <c r="L364"/>
      <c r="M364"/>
      <c r="N364"/>
      <c r="O364"/>
      <c r="P364"/>
      <c r="Q364"/>
      <c r="R364"/>
      <c r="S364"/>
      <c r="T364"/>
      <c r="U364"/>
      <c r="V364"/>
      <c r="W364"/>
      <c r="X364"/>
      <c r="Y364"/>
      <c r="Z364"/>
      <c r="AA364"/>
      <c r="AB364"/>
      <c r="AC364"/>
      <c r="AD364"/>
      <c r="AE364"/>
      <c r="AF364"/>
      <c r="AG364"/>
      <c r="AH364"/>
      <c r="AI364"/>
      <c r="AJ364"/>
      <c r="AK364">
        <v>3.6</v>
      </c>
      <c r="AL364"/>
      <c r="AM364"/>
      <c r="AN364">
        <v>2.8</v>
      </c>
      <c r="AO364">
        <v>4.5999999999999996</v>
      </c>
      <c r="AP364"/>
      <c r="AQ364"/>
      <c r="AR364">
        <v>3.3</v>
      </c>
      <c r="AS364">
        <v>5.4</v>
      </c>
      <c r="AT364"/>
      <c r="AU364"/>
      <c r="AV364">
        <v>4</v>
      </c>
      <c r="AW364">
        <v>5.5</v>
      </c>
      <c r="AX364"/>
      <c r="AY364"/>
      <c r="AZ364">
        <v>4.7</v>
      </c>
      <c r="BA364">
        <v>6</v>
      </c>
      <c r="BB364"/>
      <c r="BC364"/>
      <c r="BD364">
        <v>5.5</v>
      </c>
      <c r="BE364">
        <v>6.1</v>
      </c>
      <c r="BF364"/>
      <c r="BG364"/>
      <c r="BH364">
        <v>4.7</v>
      </c>
      <c r="BI364"/>
      <c r="BJ364"/>
      <c r="BK364"/>
      <c r="BL364"/>
      <c r="BM364"/>
      <c r="BN364"/>
      <c r="BO364"/>
      <c r="BP364"/>
      <c r="BQ364" t="s">
        <v>166</v>
      </c>
      <c r="BR364" t="s">
        <v>503</v>
      </c>
      <c r="BS364"/>
      <c r="BT364"/>
      <c r="BU364"/>
      <c r="BV364"/>
    </row>
    <row r="365" spans="1:74" s="9" customFormat="1">
      <c r="A365" t="s">
        <v>453</v>
      </c>
      <c r="B365" t="s">
        <v>10</v>
      </c>
      <c r="C365" t="s">
        <v>11</v>
      </c>
      <c r="D365" t="s">
        <v>172</v>
      </c>
      <c r="E365" t="s">
        <v>164</v>
      </c>
      <c r="F365" t="s">
        <v>105</v>
      </c>
      <c r="G365" t="s">
        <v>495</v>
      </c>
      <c r="H365" t="s">
        <v>237</v>
      </c>
      <c r="I365" t="s">
        <v>28</v>
      </c>
      <c r="J365"/>
      <c r="K365"/>
      <c r="L365"/>
      <c r="M365"/>
      <c r="N365"/>
      <c r="O365"/>
      <c r="P365"/>
      <c r="Q365"/>
      <c r="R365"/>
      <c r="S365"/>
      <c r="T365"/>
      <c r="U365"/>
      <c r="V365"/>
      <c r="W365"/>
      <c r="X365"/>
      <c r="Y365"/>
      <c r="Z365"/>
      <c r="AA365"/>
      <c r="AB365"/>
      <c r="AC365"/>
      <c r="AD365"/>
      <c r="AE365"/>
      <c r="AF365"/>
      <c r="AG365"/>
      <c r="AH365"/>
      <c r="AI365"/>
      <c r="AJ365"/>
      <c r="AK365">
        <v>3.8</v>
      </c>
      <c r="AL365"/>
      <c r="AM365"/>
      <c r="AN365">
        <v>2.8</v>
      </c>
      <c r="AO365">
        <v>4.5</v>
      </c>
      <c r="AP365"/>
      <c r="AQ365"/>
      <c r="AR365">
        <v>3.3</v>
      </c>
      <c r="AS365">
        <v>5.3</v>
      </c>
      <c r="AT365"/>
      <c r="AU365"/>
      <c r="AV365">
        <v>3.8</v>
      </c>
      <c r="AW365">
        <v>5.7</v>
      </c>
      <c r="AX365"/>
      <c r="AY365"/>
      <c r="AZ365">
        <v>4.7</v>
      </c>
      <c r="BA365"/>
      <c r="BB365"/>
      <c r="BC365"/>
      <c r="BD365"/>
      <c r="BE365"/>
      <c r="BF365"/>
      <c r="BG365"/>
      <c r="BH365"/>
      <c r="BI365"/>
      <c r="BJ365"/>
      <c r="BK365"/>
      <c r="BL365"/>
      <c r="BM365"/>
      <c r="BN365"/>
      <c r="BO365"/>
      <c r="BP365"/>
      <c r="BQ365" t="s">
        <v>281</v>
      </c>
      <c r="BR365" t="s">
        <v>412</v>
      </c>
      <c r="BS365"/>
      <c r="BT365"/>
      <c r="BU365"/>
      <c r="BV365"/>
    </row>
    <row r="366" spans="1:74" s="27" customFormat="1">
      <c r="B366" s="27" t="s">
        <v>294</v>
      </c>
      <c r="D366" s="27" t="s">
        <v>486</v>
      </c>
      <c r="E366" s="27" t="s">
        <v>295</v>
      </c>
      <c r="F366" s="27" t="s">
        <v>94</v>
      </c>
      <c r="G366" s="27" t="s">
        <v>296</v>
      </c>
      <c r="H366" s="27" t="s">
        <v>94</v>
      </c>
      <c r="I366" s="27" t="s">
        <v>296</v>
      </c>
      <c r="L366" s="27" t="s">
        <v>297</v>
      </c>
      <c r="Y366" s="27">
        <v>6.53</v>
      </c>
      <c r="AB366" s="27">
        <v>10.4</v>
      </c>
      <c r="AC366" s="27">
        <v>6.9</v>
      </c>
      <c r="AF366" s="27">
        <v>11.6</v>
      </c>
      <c r="AO366" s="27">
        <v>5.78</v>
      </c>
      <c r="AR366" s="27">
        <v>3.8</v>
      </c>
      <c r="AS366" s="27">
        <v>7.04</v>
      </c>
      <c r="AV366" s="27">
        <v>5.17</v>
      </c>
      <c r="AW366" s="27">
        <v>7.56</v>
      </c>
      <c r="AZ366" s="27">
        <v>6.08</v>
      </c>
      <c r="BA366" s="27">
        <v>8.0399999999999991</v>
      </c>
      <c r="BD366" s="27">
        <v>6.25</v>
      </c>
      <c r="BE366" s="27">
        <v>9.25</v>
      </c>
      <c r="BH366" s="27">
        <v>5.08</v>
      </c>
      <c r="BQ366" s="27" t="s">
        <v>281</v>
      </c>
      <c r="BR366" s="27" t="s">
        <v>273</v>
      </c>
    </row>
    <row r="367" spans="1:74" s="27" customFormat="1">
      <c r="B367" s="27" t="s">
        <v>294</v>
      </c>
      <c r="D367" s="27" t="s">
        <v>486</v>
      </c>
      <c r="E367" s="27" t="s">
        <v>295</v>
      </c>
      <c r="F367" s="27" t="s">
        <v>94</v>
      </c>
      <c r="G367" s="27" t="s">
        <v>296</v>
      </c>
      <c r="H367" s="27" t="s">
        <v>94</v>
      </c>
      <c r="I367" s="27" t="s">
        <v>296</v>
      </c>
      <c r="L367" s="27" t="s">
        <v>298</v>
      </c>
      <c r="U367" s="27">
        <v>7.5</v>
      </c>
      <c r="X367" s="27">
        <v>9.6</v>
      </c>
      <c r="Y367" s="27">
        <v>8.06</v>
      </c>
      <c r="AB367" s="27">
        <v>11</v>
      </c>
      <c r="AC367" s="27">
        <v>8.3699999999999992</v>
      </c>
      <c r="AF367" s="27">
        <v>12.2</v>
      </c>
      <c r="AG367" s="27">
        <v>7.37</v>
      </c>
      <c r="AJ367" s="27">
        <v>12.57</v>
      </c>
      <c r="AO367" s="27">
        <v>6.33</v>
      </c>
      <c r="AR367" s="27">
        <v>3.83</v>
      </c>
      <c r="AS367" s="27">
        <v>7.67</v>
      </c>
      <c r="AV367" s="27">
        <v>4.91</v>
      </c>
      <c r="AW367" s="27">
        <v>8.0399999999999991</v>
      </c>
      <c r="AZ367" s="27">
        <v>5.84</v>
      </c>
      <c r="BA367" s="27">
        <v>8.35</v>
      </c>
      <c r="BD367" s="27">
        <v>6.28</v>
      </c>
      <c r="BE367" s="27">
        <v>9.8800000000000008</v>
      </c>
      <c r="BH367" s="27">
        <v>5.37</v>
      </c>
      <c r="BQ367" s="27" t="s">
        <v>281</v>
      </c>
      <c r="BR367" s="27" t="s">
        <v>273</v>
      </c>
    </row>
    <row r="368" spans="1:74" s="27" customFormat="1">
      <c r="B368" s="27" t="s">
        <v>294</v>
      </c>
      <c r="D368" s="27" t="s">
        <v>486</v>
      </c>
      <c r="E368" s="27" t="s">
        <v>295</v>
      </c>
      <c r="F368" s="27" t="s">
        <v>94</v>
      </c>
      <c r="G368" s="27" t="s">
        <v>296</v>
      </c>
      <c r="H368" s="27" t="s">
        <v>94</v>
      </c>
      <c r="I368" s="27" t="s">
        <v>296</v>
      </c>
      <c r="L368" s="27" t="s">
        <v>279</v>
      </c>
      <c r="U368" s="27">
        <v>6</v>
      </c>
      <c r="X368" s="27">
        <v>7.5</v>
      </c>
      <c r="AF368" s="27">
        <v>6.6</v>
      </c>
      <c r="AG368" s="27">
        <v>6.2</v>
      </c>
      <c r="AJ368" s="27">
        <v>11.3</v>
      </c>
      <c r="AS368" s="27">
        <v>6.95</v>
      </c>
      <c r="AV368" s="27">
        <v>4</v>
      </c>
      <c r="AW368" s="27">
        <v>7.5</v>
      </c>
      <c r="AZ368" s="27">
        <v>5.6</v>
      </c>
      <c r="BA368" s="27">
        <v>8.3000000000000007</v>
      </c>
      <c r="BD368" s="27">
        <v>6.35</v>
      </c>
      <c r="BE368" s="27">
        <v>8.4499999999999993</v>
      </c>
      <c r="BH368" s="27">
        <v>4.5</v>
      </c>
      <c r="BQ368" s="27" t="s">
        <v>281</v>
      </c>
      <c r="BR368" s="27" t="s">
        <v>273</v>
      </c>
    </row>
    <row r="369" spans="1:74" s="9" customFormat="1">
      <c r="A369" s="15" t="s">
        <v>316</v>
      </c>
      <c r="B369" s="15" t="s">
        <v>294</v>
      </c>
      <c r="C369" s="15"/>
      <c r="D369" s="15" t="s">
        <v>486</v>
      </c>
      <c r="E369" s="15"/>
      <c r="F369" s="15" t="s">
        <v>94</v>
      </c>
      <c r="G369" s="15" t="s">
        <v>318</v>
      </c>
      <c r="H369" s="15" t="s">
        <v>317</v>
      </c>
      <c r="I369" s="15" t="s">
        <v>318</v>
      </c>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t="s">
        <v>281</v>
      </c>
      <c r="BR369" s="15" t="s">
        <v>315</v>
      </c>
      <c r="BS369" s="15" t="s">
        <v>181</v>
      </c>
      <c r="BT369" s="15" t="s">
        <v>315</v>
      </c>
      <c r="BU369" s="15"/>
      <c r="BV369" s="15"/>
    </row>
    <row r="370" spans="1:74" s="27" customFormat="1">
      <c r="B370" s="27" t="s">
        <v>294</v>
      </c>
      <c r="D370" s="27" t="s">
        <v>486</v>
      </c>
      <c r="E370" s="27" t="s">
        <v>295</v>
      </c>
      <c r="F370" s="27" t="s">
        <v>94</v>
      </c>
      <c r="G370" s="27" t="s">
        <v>318</v>
      </c>
      <c r="H370" s="27" t="s">
        <v>317</v>
      </c>
      <c r="I370" s="27" t="s">
        <v>318</v>
      </c>
      <c r="M370" s="27">
        <v>5.6</v>
      </c>
      <c r="P370" s="27">
        <v>3.7</v>
      </c>
      <c r="Q370" s="27">
        <v>8.1999999999999993</v>
      </c>
      <c r="T370" s="27">
        <v>8.4</v>
      </c>
      <c r="AC370" s="27">
        <v>8.1999999999999993</v>
      </c>
      <c r="AF370" s="27">
        <v>12.5</v>
      </c>
      <c r="AG370" s="27">
        <v>5.7</v>
      </c>
      <c r="AJ370" s="27">
        <v>9.9</v>
      </c>
      <c r="AK370" s="27">
        <v>4.5999999999999996</v>
      </c>
      <c r="AN370" s="27">
        <v>3.5</v>
      </c>
      <c r="AO370" s="27">
        <v>6.45</v>
      </c>
      <c r="AR370" s="27">
        <v>5.45</v>
      </c>
      <c r="AS370" s="27">
        <v>8.1999999999999993</v>
      </c>
      <c r="AV370" s="27">
        <v>7.2</v>
      </c>
      <c r="AZ370" s="27">
        <v>7.95</v>
      </c>
      <c r="BA370" s="27">
        <v>9.1</v>
      </c>
      <c r="BD370" s="27">
        <v>8.35</v>
      </c>
      <c r="BP370" s="27" t="s">
        <v>319</v>
      </c>
      <c r="BQ370" s="27" t="s">
        <v>281</v>
      </c>
      <c r="BR370" s="27" t="s">
        <v>315</v>
      </c>
    </row>
    <row r="371" spans="1:74" s="27" customFormat="1">
      <c r="A371" s="27" t="s">
        <v>313</v>
      </c>
      <c r="B371" s="27" t="s">
        <v>294</v>
      </c>
      <c r="D371" s="27" t="s">
        <v>486</v>
      </c>
      <c r="E371" s="27" t="s">
        <v>295</v>
      </c>
      <c r="F371" s="27" t="s">
        <v>94</v>
      </c>
      <c r="G371" s="27" t="s">
        <v>314</v>
      </c>
      <c r="H371" s="27" t="s">
        <v>94</v>
      </c>
      <c r="I371" s="27" t="s">
        <v>314</v>
      </c>
      <c r="BE371" s="27">
        <v>8.1999999999999993</v>
      </c>
      <c r="BH371" s="27">
        <v>4.9000000000000004</v>
      </c>
      <c r="BQ371" s="27" t="s">
        <v>281</v>
      </c>
      <c r="BR371" s="27" t="s">
        <v>315</v>
      </c>
    </row>
    <row r="372" spans="1:74" s="9" customFormat="1">
      <c r="A372" t="s">
        <v>644</v>
      </c>
      <c r="B372" t="s">
        <v>10</v>
      </c>
      <c r="C372" t="s">
        <v>489</v>
      </c>
      <c r="D372" t="s">
        <v>727</v>
      </c>
      <c r="E372"/>
      <c r="F372" t="s">
        <v>211</v>
      </c>
      <c r="G372" t="s">
        <v>645</v>
      </c>
      <c r="H372" t="s">
        <v>211</v>
      </c>
      <c r="I372" t="s">
        <v>645</v>
      </c>
      <c r="J372"/>
      <c r="K372"/>
      <c r="L372"/>
      <c r="M372"/>
      <c r="N372"/>
      <c r="O372"/>
      <c r="P372"/>
      <c r="Q372"/>
      <c r="R372"/>
      <c r="S372"/>
      <c r="T372"/>
      <c r="U372">
        <f>0.0074*1000</f>
        <v>7.4</v>
      </c>
      <c r="V372"/>
      <c r="W372"/>
      <c r="X372">
        <f>0.0076*1000</f>
        <v>7.6</v>
      </c>
      <c r="Y372"/>
      <c r="Z372"/>
      <c r="AA372"/>
      <c r="AB372"/>
      <c r="AC372">
        <f>0.0087*1000</f>
        <v>8.6999999999999993</v>
      </c>
      <c r="AD372"/>
      <c r="AE372"/>
      <c r="AF372">
        <f>0.01*1000</f>
        <v>10</v>
      </c>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t="s">
        <v>646</v>
      </c>
      <c r="BQ372" t="s">
        <v>281</v>
      </c>
      <c r="BR372" t="s">
        <v>624</v>
      </c>
      <c r="BS372"/>
      <c r="BT372"/>
      <c r="BU372"/>
      <c r="BV372"/>
    </row>
    <row r="373" spans="1:74" s="9" customFormat="1">
      <c r="A373" t="s">
        <v>734</v>
      </c>
      <c r="B373" t="s">
        <v>10</v>
      </c>
      <c r="C373" t="s">
        <v>11</v>
      </c>
      <c r="D373" t="s">
        <v>301</v>
      </c>
      <c r="E373"/>
      <c r="F373" t="s">
        <v>81</v>
      </c>
      <c r="G373" t="s">
        <v>82</v>
      </c>
      <c r="H373" t="s">
        <v>61</v>
      </c>
      <c r="I373" t="s">
        <v>109</v>
      </c>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v>3.9</v>
      </c>
      <c r="BB373">
        <v>3.9</v>
      </c>
      <c r="BC373">
        <v>3.2</v>
      </c>
      <c r="BD373">
        <v>3.9</v>
      </c>
      <c r="BE373">
        <v>3.5</v>
      </c>
      <c r="BF373">
        <v>2.7</v>
      </c>
      <c r="BG373">
        <v>2.6</v>
      </c>
      <c r="BH373">
        <v>2.7</v>
      </c>
      <c r="BI373"/>
      <c r="BJ373"/>
      <c r="BK373"/>
      <c r="BL373"/>
      <c r="BM373"/>
      <c r="BN373"/>
      <c r="BO373"/>
      <c r="BP373"/>
      <c r="BQ373" t="s">
        <v>166</v>
      </c>
      <c r="BR373" t="s">
        <v>730</v>
      </c>
      <c r="BS373"/>
      <c r="BT373"/>
      <c r="BU373"/>
      <c r="BV373"/>
    </row>
    <row r="374" spans="1:74" s="9" customFormat="1">
      <c r="A374" t="s">
        <v>735</v>
      </c>
      <c r="B374" t="s">
        <v>10</v>
      </c>
      <c r="C374" t="s">
        <v>11</v>
      </c>
      <c r="D374" t="s">
        <v>301</v>
      </c>
      <c r="E374"/>
      <c r="F374" t="s">
        <v>81</v>
      </c>
      <c r="G374" t="s">
        <v>82</v>
      </c>
      <c r="H374" t="s">
        <v>110</v>
      </c>
      <c r="I374" t="s">
        <v>111</v>
      </c>
      <c r="J374"/>
      <c r="K374"/>
      <c r="L374"/>
      <c r="M374"/>
      <c r="N374"/>
      <c r="O374"/>
      <c r="P374"/>
      <c r="Q374"/>
      <c r="R374"/>
      <c r="S374"/>
      <c r="T374"/>
      <c r="U374"/>
      <c r="V374"/>
      <c r="W374"/>
      <c r="X374"/>
      <c r="Y374">
        <v>3.9</v>
      </c>
      <c r="Z374">
        <v>5.3</v>
      </c>
      <c r="AA374">
        <v>5.2</v>
      </c>
      <c r="AB374">
        <v>5.3</v>
      </c>
      <c r="AC374">
        <v>4.2</v>
      </c>
      <c r="AD374">
        <v>6.2</v>
      </c>
      <c r="AE374">
        <v>5.8</v>
      </c>
      <c r="AF374">
        <v>6.2</v>
      </c>
      <c r="AG374">
        <v>1.9</v>
      </c>
      <c r="AH374">
        <v>4.5</v>
      </c>
      <c r="AI374">
        <v>3.5</v>
      </c>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t="s">
        <v>166</v>
      </c>
      <c r="BR374" t="s">
        <v>730</v>
      </c>
      <c r="BS374" t="s">
        <v>181</v>
      </c>
      <c r="BT374" t="s">
        <v>730</v>
      </c>
      <c r="BU374"/>
      <c r="BV374"/>
    </row>
    <row r="375" spans="1:74" s="9" customFormat="1">
      <c r="A375" t="s">
        <v>731</v>
      </c>
      <c r="B375" t="s">
        <v>10</v>
      </c>
      <c r="C375" t="s">
        <v>11</v>
      </c>
      <c r="D375" t="s">
        <v>301</v>
      </c>
      <c r="E375"/>
      <c r="F375" t="s">
        <v>81</v>
      </c>
      <c r="G375" t="s">
        <v>82</v>
      </c>
      <c r="H375" t="s">
        <v>61</v>
      </c>
      <c r="I375" t="s">
        <v>109</v>
      </c>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v>3.6</v>
      </c>
      <c r="AX375">
        <v>3</v>
      </c>
      <c r="AY375">
        <v>3.2</v>
      </c>
      <c r="AZ375">
        <v>3.2</v>
      </c>
      <c r="BA375">
        <v>4.2</v>
      </c>
      <c r="BB375">
        <v>3.8</v>
      </c>
      <c r="BC375">
        <v>3.5</v>
      </c>
      <c r="BD375">
        <v>3.8</v>
      </c>
      <c r="BE375">
        <v>3.1</v>
      </c>
      <c r="BF375">
        <v>2.5</v>
      </c>
      <c r="BG375">
        <v>1.9</v>
      </c>
      <c r="BH375">
        <v>2.5</v>
      </c>
      <c r="BI375"/>
      <c r="BJ375"/>
      <c r="BK375"/>
      <c r="BL375"/>
      <c r="BM375"/>
      <c r="BN375"/>
      <c r="BO375"/>
      <c r="BP375"/>
      <c r="BQ375" t="s">
        <v>166</v>
      </c>
      <c r="BR375" t="s">
        <v>730</v>
      </c>
      <c r="BS375" t="s">
        <v>181</v>
      </c>
      <c r="BT375" t="s">
        <v>730</v>
      </c>
      <c r="BU375"/>
      <c r="BV375"/>
    </row>
    <row r="376" spans="1:74" s="9" customFormat="1">
      <c r="A376" t="s">
        <v>732</v>
      </c>
      <c r="B376" t="s">
        <v>10</v>
      </c>
      <c r="C376" t="s">
        <v>11</v>
      </c>
      <c r="D376" t="s">
        <v>301</v>
      </c>
      <c r="E376"/>
      <c r="F376" t="s">
        <v>81</v>
      </c>
      <c r="G376" t="s">
        <v>82</v>
      </c>
      <c r="H376" t="s">
        <v>61</v>
      </c>
      <c r="I376" t="s">
        <v>109</v>
      </c>
      <c r="J376"/>
      <c r="K376"/>
      <c r="L376"/>
      <c r="M376"/>
      <c r="N376"/>
      <c r="O376"/>
      <c r="P376"/>
      <c r="Q376"/>
      <c r="R376"/>
      <c r="S376"/>
      <c r="T376"/>
      <c r="U376"/>
      <c r="V376"/>
      <c r="W376"/>
      <c r="X376"/>
      <c r="Y376"/>
      <c r="Z376"/>
      <c r="AA376"/>
      <c r="AB376"/>
      <c r="AC376"/>
      <c r="AD376"/>
      <c r="AE376"/>
      <c r="AF376"/>
      <c r="AG376"/>
      <c r="AH376"/>
      <c r="AI376"/>
      <c r="AJ376"/>
      <c r="AK376">
        <v>2.6</v>
      </c>
      <c r="AL376"/>
      <c r="AM376"/>
      <c r="AN376">
        <v>1.4</v>
      </c>
      <c r="AO376">
        <v>3.3</v>
      </c>
      <c r="AP376"/>
      <c r="AQ376"/>
      <c r="AR376">
        <v>1.9</v>
      </c>
      <c r="AS376">
        <v>3.9</v>
      </c>
      <c r="AT376"/>
      <c r="AU376"/>
      <c r="AV376">
        <v>2.4</v>
      </c>
      <c r="AW376">
        <v>3.6</v>
      </c>
      <c r="AX376">
        <v>2.9</v>
      </c>
      <c r="AY376">
        <v>2.9</v>
      </c>
      <c r="AZ376">
        <v>2.9</v>
      </c>
      <c r="BA376">
        <v>4.0999999999999996</v>
      </c>
      <c r="BB376">
        <v>3.6</v>
      </c>
      <c r="BC376">
        <v>3.3</v>
      </c>
      <c r="BD376">
        <v>3.6</v>
      </c>
      <c r="BE376">
        <v>3.6</v>
      </c>
      <c r="BF376">
        <v>2.8</v>
      </c>
      <c r="BG376">
        <v>2</v>
      </c>
      <c r="BH376">
        <v>2.8</v>
      </c>
      <c r="BI376"/>
      <c r="BJ376"/>
      <c r="BK376"/>
      <c r="BL376"/>
      <c r="BM376"/>
      <c r="BN376"/>
      <c r="BO376"/>
      <c r="BP376"/>
      <c r="BQ376" t="s">
        <v>166</v>
      </c>
      <c r="BR376" t="s">
        <v>730</v>
      </c>
      <c r="BS376" t="s">
        <v>181</v>
      </c>
      <c r="BT376" t="s">
        <v>730</v>
      </c>
      <c r="BU376"/>
      <c r="BV376"/>
    </row>
    <row r="377" spans="1:74" s="9" customFormat="1">
      <c r="A377" t="s">
        <v>729</v>
      </c>
      <c r="B377" t="s">
        <v>10</v>
      </c>
      <c r="C377" t="s">
        <v>11</v>
      </c>
      <c r="D377" t="s">
        <v>301</v>
      </c>
      <c r="E377"/>
      <c r="F377" t="s">
        <v>81</v>
      </c>
      <c r="G377" t="s">
        <v>82</v>
      </c>
      <c r="H377" t="s">
        <v>61</v>
      </c>
      <c r="I377" t="s">
        <v>109</v>
      </c>
      <c r="J377"/>
      <c r="K377"/>
      <c r="L377"/>
      <c r="M377"/>
      <c r="N377"/>
      <c r="O377"/>
      <c r="P377"/>
      <c r="Q377">
        <v>3.5</v>
      </c>
      <c r="R377"/>
      <c r="S377"/>
      <c r="T377">
        <v>2.9</v>
      </c>
      <c r="U377">
        <v>3.8</v>
      </c>
      <c r="V377"/>
      <c r="W377"/>
      <c r="X377">
        <v>3.8</v>
      </c>
      <c r="Y377"/>
      <c r="Z377"/>
      <c r="AA377"/>
      <c r="AB377"/>
      <c r="AC377"/>
      <c r="AD377"/>
      <c r="AE377"/>
      <c r="AF377"/>
      <c r="AG377"/>
      <c r="AH377"/>
      <c r="AI377"/>
      <c r="AJ377"/>
      <c r="AK377"/>
      <c r="AL377"/>
      <c r="AM377"/>
      <c r="AN377"/>
      <c r="AO377"/>
      <c r="AP377"/>
      <c r="AQ377"/>
      <c r="AR377"/>
      <c r="AS377"/>
      <c r="AT377"/>
      <c r="AU377"/>
      <c r="AV377"/>
      <c r="AW377">
        <v>4.0999999999999996</v>
      </c>
      <c r="AX377">
        <v>3.2</v>
      </c>
      <c r="AY377">
        <v>3.2</v>
      </c>
      <c r="AZ377">
        <v>3.2</v>
      </c>
      <c r="BA377">
        <v>4.3</v>
      </c>
      <c r="BB377">
        <v>3.9</v>
      </c>
      <c r="BC377">
        <v>3.5</v>
      </c>
      <c r="BD377">
        <v>3.9</v>
      </c>
      <c r="BE377">
        <v>4</v>
      </c>
      <c r="BF377">
        <v>2.8</v>
      </c>
      <c r="BG377">
        <v>2.2000000000000002</v>
      </c>
      <c r="BH377">
        <v>2.8</v>
      </c>
      <c r="BI377"/>
      <c r="BJ377"/>
      <c r="BK377"/>
      <c r="BL377"/>
      <c r="BM377"/>
      <c r="BN377"/>
      <c r="BO377"/>
      <c r="BP377"/>
      <c r="BQ377" t="s">
        <v>166</v>
      </c>
      <c r="BR377" t="s">
        <v>730</v>
      </c>
      <c r="BS377" t="s">
        <v>181</v>
      </c>
      <c r="BT377" t="s">
        <v>730</v>
      </c>
      <c r="BU377"/>
      <c r="BV377"/>
    </row>
    <row r="378" spans="1:74" s="9" customFormat="1">
      <c r="A378" t="s">
        <v>232</v>
      </c>
      <c r="B378" t="s">
        <v>10</v>
      </c>
      <c r="C378" t="s">
        <v>11</v>
      </c>
      <c r="D378" t="s">
        <v>301</v>
      </c>
      <c r="E378"/>
      <c r="F378" t="s">
        <v>81</v>
      </c>
      <c r="G378" t="s">
        <v>82</v>
      </c>
      <c r="H378" t="s">
        <v>110</v>
      </c>
      <c r="I378" t="s">
        <v>111</v>
      </c>
      <c r="J378"/>
      <c r="K378"/>
      <c r="L378"/>
      <c r="M378"/>
      <c r="N378"/>
      <c r="O378"/>
      <c r="P378"/>
      <c r="Q378"/>
      <c r="R378"/>
      <c r="S378"/>
      <c r="T378"/>
      <c r="U378"/>
      <c r="V378"/>
      <c r="W378"/>
      <c r="X378"/>
      <c r="Y378"/>
      <c r="Z378"/>
      <c r="AA378"/>
      <c r="AB378"/>
      <c r="AC378">
        <v>4.2</v>
      </c>
      <c r="AD378">
        <v>6.5</v>
      </c>
      <c r="AE378">
        <v>6</v>
      </c>
      <c r="AF378">
        <v>6.5</v>
      </c>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t="s">
        <v>408</v>
      </c>
      <c r="BQ378" t="s">
        <v>166</v>
      </c>
      <c r="BR378" t="s">
        <v>730</v>
      </c>
      <c r="BS378" t="s">
        <v>181</v>
      </c>
      <c r="BT378" t="s">
        <v>730</v>
      </c>
      <c r="BU378"/>
      <c r="BV378"/>
    </row>
    <row r="379" spans="1:74" s="9" customFormat="1">
      <c r="A379" t="s">
        <v>733</v>
      </c>
      <c r="B379" t="s">
        <v>10</v>
      </c>
      <c r="C379" t="s">
        <v>11</v>
      </c>
      <c r="D379" t="s">
        <v>301</v>
      </c>
      <c r="E379"/>
      <c r="F379" t="s">
        <v>81</v>
      </c>
      <c r="G379" t="s">
        <v>82</v>
      </c>
      <c r="H379" t="s">
        <v>61</v>
      </c>
      <c r="I379" t="s">
        <v>109</v>
      </c>
      <c r="J379"/>
      <c r="K379"/>
      <c r="L379"/>
      <c r="M379"/>
      <c r="N379"/>
      <c r="O379"/>
      <c r="P379"/>
      <c r="Q379">
        <v>3.1</v>
      </c>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t="s">
        <v>166</v>
      </c>
      <c r="BR379" t="s">
        <v>730</v>
      </c>
      <c r="BS379"/>
      <c r="BT379"/>
      <c r="BU379"/>
      <c r="BV379"/>
    </row>
    <row r="380" spans="1:74" s="9" customFormat="1">
      <c r="A380" t="s">
        <v>756</v>
      </c>
      <c r="B380" t="s">
        <v>10</v>
      </c>
      <c r="C380" t="s">
        <v>11</v>
      </c>
      <c r="D380" t="s">
        <v>301</v>
      </c>
      <c r="E380"/>
      <c r="F380" t="s">
        <v>81</v>
      </c>
      <c r="G380" t="s">
        <v>82</v>
      </c>
      <c r="H380" t="s">
        <v>61</v>
      </c>
      <c r="I380" t="s">
        <v>109</v>
      </c>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v>4</v>
      </c>
      <c r="BF380">
        <v>2.8</v>
      </c>
      <c r="BG380">
        <v>2.2000000000000002</v>
      </c>
      <c r="BH380">
        <v>2.8</v>
      </c>
      <c r="BI380"/>
      <c r="BJ380"/>
      <c r="BK380"/>
      <c r="BL380"/>
      <c r="BM380"/>
      <c r="BN380"/>
      <c r="BO380"/>
      <c r="BP380"/>
      <c r="BQ380" t="s">
        <v>166</v>
      </c>
      <c r="BR380" t="s">
        <v>730</v>
      </c>
      <c r="BS380"/>
      <c r="BT380"/>
      <c r="BU380"/>
      <c r="BV380"/>
    </row>
    <row r="381" spans="1:74" s="9" customFormat="1">
      <c r="A381" t="s">
        <v>232</v>
      </c>
      <c r="B381" t="s">
        <v>10</v>
      </c>
      <c r="C381" t="s">
        <v>11</v>
      </c>
      <c r="D381" t="s">
        <v>301</v>
      </c>
      <c r="E381"/>
      <c r="F381" t="s">
        <v>81</v>
      </c>
      <c r="G381" t="s">
        <v>82</v>
      </c>
      <c r="H381" t="s">
        <v>110</v>
      </c>
      <c r="I381" t="s">
        <v>111</v>
      </c>
      <c r="J381"/>
      <c r="K381"/>
      <c r="L381"/>
      <c r="M381"/>
      <c r="N381"/>
      <c r="O381"/>
      <c r="P381"/>
      <c r="Q381"/>
      <c r="R381"/>
      <c r="S381"/>
      <c r="T381"/>
      <c r="U381"/>
      <c r="V381"/>
      <c r="W381"/>
      <c r="X381"/>
      <c r="Y381"/>
      <c r="Z381"/>
      <c r="AA381"/>
      <c r="AB381"/>
      <c r="AC381">
        <v>4.2</v>
      </c>
      <c r="AD381"/>
      <c r="AE381"/>
      <c r="AF381">
        <v>6.3</v>
      </c>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t="s">
        <v>166</v>
      </c>
      <c r="BR381" t="s">
        <v>197</v>
      </c>
      <c r="BS381" t="s">
        <v>181</v>
      </c>
      <c r="BT381" t="s">
        <v>197</v>
      </c>
      <c r="BU381"/>
      <c r="BV381"/>
    </row>
    <row r="382" spans="1:74" s="9" customFormat="1">
      <c r="A382" t="s">
        <v>260</v>
      </c>
      <c r="B382" t="s">
        <v>10</v>
      </c>
      <c r="C382" t="s">
        <v>11</v>
      </c>
      <c r="D382" t="s">
        <v>301</v>
      </c>
      <c r="E382"/>
      <c r="F382" t="s">
        <v>19</v>
      </c>
      <c r="G382" t="s">
        <v>20</v>
      </c>
      <c r="H382" t="s">
        <v>74</v>
      </c>
      <c r="I382" t="s">
        <v>20</v>
      </c>
      <c r="J382"/>
      <c r="K382"/>
      <c r="L382"/>
      <c r="M382"/>
      <c r="N382"/>
      <c r="O382"/>
      <c r="P382"/>
      <c r="Q382"/>
      <c r="R382"/>
      <c r="S382"/>
      <c r="T382"/>
      <c r="U382"/>
      <c r="V382"/>
      <c r="W382"/>
      <c r="X382"/>
      <c r="Y382"/>
      <c r="Z382"/>
      <c r="AA382"/>
      <c r="AB382"/>
      <c r="AC382">
        <v>4.8</v>
      </c>
      <c r="AD382"/>
      <c r="AE382"/>
      <c r="AF382">
        <v>6.2</v>
      </c>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t="s">
        <v>166</v>
      </c>
      <c r="BR382" t="s">
        <v>197</v>
      </c>
      <c r="BS382" t="s">
        <v>181</v>
      </c>
      <c r="BT382" t="s">
        <v>197</v>
      </c>
      <c r="BU382"/>
      <c r="BV382"/>
    </row>
    <row r="383" spans="1:74" s="9" customFormat="1">
      <c r="A383" t="s">
        <v>365</v>
      </c>
      <c r="B383" s="7" t="s">
        <v>10</v>
      </c>
      <c r="C383" s="7" t="s">
        <v>11</v>
      </c>
      <c r="D383" t="s">
        <v>301</v>
      </c>
      <c r="E383"/>
      <c r="F383" t="s">
        <v>19</v>
      </c>
      <c r="G383" t="s">
        <v>21</v>
      </c>
      <c r="H383" t="s">
        <v>19</v>
      </c>
      <c r="I383" t="s">
        <v>21</v>
      </c>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v>6.4</v>
      </c>
      <c r="BB383"/>
      <c r="BC383"/>
      <c r="BD383"/>
      <c r="BE383">
        <v>6.35</v>
      </c>
      <c r="BF383"/>
      <c r="BG383"/>
      <c r="BH383"/>
      <c r="BI383"/>
      <c r="BJ383"/>
      <c r="BK383"/>
      <c r="BL383"/>
      <c r="BM383"/>
      <c r="BN383"/>
      <c r="BO383"/>
      <c r="BP383" t="s">
        <v>366</v>
      </c>
      <c r="BQ383" t="s">
        <v>281</v>
      </c>
      <c r="BR383" t="s">
        <v>322</v>
      </c>
      <c r="BS383"/>
      <c r="BT383"/>
      <c r="BU383"/>
      <c r="BV383"/>
    </row>
    <row r="384" spans="1:74" s="9" customFormat="1">
      <c r="A384" t="s">
        <v>559</v>
      </c>
      <c r="B384" t="s">
        <v>10</v>
      </c>
      <c r="C384" t="s">
        <v>11</v>
      </c>
      <c r="D384" t="s">
        <v>301</v>
      </c>
      <c r="E384"/>
      <c r="F384" t="s">
        <v>22</v>
      </c>
      <c r="G384" t="s">
        <v>23</v>
      </c>
      <c r="H384" t="s">
        <v>22</v>
      </c>
      <c r="I384" t="s">
        <v>23</v>
      </c>
      <c r="J384"/>
      <c r="K384"/>
      <c r="L384"/>
      <c r="M384"/>
      <c r="N384"/>
      <c r="O384"/>
      <c r="P384"/>
      <c r="Q384"/>
      <c r="R384"/>
      <c r="S384"/>
      <c r="T384"/>
      <c r="U384">
        <v>2.5</v>
      </c>
      <c r="V384"/>
      <c r="W384"/>
      <c r="X384">
        <v>2.95</v>
      </c>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t="s">
        <v>558</v>
      </c>
      <c r="BQ384" t="s">
        <v>281</v>
      </c>
      <c r="BR384" t="s">
        <v>557</v>
      </c>
      <c r="BS384" t="s">
        <v>181</v>
      </c>
      <c r="BT384" t="s">
        <v>557</v>
      </c>
      <c r="BU384"/>
      <c r="BV384"/>
    </row>
    <row r="385" spans="1:74" s="9" customFormat="1">
      <c r="A385" t="s">
        <v>556</v>
      </c>
      <c r="B385" t="s">
        <v>10</v>
      </c>
      <c r="C385" t="s">
        <v>11</v>
      </c>
      <c r="D385" t="s">
        <v>301</v>
      </c>
      <c r="E385"/>
      <c r="F385" t="s">
        <v>22</v>
      </c>
      <c r="G385" t="s">
        <v>23</v>
      </c>
      <c r="H385" t="s">
        <v>22</v>
      </c>
      <c r="I385" t="s">
        <v>23</v>
      </c>
      <c r="J385"/>
      <c r="K385"/>
      <c r="L385"/>
      <c r="M385"/>
      <c r="N385"/>
      <c r="O385"/>
      <c r="P385"/>
      <c r="Q385"/>
      <c r="R385"/>
      <c r="S385"/>
      <c r="T385"/>
      <c r="U385">
        <v>2.35</v>
      </c>
      <c r="V385"/>
      <c r="W385"/>
      <c r="X385">
        <v>3.25</v>
      </c>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t="s">
        <v>558</v>
      </c>
      <c r="BQ385" t="s">
        <v>281</v>
      </c>
      <c r="BR385" t="s">
        <v>557</v>
      </c>
      <c r="BS385" t="s">
        <v>181</v>
      </c>
      <c r="BT385" t="s">
        <v>557</v>
      </c>
      <c r="BU385"/>
      <c r="BV385"/>
    </row>
    <row r="386" spans="1:74" s="9" customFormat="1">
      <c r="A386" t="s">
        <v>563</v>
      </c>
      <c r="B386" t="s">
        <v>10</v>
      </c>
      <c r="C386" t="s">
        <v>11</v>
      </c>
      <c r="D386" t="s">
        <v>301</v>
      </c>
      <c r="E386"/>
      <c r="F386" t="s">
        <v>22</v>
      </c>
      <c r="G386" t="s">
        <v>23</v>
      </c>
      <c r="H386" t="s">
        <v>22</v>
      </c>
      <c r="I386" t="s">
        <v>23</v>
      </c>
      <c r="J386"/>
      <c r="K386"/>
      <c r="L386"/>
      <c r="M386"/>
      <c r="N386"/>
      <c r="O386"/>
      <c r="P386"/>
      <c r="Q386"/>
      <c r="R386"/>
      <c r="S386"/>
      <c r="T386"/>
      <c r="U386"/>
      <c r="V386"/>
      <c r="W386"/>
      <c r="X386"/>
      <c r="Y386"/>
      <c r="Z386"/>
      <c r="AA386"/>
      <c r="AB386"/>
      <c r="AC386"/>
      <c r="AD386"/>
      <c r="AE386"/>
      <c r="AF386"/>
      <c r="AG386"/>
      <c r="AH386"/>
      <c r="AI386"/>
      <c r="AJ386"/>
      <c r="AK386"/>
      <c r="AL386"/>
      <c r="AM386"/>
      <c r="AN386"/>
      <c r="AO386">
        <v>2.15</v>
      </c>
      <c r="AP386">
        <v>1.55</v>
      </c>
      <c r="AQ386"/>
      <c r="AR386">
        <v>1.55</v>
      </c>
      <c r="AS386"/>
      <c r="AT386"/>
      <c r="AU386"/>
      <c r="AV386"/>
      <c r="AW386"/>
      <c r="AX386"/>
      <c r="AY386"/>
      <c r="AZ386"/>
      <c r="BA386"/>
      <c r="BB386"/>
      <c r="BC386"/>
      <c r="BD386"/>
      <c r="BE386"/>
      <c r="BF386"/>
      <c r="BG386"/>
      <c r="BH386"/>
      <c r="BI386"/>
      <c r="BJ386"/>
      <c r="BK386"/>
      <c r="BL386"/>
      <c r="BM386"/>
      <c r="BN386"/>
      <c r="BO386"/>
      <c r="BP386" t="s">
        <v>564</v>
      </c>
      <c r="BQ386" t="s">
        <v>281</v>
      </c>
      <c r="BR386" t="s">
        <v>557</v>
      </c>
      <c r="BS386" t="s">
        <v>181</v>
      </c>
      <c r="BT386" t="s">
        <v>557</v>
      </c>
      <c r="BU386"/>
      <c r="BV386"/>
    </row>
    <row r="387" spans="1:74" s="9" customFormat="1">
      <c r="A387" t="s">
        <v>560</v>
      </c>
      <c r="B387" t="s">
        <v>10</v>
      </c>
      <c r="C387" t="s">
        <v>11</v>
      </c>
      <c r="D387" t="s">
        <v>301</v>
      </c>
      <c r="E387"/>
      <c r="F387" t="s">
        <v>22</v>
      </c>
      <c r="G387" t="s">
        <v>23</v>
      </c>
      <c r="H387" t="s">
        <v>22</v>
      </c>
      <c r="I387" t="s">
        <v>23</v>
      </c>
      <c r="J387"/>
      <c r="K387"/>
      <c r="L387"/>
      <c r="M387"/>
      <c r="N387"/>
      <c r="O387"/>
      <c r="P387"/>
      <c r="Q387"/>
      <c r="R387"/>
      <c r="S387"/>
      <c r="T387"/>
      <c r="U387"/>
      <c r="V387"/>
      <c r="W387"/>
      <c r="X387"/>
      <c r="Y387">
        <v>2.8</v>
      </c>
      <c r="Z387">
        <v>4</v>
      </c>
      <c r="AA387">
        <v>3.95</v>
      </c>
      <c r="AB387">
        <v>4</v>
      </c>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t="s">
        <v>558</v>
      </c>
      <c r="BQ387" t="s">
        <v>281</v>
      </c>
      <c r="BR387" t="s">
        <v>557</v>
      </c>
      <c r="BS387" t="s">
        <v>181</v>
      </c>
      <c r="BT387" t="s">
        <v>557</v>
      </c>
      <c r="BU387"/>
      <c r="BV387"/>
    </row>
    <row r="388" spans="1:74" s="9" customFormat="1">
      <c r="A388" t="s">
        <v>565</v>
      </c>
      <c r="B388" t="s">
        <v>10</v>
      </c>
      <c r="C388" t="s">
        <v>11</v>
      </c>
      <c r="D388" t="s">
        <v>301</v>
      </c>
      <c r="E388"/>
      <c r="F388" t="s">
        <v>22</v>
      </c>
      <c r="G388" t="s">
        <v>23</v>
      </c>
      <c r="H388" t="s">
        <v>22</v>
      </c>
      <c r="I388" t="s">
        <v>23</v>
      </c>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v>2.6</v>
      </c>
      <c r="BB388">
        <v>2.25</v>
      </c>
      <c r="BC388">
        <v>2.15</v>
      </c>
      <c r="BD388">
        <v>2.25</v>
      </c>
      <c r="BE388"/>
      <c r="BF388"/>
      <c r="BG388"/>
      <c r="BH388"/>
      <c r="BI388"/>
      <c r="BJ388"/>
      <c r="BK388"/>
      <c r="BL388"/>
      <c r="BM388"/>
      <c r="BN388"/>
      <c r="BO388"/>
      <c r="BP388" t="s">
        <v>558</v>
      </c>
      <c r="BQ388" t="s">
        <v>281</v>
      </c>
      <c r="BR388" t="s">
        <v>557</v>
      </c>
      <c r="BS388" t="s">
        <v>181</v>
      </c>
      <c r="BT388" t="s">
        <v>557</v>
      </c>
      <c r="BU388"/>
      <c r="BV388"/>
    </row>
    <row r="389" spans="1:74" s="9" customFormat="1">
      <c r="A389" t="s">
        <v>562</v>
      </c>
      <c r="B389" t="s">
        <v>10</v>
      </c>
      <c r="C389" t="s">
        <v>11</v>
      </c>
      <c r="D389" t="s">
        <v>301</v>
      </c>
      <c r="E389"/>
      <c r="F389" t="s">
        <v>22</v>
      </c>
      <c r="G389" t="s">
        <v>23</v>
      </c>
      <c r="H389" t="s">
        <v>22</v>
      </c>
      <c r="I389" t="s">
        <v>23</v>
      </c>
      <c r="J389"/>
      <c r="K389"/>
      <c r="L389"/>
      <c r="M389"/>
      <c r="N389"/>
      <c r="O389"/>
      <c r="P389"/>
      <c r="Q389"/>
      <c r="R389"/>
      <c r="S389"/>
      <c r="T389"/>
      <c r="U389"/>
      <c r="V389"/>
      <c r="W389"/>
      <c r="X389"/>
      <c r="Y389"/>
      <c r="Z389"/>
      <c r="AA389"/>
      <c r="AB389"/>
      <c r="AC389"/>
      <c r="AD389"/>
      <c r="AE389"/>
      <c r="AF389"/>
      <c r="AG389">
        <v>1.85</v>
      </c>
      <c r="AH389">
        <v>3.2</v>
      </c>
      <c r="AI389">
        <v>2.5</v>
      </c>
      <c r="AJ389">
        <v>3.2</v>
      </c>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t="s">
        <v>558</v>
      </c>
      <c r="BQ389" t="s">
        <v>281</v>
      </c>
      <c r="BR389" t="s">
        <v>557</v>
      </c>
      <c r="BS389" t="s">
        <v>181</v>
      </c>
      <c r="BT389" t="s">
        <v>557</v>
      </c>
      <c r="BU389"/>
      <c r="BV389"/>
    </row>
    <row r="390" spans="1:74" s="9" customFormat="1">
      <c r="A390" t="s">
        <v>561</v>
      </c>
      <c r="B390" t="s">
        <v>10</v>
      </c>
      <c r="C390" t="s">
        <v>11</v>
      </c>
      <c r="D390" t="s">
        <v>301</v>
      </c>
      <c r="E390"/>
      <c r="F390" t="s">
        <v>22</v>
      </c>
      <c r="G390" t="s">
        <v>23</v>
      </c>
      <c r="H390" t="s">
        <v>22</v>
      </c>
      <c r="I390" t="s">
        <v>23</v>
      </c>
      <c r="J390"/>
      <c r="K390"/>
      <c r="L390"/>
      <c r="M390"/>
      <c r="N390"/>
      <c r="O390"/>
      <c r="P390"/>
      <c r="Q390"/>
      <c r="R390"/>
      <c r="S390"/>
      <c r="T390"/>
      <c r="U390"/>
      <c r="V390"/>
      <c r="W390"/>
      <c r="X390"/>
      <c r="Y390"/>
      <c r="Z390"/>
      <c r="AA390"/>
      <c r="AB390"/>
      <c r="AC390"/>
      <c r="AD390">
        <v>4</v>
      </c>
      <c r="AE390">
        <v>4</v>
      </c>
      <c r="AF390">
        <v>4</v>
      </c>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t="s">
        <v>558</v>
      </c>
      <c r="BQ390" t="s">
        <v>281</v>
      </c>
      <c r="BR390" t="s">
        <v>557</v>
      </c>
      <c r="BS390" t="s">
        <v>181</v>
      </c>
      <c r="BT390" t="s">
        <v>557</v>
      </c>
      <c r="BU390"/>
      <c r="BV390"/>
    </row>
    <row r="391" spans="1:74" s="9" customFormat="1">
      <c r="A391" t="s">
        <v>566</v>
      </c>
      <c r="B391" t="s">
        <v>10</v>
      </c>
      <c r="C391" t="s">
        <v>11</v>
      </c>
      <c r="D391" t="s">
        <v>301</v>
      </c>
      <c r="E391"/>
      <c r="F391" t="s">
        <v>22</v>
      </c>
      <c r="G391" t="s">
        <v>23</v>
      </c>
      <c r="H391" t="s">
        <v>22</v>
      </c>
      <c r="I391" t="s">
        <v>23</v>
      </c>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v>2.8</v>
      </c>
      <c r="BF391">
        <v>1.9</v>
      </c>
      <c r="BG391">
        <v>1.65</v>
      </c>
      <c r="BH391">
        <v>1.9</v>
      </c>
      <c r="BI391"/>
      <c r="BJ391"/>
      <c r="BK391"/>
      <c r="BL391"/>
      <c r="BM391"/>
      <c r="BN391"/>
      <c r="BO391"/>
      <c r="BP391" t="s">
        <v>558</v>
      </c>
      <c r="BQ391" t="s">
        <v>281</v>
      </c>
      <c r="BR391" t="s">
        <v>557</v>
      </c>
      <c r="BS391" t="s">
        <v>181</v>
      </c>
      <c r="BT391" t="s">
        <v>557</v>
      </c>
      <c r="BU391"/>
      <c r="BV391"/>
    </row>
    <row r="392" spans="1:74" s="9" customFormat="1">
      <c r="A392" t="s">
        <v>359</v>
      </c>
      <c r="B392" t="s">
        <v>10</v>
      </c>
      <c r="C392" t="s">
        <v>11</v>
      </c>
      <c r="D392" t="s">
        <v>301</v>
      </c>
      <c r="E392"/>
      <c r="F392" t="s">
        <v>487</v>
      </c>
      <c r="G392" t="s">
        <v>25</v>
      </c>
      <c r="H392" t="s">
        <v>487</v>
      </c>
      <c r="I392" t="s">
        <v>25</v>
      </c>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v>3.87</v>
      </c>
      <c r="AX392">
        <v>2.78</v>
      </c>
      <c r="AY392">
        <v>2.8</v>
      </c>
      <c r="AZ392">
        <f>MAX(AX392:AY392)</f>
        <v>2.8</v>
      </c>
      <c r="BA392">
        <v>4.2</v>
      </c>
      <c r="BB392">
        <v>3.71</v>
      </c>
      <c r="BC392">
        <v>3.3</v>
      </c>
      <c r="BD392">
        <f>MAX(BB392:BC392)</f>
        <v>3.71</v>
      </c>
      <c r="BE392">
        <v>4.29</v>
      </c>
      <c r="BF392"/>
      <c r="BG392"/>
      <c r="BH392"/>
      <c r="BI392"/>
      <c r="BJ392"/>
      <c r="BK392"/>
      <c r="BL392"/>
      <c r="BM392"/>
      <c r="BN392"/>
      <c r="BO392"/>
      <c r="BP392" t="s">
        <v>366</v>
      </c>
      <c r="BQ392" t="s">
        <v>281</v>
      </c>
      <c r="BR392" t="s">
        <v>322</v>
      </c>
      <c r="BS392"/>
      <c r="BT392"/>
      <c r="BU392"/>
      <c r="BV392"/>
    </row>
    <row r="393" spans="1:74" s="9" customFormat="1">
      <c r="A393" t="s">
        <v>358</v>
      </c>
      <c r="B393" t="s">
        <v>10</v>
      </c>
      <c r="C393" t="s">
        <v>11</v>
      </c>
      <c r="D393" t="s">
        <v>301</v>
      </c>
      <c r="E393"/>
      <c r="F393" t="s">
        <v>487</v>
      </c>
      <c r="G393" t="s">
        <v>25</v>
      </c>
      <c r="H393" t="s">
        <v>487</v>
      </c>
      <c r="I393" t="s">
        <v>25</v>
      </c>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v>4.1900000000000004</v>
      </c>
      <c r="AX393">
        <v>2.89</v>
      </c>
      <c r="AY393">
        <v>3.02</v>
      </c>
      <c r="AZ393">
        <f>MAX(AX393:AY393)</f>
        <v>3.02</v>
      </c>
      <c r="BA393">
        <v>4.41</v>
      </c>
      <c r="BB393">
        <v>3.65</v>
      </c>
      <c r="BC393">
        <v>3.51</v>
      </c>
      <c r="BD393">
        <f>MAX(BB393:BC393)</f>
        <v>3.65</v>
      </c>
      <c r="BE393">
        <v>4.22</v>
      </c>
      <c r="BF393"/>
      <c r="BG393"/>
      <c r="BH393"/>
      <c r="BI393"/>
      <c r="BJ393"/>
      <c r="BK393"/>
      <c r="BL393"/>
      <c r="BM393"/>
      <c r="BN393"/>
      <c r="BO393"/>
      <c r="BP393" t="s">
        <v>366</v>
      </c>
      <c r="BQ393" t="s">
        <v>281</v>
      </c>
      <c r="BR393" t="s">
        <v>322</v>
      </c>
      <c r="BS393"/>
      <c r="BT393"/>
      <c r="BU393"/>
      <c r="BV393"/>
    </row>
    <row r="394" spans="1:74" s="9" customFormat="1">
      <c r="A394" t="s">
        <v>259</v>
      </c>
      <c r="B394" t="s">
        <v>10</v>
      </c>
      <c r="C394" t="s">
        <v>11</v>
      </c>
      <c r="D394" t="s">
        <v>301</v>
      </c>
      <c r="E394" t="s">
        <v>52</v>
      </c>
      <c r="F394" t="s">
        <v>53</v>
      </c>
      <c r="G394" t="s">
        <v>54</v>
      </c>
      <c r="H394" t="s">
        <v>53</v>
      </c>
      <c r="I394" t="s">
        <v>104</v>
      </c>
      <c r="J394"/>
      <c r="K394"/>
      <c r="L394"/>
      <c r="M394"/>
      <c r="N394"/>
      <c r="O394"/>
      <c r="P394"/>
      <c r="Q394"/>
      <c r="R394"/>
      <c r="S394"/>
      <c r="T394"/>
      <c r="U394"/>
      <c r="V394"/>
      <c r="W394"/>
      <c r="X394"/>
      <c r="Y394"/>
      <c r="Z394"/>
      <c r="AA394"/>
      <c r="AB394"/>
      <c r="AC394">
        <v>4.9000000000000004</v>
      </c>
      <c r="AD394"/>
      <c r="AE394"/>
      <c r="AF394">
        <v>8.1999999999999993</v>
      </c>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t="s">
        <v>166</v>
      </c>
      <c r="BR394" t="s">
        <v>197</v>
      </c>
      <c r="BS394" t="s">
        <v>181</v>
      </c>
      <c r="BT394" t="s">
        <v>197</v>
      </c>
      <c r="BU394"/>
      <c r="BV394"/>
    </row>
    <row r="395" spans="1:74" s="9" customFormat="1">
      <c r="A395" t="s">
        <v>763</v>
      </c>
      <c r="B395" t="s">
        <v>10</v>
      </c>
      <c r="C395" t="s">
        <v>11</v>
      </c>
      <c r="D395" t="s">
        <v>301</v>
      </c>
      <c r="E395"/>
      <c r="F395" t="s">
        <v>53</v>
      </c>
      <c r="G395" t="s">
        <v>54</v>
      </c>
      <c r="H395" t="s">
        <v>53</v>
      </c>
      <c r="I395" t="s">
        <v>54</v>
      </c>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v>4.7</v>
      </c>
      <c r="AX395"/>
      <c r="AY395"/>
      <c r="AZ395">
        <v>4</v>
      </c>
      <c r="BA395">
        <v>5.2</v>
      </c>
      <c r="BB395">
        <v>4.7</v>
      </c>
      <c r="BC395"/>
      <c r="BD395">
        <v>4.7</v>
      </c>
      <c r="BE395">
        <v>4.2</v>
      </c>
      <c r="BF395">
        <v>2.9</v>
      </c>
      <c r="BG395"/>
      <c r="BH395">
        <v>2.9</v>
      </c>
      <c r="BI395"/>
      <c r="BJ395"/>
      <c r="BK395"/>
      <c r="BL395"/>
      <c r="BM395"/>
      <c r="BN395"/>
      <c r="BO395"/>
      <c r="BP395" t="s">
        <v>762</v>
      </c>
      <c r="BQ395" t="s">
        <v>166</v>
      </c>
      <c r="BR395" t="s">
        <v>730</v>
      </c>
      <c r="BS395"/>
      <c r="BT395"/>
      <c r="BU395"/>
      <c r="BV395"/>
    </row>
    <row r="396" spans="1:74" s="9" customFormat="1">
      <c r="A396" t="s">
        <v>764</v>
      </c>
      <c r="B396" t="s">
        <v>10</v>
      </c>
      <c r="C396" t="s">
        <v>11</v>
      </c>
      <c r="D396" t="s">
        <v>301</v>
      </c>
      <c r="E396"/>
      <c r="F396" t="s">
        <v>53</v>
      </c>
      <c r="G396" t="s">
        <v>54</v>
      </c>
      <c r="H396" t="s">
        <v>53</v>
      </c>
      <c r="I396" t="s">
        <v>54</v>
      </c>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v>5.5</v>
      </c>
      <c r="BB396">
        <v>4.8</v>
      </c>
      <c r="BC396">
        <v>4.3</v>
      </c>
      <c r="BD396">
        <v>4.8</v>
      </c>
      <c r="BE396"/>
      <c r="BF396"/>
      <c r="BG396"/>
      <c r="BH396"/>
      <c r="BI396"/>
      <c r="BJ396"/>
      <c r="BK396"/>
      <c r="BL396"/>
      <c r="BM396"/>
      <c r="BN396"/>
      <c r="BO396"/>
      <c r="BP396"/>
      <c r="BQ396" t="s">
        <v>166</v>
      </c>
      <c r="BR396" t="s">
        <v>730</v>
      </c>
      <c r="BS396"/>
      <c r="BT396"/>
      <c r="BU396"/>
      <c r="BV396"/>
    </row>
    <row r="397" spans="1:74" s="9" customFormat="1">
      <c r="A397" t="s">
        <v>765</v>
      </c>
      <c r="B397" t="s">
        <v>10</v>
      </c>
      <c r="C397" t="s">
        <v>11</v>
      </c>
      <c r="D397" t="s">
        <v>301</v>
      </c>
      <c r="E397"/>
      <c r="F397" t="s">
        <v>53</v>
      </c>
      <c r="G397" t="s">
        <v>54</v>
      </c>
      <c r="H397" t="s">
        <v>53</v>
      </c>
      <c r="I397" t="s">
        <v>54</v>
      </c>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v>5.2</v>
      </c>
      <c r="BB397">
        <v>4.2</v>
      </c>
      <c r="BC397"/>
      <c r="BD397"/>
      <c r="BE397"/>
      <c r="BF397"/>
      <c r="BG397"/>
      <c r="BH397"/>
      <c r="BI397"/>
      <c r="BJ397"/>
      <c r="BK397"/>
      <c r="BL397"/>
      <c r="BM397"/>
      <c r="BN397"/>
      <c r="BO397"/>
      <c r="BP397" t="s">
        <v>762</v>
      </c>
      <c r="BQ397" t="s">
        <v>166</v>
      </c>
      <c r="BR397" t="s">
        <v>730</v>
      </c>
      <c r="BS397"/>
      <c r="BT397"/>
      <c r="BU397"/>
      <c r="BV397"/>
    </row>
    <row r="398" spans="1:74" s="9" customFormat="1">
      <c r="A398" t="s">
        <v>745</v>
      </c>
      <c r="B398" t="s">
        <v>10</v>
      </c>
      <c r="C398" t="s">
        <v>11</v>
      </c>
      <c r="D398" t="s">
        <v>301</v>
      </c>
      <c r="E398"/>
      <c r="F398" t="s">
        <v>53</v>
      </c>
      <c r="G398" t="s">
        <v>54</v>
      </c>
      <c r="H398" t="s">
        <v>53</v>
      </c>
      <c r="I398" t="s">
        <v>54</v>
      </c>
      <c r="J398"/>
      <c r="K398"/>
      <c r="L398"/>
      <c r="M398"/>
      <c r="N398"/>
      <c r="O398"/>
      <c r="P398"/>
      <c r="Q398"/>
      <c r="R398"/>
      <c r="S398"/>
      <c r="T398"/>
      <c r="U398"/>
      <c r="V398"/>
      <c r="W398"/>
      <c r="X398"/>
      <c r="Y398"/>
      <c r="Z398"/>
      <c r="AA398"/>
      <c r="AB398"/>
      <c r="AC398"/>
      <c r="AD398"/>
      <c r="AE398"/>
      <c r="AF398"/>
      <c r="AG398"/>
      <c r="AH398"/>
      <c r="AI398"/>
      <c r="AJ398"/>
      <c r="AK398">
        <v>3.5</v>
      </c>
      <c r="AL398"/>
      <c r="AM398"/>
      <c r="AN398">
        <v>2.2999999999999998</v>
      </c>
      <c r="AO398">
        <v>4</v>
      </c>
      <c r="AP398"/>
      <c r="AQ398"/>
      <c r="AR398">
        <v>2.7</v>
      </c>
      <c r="AS398"/>
      <c r="AT398"/>
      <c r="AU398"/>
      <c r="AV398">
        <v>3.2</v>
      </c>
      <c r="AW398">
        <v>4.3</v>
      </c>
      <c r="AX398">
        <v>3.5</v>
      </c>
      <c r="AY398">
        <v>3.7</v>
      </c>
      <c r="AZ398">
        <v>3.7</v>
      </c>
      <c r="BA398">
        <v>5.0999999999999996</v>
      </c>
      <c r="BB398">
        <v>4.5</v>
      </c>
      <c r="BC398">
        <v>4.0999999999999996</v>
      </c>
      <c r="BD398">
        <v>4.5</v>
      </c>
      <c r="BE398">
        <v>4.3</v>
      </c>
      <c r="BF398">
        <v>3.2</v>
      </c>
      <c r="BG398">
        <v>2.5</v>
      </c>
      <c r="BH398">
        <v>3.2</v>
      </c>
      <c r="BI398"/>
      <c r="BJ398"/>
      <c r="BK398"/>
      <c r="BL398"/>
      <c r="BM398"/>
      <c r="BN398"/>
      <c r="BO398"/>
      <c r="BP398"/>
      <c r="BQ398" t="s">
        <v>166</v>
      </c>
      <c r="BR398" t="s">
        <v>730</v>
      </c>
      <c r="BS398" t="s">
        <v>371</v>
      </c>
      <c r="BT398" t="s">
        <v>730</v>
      </c>
      <c r="BU398"/>
      <c r="BV398"/>
    </row>
    <row r="399" spans="1:74" s="9" customFormat="1">
      <c r="A399" t="s">
        <v>761</v>
      </c>
      <c r="B399" t="s">
        <v>10</v>
      </c>
      <c r="C399" t="s">
        <v>11</v>
      </c>
      <c r="D399" t="s">
        <v>301</v>
      </c>
      <c r="E399"/>
      <c r="F399" t="s">
        <v>53</v>
      </c>
      <c r="G399" t="s">
        <v>54</v>
      </c>
      <c r="H399" t="s">
        <v>53</v>
      </c>
      <c r="I399" t="s">
        <v>54</v>
      </c>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v>5.4</v>
      </c>
      <c r="BB399">
        <v>4.4000000000000004</v>
      </c>
      <c r="BC399"/>
      <c r="BD399">
        <v>4.4000000000000004</v>
      </c>
      <c r="BE399"/>
      <c r="BF399"/>
      <c r="BG399"/>
      <c r="BH399"/>
      <c r="BI399"/>
      <c r="BJ399"/>
      <c r="BK399"/>
      <c r="BL399"/>
      <c r="BM399"/>
      <c r="BN399"/>
      <c r="BO399"/>
      <c r="BP399" t="s">
        <v>762</v>
      </c>
      <c r="BQ399" t="s">
        <v>166</v>
      </c>
      <c r="BR399" t="s">
        <v>730</v>
      </c>
      <c r="BS399"/>
      <c r="BT399"/>
      <c r="BU399"/>
      <c r="BV399"/>
    </row>
    <row r="400" spans="1:74" s="9" customFormat="1">
      <c r="A400" t="s">
        <v>744</v>
      </c>
      <c r="B400" t="s">
        <v>10</v>
      </c>
      <c r="C400" t="s">
        <v>11</v>
      </c>
      <c r="D400" t="s">
        <v>301</v>
      </c>
      <c r="E400"/>
      <c r="F400" t="s">
        <v>53</v>
      </c>
      <c r="G400" t="s">
        <v>54</v>
      </c>
      <c r="H400" t="s">
        <v>53</v>
      </c>
      <c r="I400" t="s">
        <v>54</v>
      </c>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v>3.8</v>
      </c>
      <c r="AT400"/>
      <c r="AU400"/>
      <c r="AV400">
        <v>3.1</v>
      </c>
      <c r="AW400"/>
      <c r="AX400"/>
      <c r="AY400"/>
      <c r="AZ400"/>
      <c r="BA400"/>
      <c r="BB400"/>
      <c r="BC400"/>
      <c r="BD400"/>
      <c r="BE400"/>
      <c r="BF400"/>
      <c r="BG400"/>
      <c r="BH400"/>
      <c r="BI400"/>
      <c r="BJ400"/>
      <c r="BK400"/>
      <c r="BL400"/>
      <c r="BM400"/>
      <c r="BN400"/>
      <c r="BO400"/>
      <c r="BP400"/>
      <c r="BQ400" t="s">
        <v>166</v>
      </c>
      <c r="BR400" t="s">
        <v>730</v>
      </c>
      <c r="BS400" t="s">
        <v>371</v>
      </c>
      <c r="BT400" t="s">
        <v>730</v>
      </c>
      <c r="BU400"/>
      <c r="BV400"/>
    </row>
    <row r="401" spans="1:74" s="9" customFormat="1">
      <c r="A401" t="s">
        <v>760</v>
      </c>
      <c r="B401" t="s">
        <v>10</v>
      </c>
      <c r="C401" t="s">
        <v>11</v>
      </c>
      <c r="D401" t="s">
        <v>301</v>
      </c>
      <c r="E401"/>
      <c r="F401" t="s">
        <v>53</v>
      </c>
      <c r="G401" t="s">
        <v>54</v>
      </c>
      <c r="H401" t="s">
        <v>53</v>
      </c>
      <c r="I401" t="s">
        <v>54</v>
      </c>
      <c r="J401"/>
      <c r="K401"/>
      <c r="L401"/>
      <c r="M401"/>
      <c r="N401"/>
      <c r="O401"/>
      <c r="P401"/>
      <c r="Q401"/>
      <c r="R401"/>
      <c r="S401"/>
      <c r="T401"/>
      <c r="U401"/>
      <c r="V401"/>
      <c r="W401"/>
      <c r="X401"/>
      <c r="Y401">
        <v>4.7</v>
      </c>
      <c r="Z401"/>
      <c r="AA401"/>
      <c r="AB401"/>
      <c r="AC401">
        <v>4.5</v>
      </c>
      <c r="AD401">
        <v>7.5</v>
      </c>
      <c r="AE401">
        <v>6.4</v>
      </c>
      <c r="AF401">
        <v>7.5</v>
      </c>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t="s">
        <v>166</v>
      </c>
      <c r="BR401" t="s">
        <v>730</v>
      </c>
      <c r="BS401"/>
      <c r="BT401"/>
      <c r="BU401"/>
      <c r="BV401"/>
    </row>
    <row r="402" spans="1:74" s="9" customFormat="1">
      <c r="A402" t="s">
        <v>759</v>
      </c>
      <c r="B402" t="s">
        <v>10</v>
      </c>
      <c r="C402" t="s">
        <v>11</v>
      </c>
      <c r="D402" t="s">
        <v>301</v>
      </c>
      <c r="E402"/>
      <c r="F402" t="s">
        <v>53</v>
      </c>
      <c r="G402" t="s">
        <v>54</v>
      </c>
      <c r="H402" t="s">
        <v>53</v>
      </c>
      <c r="I402" t="s">
        <v>54</v>
      </c>
      <c r="J402"/>
      <c r="K402"/>
      <c r="L402"/>
      <c r="M402"/>
      <c r="N402"/>
      <c r="O402"/>
      <c r="P402"/>
      <c r="Q402"/>
      <c r="R402"/>
      <c r="S402"/>
      <c r="T402"/>
      <c r="U402"/>
      <c r="V402"/>
      <c r="W402"/>
      <c r="X402"/>
      <c r="Y402">
        <v>4.5999999999999996</v>
      </c>
      <c r="Z402">
        <v>5.3</v>
      </c>
      <c r="AA402">
        <v>5.8</v>
      </c>
      <c r="AB402">
        <v>5.8</v>
      </c>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t="s">
        <v>166</v>
      </c>
      <c r="BR402" t="s">
        <v>730</v>
      </c>
      <c r="BS402"/>
      <c r="BT402"/>
      <c r="BU402"/>
      <c r="BV402"/>
    </row>
    <row r="403" spans="1:74" s="9" customFormat="1">
      <c r="A403" t="s">
        <v>766</v>
      </c>
      <c r="B403" t="s">
        <v>10</v>
      </c>
      <c r="C403" t="s">
        <v>11</v>
      </c>
      <c r="D403" t="s">
        <v>301</v>
      </c>
      <c r="E403"/>
      <c r="F403" t="s">
        <v>53</v>
      </c>
      <c r="G403" t="s">
        <v>54</v>
      </c>
      <c r="H403" t="s">
        <v>53</v>
      </c>
      <c r="I403" t="s">
        <v>54</v>
      </c>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v>4.5</v>
      </c>
      <c r="AX403">
        <v>3.6</v>
      </c>
      <c r="AY403">
        <v>3.6</v>
      </c>
      <c r="AZ403">
        <v>3.6</v>
      </c>
      <c r="BA403">
        <v>5</v>
      </c>
      <c r="BB403">
        <v>4.4000000000000004</v>
      </c>
      <c r="BC403">
        <v>4.2</v>
      </c>
      <c r="BD403">
        <v>4.4000000000000004</v>
      </c>
      <c r="BE403">
        <v>3.9</v>
      </c>
      <c r="BF403">
        <v>2.7</v>
      </c>
      <c r="BG403">
        <v>2.2000000000000002</v>
      </c>
      <c r="BH403">
        <v>2.7</v>
      </c>
      <c r="BI403"/>
      <c r="BJ403"/>
      <c r="BK403"/>
      <c r="BL403"/>
      <c r="BM403"/>
      <c r="BN403"/>
      <c r="BO403"/>
      <c r="BP403"/>
      <c r="BQ403" t="s">
        <v>166</v>
      </c>
      <c r="BR403" t="s">
        <v>730</v>
      </c>
      <c r="BS403"/>
      <c r="BT403"/>
      <c r="BU403"/>
      <c r="BV403"/>
    </row>
    <row r="404" spans="1:74" s="9" customFormat="1">
      <c r="A404" t="s">
        <v>757</v>
      </c>
      <c r="B404" t="s">
        <v>10</v>
      </c>
      <c r="C404" t="s">
        <v>11</v>
      </c>
      <c r="D404" t="s">
        <v>301</v>
      </c>
      <c r="E404"/>
      <c r="F404" t="s">
        <v>53</v>
      </c>
      <c r="G404" t="s">
        <v>54</v>
      </c>
      <c r="H404" t="s">
        <v>53</v>
      </c>
      <c r="I404" t="s">
        <v>54</v>
      </c>
      <c r="J404"/>
      <c r="K404"/>
      <c r="L404"/>
      <c r="M404"/>
      <c r="N404"/>
      <c r="O404"/>
      <c r="P404"/>
      <c r="Q404"/>
      <c r="R404"/>
      <c r="S404"/>
      <c r="T404"/>
      <c r="U404">
        <v>3.4</v>
      </c>
      <c r="V404"/>
      <c r="W404"/>
      <c r="X404">
        <v>4.5999999999999996</v>
      </c>
      <c r="Y404"/>
      <c r="Z404"/>
      <c r="AA404"/>
      <c r="AB404"/>
      <c r="AC404">
        <v>4.4000000000000004</v>
      </c>
      <c r="AD404">
        <v>7.4</v>
      </c>
      <c r="AE404">
        <v>6</v>
      </c>
      <c r="AF404">
        <v>7.4</v>
      </c>
      <c r="AG404">
        <v>1.8</v>
      </c>
      <c r="AH404">
        <v>2.9</v>
      </c>
      <c r="AI404">
        <v>2.2000000000000002</v>
      </c>
      <c r="AJ404">
        <v>2.9</v>
      </c>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t="s">
        <v>166</v>
      </c>
      <c r="BR404" t="s">
        <v>730</v>
      </c>
      <c r="BS404" t="s">
        <v>371</v>
      </c>
      <c r="BT404" t="s">
        <v>730</v>
      </c>
      <c r="BU404"/>
      <c r="BV404"/>
    </row>
    <row r="405" spans="1:74" s="9" customFormat="1">
      <c r="A405" t="s">
        <v>739</v>
      </c>
      <c r="B405" t="s">
        <v>10</v>
      </c>
      <c r="C405" t="s">
        <v>11</v>
      </c>
      <c r="D405" t="s">
        <v>301</v>
      </c>
      <c r="E405"/>
      <c r="F405" t="s">
        <v>53</v>
      </c>
      <c r="G405" t="s">
        <v>55</v>
      </c>
      <c r="H405" t="s">
        <v>53</v>
      </c>
      <c r="I405" t="s">
        <v>55</v>
      </c>
      <c r="J405"/>
      <c r="K405"/>
      <c r="L405"/>
      <c r="M405"/>
      <c r="N405"/>
      <c r="O405"/>
      <c r="P405"/>
      <c r="Q405"/>
      <c r="R405"/>
      <c r="S405"/>
      <c r="T405"/>
      <c r="U405"/>
      <c r="V405"/>
      <c r="W405"/>
      <c r="X405"/>
      <c r="Y405">
        <v>4</v>
      </c>
      <c r="Z405">
        <v>5.6</v>
      </c>
      <c r="AA405"/>
      <c r="AB405">
        <v>5.6</v>
      </c>
      <c r="AC405">
        <v>4</v>
      </c>
      <c r="AD405">
        <v>5.4</v>
      </c>
      <c r="AE405"/>
      <c r="AF405">
        <v>5.4</v>
      </c>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t="s">
        <v>166</v>
      </c>
      <c r="BR405" t="s">
        <v>730</v>
      </c>
      <c r="BS405"/>
      <c r="BT405"/>
      <c r="BU405"/>
      <c r="BV405"/>
    </row>
    <row r="406" spans="1:74" s="9" customFormat="1">
      <c r="A406" t="s">
        <v>736</v>
      </c>
      <c r="B406" t="s">
        <v>10</v>
      </c>
      <c r="C406" t="s">
        <v>11</v>
      </c>
      <c r="D406" t="s">
        <v>301</v>
      </c>
      <c r="E406"/>
      <c r="F406" t="s">
        <v>53</v>
      </c>
      <c r="G406" t="s">
        <v>55</v>
      </c>
      <c r="H406" t="s">
        <v>53</v>
      </c>
      <c r="I406" t="s">
        <v>55</v>
      </c>
      <c r="J406"/>
      <c r="K406"/>
      <c r="L406"/>
      <c r="M406"/>
      <c r="N406"/>
      <c r="O406"/>
      <c r="P406"/>
      <c r="Q406"/>
      <c r="R406"/>
      <c r="S406"/>
      <c r="T406"/>
      <c r="U406">
        <v>3</v>
      </c>
      <c r="V406"/>
      <c r="W406"/>
      <c r="X406">
        <v>4.3</v>
      </c>
      <c r="Y406"/>
      <c r="Z406"/>
      <c r="AA406"/>
      <c r="AB406"/>
      <c r="AC406">
        <v>3.9</v>
      </c>
      <c r="AD406">
        <v>6.2</v>
      </c>
      <c r="AE406">
        <v>5.3</v>
      </c>
      <c r="AF406">
        <v>6.2</v>
      </c>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t="s">
        <v>166</v>
      </c>
      <c r="BR406" t="s">
        <v>730</v>
      </c>
      <c r="BS406" t="s">
        <v>181</v>
      </c>
      <c r="BT406" t="s">
        <v>730</v>
      </c>
      <c r="BU406"/>
      <c r="BV406"/>
    </row>
    <row r="407" spans="1:74" s="9" customFormat="1">
      <c r="A407" t="s">
        <v>737</v>
      </c>
      <c r="B407" t="s">
        <v>10</v>
      </c>
      <c r="C407" t="s">
        <v>11</v>
      </c>
      <c r="D407" t="s">
        <v>301</v>
      </c>
      <c r="E407"/>
      <c r="F407" t="s">
        <v>53</v>
      </c>
      <c r="G407" t="s">
        <v>55</v>
      </c>
      <c r="H407" t="s">
        <v>53</v>
      </c>
      <c r="I407" t="s">
        <v>55</v>
      </c>
      <c r="J407"/>
      <c r="K407"/>
      <c r="L407"/>
      <c r="M407"/>
      <c r="N407"/>
      <c r="O407"/>
      <c r="P407"/>
      <c r="Q407"/>
      <c r="R407"/>
      <c r="S407"/>
      <c r="T407"/>
      <c r="U407">
        <v>3.6</v>
      </c>
      <c r="V407"/>
      <c r="W407"/>
      <c r="X407">
        <v>5.0999999999999996</v>
      </c>
      <c r="Y407">
        <v>4.2</v>
      </c>
      <c r="Z407">
        <v>5.8</v>
      </c>
      <c r="AA407">
        <v>5.8</v>
      </c>
      <c r="AB407">
        <v>5.8</v>
      </c>
      <c r="AC407">
        <v>4</v>
      </c>
      <c r="AD407">
        <v>6.5</v>
      </c>
      <c r="AE407">
        <v>5.2</v>
      </c>
      <c r="AF407">
        <v>6.5</v>
      </c>
      <c r="AG407">
        <v>1.9</v>
      </c>
      <c r="AH407">
        <v>2.9</v>
      </c>
      <c r="AI407">
        <v>2.2000000000000002</v>
      </c>
      <c r="AJ407">
        <v>2.9</v>
      </c>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t="s">
        <v>166</v>
      </c>
      <c r="BR407" t="s">
        <v>730</v>
      </c>
      <c r="BS407"/>
      <c r="BT407"/>
      <c r="BU407"/>
      <c r="BV407"/>
    </row>
    <row r="408" spans="1:74" s="9" customFormat="1">
      <c r="A408" t="s">
        <v>741</v>
      </c>
      <c r="B408" t="s">
        <v>10</v>
      </c>
      <c r="C408" t="s">
        <v>11</v>
      </c>
      <c r="D408" t="s">
        <v>301</v>
      </c>
      <c r="E408"/>
      <c r="F408" t="s">
        <v>53</v>
      </c>
      <c r="G408" t="s">
        <v>55</v>
      </c>
      <c r="H408" t="s">
        <v>53</v>
      </c>
      <c r="I408" t="s">
        <v>55</v>
      </c>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v>4</v>
      </c>
      <c r="BB408">
        <v>3.6</v>
      </c>
      <c r="BC408">
        <v>3.3</v>
      </c>
      <c r="BD408">
        <v>3.6</v>
      </c>
      <c r="BE408"/>
      <c r="BF408"/>
      <c r="BG408"/>
      <c r="BH408"/>
      <c r="BI408"/>
      <c r="BJ408"/>
      <c r="BK408"/>
      <c r="BL408"/>
      <c r="BM408"/>
      <c r="BN408"/>
      <c r="BO408"/>
      <c r="BP408"/>
      <c r="BQ408" t="s">
        <v>166</v>
      </c>
      <c r="BR408" t="s">
        <v>730</v>
      </c>
      <c r="BS408"/>
      <c r="BT408"/>
      <c r="BU408"/>
      <c r="BV408"/>
    </row>
    <row r="409" spans="1:74" s="9" customFormat="1">
      <c r="A409" t="s">
        <v>738</v>
      </c>
      <c r="B409" t="s">
        <v>10</v>
      </c>
      <c r="C409" t="s">
        <v>11</v>
      </c>
      <c r="D409" t="s">
        <v>301</v>
      </c>
      <c r="E409"/>
      <c r="F409" t="s">
        <v>53</v>
      </c>
      <c r="G409" t="s">
        <v>55</v>
      </c>
      <c r="H409" t="s">
        <v>53</v>
      </c>
      <c r="I409" t="s">
        <v>55</v>
      </c>
      <c r="J409"/>
      <c r="K409"/>
      <c r="L409"/>
      <c r="M409"/>
      <c r="N409"/>
      <c r="O409"/>
      <c r="P409"/>
      <c r="Q409"/>
      <c r="R409"/>
      <c r="S409"/>
      <c r="T409"/>
      <c r="U409"/>
      <c r="V409"/>
      <c r="W409"/>
      <c r="X409"/>
      <c r="Y409">
        <v>4.0999999999999996</v>
      </c>
      <c r="Z409">
        <v>4.7</v>
      </c>
      <c r="AA409">
        <v>4.5999999999999996</v>
      </c>
      <c r="AB409">
        <v>4.7</v>
      </c>
      <c r="AC409">
        <v>4.0999999999999996</v>
      </c>
      <c r="AD409">
        <v>6.2</v>
      </c>
      <c r="AE409">
        <v>6</v>
      </c>
      <c r="AF409">
        <v>6.2</v>
      </c>
      <c r="AG409"/>
      <c r="AH409"/>
      <c r="AI409"/>
      <c r="AJ409"/>
      <c r="AK409"/>
      <c r="AL409"/>
      <c r="AM409"/>
      <c r="AN409"/>
      <c r="AO409"/>
      <c r="AP409"/>
      <c r="AQ409"/>
      <c r="AR409"/>
      <c r="AS409"/>
      <c r="AT409"/>
      <c r="AU409"/>
      <c r="AV409"/>
      <c r="AW409"/>
      <c r="AX409"/>
      <c r="AY409"/>
      <c r="AZ409"/>
      <c r="BA409">
        <v>4.2</v>
      </c>
      <c r="BB409">
        <v>3.8</v>
      </c>
      <c r="BC409">
        <v>3.5</v>
      </c>
      <c r="BD409">
        <v>3.8</v>
      </c>
      <c r="BE409">
        <v>3.9</v>
      </c>
      <c r="BF409">
        <v>2.4</v>
      </c>
      <c r="BG409">
        <v>2.2000000000000002</v>
      </c>
      <c r="BH409">
        <v>2.4</v>
      </c>
      <c r="BI409"/>
      <c r="BJ409"/>
      <c r="BK409"/>
      <c r="BL409"/>
      <c r="BM409"/>
      <c r="BN409"/>
      <c r="BO409"/>
      <c r="BP409"/>
      <c r="BQ409" t="s">
        <v>166</v>
      </c>
      <c r="BR409" t="s">
        <v>730</v>
      </c>
      <c r="BS409"/>
      <c r="BT409"/>
      <c r="BU409"/>
      <c r="BV409"/>
    </row>
    <row r="410" spans="1:74" s="9" customFormat="1">
      <c r="A410" t="s">
        <v>742</v>
      </c>
      <c r="B410" t="s">
        <v>10</v>
      </c>
      <c r="C410" t="s">
        <v>11</v>
      </c>
      <c r="D410" t="s">
        <v>301</v>
      </c>
      <c r="E410"/>
      <c r="F410" t="s">
        <v>53</v>
      </c>
      <c r="G410" t="s">
        <v>55</v>
      </c>
      <c r="H410" t="s">
        <v>53</v>
      </c>
      <c r="I410" t="s">
        <v>55</v>
      </c>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v>3.3</v>
      </c>
      <c r="AT410"/>
      <c r="AU410"/>
      <c r="AV410">
        <v>2.8</v>
      </c>
      <c r="AW410">
        <v>4</v>
      </c>
      <c r="AX410">
        <v>3.3</v>
      </c>
      <c r="AY410">
        <v>3.6</v>
      </c>
      <c r="AZ410">
        <v>3.6</v>
      </c>
      <c r="BA410">
        <v>5</v>
      </c>
      <c r="BB410">
        <v>3.9</v>
      </c>
      <c r="BC410">
        <v>3.7</v>
      </c>
      <c r="BD410">
        <v>3.9</v>
      </c>
      <c r="BE410"/>
      <c r="BF410"/>
      <c r="BG410"/>
      <c r="BH410"/>
      <c r="BI410"/>
      <c r="BJ410"/>
      <c r="BK410"/>
      <c r="BL410"/>
      <c r="BM410"/>
      <c r="BN410"/>
      <c r="BO410"/>
      <c r="BP410"/>
      <c r="BQ410" t="s">
        <v>166</v>
      </c>
      <c r="BR410" t="s">
        <v>730</v>
      </c>
      <c r="BS410"/>
      <c r="BT410"/>
      <c r="BU410"/>
      <c r="BV410"/>
    </row>
    <row r="411" spans="1:74" s="9" customFormat="1">
      <c r="A411" t="s">
        <v>746</v>
      </c>
      <c r="B411" t="s">
        <v>10</v>
      </c>
      <c r="C411" t="s">
        <v>11</v>
      </c>
      <c r="D411" t="s">
        <v>301</v>
      </c>
      <c r="E411"/>
      <c r="F411" t="s">
        <v>53</v>
      </c>
      <c r="G411" t="s">
        <v>55</v>
      </c>
      <c r="H411" t="s">
        <v>53</v>
      </c>
      <c r="I411" t="s">
        <v>55</v>
      </c>
      <c r="J411"/>
      <c r="K411"/>
      <c r="L411"/>
      <c r="M411">
        <v>2.8</v>
      </c>
      <c r="N411"/>
      <c r="O411"/>
      <c r="P411">
        <v>1.9</v>
      </c>
      <c r="Q411">
        <v>3.1</v>
      </c>
      <c r="R411"/>
      <c r="S411"/>
      <c r="T411">
        <v>2.9</v>
      </c>
      <c r="U411">
        <v>3.1</v>
      </c>
      <c r="V411"/>
      <c r="W411"/>
      <c r="X411">
        <v>4.3</v>
      </c>
      <c r="Y411">
        <v>4.2</v>
      </c>
      <c r="Z411">
        <v>5.4</v>
      </c>
      <c r="AA411">
        <v>5.7</v>
      </c>
      <c r="AB411">
        <v>5.7</v>
      </c>
      <c r="AC411">
        <v>4.4000000000000004</v>
      </c>
      <c r="AD411">
        <v>5.8</v>
      </c>
      <c r="AE411">
        <v>4.9000000000000004</v>
      </c>
      <c r="AF411">
        <v>5.8</v>
      </c>
      <c r="AG411">
        <v>1.9</v>
      </c>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t="s">
        <v>740</v>
      </c>
      <c r="BQ411" t="s">
        <v>166</v>
      </c>
      <c r="BR411" t="s">
        <v>730</v>
      </c>
      <c r="BS411" t="s">
        <v>371</v>
      </c>
      <c r="BT411" t="s">
        <v>730</v>
      </c>
      <c r="BU411"/>
      <c r="BV411"/>
    </row>
    <row r="412" spans="1:74" s="9" customFormat="1">
      <c r="A412" t="s">
        <v>752</v>
      </c>
      <c r="B412" t="s">
        <v>10</v>
      </c>
      <c r="C412" t="s">
        <v>11</v>
      </c>
      <c r="D412" t="s">
        <v>301</v>
      </c>
      <c r="E412"/>
      <c r="F412" t="s">
        <v>53</v>
      </c>
      <c r="G412" t="s">
        <v>55</v>
      </c>
      <c r="H412" t="s">
        <v>53</v>
      </c>
      <c r="I412" t="s">
        <v>55</v>
      </c>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v>4.3</v>
      </c>
      <c r="BC412"/>
      <c r="BD412">
        <v>4.3</v>
      </c>
      <c r="BE412"/>
      <c r="BF412"/>
      <c r="BG412"/>
      <c r="BH412"/>
      <c r="BI412"/>
      <c r="BJ412"/>
      <c r="BK412"/>
      <c r="BL412"/>
      <c r="BM412"/>
      <c r="BN412"/>
      <c r="BO412"/>
      <c r="BP412"/>
      <c r="BQ412" t="s">
        <v>166</v>
      </c>
      <c r="BR412" t="s">
        <v>730</v>
      </c>
      <c r="BS412"/>
      <c r="BT412"/>
      <c r="BU412"/>
      <c r="BV412"/>
    </row>
    <row r="413" spans="1:74" s="9" customFormat="1">
      <c r="A413" t="s">
        <v>747</v>
      </c>
      <c r="B413" t="s">
        <v>10</v>
      </c>
      <c r="C413" t="s">
        <v>11</v>
      </c>
      <c r="D413" t="s">
        <v>301</v>
      </c>
      <c r="E413"/>
      <c r="F413" t="s">
        <v>53</v>
      </c>
      <c r="G413" t="s">
        <v>55</v>
      </c>
      <c r="H413" t="s">
        <v>53</v>
      </c>
      <c r="I413" t="s">
        <v>55</v>
      </c>
      <c r="J413"/>
      <c r="K413"/>
      <c r="L413"/>
      <c r="M413">
        <v>2.6</v>
      </c>
      <c r="N413"/>
      <c r="O413"/>
      <c r="P413">
        <v>1.9</v>
      </c>
      <c r="Q413">
        <v>3.2</v>
      </c>
      <c r="R413"/>
      <c r="S413"/>
      <c r="T413"/>
      <c r="U413"/>
      <c r="V413"/>
      <c r="W413"/>
      <c r="X413"/>
      <c r="Y413">
        <v>4</v>
      </c>
      <c r="Z413">
        <v>5</v>
      </c>
      <c r="AA413">
        <v>5</v>
      </c>
      <c r="AB413">
        <v>5</v>
      </c>
      <c r="AC413">
        <v>4.4000000000000004</v>
      </c>
      <c r="AD413">
        <v>6.6</v>
      </c>
      <c r="AE413">
        <v>5.4</v>
      </c>
      <c r="AF413">
        <v>6.6</v>
      </c>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t="s">
        <v>166</v>
      </c>
      <c r="BR413" t="s">
        <v>730</v>
      </c>
      <c r="BS413" t="s">
        <v>371</v>
      </c>
      <c r="BT413" t="s">
        <v>730</v>
      </c>
      <c r="BU413"/>
      <c r="BV413"/>
    </row>
    <row r="414" spans="1:74" s="9" customFormat="1">
      <c r="A414" t="s">
        <v>748</v>
      </c>
      <c r="B414" t="s">
        <v>10</v>
      </c>
      <c r="C414" t="s">
        <v>11</v>
      </c>
      <c r="D414" t="s">
        <v>301</v>
      </c>
      <c r="E414" s="3"/>
      <c r="F414" t="s">
        <v>53</v>
      </c>
      <c r="G414" t="s">
        <v>55</v>
      </c>
      <c r="H414" t="s">
        <v>53</v>
      </c>
      <c r="I414" t="s">
        <v>55</v>
      </c>
      <c r="J414"/>
      <c r="K414"/>
      <c r="L414"/>
      <c r="M414"/>
      <c r="N414"/>
      <c r="O414"/>
      <c r="P414"/>
      <c r="Q414"/>
      <c r="R414"/>
      <c r="S414"/>
      <c r="T414"/>
      <c r="U414">
        <v>4.3</v>
      </c>
      <c r="V414"/>
      <c r="W414"/>
      <c r="X414">
        <v>4.2</v>
      </c>
      <c r="Y414">
        <v>4</v>
      </c>
      <c r="Z414">
        <v>4.5999999999999996</v>
      </c>
      <c r="AA414">
        <v>4.5999999999999996</v>
      </c>
      <c r="AB414">
        <v>4.5999999999999996</v>
      </c>
      <c r="AC414">
        <v>4.3</v>
      </c>
      <c r="AD414">
        <v>6.6</v>
      </c>
      <c r="AE414">
        <v>5.5</v>
      </c>
      <c r="AF414">
        <v>6.6</v>
      </c>
      <c r="AG414">
        <v>2.1</v>
      </c>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t="s">
        <v>166</v>
      </c>
      <c r="BR414" t="s">
        <v>730</v>
      </c>
      <c r="BS414"/>
      <c r="BT414"/>
      <c r="BU414"/>
      <c r="BV414"/>
    </row>
    <row r="415" spans="1:74" s="9" customFormat="1">
      <c r="A415" t="s">
        <v>753</v>
      </c>
      <c r="B415" t="s">
        <v>10</v>
      </c>
      <c r="C415" t="s">
        <v>11</v>
      </c>
      <c r="D415" t="s">
        <v>301</v>
      </c>
      <c r="E415"/>
      <c r="F415" t="s">
        <v>53</v>
      </c>
      <c r="G415" t="s">
        <v>55</v>
      </c>
      <c r="H415" t="s">
        <v>53</v>
      </c>
      <c r="I415" t="s">
        <v>55</v>
      </c>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v>3.7</v>
      </c>
      <c r="AT415"/>
      <c r="AU415"/>
      <c r="AV415">
        <v>3</v>
      </c>
      <c r="AW415"/>
      <c r="AX415"/>
      <c r="AY415"/>
      <c r="AZ415"/>
      <c r="BA415">
        <v>4.5</v>
      </c>
      <c r="BB415">
        <v>4.0999999999999996</v>
      </c>
      <c r="BC415">
        <v>4</v>
      </c>
      <c r="BD415">
        <v>4.0999999999999996</v>
      </c>
      <c r="BE415"/>
      <c r="BF415"/>
      <c r="BG415"/>
      <c r="BH415"/>
      <c r="BI415"/>
      <c r="BJ415"/>
      <c r="BK415"/>
      <c r="BL415"/>
      <c r="BM415"/>
      <c r="BN415"/>
      <c r="BO415"/>
      <c r="BP415"/>
      <c r="BQ415" t="s">
        <v>166</v>
      </c>
      <c r="BR415" t="s">
        <v>730</v>
      </c>
      <c r="BS415"/>
      <c r="BT415"/>
      <c r="BU415"/>
      <c r="BV415"/>
    </row>
    <row r="416" spans="1:74" s="9" customFormat="1">
      <c r="A416" t="s">
        <v>749</v>
      </c>
      <c r="B416" t="s">
        <v>10</v>
      </c>
      <c r="C416" t="s">
        <v>11</v>
      </c>
      <c r="D416" t="s">
        <v>301</v>
      </c>
      <c r="E416"/>
      <c r="F416" t="s">
        <v>53</v>
      </c>
      <c r="G416" t="s">
        <v>55</v>
      </c>
      <c r="H416" t="s">
        <v>53</v>
      </c>
      <c r="I416" t="s">
        <v>55</v>
      </c>
      <c r="J416"/>
      <c r="K416"/>
      <c r="L416"/>
      <c r="M416"/>
      <c r="N416"/>
      <c r="O416"/>
      <c r="P416"/>
      <c r="Q416"/>
      <c r="R416"/>
      <c r="S416"/>
      <c r="T416"/>
      <c r="U416">
        <v>3.5</v>
      </c>
      <c r="V416"/>
      <c r="W416"/>
      <c r="X416">
        <v>4.8</v>
      </c>
      <c r="Y416">
        <v>4.2</v>
      </c>
      <c r="Z416">
        <v>5.7</v>
      </c>
      <c r="AA416">
        <v>5.6</v>
      </c>
      <c r="AB416">
        <v>5.7</v>
      </c>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t="s">
        <v>166</v>
      </c>
      <c r="BR416" t="s">
        <v>730</v>
      </c>
      <c r="BS416" t="s">
        <v>371</v>
      </c>
      <c r="BT416" t="s">
        <v>730</v>
      </c>
      <c r="BU416"/>
      <c r="BV416"/>
    </row>
    <row r="417" spans="1:74" s="9" customFormat="1">
      <c r="A417" t="s">
        <v>754</v>
      </c>
      <c r="B417" t="s">
        <v>10</v>
      </c>
      <c r="C417" t="s">
        <v>11</v>
      </c>
      <c r="D417" t="s">
        <v>301</v>
      </c>
      <c r="E417"/>
      <c r="F417" t="s">
        <v>53</v>
      </c>
      <c r="G417" t="s">
        <v>55</v>
      </c>
      <c r="H417" t="s">
        <v>53</v>
      </c>
      <c r="I417" t="s">
        <v>55</v>
      </c>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v>3.8</v>
      </c>
      <c r="AT417"/>
      <c r="AU417"/>
      <c r="AV417">
        <v>2.9</v>
      </c>
      <c r="AW417"/>
      <c r="AX417">
        <v>3.5</v>
      </c>
      <c r="AY417"/>
      <c r="AZ417">
        <v>3.5</v>
      </c>
      <c r="BA417"/>
      <c r="BB417"/>
      <c r="BC417"/>
      <c r="BD417"/>
      <c r="BE417"/>
      <c r="BF417"/>
      <c r="BG417"/>
      <c r="BH417"/>
      <c r="BI417"/>
      <c r="BJ417"/>
      <c r="BK417"/>
      <c r="BL417"/>
      <c r="BM417"/>
      <c r="BN417"/>
      <c r="BO417"/>
      <c r="BP417"/>
      <c r="BQ417" t="s">
        <v>166</v>
      </c>
      <c r="BR417" t="s">
        <v>730</v>
      </c>
      <c r="BS417"/>
      <c r="BT417"/>
      <c r="BU417"/>
      <c r="BV417"/>
    </row>
    <row r="418" spans="1:74" s="9" customFormat="1">
      <c r="A418" t="s">
        <v>750</v>
      </c>
      <c r="B418" t="s">
        <v>10</v>
      </c>
      <c r="C418" t="s">
        <v>11</v>
      </c>
      <c r="D418" t="s">
        <v>301</v>
      </c>
      <c r="E418"/>
      <c r="F418" t="s">
        <v>53</v>
      </c>
      <c r="G418" t="s">
        <v>55</v>
      </c>
      <c r="H418" t="s">
        <v>53</v>
      </c>
      <c r="I418" t="s">
        <v>55</v>
      </c>
      <c r="J418"/>
      <c r="K418"/>
      <c r="L418"/>
      <c r="M418"/>
      <c r="N418"/>
      <c r="O418"/>
      <c r="P418"/>
      <c r="Q418"/>
      <c r="R418"/>
      <c r="S418"/>
      <c r="T418"/>
      <c r="U418">
        <v>3.4</v>
      </c>
      <c r="V418"/>
      <c r="W418"/>
      <c r="X418">
        <v>4.7</v>
      </c>
      <c r="Y418">
        <v>4</v>
      </c>
      <c r="Z418">
        <v>5.4</v>
      </c>
      <c r="AA418">
        <v>5.6</v>
      </c>
      <c r="AB418">
        <v>5.6</v>
      </c>
      <c r="AC418">
        <v>4.2</v>
      </c>
      <c r="AD418">
        <v>7.1</v>
      </c>
      <c r="AE418">
        <v>5.8</v>
      </c>
      <c r="AF418">
        <v>7.1</v>
      </c>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t="s">
        <v>166</v>
      </c>
      <c r="BR418" t="s">
        <v>730</v>
      </c>
      <c r="BS418" t="s">
        <v>371</v>
      </c>
      <c r="BT418" t="s">
        <v>730</v>
      </c>
      <c r="BU418"/>
      <c r="BV418"/>
    </row>
    <row r="419" spans="1:74" s="9" customFormat="1">
      <c r="A419" t="s">
        <v>755</v>
      </c>
      <c r="B419" t="s">
        <v>10</v>
      </c>
      <c r="C419" t="s">
        <v>11</v>
      </c>
      <c r="D419" t="s">
        <v>301</v>
      </c>
      <c r="E419"/>
      <c r="F419" t="s">
        <v>53</v>
      </c>
      <c r="G419" t="s">
        <v>55</v>
      </c>
      <c r="H419" t="s">
        <v>53</v>
      </c>
      <c r="I419" t="s">
        <v>55</v>
      </c>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v>3.6</v>
      </c>
      <c r="AT419"/>
      <c r="AU419"/>
      <c r="AV419">
        <v>2.9</v>
      </c>
      <c r="AW419">
        <v>4</v>
      </c>
      <c r="AX419">
        <v>3.4</v>
      </c>
      <c r="AY419">
        <v>3.7</v>
      </c>
      <c r="AZ419">
        <v>3.7</v>
      </c>
      <c r="BA419">
        <v>4.5999999999999996</v>
      </c>
      <c r="BB419">
        <v>4</v>
      </c>
      <c r="BC419">
        <v>3.8</v>
      </c>
      <c r="BD419">
        <v>4</v>
      </c>
      <c r="BE419">
        <v>3.9</v>
      </c>
      <c r="BF419">
        <v>2.6</v>
      </c>
      <c r="BG419">
        <v>2.6</v>
      </c>
      <c r="BH419">
        <v>2.6</v>
      </c>
      <c r="BI419"/>
      <c r="BJ419"/>
      <c r="BK419"/>
      <c r="BL419"/>
      <c r="BM419"/>
      <c r="BN419"/>
      <c r="BO419"/>
      <c r="BP419"/>
      <c r="BQ419" t="s">
        <v>166</v>
      </c>
      <c r="BR419" t="s">
        <v>730</v>
      </c>
      <c r="BS419" t="s">
        <v>371</v>
      </c>
      <c r="BT419" t="s">
        <v>730</v>
      </c>
      <c r="BU419"/>
      <c r="BV419"/>
    </row>
    <row r="420" spans="1:74" s="9" customFormat="1">
      <c r="A420" t="s">
        <v>751</v>
      </c>
      <c r="B420" t="s">
        <v>10</v>
      </c>
      <c r="C420" t="s">
        <v>11</v>
      </c>
      <c r="D420" t="s">
        <v>301</v>
      </c>
      <c r="E420"/>
      <c r="F420" t="s">
        <v>53</v>
      </c>
      <c r="G420" t="s">
        <v>55</v>
      </c>
      <c r="H420" t="s">
        <v>53</v>
      </c>
      <c r="I420" t="s">
        <v>55</v>
      </c>
      <c r="J420"/>
      <c r="K420"/>
      <c r="L420"/>
      <c r="M420"/>
      <c r="N420"/>
      <c r="O420"/>
      <c r="P420"/>
      <c r="Q420"/>
      <c r="R420"/>
      <c r="S420"/>
      <c r="T420"/>
      <c r="U420"/>
      <c r="V420"/>
      <c r="W420"/>
      <c r="X420"/>
      <c r="Y420"/>
      <c r="Z420"/>
      <c r="AA420"/>
      <c r="AB420"/>
      <c r="AC420"/>
      <c r="AD420"/>
      <c r="AE420"/>
      <c r="AF420"/>
      <c r="AG420"/>
      <c r="AH420"/>
      <c r="AI420"/>
      <c r="AJ420"/>
      <c r="AK420"/>
      <c r="AL420"/>
      <c r="AM420"/>
      <c r="AN420"/>
      <c r="AO420">
        <v>3.2</v>
      </c>
      <c r="AP420">
        <v>2.2000000000000002</v>
      </c>
      <c r="AQ420">
        <v>3.9</v>
      </c>
      <c r="AR420">
        <v>3.9</v>
      </c>
      <c r="AS420"/>
      <c r="AT420"/>
      <c r="AU420"/>
      <c r="AV420"/>
      <c r="AW420"/>
      <c r="AX420"/>
      <c r="AY420"/>
      <c r="AZ420"/>
      <c r="BA420"/>
      <c r="BB420"/>
      <c r="BC420"/>
      <c r="BD420"/>
      <c r="BE420"/>
      <c r="BF420"/>
      <c r="BG420"/>
      <c r="BH420"/>
      <c r="BI420"/>
      <c r="BJ420"/>
      <c r="BK420"/>
      <c r="BL420"/>
      <c r="BM420"/>
      <c r="BN420"/>
      <c r="BO420"/>
      <c r="BP420"/>
      <c r="BQ420" t="s">
        <v>166</v>
      </c>
      <c r="BR420" t="s">
        <v>730</v>
      </c>
      <c r="BS420"/>
      <c r="BT420"/>
      <c r="BU420"/>
      <c r="BV420"/>
    </row>
    <row r="421" spans="1:74" s="9" customFormat="1">
      <c r="A421" t="s">
        <v>743</v>
      </c>
      <c r="B421" t="s">
        <v>10</v>
      </c>
      <c r="C421" t="s">
        <v>11</v>
      </c>
      <c r="D421" t="s">
        <v>301</v>
      </c>
      <c r="E421"/>
      <c r="F421" t="s">
        <v>53</v>
      </c>
      <c r="G421" t="s">
        <v>55</v>
      </c>
      <c r="H421" t="s">
        <v>53</v>
      </c>
      <c r="I421" t="s">
        <v>55</v>
      </c>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v>4</v>
      </c>
      <c r="BB421">
        <v>3.7</v>
      </c>
      <c r="BC421">
        <v>3.8</v>
      </c>
      <c r="BD421">
        <v>3.8</v>
      </c>
      <c r="BE421"/>
      <c r="BF421"/>
      <c r="BG421"/>
      <c r="BH421"/>
      <c r="BI421"/>
      <c r="BJ421"/>
      <c r="BK421"/>
      <c r="BL421"/>
      <c r="BM421"/>
      <c r="BN421"/>
      <c r="BO421"/>
      <c r="BP421"/>
      <c r="BQ421" t="s">
        <v>166</v>
      </c>
      <c r="BR421" t="s">
        <v>730</v>
      </c>
      <c r="BS421"/>
      <c r="BT421"/>
      <c r="BU421"/>
      <c r="BV421"/>
    </row>
    <row r="422" spans="1:74" s="9" customFormat="1">
      <c r="A422" t="s">
        <v>458</v>
      </c>
      <c r="B422" t="s">
        <v>10</v>
      </c>
      <c r="C422" t="s">
        <v>11</v>
      </c>
      <c r="D422" t="s">
        <v>301</v>
      </c>
      <c r="E422" t="s">
        <v>52</v>
      </c>
      <c r="F422" t="s">
        <v>53</v>
      </c>
      <c r="G422" t="s">
        <v>60</v>
      </c>
      <c r="H422" t="s">
        <v>53</v>
      </c>
      <c r="I422" t="s">
        <v>60</v>
      </c>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v>4.2</v>
      </c>
      <c r="AT422"/>
      <c r="AU422"/>
      <c r="AV422">
        <v>2.6</v>
      </c>
      <c r="AW422"/>
      <c r="AX422"/>
      <c r="AY422"/>
      <c r="AZ422"/>
      <c r="BA422"/>
      <c r="BB422"/>
      <c r="BC422"/>
      <c r="BD422"/>
      <c r="BE422"/>
      <c r="BF422"/>
      <c r="BG422"/>
      <c r="BH422"/>
      <c r="BI422"/>
      <c r="BJ422"/>
      <c r="BK422"/>
      <c r="BL422"/>
      <c r="BM422"/>
      <c r="BN422"/>
      <c r="BO422"/>
      <c r="BP422"/>
      <c r="BQ422" t="s">
        <v>281</v>
      </c>
      <c r="BR422" t="s">
        <v>412</v>
      </c>
      <c r="BS422"/>
      <c r="BT422"/>
      <c r="BU422"/>
      <c r="BV422"/>
    </row>
    <row r="423" spans="1:74" s="9" customFormat="1">
      <c r="A423" t="s">
        <v>710</v>
      </c>
      <c r="B423" s="7" t="s">
        <v>10</v>
      </c>
      <c r="C423" s="7" t="s">
        <v>11</v>
      </c>
      <c r="D423" t="s">
        <v>301</v>
      </c>
      <c r="E423" t="s">
        <v>52</v>
      </c>
      <c r="F423" t="s">
        <v>53</v>
      </c>
      <c r="G423" t="s">
        <v>57</v>
      </c>
      <c r="H423" t="s">
        <v>48</v>
      </c>
      <c r="I423" t="s">
        <v>708</v>
      </c>
      <c r="J423"/>
      <c r="K423"/>
      <c r="L423"/>
      <c r="M423"/>
      <c r="N423"/>
      <c r="O423"/>
      <c r="P423"/>
      <c r="Q423"/>
      <c r="R423"/>
      <c r="S423"/>
      <c r="T423"/>
      <c r="U423"/>
      <c r="V423"/>
      <c r="W423"/>
      <c r="X423"/>
      <c r="Y423"/>
      <c r="Z423"/>
      <c r="AA423"/>
      <c r="AB423"/>
      <c r="AC423">
        <v>3.96</v>
      </c>
      <c r="AD423">
        <v>5.54</v>
      </c>
      <c r="AE423">
        <v>5.48</v>
      </c>
      <c r="AF423">
        <v>5.54</v>
      </c>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t="s">
        <v>281</v>
      </c>
      <c r="BR423" t="s">
        <v>682</v>
      </c>
      <c r="BS423"/>
      <c r="BT423"/>
      <c r="BU423"/>
      <c r="BV423"/>
    </row>
    <row r="424" spans="1:74" s="9" customFormat="1">
      <c r="A424" t="s">
        <v>709</v>
      </c>
      <c r="B424" s="7" t="s">
        <v>10</v>
      </c>
      <c r="C424" s="7" t="s">
        <v>11</v>
      </c>
      <c r="D424" t="s">
        <v>301</v>
      </c>
      <c r="E424" t="s">
        <v>52</v>
      </c>
      <c r="F424" t="s">
        <v>53</v>
      </c>
      <c r="G424" t="s">
        <v>57</v>
      </c>
      <c r="H424" t="s">
        <v>48</v>
      </c>
      <c r="I424" t="s">
        <v>708</v>
      </c>
      <c r="J424"/>
      <c r="K424"/>
      <c r="L424"/>
      <c r="M424"/>
      <c r="N424"/>
      <c r="O424"/>
      <c r="P424"/>
      <c r="Q424"/>
      <c r="R424"/>
      <c r="S424"/>
      <c r="T424"/>
      <c r="U424"/>
      <c r="V424"/>
      <c r="W424"/>
      <c r="X424"/>
      <c r="Y424"/>
      <c r="Z424"/>
      <c r="AA424"/>
      <c r="AB424"/>
      <c r="AC424"/>
      <c r="AD424"/>
      <c r="AE424"/>
      <c r="AF424"/>
      <c r="AG424">
        <v>2.65</v>
      </c>
      <c r="AH424">
        <v>3.78</v>
      </c>
      <c r="AI424">
        <v>3.45</v>
      </c>
      <c r="AJ424">
        <v>3.78</v>
      </c>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t="s">
        <v>281</v>
      </c>
      <c r="BR424" t="s">
        <v>682</v>
      </c>
      <c r="BS424" t="s">
        <v>371</v>
      </c>
      <c r="BT424" t="s">
        <v>682</v>
      </c>
      <c r="BU424"/>
      <c r="BV424"/>
    </row>
    <row r="425" spans="1:74" s="15" customFormat="1">
      <c r="A425" t="s">
        <v>258</v>
      </c>
      <c r="B425" t="s">
        <v>10</v>
      </c>
      <c r="C425" t="s">
        <v>11</v>
      </c>
      <c r="D425" t="s">
        <v>301</v>
      </c>
      <c r="E425" t="s">
        <v>52</v>
      </c>
      <c r="F425" t="s">
        <v>53</v>
      </c>
      <c r="G425" t="s">
        <v>58</v>
      </c>
      <c r="H425" t="s">
        <v>53</v>
      </c>
      <c r="I425" t="s">
        <v>58</v>
      </c>
      <c r="J425"/>
      <c r="K425"/>
      <c r="L425"/>
      <c r="M425"/>
      <c r="N425"/>
      <c r="O425"/>
      <c r="P425"/>
      <c r="Q425"/>
      <c r="R425"/>
      <c r="S425"/>
      <c r="T425"/>
      <c r="U425"/>
      <c r="V425"/>
      <c r="W425"/>
      <c r="X425"/>
      <c r="Y425"/>
      <c r="Z425"/>
      <c r="AA425"/>
      <c r="AB425"/>
      <c r="AC425">
        <v>4.9000000000000004</v>
      </c>
      <c r="AD425"/>
      <c r="AE425"/>
      <c r="AF425">
        <v>8.6</v>
      </c>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t="s">
        <v>166</v>
      </c>
      <c r="BR425" t="s">
        <v>197</v>
      </c>
      <c r="BS425" t="s">
        <v>181</v>
      </c>
      <c r="BT425" t="s">
        <v>197</v>
      </c>
      <c r="BU425"/>
      <c r="BV425"/>
    </row>
    <row r="426" spans="1:74" s="9" customFormat="1">
      <c r="A426" t="s">
        <v>258</v>
      </c>
      <c r="B426" t="s">
        <v>10</v>
      </c>
      <c r="C426" t="s">
        <v>11</v>
      </c>
      <c r="D426" t="s">
        <v>301</v>
      </c>
      <c r="E426"/>
      <c r="F426" t="s">
        <v>53</v>
      </c>
      <c r="G426" t="s">
        <v>58</v>
      </c>
      <c r="H426" t="s">
        <v>53</v>
      </c>
      <c r="I426" t="s">
        <v>58</v>
      </c>
      <c r="J426"/>
      <c r="K426"/>
      <c r="L426"/>
      <c r="M426"/>
      <c r="N426"/>
      <c r="O426"/>
      <c r="P426"/>
      <c r="Q426"/>
      <c r="R426"/>
      <c r="S426"/>
      <c r="T426"/>
      <c r="U426"/>
      <c r="V426"/>
      <c r="W426"/>
      <c r="X426"/>
      <c r="Y426"/>
      <c r="Z426"/>
      <c r="AA426"/>
      <c r="AB426"/>
      <c r="AC426">
        <v>4.7</v>
      </c>
      <c r="AD426">
        <v>8.1999999999999993</v>
      </c>
      <c r="AE426">
        <v>7.5</v>
      </c>
      <c r="AF426">
        <v>8.1999999999999993</v>
      </c>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t="s">
        <v>166</v>
      </c>
      <c r="BR426" t="s">
        <v>730</v>
      </c>
      <c r="BS426" t="s">
        <v>371</v>
      </c>
      <c r="BT426" t="s">
        <v>730</v>
      </c>
      <c r="BU426"/>
      <c r="BV426"/>
    </row>
    <row r="427" spans="1:74" s="9" customFormat="1">
      <c r="A427" t="s">
        <v>259</v>
      </c>
      <c r="B427" t="s">
        <v>10</v>
      </c>
      <c r="C427" t="s">
        <v>11</v>
      </c>
      <c r="D427" t="s">
        <v>301</v>
      </c>
      <c r="E427"/>
      <c r="F427" t="s">
        <v>53</v>
      </c>
      <c r="G427" t="s">
        <v>58</v>
      </c>
      <c r="H427" t="s">
        <v>53</v>
      </c>
      <c r="I427" t="s">
        <v>58</v>
      </c>
      <c r="J427"/>
      <c r="K427"/>
      <c r="L427"/>
      <c r="M427"/>
      <c r="N427"/>
      <c r="O427"/>
      <c r="P427"/>
      <c r="Q427"/>
      <c r="R427"/>
      <c r="S427"/>
      <c r="T427"/>
      <c r="U427">
        <v>4.0999999999999996</v>
      </c>
      <c r="V427"/>
      <c r="W427"/>
      <c r="X427">
        <v>5.3</v>
      </c>
      <c r="Y427">
        <v>4.7</v>
      </c>
      <c r="Z427">
        <v>6.2</v>
      </c>
      <c r="AA427">
        <v>6.2</v>
      </c>
      <c r="AB427">
        <v>6.2</v>
      </c>
      <c r="AC427">
        <v>5.3</v>
      </c>
      <c r="AD427">
        <v>7.9</v>
      </c>
      <c r="AE427">
        <v>6.9</v>
      </c>
      <c r="AF427">
        <v>7.9</v>
      </c>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t="s">
        <v>166</v>
      </c>
      <c r="BR427" t="s">
        <v>730</v>
      </c>
      <c r="BS427"/>
      <c r="BT427"/>
      <c r="BU427"/>
      <c r="BV427"/>
    </row>
    <row r="428" spans="1:74" s="9" customFormat="1">
      <c r="A428" t="s">
        <v>767</v>
      </c>
      <c r="B428" t="s">
        <v>10</v>
      </c>
      <c r="C428" t="s">
        <v>11</v>
      </c>
      <c r="D428" t="s">
        <v>301</v>
      </c>
      <c r="E428"/>
      <c r="F428" t="s">
        <v>53</v>
      </c>
      <c r="G428" t="s">
        <v>58</v>
      </c>
      <c r="H428" t="s">
        <v>53</v>
      </c>
      <c r="I428" t="s">
        <v>58</v>
      </c>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v>4.4000000000000004</v>
      </c>
      <c r="AX428">
        <v>3.7</v>
      </c>
      <c r="AY428">
        <v>4.4000000000000004</v>
      </c>
      <c r="AZ428">
        <v>4.4000000000000004</v>
      </c>
      <c r="BA428">
        <v>5.9</v>
      </c>
      <c r="BB428">
        <v>4.8</v>
      </c>
      <c r="BC428">
        <v>4.3</v>
      </c>
      <c r="BD428">
        <v>4.8</v>
      </c>
      <c r="BE428"/>
      <c r="BF428"/>
      <c r="BG428"/>
      <c r="BH428"/>
      <c r="BI428"/>
      <c r="BJ428"/>
      <c r="BK428"/>
      <c r="BL428"/>
      <c r="BM428"/>
      <c r="BN428"/>
      <c r="BO428"/>
      <c r="BP428"/>
      <c r="BQ428" t="s">
        <v>166</v>
      </c>
      <c r="BR428" t="s">
        <v>730</v>
      </c>
      <c r="BS428"/>
      <c r="BT428"/>
      <c r="BU428"/>
      <c r="BV428"/>
    </row>
    <row r="429" spans="1:74" s="9" customFormat="1">
      <c r="A429" t="s">
        <v>768</v>
      </c>
      <c r="B429" t="s">
        <v>10</v>
      </c>
      <c r="C429" t="s">
        <v>11</v>
      </c>
      <c r="D429" t="s">
        <v>301</v>
      </c>
      <c r="E429"/>
      <c r="F429" t="s">
        <v>53</v>
      </c>
      <c r="G429" t="s">
        <v>58</v>
      </c>
      <c r="H429" t="s">
        <v>53</v>
      </c>
      <c r="I429" t="s">
        <v>58</v>
      </c>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v>4.5999999999999996</v>
      </c>
      <c r="AY429"/>
      <c r="AZ429"/>
      <c r="BA429"/>
      <c r="BB429"/>
      <c r="BC429"/>
      <c r="BD429"/>
      <c r="BE429"/>
      <c r="BF429"/>
      <c r="BG429"/>
      <c r="BH429"/>
      <c r="BI429"/>
      <c r="BJ429"/>
      <c r="BK429"/>
      <c r="BL429"/>
      <c r="BM429"/>
      <c r="BN429"/>
      <c r="BO429"/>
      <c r="BP429"/>
      <c r="BQ429" t="s">
        <v>166</v>
      </c>
      <c r="BR429" t="s">
        <v>730</v>
      </c>
      <c r="BS429"/>
      <c r="BT429"/>
      <c r="BU429"/>
      <c r="BV429"/>
    </row>
    <row r="430" spans="1:74" s="9" customFormat="1">
      <c r="A430" t="s">
        <v>769</v>
      </c>
      <c r="B430" t="s">
        <v>10</v>
      </c>
      <c r="C430" t="s">
        <v>11</v>
      </c>
      <c r="D430" t="s">
        <v>301</v>
      </c>
      <c r="E430"/>
      <c r="F430" t="s">
        <v>53</v>
      </c>
      <c r="G430" t="s">
        <v>58</v>
      </c>
      <c r="H430" t="s">
        <v>53</v>
      </c>
      <c r="I430" t="s">
        <v>58</v>
      </c>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v>4.7</v>
      </c>
      <c r="AX430">
        <v>4</v>
      </c>
      <c r="AY430">
        <v>4.2</v>
      </c>
      <c r="AZ430">
        <v>4.2</v>
      </c>
      <c r="BA430">
        <v>5.2</v>
      </c>
      <c r="BB430">
        <v>4.8</v>
      </c>
      <c r="BC430">
        <v>4.4000000000000004</v>
      </c>
      <c r="BD430">
        <v>4.8</v>
      </c>
      <c r="BE430"/>
      <c r="BF430"/>
      <c r="BG430"/>
      <c r="BH430"/>
      <c r="BI430"/>
      <c r="BJ430"/>
      <c r="BK430"/>
      <c r="BL430"/>
      <c r="BM430"/>
      <c r="BN430"/>
      <c r="BO430"/>
      <c r="BP430"/>
      <c r="BQ430" t="s">
        <v>166</v>
      </c>
      <c r="BR430" t="s">
        <v>730</v>
      </c>
      <c r="BS430"/>
      <c r="BT430"/>
      <c r="BU430"/>
      <c r="BV430"/>
    </row>
    <row r="431" spans="1:74" s="9" customFormat="1">
      <c r="A431" t="s">
        <v>770</v>
      </c>
      <c r="B431" t="s">
        <v>10</v>
      </c>
      <c r="C431" t="s">
        <v>11</v>
      </c>
      <c r="D431" t="s">
        <v>301</v>
      </c>
      <c r="E431"/>
      <c r="F431" t="s">
        <v>53</v>
      </c>
      <c r="G431" t="s">
        <v>58</v>
      </c>
      <c r="H431" t="s">
        <v>53</v>
      </c>
      <c r="I431" t="s">
        <v>58</v>
      </c>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v>5.0999999999999996</v>
      </c>
      <c r="BB431">
        <v>4.4000000000000004</v>
      </c>
      <c r="BC431">
        <v>4.4000000000000004</v>
      </c>
      <c r="BD431">
        <v>4.4000000000000004</v>
      </c>
      <c r="BE431"/>
      <c r="BF431"/>
      <c r="BG431"/>
      <c r="BH431"/>
      <c r="BI431"/>
      <c r="BJ431"/>
      <c r="BK431"/>
      <c r="BL431"/>
      <c r="BM431"/>
      <c r="BN431"/>
      <c r="BO431"/>
      <c r="BP431"/>
      <c r="BQ431" t="s">
        <v>166</v>
      </c>
      <c r="BR431" t="s">
        <v>730</v>
      </c>
      <c r="BS431"/>
      <c r="BT431"/>
      <c r="BU431"/>
      <c r="BV431"/>
    </row>
    <row r="432" spans="1:74" s="9" customFormat="1">
      <c r="A432" t="s">
        <v>771</v>
      </c>
      <c r="B432" t="s">
        <v>10</v>
      </c>
      <c r="C432" t="s">
        <v>11</v>
      </c>
      <c r="D432" t="s">
        <v>301</v>
      </c>
      <c r="E432"/>
      <c r="F432" t="s">
        <v>53</v>
      </c>
      <c r="G432" t="s">
        <v>58</v>
      </c>
      <c r="H432" t="s">
        <v>53</v>
      </c>
      <c r="I432" t="s">
        <v>58</v>
      </c>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v>5.6</v>
      </c>
      <c r="BB432">
        <v>5.0999999999999996</v>
      </c>
      <c r="BC432">
        <v>4.7</v>
      </c>
      <c r="BD432">
        <v>5.0999999999999996</v>
      </c>
      <c r="BE432">
        <v>5</v>
      </c>
      <c r="BF432">
        <v>3.4</v>
      </c>
      <c r="BG432">
        <v>2.9</v>
      </c>
      <c r="BH432">
        <v>3.4</v>
      </c>
      <c r="BI432"/>
      <c r="BJ432"/>
      <c r="BK432"/>
      <c r="BL432"/>
      <c r="BM432"/>
      <c r="BN432"/>
      <c r="BO432"/>
      <c r="BP432"/>
      <c r="BQ432" t="s">
        <v>166</v>
      </c>
      <c r="BR432" t="s">
        <v>730</v>
      </c>
      <c r="BS432"/>
      <c r="BT432"/>
      <c r="BU432"/>
      <c r="BV432"/>
    </row>
    <row r="433" spans="1:74" s="9" customFormat="1">
      <c r="A433" t="s">
        <v>772</v>
      </c>
      <c r="B433" t="s">
        <v>10</v>
      </c>
      <c r="C433" t="s">
        <v>11</v>
      </c>
      <c r="D433" t="s">
        <v>301</v>
      </c>
      <c r="E433"/>
      <c r="F433" t="s">
        <v>53</v>
      </c>
      <c r="G433" t="s">
        <v>58</v>
      </c>
      <c r="H433" t="s">
        <v>53</v>
      </c>
      <c r="I433" t="s">
        <v>58</v>
      </c>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v>5.5</v>
      </c>
      <c r="BB433">
        <v>4.7</v>
      </c>
      <c r="BC433">
        <v>4.3</v>
      </c>
      <c r="BD433">
        <v>4.7</v>
      </c>
      <c r="BE433">
        <v>5</v>
      </c>
      <c r="BF433">
        <v>3.4</v>
      </c>
      <c r="BG433">
        <v>2.9</v>
      </c>
      <c r="BH433">
        <v>3.4</v>
      </c>
      <c r="BI433"/>
      <c r="BJ433"/>
      <c r="BK433"/>
      <c r="BL433"/>
      <c r="BM433"/>
      <c r="BN433"/>
      <c r="BO433"/>
      <c r="BP433"/>
      <c r="BQ433" t="s">
        <v>166</v>
      </c>
      <c r="BR433" t="s">
        <v>730</v>
      </c>
      <c r="BS433"/>
      <c r="BT433"/>
      <c r="BU433"/>
      <c r="BV433"/>
    </row>
    <row r="434" spans="1:74" s="9" customFormat="1">
      <c r="A434" t="s">
        <v>773</v>
      </c>
      <c r="B434" t="s">
        <v>10</v>
      </c>
      <c r="C434" t="s">
        <v>11</v>
      </c>
      <c r="D434" t="s">
        <v>301</v>
      </c>
      <c r="E434"/>
      <c r="F434" t="s">
        <v>53</v>
      </c>
      <c r="G434" t="s">
        <v>58</v>
      </c>
      <c r="H434" t="s">
        <v>53</v>
      </c>
      <c r="I434" t="s">
        <v>58</v>
      </c>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v>4.9000000000000004</v>
      </c>
      <c r="BB434">
        <v>4.5</v>
      </c>
      <c r="BC434">
        <v>4.5</v>
      </c>
      <c r="BD434">
        <v>4.5</v>
      </c>
      <c r="BE434"/>
      <c r="BF434"/>
      <c r="BG434"/>
      <c r="BH434"/>
      <c r="BI434"/>
      <c r="BJ434"/>
      <c r="BK434"/>
      <c r="BL434"/>
      <c r="BM434"/>
      <c r="BN434"/>
      <c r="BO434"/>
      <c r="BP434"/>
      <c r="BQ434" t="s">
        <v>166</v>
      </c>
      <c r="BR434" t="s">
        <v>730</v>
      </c>
      <c r="BS434"/>
      <c r="BT434"/>
      <c r="BU434"/>
      <c r="BV434"/>
    </row>
    <row r="435" spans="1:74" s="9" customFormat="1">
      <c r="A435" t="s">
        <v>774</v>
      </c>
      <c r="B435" t="s">
        <v>10</v>
      </c>
      <c r="C435" t="s">
        <v>11</v>
      </c>
      <c r="D435" t="s">
        <v>301</v>
      </c>
      <c r="E435"/>
      <c r="F435" t="s">
        <v>53</v>
      </c>
      <c r="G435" t="s">
        <v>58</v>
      </c>
      <c r="H435" t="s">
        <v>53</v>
      </c>
      <c r="I435" t="s">
        <v>58</v>
      </c>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v>3.7</v>
      </c>
      <c r="AW435">
        <v>5.2</v>
      </c>
      <c r="AX435">
        <v>4.2</v>
      </c>
      <c r="AY435">
        <v>4.5</v>
      </c>
      <c r="AZ435">
        <v>4.5</v>
      </c>
      <c r="BA435">
        <v>5.7</v>
      </c>
      <c r="BB435">
        <v>4.8</v>
      </c>
      <c r="BC435">
        <v>4.5999999999999996</v>
      </c>
      <c r="BD435">
        <v>4.8</v>
      </c>
      <c r="BE435"/>
      <c r="BF435"/>
      <c r="BG435"/>
      <c r="BH435"/>
      <c r="BI435"/>
      <c r="BJ435"/>
      <c r="BK435"/>
      <c r="BL435"/>
      <c r="BM435"/>
      <c r="BN435"/>
      <c r="BO435"/>
      <c r="BP435"/>
      <c r="BQ435" t="s">
        <v>166</v>
      </c>
      <c r="BR435" t="s">
        <v>730</v>
      </c>
      <c r="BS435"/>
      <c r="BT435"/>
      <c r="BU435"/>
      <c r="BV435"/>
    </row>
    <row r="436" spans="1:74" s="9" customFormat="1">
      <c r="A436" t="s">
        <v>758</v>
      </c>
      <c r="B436" t="s">
        <v>10</v>
      </c>
      <c r="C436" t="s">
        <v>11</v>
      </c>
      <c r="D436" t="s">
        <v>301</v>
      </c>
      <c r="E436"/>
      <c r="F436" t="s">
        <v>53</v>
      </c>
      <c r="G436" t="s">
        <v>58</v>
      </c>
      <c r="H436" t="s">
        <v>53</v>
      </c>
      <c r="I436" t="s">
        <v>58</v>
      </c>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v>4.5</v>
      </c>
      <c r="AX436">
        <v>4.0999999999999996</v>
      </c>
      <c r="AY436">
        <v>4.4000000000000004</v>
      </c>
      <c r="AZ436">
        <v>4.4000000000000004</v>
      </c>
      <c r="BA436">
        <v>5.2</v>
      </c>
      <c r="BB436">
        <v>4.5</v>
      </c>
      <c r="BC436">
        <v>4.3</v>
      </c>
      <c r="BD436">
        <v>4.5</v>
      </c>
      <c r="BE436"/>
      <c r="BF436"/>
      <c r="BG436"/>
      <c r="BH436"/>
      <c r="BI436"/>
      <c r="BJ436"/>
      <c r="BK436"/>
      <c r="BL436"/>
      <c r="BM436"/>
      <c r="BN436"/>
      <c r="BO436"/>
      <c r="BP436"/>
      <c r="BQ436" t="s">
        <v>166</v>
      </c>
      <c r="BR436" t="s">
        <v>730</v>
      </c>
      <c r="BS436" t="s">
        <v>371</v>
      </c>
      <c r="BT436" t="s">
        <v>730</v>
      </c>
      <c r="BU436"/>
      <c r="BV436"/>
    </row>
    <row r="437" spans="1:74" s="9" customFormat="1">
      <c r="A437" t="s">
        <v>775</v>
      </c>
      <c r="B437" t="s">
        <v>10</v>
      </c>
      <c r="C437" t="s">
        <v>11</v>
      </c>
      <c r="D437" t="s">
        <v>301</v>
      </c>
      <c r="E437"/>
      <c r="F437" t="s">
        <v>53</v>
      </c>
      <c r="G437" t="s">
        <v>58</v>
      </c>
      <c r="H437" t="s">
        <v>53</v>
      </c>
      <c r="I437" t="s">
        <v>58</v>
      </c>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v>5.4</v>
      </c>
      <c r="BB437">
        <v>4.4000000000000004</v>
      </c>
      <c r="BC437">
        <v>3.9</v>
      </c>
      <c r="BD437">
        <v>4.4000000000000004</v>
      </c>
      <c r="BE437"/>
      <c r="BF437"/>
      <c r="BG437"/>
      <c r="BH437"/>
      <c r="BI437"/>
      <c r="BJ437"/>
      <c r="BK437"/>
      <c r="BL437"/>
      <c r="BM437"/>
      <c r="BN437"/>
      <c r="BO437"/>
      <c r="BP437"/>
      <c r="BQ437" s="3" t="s">
        <v>166</v>
      </c>
      <c r="BR437" t="s">
        <v>730</v>
      </c>
      <c r="BS437"/>
      <c r="BT437"/>
      <c r="BU437"/>
      <c r="BV437"/>
    </row>
    <row r="438" spans="1:74" s="9" customFormat="1">
      <c r="A438" t="s">
        <v>319</v>
      </c>
      <c r="B438" t="s">
        <v>10</v>
      </c>
      <c r="C438" t="s">
        <v>11</v>
      </c>
      <c r="D438" t="s">
        <v>301</v>
      </c>
      <c r="E438" t="s">
        <v>276</v>
      </c>
      <c r="F438" t="s">
        <v>26</v>
      </c>
      <c r="G438" t="s">
        <v>30</v>
      </c>
      <c r="H438" t="s">
        <v>26</v>
      </c>
      <c r="I438" t="s">
        <v>30</v>
      </c>
      <c r="J438"/>
      <c r="K438"/>
      <c r="L438"/>
      <c r="M438"/>
      <c r="N438"/>
      <c r="O438"/>
      <c r="P438"/>
      <c r="Q438">
        <v>3</v>
      </c>
      <c r="R438"/>
      <c r="S438"/>
      <c r="T438">
        <v>3.2</v>
      </c>
      <c r="U438">
        <v>2.8</v>
      </c>
      <c r="V438"/>
      <c r="W438"/>
      <c r="X438">
        <v>3.9</v>
      </c>
      <c r="Y438">
        <v>3.1</v>
      </c>
      <c r="Z438"/>
      <c r="AA438"/>
      <c r="AB438">
        <v>4.3</v>
      </c>
      <c r="AC438">
        <v>3.3</v>
      </c>
      <c r="AD438"/>
      <c r="AE438"/>
      <c r="AF438">
        <v>4.9000000000000004</v>
      </c>
      <c r="AG438">
        <v>2.2999999999999998</v>
      </c>
      <c r="AH438"/>
      <c r="AI438"/>
      <c r="AJ438">
        <v>3.6</v>
      </c>
      <c r="AK438"/>
      <c r="AL438"/>
      <c r="AM438"/>
      <c r="AN438"/>
      <c r="AO438">
        <v>2.5499999999999998</v>
      </c>
      <c r="AP438"/>
      <c r="AQ438"/>
      <c r="AR438">
        <v>2.0499999999999998</v>
      </c>
      <c r="AS438">
        <v>2.9</v>
      </c>
      <c r="AT438"/>
      <c r="AU438"/>
      <c r="AV438">
        <v>2.2200000000000002</v>
      </c>
      <c r="AW438">
        <v>3.08</v>
      </c>
      <c r="AX438"/>
      <c r="AY438"/>
      <c r="AZ438">
        <v>2.48</v>
      </c>
      <c r="BA438">
        <v>3.34</v>
      </c>
      <c r="BB438"/>
      <c r="BC438"/>
      <c r="BD438">
        <v>2.91</v>
      </c>
      <c r="BE438">
        <v>3.25</v>
      </c>
      <c r="BF438"/>
      <c r="BG438"/>
      <c r="BH438">
        <v>2.52</v>
      </c>
      <c r="BI438"/>
      <c r="BJ438"/>
      <c r="BK438"/>
      <c r="BL438"/>
      <c r="BM438"/>
      <c r="BN438"/>
      <c r="BO438"/>
      <c r="BP438"/>
      <c r="BQ438" t="s">
        <v>281</v>
      </c>
      <c r="BR438" t="s">
        <v>315</v>
      </c>
      <c r="BS438"/>
      <c r="BT438"/>
      <c r="BU438"/>
      <c r="BV438"/>
    </row>
    <row r="439" spans="1:74" s="9" customFormat="1">
      <c r="A439" t="s">
        <v>300</v>
      </c>
      <c r="B439" t="s">
        <v>10</v>
      </c>
      <c r="C439" t="s">
        <v>11</v>
      </c>
      <c r="D439" t="s">
        <v>301</v>
      </c>
      <c r="E439" t="s">
        <v>276</v>
      </c>
      <c r="F439" t="s">
        <v>26</v>
      </c>
      <c r="G439" t="s">
        <v>36</v>
      </c>
      <c r="H439" t="s">
        <v>26</v>
      </c>
      <c r="I439" t="s">
        <v>36</v>
      </c>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v>3.5</v>
      </c>
      <c r="BB439"/>
      <c r="BC439"/>
      <c r="BD439">
        <v>2.8</v>
      </c>
      <c r="BE439"/>
      <c r="BF439"/>
      <c r="BG439"/>
      <c r="BH439"/>
      <c r="BI439"/>
      <c r="BJ439"/>
      <c r="BK439"/>
      <c r="BL439"/>
      <c r="BM439"/>
      <c r="BN439"/>
      <c r="BO439"/>
      <c r="BP439"/>
      <c r="BQ439" t="s">
        <v>281</v>
      </c>
      <c r="BR439" t="s">
        <v>299</v>
      </c>
      <c r="BS439"/>
      <c r="BT439"/>
      <c r="BU439"/>
      <c r="BV439"/>
    </row>
    <row r="440" spans="1:74" s="9" customFormat="1">
      <c r="A440" t="s">
        <v>285</v>
      </c>
      <c r="B440" t="s">
        <v>10</v>
      </c>
      <c r="C440" t="s">
        <v>11</v>
      </c>
      <c r="D440" t="s">
        <v>301</v>
      </c>
      <c r="E440" t="s">
        <v>276</v>
      </c>
      <c r="F440" t="s">
        <v>26</v>
      </c>
      <c r="G440" t="s">
        <v>37</v>
      </c>
      <c r="H440" t="s">
        <v>26</v>
      </c>
      <c r="I440" t="s">
        <v>286</v>
      </c>
      <c r="J440"/>
      <c r="K440"/>
      <c r="L440"/>
      <c r="M440"/>
      <c r="N440"/>
      <c r="O440"/>
      <c r="P440"/>
      <c r="Q440"/>
      <c r="R440"/>
      <c r="S440"/>
      <c r="T440"/>
      <c r="U440">
        <f>13.65-10.1</f>
        <v>3.5500000000000007</v>
      </c>
      <c r="V440"/>
      <c r="W440"/>
      <c r="X440"/>
      <c r="Y440">
        <f>10.1-6.75</f>
        <v>3.3499999999999996</v>
      </c>
      <c r="Z440"/>
      <c r="AA440"/>
      <c r="AB440"/>
      <c r="AC440">
        <f>6.75-AG440</f>
        <v>4.0999999999999996</v>
      </c>
      <c r="AD440"/>
      <c r="AE440"/>
      <c r="AF440"/>
      <c r="AG440">
        <f>13.65-11</f>
        <v>2.6500000000000004</v>
      </c>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t="s">
        <v>287</v>
      </c>
      <c r="BQ440" t="s">
        <v>281</v>
      </c>
      <c r="BR440" t="s">
        <v>273</v>
      </c>
      <c r="BS440"/>
      <c r="BT440"/>
      <c r="BU440"/>
      <c r="BV440"/>
    </row>
    <row r="441" spans="1:74" s="9" customFormat="1">
      <c r="A441"/>
      <c r="B441" t="s">
        <v>10</v>
      </c>
      <c r="C441" t="s">
        <v>11</v>
      </c>
      <c r="D441" t="s">
        <v>301</v>
      </c>
      <c r="E441" t="s">
        <v>276</v>
      </c>
      <c r="F441" t="s">
        <v>26</v>
      </c>
      <c r="G441" t="s">
        <v>41</v>
      </c>
      <c r="H441" t="s">
        <v>26</v>
      </c>
      <c r="I441" t="s">
        <v>41</v>
      </c>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v>2</v>
      </c>
      <c r="BF441"/>
      <c r="BG441"/>
      <c r="BH441">
        <v>1.5</v>
      </c>
      <c r="BI441"/>
      <c r="BJ441"/>
      <c r="BK441"/>
      <c r="BL441"/>
      <c r="BM441"/>
      <c r="BN441"/>
      <c r="BO441"/>
      <c r="BP441" t="s">
        <v>307</v>
      </c>
      <c r="BQ441" t="s">
        <v>281</v>
      </c>
      <c r="BR441" t="s">
        <v>308</v>
      </c>
      <c r="BS441"/>
      <c r="BT441"/>
      <c r="BU441"/>
      <c r="BV441"/>
    </row>
    <row r="442" spans="1:74" s="9" customFormat="1">
      <c r="A442" t="s">
        <v>302</v>
      </c>
      <c r="B442" t="s">
        <v>10</v>
      </c>
      <c r="C442" t="s">
        <v>11</v>
      </c>
      <c r="D442" t="s">
        <v>301</v>
      </c>
      <c r="E442" t="s">
        <v>276</v>
      </c>
      <c r="F442" t="s">
        <v>26</v>
      </c>
      <c r="G442" t="s">
        <v>47</v>
      </c>
      <c r="H442" t="s">
        <v>26</v>
      </c>
      <c r="I442" t="s">
        <v>47</v>
      </c>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v>3.9</v>
      </c>
      <c r="AT442"/>
      <c r="AU442"/>
      <c r="AV442">
        <v>2.5</v>
      </c>
      <c r="AW442"/>
      <c r="AX442"/>
      <c r="AY442"/>
      <c r="AZ442"/>
      <c r="BA442"/>
      <c r="BB442"/>
      <c r="BC442"/>
      <c r="BD442"/>
      <c r="BE442"/>
      <c r="BF442"/>
      <c r="BG442"/>
      <c r="BH442"/>
      <c r="BI442"/>
      <c r="BJ442"/>
      <c r="BK442"/>
      <c r="BL442"/>
      <c r="BM442"/>
      <c r="BN442"/>
      <c r="BO442"/>
      <c r="BP442"/>
      <c r="BQ442" t="s">
        <v>281</v>
      </c>
      <c r="BR442" t="s">
        <v>299</v>
      </c>
      <c r="BS442"/>
      <c r="BT442"/>
      <c r="BU442"/>
      <c r="BV442"/>
    </row>
    <row r="443" spans="1:74" s="9" customFormat="1">
      <c r="A443" t="s">
        <v>303</v>
      </c>
      <c r="B443" t="s">
        <v>10</v>
      </c>
      <c r="C443" t="s">
        <v>11</v>
      </c>
      <c r="D443" t="s">
        <v>301</v>
      </c>
      <c r="E443" t="s">
        <v>276</v>
      </c>
      <c r="F443" t="s">
        <v>26</v>
      </c>
      <c r="G443" t="s">
        <v>47</v>
      </c>
      <c r="H443" t="s">
        <v>26</v>
      </c>
      <c r="I443" t="s">
        <v>47</v>
      </c>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v>3.4</v>
      </c>
      <c r="AX443"/>
      <c r="AY443"/>
      <c r="AZ443">
        <v>2.7</v>
      </c>
      <c r="BA443"/>
      <c r="BB443"/>
      <c r="BC443"/>
      <c r="BD443"/>
      <c r="BE443"/>
      <c r="BF443"/>
      <c r="BG443"/>
      <c r="BH443"/>
      <c r="BI443"/>
      <c r="BJ443"/>
      <c r="BK443"/>
      <c r="BL443"/>
      <c r="BM443"/>
      <c r="BN443"/>
      <c r="BO443"/>
      <c r="BP443"/>
      <c r="BQ443" t="s">
        <v>281</v>
      </c>
      <c r="BR443" t="s">
        <v>299</v>
      </c>
      <c r="BS443"/>
      <c r="BT443"/>
      <c r="BU443"/>
      <c r="BV443"/>
    </row>
    <row r="444" spans="1:74" s="9" customFormat="1">
      <c r="A444" t="s">
        <v>304</v>
      </c>
      <c r="B444" t="s">
        <v>10</v>
      </c>
      <c r="C444" t="s">
        <v>11</v>
      </c>
      <c r="D444" t="s">
        <v>301</v>
      </c>
      <c r="E444" t="s">
        <v>276</v>
      </c>
      <c r="F444" t="s">
        <v>26</v>
      </c>
      <c r="G444" t="s">
        <v>47</v>
      </c>
      <c r="H444" t="s">
        <v>26</v>
      </c>
      <c r="I444" t="s">
        <v>47</v>
      </c>
      <c r="J444"/>
      <c r="K444"/>
      <c r="L444"/>
      <c r="M444"/>
      <c r="N444"/>
      <c r="O444"/>
      <c r="P444"/>
      <c r="Q444"/>
      <c r="R444"/>
      <c r="S444"/>
      <c r="T444"/>
      <c r="U444"/>
      <c r="V444"/>
      <c r="W444"/>
      <c r="X444"/>
      <c r="Y444">
        <v>3.2</v>
      </c>
      <c r="Z444"/>
      <c r="AA444"/>
      <c r="AB444">
        <v>4.3</v>
      </c>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t="s">
        <v>281</v>
      </c>
      <c r="BR444" t="s">
        <v>299</v>
      </c>
      <c r="BS444"/>
      <c r="BT444"/>
      <c r="BU444"/>
      <c r="BV444"/>
    </row>
    <row r="445" spans="1:74" s="9" customFormat="1">
      <c r="A445" t="s">
        <v>305</v>
      </c>
      <c r="B445" t="s">
        <v>10</v>
      </c>
      <c r="C445" t="s">
        <v>11</v>
      </c>
      <c r="D445" t="s">
        <v>301</v>
      </c>
      <c r="E445" t="s">
        <v>276</v>
      </c>
      <c r="F445" t="s">
        <v>26</v>
      </c>
      <c r="G445" t="s">
        <v>47</v>
      </c>
      <c r="H445" t="s">
        <v>26</v>
      </c>
      <c r="I445" t="s">
        <v>47</v>
      </c>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v>3.1</v>
      </c>
      <c r="AX445"/>
      <c r="AY445"/>
      <c r="AZ445">
        <v>2.2999999999999998</v>
      </c>
      <c r="BA445"/>
      <c r="BB445"/>
      <c r="BC445"/>
      <c r="BD445"/>
      <c r="BE445"/>
      <c r="BF445"/>
      <c r="BG445"/>
      <c r="BH445"/>
      <c r="BI445"/>
      <c r="BJ445"/>
      <c r="BK445"/>
      <c r="BL445"/>
      <c r="BM445"/>
      <c r="BN445"/>
      <c r="BO445"/>
      <c r="BP445"/>
      <c r="BQ445" t="s">
        <v>281</v>
      </c>
      <c r="BR445" t="s">
        <v>299</v>
      </c>
      <c r="BS445"/>
      <c r="BT445"/>
      <c r="BU445"/>
      <c r="BV445"/>
    </row>
    <row r="446" spans="1:74" s="9" customFormat="1">
      <c r="A446" t="s">
        <v>306</v>
      </c>
      <c r="B446" t="s">
        <v>10</v>
      </c>
      <c r="C446" t="s">
        <v>11</v>
      </c>
      <c r="D446" t="s">
        <v>301</v>
      </c>
      <c r="E446" t="s">
        <v>276</v>
      </c>
      <c r="F446" t="s">
        <v>26</v>
      </c>
      <c r="G446" t="s">
        <v>47</v>
      </c>
      <c r="H446" t="s">
        <v>26</v>
      </c>
      <c r="I446" t="s">
        <v>47</v>
      </c>
      <c r="J446"/>
      <c r="K446"/>
      <c r="L446"/>
      <c r="M446"/>
      <c r="N446"/>
      <c r="O446"/>
      <c r="P446"/>
      <c r="Q446"/>
      <c r="R446"/>
      <c r="S446"/>
      <c r="T446"/>
      <c r="U446"/>
      <c r="V446"/>
      <c r="W446"/>
      <c r="X446"/>
      <c r="Y446"/>
      <c r="Z446"/>
      <c r="AA446"/>
      <c r="AB446"/>
      <c r="AC446"/>
      <c r="AD446"/>
      <c r="AE446"/>
      <c r="AF446"/>
      <c r="AG446">
        <v>2.4</v>
      </c>
      <c r="AH446"/>
      <c r="AI446"/>
      <c r="AJ446">
        <v>3.8</v>
      </c>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t="s">
        <v>281</v>
      </c>
      <c r="BR446" t="s">
        <v>299</v>
      </c>
      <c r="BS446"/>
      <c r="BT446"/>
      <c r="BU446"/>
      <c r="BV446"/>
    </row>
    <row r="447" spans="1:74" s="9" customFormat="1">
      <c r="A447" t="s">
        <v>355</v>
      </c>
      <c r="B447" t="s">
        <v>10</v>
      </c>
      <c r="C447" t="s">
        <v>11</v>
      </c>
      <c r="D447" t="s">
        <v>301</v>
      </c>
      <c r="E447"/>
      <c r="F447" t="s">
        <v>48</v>
      </c>
      <c r="G447" t="s">
        <v>49</v>
      </c>
      <c r="H447" t="s">
        <v>48</v>
      </c>
      <c r="I447" t="s">
        <v>49</v>
      </c>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v>4.17</v>
      </c>
      <c r="AX447">
        <v>2.87</v>
      </c>
      <c r="AY447" s="6">
        <v>3.06</v>
      </c>
      <c r="AZ447">
        <f>MAX(AX447:AY447)</f>
        <v>3.06</v>
      </c>
      <c r="BA447">
        <v>4.17</v>
      </c>
      <c r="BB447">
        <v>3.61</v>
      </c>
      <c r="BC447">
        <v>3.54</v>
      </c>
      <c r="BD447">
        <f>MAX(BB447:BC447)</f>
        <v>3.61</v>
      </c>
      <c r="BE447"/>
      <c r="BF447"/>
      <c r="BG447"/>
      <c r="BH447"/>
      <c r="BI447"/>
      <c r="BJ447"/>
      <c r="BK447"/>
      <c r="BL447"/>
      <c r="BM447"/>
      <c r="BN447"/>
      <c r="BO447"/>
      <c r="BP447" t="s">
        <v>366</v>
      </c>
      <c r="BQ447" t="s">
        <v>281</v>
      </c>
      <c r="BR447" t="s">
        <v>322</v>
      </c>
      <c r="BS447"/>
      <c r="BT447"/>
      <c r="BU447"/>
      <c r="BV447"/>
    </row>
    <row r="448" spans="1:74" s="9" customFormat="1">
      <c r="A448" t="s">
        <v>319</v>
      </c>
      <c r="B448" t="s">
        <v>10</v>
      </c>
      <c r="C448" t="s">
        <v>11</v>
      </c>
      <c r="D448" t="s">
        <v>301</v>
      </c>
      <c r="E448"/>
      <c r="F448" t="s">
        <v>48</v>
      </c>
      <c r="G448" t="s">
        <v>49</v>
      </c>
      <c r="H448" t="s">
        <v>48</v>
      </c>
      <c r="I448" t="s">
        <v>49</v>
      </c>
      <c r="J448"/>
      <c r="K448"/>
      <c r="L448"/>
      <c r="M448"/>
      <c r="N448"/>
      <c r="O448"/>
      <c r="P448"/>
      <c r="Q448"/>
      <c r="R448"/>
      <c r="S448"/>
      <c r="T448"/>
      <c r="U448"/>
      <c r="V448"/>
      <c r="W448"/>
      <c r="X448"/>
      <c r="Y448"/>
      <c r="Z448"/>
      <c r="AA448"/>
      <c r="AB448"/>
      <c r="AC448"/>
      <c r="AD448"/>
      <c r="AE448"/>
      <c r="AF448"/>
      <c r="AG448"/>
      <c r="AH448"/>
      <c r="AI448"/>
      <c r="AJ448"/>
      <c r="AK448"/>
      <c r="AL448"/>
      <c r="AM448"/>
      <c r="AN448"/>
      <c r="AO448">
        <v>3.37</v>
      </c>
      <c r="AP448"/>
      <c r="AQ448"/>
      <c r="AR448">
        <v>2</v>
      </c>
      <c r="AS448">
        <v>3.68</v>
      </c>
      <c r="AT448"/>
      <c r="AU448"/>
      <c r="AV448">
        <v>2.54</v>
      </c>
      <c r="AW448">
        <v>4.07</v>
      </c>
      <c r="AX448"/>
      <c r="AY448"/>
      <c r="AZ448">
        <v>3.3</v>
      </c>
      <c r="BA448">
        <v>4.67</v>
      </c>
      <c r="BB448"/>
      <c r="BC448"/>
      <c r="BD448">
        <v>4.04</v>
      </c>
      <c r="BE448">
        <v>5.13</v>
      </c>
      <c r="BF448"/>
      <c r="BG448"/>
      <c r="BH448">
        <v>3.55</v>
      </c>
      <c r="BI448"/>
      <c r="BJ448"/>
      <c r="BK448"/>
      <c r="BL448"/>
      <c r="BM448"/>
      <c r="BN448"/>
      <c r="BO448"/>
      <c r="BP448"/>
      <c r="BQ448" t="s">
        <v>281</v>
      </c>
      <c r="BR448" t="s">
        <v>412</v>
      </c>
      <c r="BS448" t="s">
        <v>371</v>
      </c>
      <c r="BT448" t="s">
        <v>412</v>
      </c>
      <c r="BU448"/>
      <c r="BV448"/>
    </row>
    <row r="449" spans="1:74" s="9" customFormat="1">
      <c r="A449" t="s">
        <v>711</v>
      </c>
      <c r="B449" s="7" t="s">
        <v>10</v>
      </c>
      <c r="C449" s="7" t="s">
        <v>11</v>
      </c>
      <c r="D449" t="s">
        <v>301</v>
      </c>
      <c r="E449" t="s">
        <v>52</v>
      </c>
      <c r="F449" t="s">
        <v>48</v>
      </c>
      <c r="G449" t="s">
        <v>49</v>
      </c>
      <c r="H449" t="s">
        <v>48</v>
      </c>
      <c r="I449" t="s">
        <v>712</v>
      </c>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v>3.45</v>
      </c>
      <c r="AT449"/>
      <c r="AU449"/>
      <c r="AV449">
        <v>2.38</v>
      </c>
      <c r="AW449"/>
      <c r="AX449"/>
      <c r="AY449"/>
      <c r="AZ449"/>
      <c r="BA449">
        <v>4.1900000000000004</v>
      </c>
      <c r="BB449">
        <v>3.76</v>
      </c>
      <c r="BC449">
        <v>3.67</v>
      </c>
      <c r="BD449">
        <v>3.76</v>
      </c>
      <c r="BE449">
        <v>4.3499999999999996</v>
      </c>
      <c r="BF449">
        <v>3.39</v>
      </c>
      <c r="BG449">
        <v>2.84</v>
      </c>
      <c r="BH449">
        <v>3.39</v>
      </c>
      <c r="BI449"/>
      <c r="BJ449"/>
      <c r="BK449"/>
      <c r="BL449"/>
      <c r="BM449"/>
      <c r="BN449"/>
      <c r="BO449"/>
      <c r="BP449"/>
      <c r="BQ449" t="s">
        <v>281</v>
      </c>
      <c r="BR449" t="s">
        <v>682</v>
      </c>
      <c r="BS449" t="s">
        <v>371</v>
      </c>
      <c r="BT449" t="s">
        <v>682</v>
      </c>
      <c r="BU449"/>
      <c r="BV449"/>
    </row>
    <row r="450" spans="1:74" s="9" customFormat="1">
      <c r="A450" t="s">
        <v>459</v>
      </c>
      <c r="B450" t="s">
        <v>10</v>
      </c>
      <c r="C450" t="s">
        <v>11</v>
      </c>
      <c r="D450" t="s">
        <v>301</v>
      </c>
      <c r="E450"/>
      <c r="F450" t="s">
        <v>48</v>
      </c>
      <c r="G450" t="s">
        <v>49</v>
      </c>
      <c r="H450" t="s">
        <v>48</v>
      </c>
      <c r="I450" t="s">
        <v>49</v>
      </c>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v>4.7</v>
      </c>
      <c r="BB450"/>
      <c r="BC450"/>
      <c r="BD450">
        <v>3.9</v>
      </c>
      <c r="BE450"/>
      <c r="BF450"/>
      <c r="BG450"/>
      <c r="BH450"/>
      <c r="BI450"/>
      <c r="BJ450"/>
      <c r="BK450"/>
      <c r="BL450"/>
      <c r="BM450"/>
      <c r="BN450"/>
      <c r="BO450"/>
      <c r="BP450"/>
      <c r="BQ450" t="s">
        <v>281</v>
      </c>
      <c r="BR450" t="s">
        <v>412</v>
      </c>
      <c r="BS450"/>
      <c r="BT450"/>
      <c r="BU450"/>
      <c r="BV450"/>
    </row>
    <row r="451" spans="1:74" s="9" customFormat="1">
      <c r="A451" t="s">
        <v>507</v>
      </c>
      <c r="B451" t="s">
        <v>10</v>
      </c>
      <c r="C451" t="s">
        <v>11</v>
      </c>
      <c r="D451" t="s">
        <v>301</v>
      </c>
      <c r="E451"/>
      <c r="F451" t="s">
        <v>48</v>
      </c>
      <c r="G451" t="s">
        <v>49</v>
      </c>
      <c r="H451" t="s">
        <v>48</v>
      </c>
      <c r="I451" t="s">
        <v>49</v>
      </c>
      <c r="J451"/>
      <c r="K451"/>
      <c r="L451"/>
      <c r="M451"/>
      <c r="N451"/>
      <c r="O451"/>
      <c r="P451"/>
      <c r="Q451"/>
      <c r="R451"/>
      <c r="S451"/>
      <c r="T451"/>
      <c r="U451"/>
      <c r="V451"/>
      <c r="W451"/>
      <c r="X451"/>
      <c r="Y451"/>
      <c r="Z451"/>
      <c r="AA451"/>
      <c r="AB451"/>
      <c r="AC451"/>
      <c r="AD451"/>
      <c r="AE451"/>
      <c r="AF451"/>
      <c r="AG451"/>
      <c r="AH451"/>
      <c r="AI451"/>
      <c r="AJ451"/>
      <c r="AK451">
        <v>2.9</v>
      </c>
      <c r="AL451"/>
      <c r="AM451"/>
      <c r="AN451">
        <v>1.7</v>
      </c>
      <c r="AO451">
        <v>3.3</v>
      </c>
      <c r="AP451"/>
      <c r="AQ451"/>
      <c r="AR451">
        <v>1.9</v>
      </c>
      <c r="AS451">
        <v>3.5</v>
      </c>
      <c r="AT451"/>
      <c r="AU451"/>
      <c r="AV451">
        <v>2.6</v>
      </c>
      <c r="AW451">
        <v>3.9</v>
      </c>
      <c r="AX451"/>
      <c r="AY451"/>
      <c r="AZ451">
        <v>3.4</v>
      </c>
      <c r="BA451">
        <v>4.3</v>
      </c>
      <c r="BB451"/>
      <c r="BC451"/>
      <c r="BD451">
        <v>3.9</v>
      </c>
      <c r="BE451"/>
      <c r="BF451"/>
      <c r="BG451"/>
      <c r="BH451">
        <v>3.4</v>
      </c>
      <c r="BI451"/>
      <c r="BJ451"/>
      <c r="BK451"/>
      <c r="BL451"/>
      <c r="BM451"/>
      <c r="BN451"/>
      <c r="BO451"/>
      <c r="BP451"/>
      <c r="BQ451" t="s">
        <v>166</v>
      </c>
      <c r="BR451" t="s">
        <v>503</v>
      </c>
      <c r="BS451"/>
      <c r="BT451"/>
      <c r="BU451"/>
      <c r="BV451"/>
    </row>
    <row r="452" spans="1:74" s="9" customFormat="1">
      <c r="A452" t="s">
        <v>460</v>
      </c>
      <c r="B452" t="s">
        <v>10</v>
      </c>
      <c r="C452" t="s">
        <v>11</v>
      </c>
      <c r="D452" t="s">
        <v>301</v>
      </c>
      <c r="E452"/>
      <c r="F452" t="s">
        <v>48</v>
      </c>
      <c r="G452" t="s">
        <v>49</v>
      </c>
      <c r="H452" t="s">
        <v>48</v>
      </c>
      <c r="I452" t="s">
        <v>49</v>
      </c>
      <c r="J452"/>
      <c r="K452"/>
      <c r="L452"/>
      <c r="M452"/>
      <c r="N452"/>
      <c r="O452"/>
      <c r="P452"/>
      <c r="Q452">
        <v>3.4</v>
      </c>
      <c r="R452"/>
      <c r="S452"/>
      <c r="T452">
        <v>2.8</v>
      </c>
      <c r="U452">
        <v>3.3</v>
      </c>
      <c r="V452"/>
      <c r="W452"/>
      <c r="X452">
        <v>4.4000000000000004</v>
      </c>
      <c r="Y452">
        <v>3.9</v>
      </c>
      <c r="Z452"/>
      <c r="AA452"/>
      <c r="AB452">
        <v>5</v>
      </c>
      <c r="AC452">
        <v>4.5999999999999996</v>
      </c>
      <c r="AD452"/>
      <c r="AE452"/>
      <c r="AF452">
        <v>6.2</v>
      </c>
      <c r="AG452">
        <v>3.6</v>
      </c>
      <c r="AH452"/>
      <c r="AI452"/>
      <c r="AJ452">
        <v>5.3</v>
      </c>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t="s">
        <v>281</v>
      </c>
      <c r="BR452" t="s">
        <v>412</v>
      </c>
      <c r="BS452" t="s">
        <v>371</v>
      </c>
      <c r="BT452" t="s">
        <v>412</v>
      </c>
      <c r="BU452"/>
      <c r="BV452"/>
    </row>
    <row r="453" spans="1:74" s="9" customFormat="1">
      <c r="A453" t="s">
        <v>461</v>
      </c>
      <c r="B453" t="s">
        <v>10</v>
      </c>
      <c r="C453" t="s">
        <v>11</v>
      </c>
      <c r="D453" t="s">
        <v>301</v>
      </c>
      <c r="E453"/>
      <c r="F453" t="s">
        <v>48</v>
      </c>
      <c r="G453" t="s">
        <v>49</v>
      </c>
      <c r="H453" t="s">
        <v>48</v>
      </c>
      <c r="I453" t="s">
        <v>49</v>
      </c>
      <c r="J453"/>
      <c r="K453"/>
      <c r="L453"/>
      <c r="M453"/>
      <c r="N453"/>
      <c r="O453"/>
      <c r="P453"/>
      <c r="Q453"/>
      <c r="R453"/>
      <c r="S453"/>
      <c r="T453"/>
      <c r="U453"/>
      <c r="V453"/>
      <c r="W453"/>
      <c r="X453"/>
      <c r="Y453"/>
      <c r="Z453"/>
      <c r="AA453"/>
      <c r="AB453"/>
      <c r="AC453">
        <v>4.8</v>
      </c>
      <c r="AD453"/>
      <c r="AE453"/>
      <c r="AF453">
        <v>6.5</v>
      </c>
      <c r="AG453">
        <v>3.4</v>
      </c>
      <c r="AH453"/>
      <c r="AI453"/>
      <c r="AJ453">
        <v>5.6</v>
      </c>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t="s">
        <v>281</v>
      </c>
      <c r="BR453" t="s">
        <v>412</v>
      </c>
      <c r="BS453"/>
      <c r="BT453"/>
      <c r="BU453"/>
      <c r="BV453"/>
    </row>
    <row r="454" spans="1:74" s="9" customFormat="1">
      <c r="A454" t="s">
        <v>462</v>
      </c>
      <c r="B454" t="s">
        <v>10</v>
      </c>
      <c r="C454" t="s">
        <v>11</v>
      </c>
      <c r="D454" t="s">
        <v>301</v>
      </c>
      <c r="E454"/>
      <c r="F454" t="s">
        <v>48</v>
      </c>
      <c r="G454" t="s">
        <v>49</v>
      </c>
      <c r="H454" t="s">
        <v>48</v>
      </c>
      <c r="I454" t="s">
        <v>49</v>
      </c>
      <c r="J454"/>
      <c r="K454"/>
      <c r="L454"/>
      <c r="M454"/>
      <c r="N454"/>
      <c r="O454"/>
      <c r="P454"/>
      <c r="Q454"/>
      <c r="R454"/>
      <c r="S454"/>
      <c r="T454"/>
      <c r="U454"/>
      <c r="V454"/>
      <c r="W454"/>
      <c r="X454"/>
      <c r="Y454"/>
      <c r="Z454"/>
      <c r="AA454"/>
      <c r="AB454"/>
      <c r="AC454">
        <v>4</v>
      </c>
      <c r="AD454"/>
      <c r="AE454"/>
      <c r="AF454">
        <v>5.6</v>
      </c>
      <c r="AG454">
        <v>3.1</v>
      </c>
      <c r="AH454"/>
      <c r="AI454"/>
      <c r="AJ454">
        <v>5.0999999999999996</v>
      </c>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t="s">
        <v>281</v>
      </c>
      <c r="BR454" t="s">
        <v>412</v>
      </c>
      <c r="BS454"/>
      <c r="BT454"/>
      <c r="BU454"/>
      <c r="BV454"/>
    </row>
    <row r="455" spans="1:74" s="27" customFormat="1">
      <c r="A455" s="27" t="s">
        <v>464</v>
      </c>
      <c r="B455" s="27" t="s">
        <v>10</v>
      </c>
      <c r="C455" s="27" t="s">
        <v>11</v>
      </c>
      <c r="D455" s="27" t="s">
        <v>301</v>
      </c>
      <c r="F455" s="27" t="s">
        <v>192</v>
      </c>
      <c r="G455" s="27" t="s">
        <v>463</v>
      </c>
      <c r="H455" s="27" t="s">
        <v>192</v>
      </c>
      <c r="I455" s="27" t="s">
        <v>463</v>
      </c>
      <c r="AO455" s="27">
        <v>3.3</v>
      </c>
      <c r="AR455" s="27">
        <v>1.7</v>
      </c>
      <c r="AS455" s="27">
        <v>3.5</v>
      </c>
      <c r="AV455" s="27">
        <v>1.9</v>
      </c>
      <c r="AW455" s="27">
        <v>2.9</v>
      </c>
      <c r="AZ455" s="27">
        <v>2.4</v>
      </c>
      <c r="BA455" s="27">
        <v>3</v>
      </c>
      <c r="BD455" s="27">
        <v>2.7</v>
      </c>
      <c r="BE455" s="27">
        <v>3.2</v>
      </c>
      <c r="BH455" s="27">
        <v>2.2000000000000002</v>
      </c>
      <c r="BQ455" s="27" t="s">
        <v>166</v>
      </c>
      <c r="BR455" s="27" t="s">
        <v>503</v>
      </c>
    </row>
    <row r="456" spans="1:74" s="27" customFormat="1">
      <c r="A456" s="27" t="s">
        <v>257</v>
      </c>
      <c r="B456" s="27" t="s">
        <v>10</v>
      </c>
      <c r="C456" s="27" t="s">
        <v>11</v>
      </c>
      <c r="D456" s="27" t="s">
        <v>301</v>
      </c>
      <c r="F456" s="27" t="s">
        <v>48</v>
      </c>
      <c r="G456" s="27" t="s">
        <v>51</v>
      </c>
      <c r="H456" s="27" t="s">
        <v>48</v>
      </c>
      <c r="I456" s="27" t="s">
        <v>51</v>
      </c>
      <c r="BA456" s="27">
        <v>5.3</v>
      </c>
      <c r="BD456" s="27">
        <v>4</v>
      </c>
      <c r="BQ456" s="27" t="s">
        <v>166</v>
      </c>
      <c r="BR456" s="27" t="s">
        <v>197</v>
      </c>
      <c r="BS456" s="27" t="s">
        <v>181</v>
      </c>
      <c r="BT456" s="27" t="s">
        <v>197</v>
      </c>
    </row>
    <row r="457" spans="1:74" s="27" customFormat="1">
      <c r="A457" s="27" t="s">
        <v>264</v>
      </c>
      <c r="B457" s="27" t="s">
        <v>10</v>
      </c>
      <c r="C457" s="27" t="s">
        <v>11</v>
      </c>
      <c r="D457" s="27" t="s">
        <v>301</v>
      </c>
      <c r="F457" s="27" t="s">
        <v>192</v>
      </c>
      <c r="G457" s="27" t="s">
        <v>463</v>
      </c>
      <c r="H457" s="27" t="s">
        <v>192</v>
      </c>
      <c r="I457" s="27" t="s">
        <v>265</v>
      </c>
      <c r="BA457" s="27">
        <v>3.9</v>
      </c>
      <c r="BD457" s="27">
        <v>3.4</v>
      </c>
      <c r="BQ457" s="27" t="s">
        <v>166</v>
      </c>
      <c r="BR457" s="27" t="s">
        <v>197</v>
      </c>
      <c r="BS457" s="27" t="s">
        <v>181</v>
      </c>
      <c r="BT457" s="27" t="s">
        <v>197</v>
      </c>
    </row>
    <row r="458" spans="1:74">
      <c r="A458" t="s">
        <v>362</v>
      </c>
      <c r="B458" t="s">
        <v>10</v>
      </c>
      <c r="C458" t="s">
        <v>11</v>
      </c>
      <c r="D458" t="s">
        <v>301</v>
      </c>
      <c r="F458" t="s">
        <v>63</v>
      </c>
      <c r="G458" t="s">
        <v>66</v>
      </c>
      <c r="H458" t="s">
        <v>74</v>
      </c>
      <c r="I458" t="s">
        <v>66</v>
      </c>
      <c r="AW458">
        <v>5.35</v>
      </c>
      <c r="AX458">
        <v>3.92</v>
      </c>
      <c r="AY458">
        <v>3.9</v>
      </c>
      <c r="AZ458">
        <f>MAX(AX458:AY458)</f>
        <v>3.92</v>
      </c>
      <c r="BA458">
        <v>5.31</v>
      </c>
      <c r="BB458">
        <v>4.17</v>
      </c>
      <c r="BC458">
        <v>4.22</v>
      </c>
      <c r="BD458">
        <f>MAX(BB458:BC458)</f>
        <v>4.22</v>
      </c>
      <c r="BE458">
        <v>6.13</v>
      </c>
      <c r="BP458" t="s">
        <v>366</v>
      </c>
      <c r="BQ458" t="s">
        <v>281</v>
      </c>
      <c r="BR458" t="s">
        <v>322</v>
      </c>
    </row>
    <row r="459" spans="1:74">
      <c r="A459" t="s">
        <v>361</v>
      </c>
      <c r="B459" t="s">
        <v>10</v>
      </c>
      <c r="C459" t="s">
        <v>11</v>
      </c>
      <c r="D459" t="s">
        <v>301</v>
      </c>
      <c r="F459" t="s">
        <v>63</v>
      </c>
      <c r="G459" t="s">
        <v>66</v>
      </c>
      <c r="H459" t="s">
        <v>74</v>
      </c>
      <c r="I459" t="s">
        <v>66</v>
      </c>
      <c r="AW459">
        <v>5.8</v>
      </c>
      <c r="AX459">
        <v>4.38</v>
      </c>
      <c r="AY459">
        <v>4.41</v>
      </c>
      <c r="AZ459">
        <f>MAX(AX459:AY459)</f>
        <v>4.41</v>
      </c>
      <c r="BA459">
        <v>5.69</v>
      </c>
      <c r="BB459">
        <v>4.8899999999999997</v>
      </c>
      <c r="BC459">
        <v>4.6500000000000004</v>
      </c>
      <c r="BD459">
        <f>MAX(BB459:BC459)</f>
        <v>4.8899999999999997</v>
      </c>
      <c r="BE459">
        <v>6.23</v>
      </c>
      <c r="BP459" t="s">
        <v>366</v>
      </c>
      <c r="BQ459" t="s">
        <v>281</v>
      </c>
      <c r="BR459" t="s">
        <v>322</v>
      </c>
    </row>
    <row r="460" spans="1:74">
      <c r="A460" t="s">
        <v>666</v>
      </c>
      <c r="B460" s="7" t="s">
        <v>10</v>
      </c>
      <c r="C460" s="7" t="s">
        <v>11</v>
      </c>
      <c r="D460" t="s">
        <v>301</v>
      </c>
      <c r="F460" t="s">
        <v>63</v>
      </c>
      <c r="G460" t="s">
        <v>67</v>
      </c>
      <c r="H460" t="s">
        <v>63</v>
      </c>
      <c r="I460" t="s">
        <v>67</v>
      </c>
      <c r="M460">
        <v>5.8</v>
      </c>
      <c r="P460">
        <v>4.2</v>
      </c>
      <c r="Q460">
        <v>6.8</v>
      </c>
      <c r="T460">
        <v>6.8</v>
      </c>
      <c r="U460">
        <v>6.2</v>
      </c>
      <c r="X460">
        <v>8.4</v>
      </c>
      <c r="Y460">
        <v>6.5</v>
      </c>
      <c r="AB460">
        <v>7.8</v>
      </c>
      <c r="AC460">
        <v>6</v>
      </c>
      <c r="AF460">
        <v>9.5</v>
      </c>
      <c r="AG460">
        <v>3.5</v>
      </c>
      <c r="AJ460">
        <v>5.3</v>
      </c>
      <c r="AO460">
        <v>7.5</v>
      </c>
      <c r="AR460">
        <v>5.2</v>
      </c>
      <c r="AS460">
        <v>7.2</v>
      </c>
      <c r="AV460">
        <v>5.8</v>
      </c>
      <c r="AW460">
        <v>6.5</v>
      </c>
      <c r="AZ460">
        <v>6.2</v>
      </c>
      <c r="BA460">
        <v>6.7</v>
      </c>
      <c r="BD460">
        <v>6.5</v>
      </c>
      <c r="BE460">
        <v>6.1</v>
      </c>
      <c r="BH460">
        <v>4.5999999999999996</v>
      </c>
      <c r="BQ460" t="s">
        <v>281</v>
      </c>
      <c r="BR460" t="s">
        <v>624</v>
      </c>
    </row>
    <row r="461" spans="1:74">
      <c r="A461" t="s">
        <v>667</v>
      </c>
      <c r="B461" s="7" t="s">
        <v>10</v>
      </c>
      <c r="C461" s="7" t="s">
        <v>11</v>
      </c>
      <c r="D461" t="s">
        <v>301</v>
      </c>
      <c r="F461" t="s">
        <v>63</v>
      </c>
      <c r="G461" t="s">
        <v>67</v>
      </c>
      <c r="H461" t="s">
        <v>63</v>
      </c>
      <c r="I461" t="s">
        <v>67</v>
      </c>
      <c r="Q461">
        <v>6.1</v>
      </c>
      <c r="T461">
        <v>7</v>
      </c>
      <c r="U461">
        <v>6.8</v>
      </c>
      <c r="X461">
        <v>7.9</v>
      </c>
      <c r="Y461">
        <v>5.7</v>
      </c>
      <c r="AB461">
        <v>8.3000000000000007</v>
      </c>
      <c r="AC461">
        <v>5.7</v>
      </c>
      <c r="AF461">
        <v>9.5</v>
      </c>
      <c r="AG461">
        <v>3.5</v>
      </c>
      <c r="AJ461">
        <v>5.3</v>
      </c>
      <c r="AO461">
        <v>7.2</v>
      </c>
      <c r="AR461">
        <v>4.9000000000000004</v>
      </c>
      <c r="AS461">
        <v>6.4</v>
      </c>
      <c r="AV461">
        <v>5.0999999999999996</v>
      </c>
      <c r="AW461">
        <v>6.3</v>
      </c>
      <c r="AZ461">
        <v>5.8</v>
      </c>
      <c r="BA461">
        <v>6.7</v>
      </c>
      <c r="BD461">
        <v>6.4</v>
      </c>
      <c r="BQ461" t="s">
        <v>281</v>
      </c>
      <c r="BR461" t="s">
        <v>624</v>
      </c>
    </row>
    <row r="462" spans="1:74">
      <c r="A462" t="s">
        <v>662</v>
      </c>
      <c r="B462" s="7" t="s">
        <v>10</v>
      </c>
      <c r="C462" s="7" t="s">
        <v>11</v>
      </c>
      <c r="D462" t="s">
        <v>301</v>
      </c>
      <c r="F462" t="s">
        <v>63</v>
      </c>
      <c r="G462" t="s">
        <v>67</v>
      </c>
      <c r="H462" t="s">
        <v>63</v>
      </c>
      <c r="I462" t="s">
        <v>67</v>
      </c>
      <c r="U462">
        <v>5.8</v>
      </c>
      <c r="X462">
        <v>7.4</v>
      </c>
      <c r="Y462">
        <v>5.8</v>
      </c>
      <c r="AB462">
        <v>7.3</v>
      </c>
      <c r="AC462">
        <v>5.6</v>
      </c>
      <c r="AF462">
        <v>9.3000000000000007</v>
      </c>
      <c r="AS462">
        <v>6.7</v>
      </c>
      <c r="AV462">
        <v>5.5</v>
      </c>
      <c r="AW462">
        <v>6.1</v>
      </c>
      <c r="AZ462">
        <v>5.6</v>
      </c>
      <c r="BA462">
        <v>6.3</v>
      </c>
      <c r="BD462">
        <v>6.1</v>
      </c>
      <c r="BE462">
        <v>5.7</v>
      </c>
      <c r="BH462">
        <v>4.2</v>
      </c>
      <c r="BP462" t="s">
        <v>208</v>
      </c>
      <c r="BQ462" t="s">
        <v>281</v>
      </c>
      <c r="BR462" t="s">
        <v>624</v>
      </c>
    </row>
    <row r="463" spans="1:74">
      <c r="A463" t="s">
        <v>668</v>
      </c>
      <c r="B463" s="7" t="s">
        <v>10</v>
      </c>
      <c r="C463" s="7" t="s">
        <v>11</v>
      </c>
      <c r="D463" t="s">
        <v>301</v>
      </c>
      <c r="F463" t="s">
        <v>63</v>
      </c>
      <c r="G463" t="s">
        <v>67</v>
      </c>
      <c r="H463" t="s">
        <v>63</v>
      </c>
      <c r="I463" t="s">
        <v>67</v>
      </c>
      <c r="Y463">
        <v>5.9</v>
      </c>
      <c r="AB463">
        <v>8.6</v>
      </c>
      <c r="AC463">
        <v>6.1</v>
      </c>
      <c r="AF463">
        <v>10.199999999999999</v>
      </c>
      <c r="AG463">
        <v>4.2</v>
      </c>
      <c r="AJ463">
        <v>6.2</v>
      </c>
      <c r="AK463">
        <v>6.4</v>
      </c>
      <c r="AN463">
        <v>3.8</v>
      </c>
      <c r="AO463">
        <v>7.8</v>
      </c>
      <c r="AR463">
        <v>5.3</v>
      </c>
      <c r="AS463">
        <v>7.7</v>
      </c>
      <c r="AV463">
        <v>6.8</v>
      </c>
      <c r="AW463">
        <v>6.9</v>
      </c>
      <c r="AZ463">
        <v>6</v>
      </c>
      <c r="BA463">
        <v>6.9</v>
      </c>
      <c r="BD463">
        <v>6.7</v>
      </c>
      <c r="BE463">
        <v>6.7</v>
      </c>
      <c r="BH463">
        <v>4.7</v>
      </c>
      <c r="BQ463" t="s">
        <v>281</v>
      </c>
      <c r="BR463" t="s">
        <v>624</v>
      </c>
    </row>
    <row r="464" spans="1:74">
      <c r="A464" t="s">
        <v>664</v>
      </c>
      <c r="B464" s="7" t="s">
        <v>10</v>
      </c>
      <c r="C464" s="7" t="s">
        <v>11</v>
      </c>
      <c r="D464" t="s">
        <v>301</v>
      </c>
      <c r="F464" t="s">
        <v>63</v>
      </c>
      <c r="G464" t="s">
        <v>67</v>
      </c>
      <c r="H464" t="s">
        <v>63</v>
      </c>
      <c r="I464" t="s">
        <v>67</v>
      </c>
      <c r="M464">
        <v>4.8</v>
      </c>
      <c r="P464">
        <v>3.3</v>
      </c>
      <c r="Q464">
        <v>5.5</v>
      </c>
      <c r="T464">
        <v>6</v>
      </c>
      <c r="U464">
        <v>5.4</v>
      </c>
      <c r="X464">
        <v>6.8</v>
      </c>
      <c r="Y464">
        <v>5.7</v>
      </c>
      <c r="AB464">
        <v>6.6</v>
      </c>
      <c r="AC464">
        <v>5.2</v>
      </c>
      <c r="AF464">
        <v>7.8</v>
      </c>
      <c r="AG464">
        <v>3.3</v>
      </c>
      <c r="AJ464">
        <v>5.4</v>
      </c>
      <c r="BQ464" t="s">
        <v>281</v>
      </c>
      <c r="BR464" t="s">
        <v>624</v>
      </c>
    </row>
    <row r="465" spans="1:74">
      <c r="A465" t="s">
        <v>665</v>
      </c>
      <c r="B465" s="7" t="s">
        <v>10</v>
      </c>
      <c r="C465" s="7" t="s">
        <v>11</v>
      </c>
      <c r="D465" t="s">
        <v>301</v>
      </c>
      <c r="F465" t="s">
        <v>63</v>
      </c>
      <c r="G465" t="s">
        <v>67</v>
      </c>
      <c r="H465" t="s">
        <v>63</v>
      </c>
      <c r="I465" t="s">
        <v>67</v>
      </c>
      <c r="M465">
        <v>5.4</v>
      </c>
      <c r="P465">
        <v>4</v>
      </c>
      <c r="Q465">
        <v>6.3</v>
      </c>
      <c r="T465">
        <v>7</v>
      </c>
      <c r="U465">
        <v>6.3</v>
      </c>
      <c r="X465">
        <v>8.1</v>
      </c>
      <c r="Y465">
        <v>5.5</v>
      </c>
      <c r="AB465">
        <v>7.2</v>
      </c>
      <c r="AC465">
        <v>6.1</v>
      </c>
      <c r="AF465">
        <v>9.6999999999999993</v>
      </c>
      <c r="AG465">
        <v>3.7</v>
      </c>
      <c r="AJ465">
        <v>5.9</v>
      </c>
      <c r="AK465">
        <v>5.9</v>
      </c>
      <c r="AN465">
        <v>3.6</v>
      </c>
      <c r="AO465">
        <v>7</v>
      </c>
      <c r="AR465">
        <v>5.3</v>
      </c>
      <c r="AS465">
        <v>6.8</v>
      </c>
      <c r="AV465">
        <v>5.8</v>
      </c>
      <c r="AW465">
        <v>6.3</v>
      </c>
      <c r="AZ465">
        <v>5.5</v>
      </c>
      <c r="BA465">
        <v>6.8</v>
      </c>
      <c r="BD465">
        <v>7.2</v>
      </c>
      <c r="BE465">
        <v>6.2</v>
      </c>
      <c r="BH465">
        <v>4.4000000000000004</v>
      </c>
      <c r="BQ465" t="s">
        <v>281</v>
      </c>
      <c r="BR465" t="s">
        <v>624</v>
      </c>
      <c r="BS465" t="s">
        <v>371</v>
      </c>
      <c r="BT465" t="s">
        <v>624</v>
      </c>
    </row>
    <row r="466" spans="1:74">
      <c r="A466" t="s">
        <v>663</v>
      </c>
      <c r="B466" s="7" t="s">
        <v>10</v>
      </c>
      <c r="C466" s="7" t="s">
        <v>11</v>
      </c>
      <c r="D466" t="s">
        <v>301</v>
      </c>
      <c r="F466" t="s">
        <v>63</v>
      </c>
      <c r="G466" t="s">
        <v>67</v>
      </c>
      <c r="H466" t="s">
        <v>63</v>
      </c>
      <c r="I466" t="s">
        <v>67</v>
      </c>
      <c r="Q466">
        <v>6</v>
      </c>
      <c r="T466">
        <v>7.1</v>
      </c>
      <c r="U466">
        <v>6.1</v>
      </c>
      <c r="X466">
        <v>7.5</v>
      </c>
      <c r="Y466">
        <v>5.7</v>
      </c>
      <c r="AB466">
        <v>7.1</v>
      </c>
      <c r="AC466">
        <v>5.9</v>
      </c>
      <c r="AF466">
        <v>9</v>
      </c>
      <c r="AG466">
        <v>4.0999999999999996</v>
      </c>
      <c r="AJ466">
        <v>5.5</v>
      </c>
      <c r="AK466">
        <v>5.9</v>
      </c>
      <c r="AN466">
        <v>3.6</v>
      </c>
      <c r="AO466">
        <v>7</v>
      </c>
      <c r="AR466">
        <v>4.8</v>
      </c>
      <c r="AS466">
        <v>7.5</v>
      </c>
      <c r="AV466">
        <v>5.4</v>
      </c>
      <c r="AW466">
        <v>6.2</v>
      </c>
      <c r="AZ466">
        <v>5.4</v>
      </c>
      <c r="BA466">
        <v>6.1</v>
      </c>
      <c r="BD466">
        <v>5.9</v>
      </c>
      <c r="BE466">
        <v>6.6</v>
      </c>
      <c r="BH466">
        <v>4.8</v>
      </c>
      <c r="BQ466" t="s">
        <v>281</v>
      </c>
      <c r="BR466" t="s">
        <v>624</v>
      </c>
    </row>
    <row r="467" spans="1:74">
      <c r="A467" t="s">
        <v>319</v>
      </c>
      <c r="B467" t="s">
        <v>10</v>
      </c>
      <c r="C467" t="s">
        <v>11</v>
      </c>
      <c r="D467" t="s">
        <v>301</v>
      </c>
      <c r="E467" t="s">
        <v>52</v>
      </c>
      <c r="F467" t="s">
        <v>70</v>
      </c>
      <c r="G467" t="s">
        <v>71</v>
      </c>
      <c r="H467" t="s">
        <v>53</v>
      </c>
      <c r="I467" t="s">
        <v>116</v>
      </c>
      <c r="Q467">
        <v>3.23</v>
      </c>
      <c r="T467">
        <v>2.71</v>
      </c>
      <c r="U467">
        <v>3.11</v>
      </c>
      <c r="X467">
        <v>3.96</v>
      </c>
      <c r="Y467">
        <v>3.21</v>
      </c>
      <c r="AB467">
        <v>4.29</v>
      </c>
      <c r="AC467">
        <v>3.43</v>
      </c>
      <c r="AF467">
        <v>5.2</v>
      </c>
      <c r="AG467">
        <v>2.4</v>
      </c>
      <c r="AJ467">
        <v>3.71</v>
      </c>
      <c r="AO467">
        <v>3.22</v>
      </c>
      <c r="AR467">
        <v>1.88</v>
      </c>
      <c r="AS467">
        <v>3.41</v>
      </c>
      <c r="AV467">
        <v>2.31</v>
      </c>
      <c r="AW467">
        <v>3.4</v>
      </c>
      <c r="AZ467">
        <v>2.9</v>
      </c>
      <c r="BA467">
        <v>3.58</v>
      </c>
      <c r="BD467">
        <v>3.3</v>
      </c>
      <c r="BE467">
        <v>3.82</v>
      </c>
      <c r="BH467">
        <v>2.75</v>
      </c>
      <c r="BQ467" t="s">
        <v>281</v>
      </c>
      <c r="BR467" t="s">
        <v>412</v>
      </c>
      <c r="BS467" t="s">
        <v>371</v>
      </c>
      <c r="BT467" t="s">
        <v>412</v>
      </c>
    </row>
    <row r="468" spans="1:74">
      <c r="A468" t="s">
        <v>354</v>
      </c>
      <c r="B468" t="s">
        <v>10</v>
      </c>
      <c r="C468" t="s">
        <v>11</v>
      </c>
      <c r="D468" t="s">
        <v>301</v>
      </c>
      <c r="E468" t="s">
        <v>52</v>
      </c>
      <c r="F468" t="s">
        <v>70</v>
      </c>
      <c r="G468" t="s">
        <v>71</v>
      </c>
      <c r="H468" t="s">
        <v>70</v>
      </c>
      <c r="I468" t="s">
        <v>71</v>
      </c>
      <c r="AW468">
        <v>3.4</v>
      </c>
      <c r="AX468">
        <v>2.77</v>
      </c>
      <c r="AY468">
        <v>2.91</v>
      </c>
      <c r="AZ468">
        <f>MAX(AX468:AY468)</f>
        <v>2.91</v>
      </c>
      <c r="BA468">
        <v>3.6</v>
      </c>
      <c r="BB468">
        <v>3.24</v>
      </c>
      <c r="BC468">
        <v>3.1</v>
      </c>
      <c r="BD468">
        <f>MAX(BB468:BC468)</f>
        <v>3.24</v>
      </c>
      <c r="BP468" s="3" t="s">
        <v>366</v>
      </c>
      <c r="BQ468" t="s">
        <v>281</v>
      </c>
      <c r="BR468" t="s">
        <v>322</v>
      </c>
    </row>
    <row r="469" spans="1:74">
      <c r="A469" t="s">
        <v>179</v>
      </c>
      <c r="B469" t="s">
        <v>10</v>
      </c>
      <c r="C469" t="s">
        <v>11</v>
      </c>
      <c r="D469" t="s">
        <v>301</v>
      </c>
      <c r="E469" t="s">
        <v>52</v>
      </c>
      <c r="F469" t="s">
        <v>70</v>
      </c>
      <c r="G469" t="s">
        <v>71</v>
      </c>
      <c r="H469" t="s">
        <v>70</v>
      </c>
      <c r="I469" t="s">
        <v>180</v>
      </c>
      <c r="K469" t="s">
        <v>165</v>
      </c>
      <c r="AC469">
        <v>2.8</v>
      </c>
      <c r="AF469">
        <v>3.6</v>
      </c>
      <c r="BQ469" t="s">
        <v>166</v>
      </c>
      <c r="BR469" t="s">
        <v>167</v>
      </c>
      <c r="BS469" t="s">
        <v>181</v>
      </c>
      <c r="BT469" t="s">
        <v>167</v>
      </c>
    </row>
    <row r="470" spans="1:74">
      <c r="A470" t="s">
        <v>182</v>
      </c>
      <c r="B470" t="s">
        <v>10</v>
      </c>
      <c r="C470" t="s">
        <v>11</v>
      </c>
      <c r="D470" t="s">
        <v>301</v>
      </c>
      <c r="E470" t="s">
        <v>52</v>
      </c>
      <c r="F470" t="s">
        <v>70</v>
      </c>
      <c r="G470" t="s">
        <v>71</v>
      </c>
      <c r="H470" t="s">
        <v>70</v>
      </c>
      <c r="I470" t="s">
        <v>180</v>
      </c>
      <c r="K470" t="s">
        <v>165</v>
      </c>
      <c r="BP470" t="s">
        <v>183</v>
      </c>
      <c r="BQ470" t="s">
        <v>166</v>
      </c>
      <c r="BR470" t="s">
        <v>167</v>
      </c>
      <c r="BS470" t="s">
        <v>181</v>
      </c>
      <c r="BT470" t="s">
        <v>167</v>
      </c>
    </row>
    <row r="471" spans="1:74">
      <c r="A471" t="s">
        <v>184</v>
      </c>
      <c r="B471" t="s">
        <v>10</v>
      </c>
      <c r="C471" t="s">
        <v>11</v>
      </c>
      <c r="D471" t="s">
        <v>301</v>
      </c>
      <c r="E471" t="s">
        <v>52</v>
      </c>
      <c r="F471" t="s">
        <v>70</v>
      </c>
      <c r="G471" t="s">
        <v>71</v>
      </c>
      <c r="H471" t="s">
        <v>70</v>
      </c>
      <c r="I471" t="s">
        <v>180</v>
      </c>
      <c r="K471" t="s">
        <v>165</v>
      </c>
      <c r="BP471" t="s">
        <v>183</v>
      </c>
      <c r="BQ471" t="s">
        <v>166</v>
      </c>
      <c r="BR471" t="s">
        <v>167</v>
      </c>
      <c r="BS471" t="s">
        <v>181</v>
      </c>
      <c r="BT471" t="s">
        <v>167</v>
      </c>
    </row>
    <row r="472" spans="1:74">
      <c r="A472" t="s">
        <v>185</v>
      </c>
      <c r="B472" t="s">
        <v>10</v>
      </c>
      <c r="C472" t="s">
        <v>11</v>
      </c>
      <c r="D472" t="s">
        <v>301</v>
      </c>
      <c r="E472" t="s">
        <v>52</v>
      </c>
      <c r="F472" t="s">
        <v>70</v>
      </c>
      <c r="G472" t="s">
        <v>71</v>
      </c>
      <c r="H472" t="s">
        <v>70</v>
      </c>
      <c r="I472" t="s">
        <v>180</v>
      </c>
      <c r="K472" t="s">
        <v>165</v>
      </c>
      <c r="BP472" t="s">
        <v>183</v>
      </c>
      <c r="BQ472" t="s">
        <v>166</v>
      </c>
      <c r="BR472" t="s">
        <v>167</v>
      </c>
      <c r="BS472" t="s">
        <v>181</v>
      </c>
      <c r="BT472" t="s">
        <v>167</v>
      </c>
    </row>
    <row r="473" spans="1:74">
      <c r="A473" t="s">
        <v>186</v>
      </c>
      <c r="B473" t="s">
        <v>10</v>
      </c>
      <c r="C473" t="s">
        <v>11</v>
      </c>
      <c r="D473" t="s">
        <v>301</v>
      </c>
      <c r="E473" t="s">
        <v>52</v>
      </c>
      <c r="F473" t="s">
        <v>70</v>
      </c>
      <c r="G473" t="s">
        <v>71</v>
      </c>
      <c r="H473" t="s">
        <v>70</v>
      </c>
      <c r="I473" t="s">
        <v>180</v>
      </c>
      <c r="K473" t="s">
        <v>165</v>
      </c>
      <c r="BP473" t="s">
        <v>183</v>
      </c>
      <c r="BQ473" t="s">
        <v>166</v>
      </c>
      <c r="BR473" t="s">
        <v>167</v>
      </c>
      <c r="BS473" t="s">
        <v>181</v>
      </c>
      <c r="BT473" t="s">
        <v>167</v>
      </c>
    </row>
    <row r="474" spans="1:74">
      <c r="A474" t="s">
        <v>187</v>
      </c>
      <c r="B474" t="s">
        <v>10</v>
      </c>
      <c r="C474" t="s">
        <v>11</v>
      </c>
      <c r="D474" t="s">
        <v>301</v>
      </c>
      <c r="E474" t="s">
        <v>52</v>
      </c>
      <c r="F474" t="s">
        <v>70</v>
      </c>
      <c r="G474" t="s">
        <v>71</v>
      </c>
      <c r="H474" t="s">
        <v>70</v>
      </c>
      <c r="I474" t="s">
        <v>180</v>
      </c>
      <c r="K474" t="s">
        <v>165</v>
      </c>
      <c r="BP474" t="s">
        <v>183</v>
      </c>
      <c r="BQ474" t="s">
        <v>166</v>
      </c>
      <c r="BR474" t="s">
        <v>167</v>
      </c>
      <c r="BS474" t="s">
        <v>181</v>
      </c>
      <c r="BT474" t="s">
        <v>167</v>
      </c>
    </row>
    <row r="475" spans="1:74">
      <c r="A475" t="s">
        <v>188</v>
      </c>
      <c r="B475" t="s">
        <v>10</v>
      </c>
      <c r="C475" t="s">
        <v>11</v>
      </c>
      <c r="D475" t="s">
        <v>301</v>
      </c>
      <c r="E475" t="s">
        <v>52</v>
      </c>
      <c r="F475" t="s">
        <v>70</v>
      </c>
      <c r="G475" t="s">
        <v>71</v>
      </c>
      <c r="H475" t="s">
        <v>70</v>
      </c>
      <c r="I475" t="s">
        <v>180</v>
      </c>
      <c r="K475" t="s">
        <v>165</v>
      </c>
      <c r="BP475" t="s">
        <v>183</v>
      </c>
      <c r="BQ475" t="s">
        <v>166</v>
      </c>
      <c r="BR475" t="s">
        <v>167</v>
      </c>
      <c r="BS475" t="s">
        <v>181</v>
      </c>
      <c r="BT475" t="s">
        <v>167</v>
      </c>
    </row>
    <row r="476" spans="1:74">
      <c r="A476" t="s">
        <v>189</v>
      </c>
      <c r="B476" t="s">
        <v>10</v>
      </c>
      <c r="C476" t="s">
        <v>11</v>
      </c>
      <c r="D476" t="s">
        <v>301</v>
      </c>
      <c r="E476" t="s">
        <v>52</v>
      </c>
      <c r="F476" t="s">
        <v>70</v>
      </c>
      <c r="G476" t="s">
        <v>71</v>
      </c>
      <c r="H476" t="s">
        <v>70</v>
      </c>
      <c r="I476" t="s">
        <v>180</v>
      </c>
      <c r="K476" t="s">
        <v>165</v>
      </c>
      <c r="AK476">
        <v>2.75</v>
      </c>
      <c r="AN476">
        <v>1.35</v>
      </c>
      <c r="AO476">
        <v>3.2</v>
      </c>
      <c r="AR476">
        <v>1.6</v>
      </c>
      <c r="AS476">
        <v>3.7</v>
      </c>
      <c r="AV476">
        <v>2.2000000000000002</v>
      </c>
      <c r="AW476">
        <v>2.8</v>
      </c>
      <c r="AZ476">
        <v>1.6</v>
      </c>
      <c r="BA476">
        <v>3.23</v>
      </c>
      <c r="BD476">
        <v>1.87</v>
      </c>
      <c r="BH476">
        <v>2.5499999999999998</v>
      </c>
      <c r="BP476" t="s">
        <v>190</v>
      </c>
      <c r="BQ476" t="s">
        <v>166</v>
      </c>
      <c r="BR476" t="s">
        <v>167</v>
      </c>
    </row>
    <row r="477" spans="1:74">
      <c r="A477" t="s">
        <v>506</v>
      </c>
      <c r="B477" t="s">
        <v>10</v>
      </c>
      <c r="C477" t="s">
        <v>11</v>
      </c>
      <c r="D477" t="s">
        <v>301</v>
      </c>
      <c r="E477" t="s">
        <v>52</v>
      </c>
      <c r="F477" t="s">
        <v>70</v>
      </c>
      <c r="G477" t="s">
        <v>71</v>
      </c>
      <c r="H477" t="s">
        <v>53</v>
      </c>
      <c r="I477" t="s">
        <v>116</v>
      </c>
      <c r="AO477">
        <v>3.3</v>
      </c>
      <c r="AR477">
        <v>1.9</v>
      </c>
      <c r="AS477">
        <v>3.5</v>
      </c>
      <c r="AV477">
        <v>2.4</v>
      </c>
      <c r="AW477">
        <v>3.1</v>
      </c>
      <c r="AZ477">
        <v>2.7</v>
      </c>
      <c r="BA477">
        <v>3.2</v>
      </c>
      <c r="BD477">
        <v>3</v>
      </c>
      <c r="BE477">
        <v>3.7</v>
      </c>
      <c r="BH477">
        <v>2.6</v>
      </c>
      <c r="BQ477" t="s">
        <v>166</v>
      </c>
      <c r="BR477" t="s">
        <v>503</v>
      </c>
    </row>
    <row r="478" spans="1:74">
      <c r="A478" s="15" t="s">
        <v>1231</v>
      </c>
      <c r="B478" s="15" t="s">
        <v>10</v>
      </c>
      <c r="C478" s="15" t="s">
        <v>11</v>
      </c>
      <c r="D478" s="15" t="s">
        <v>301</v>
      </c>
      <c r="E478" s="15"/>
      <c r="F478" s="15" t="s">
        <v>70</v>
      </c>
      <c r="G478" s="15" t="s">
        <v>56</v>
      </c>
      <c r="H478" s="15" t="s">
        <v>53</v>
      </c>
      <c r="I478" s="15" t="s">
        <v>56</v>
      </c>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t="s">
        <v>281</v>
      </c>
      <c r="BR478" s="15" t="s">
        <v>624</v>
      </c>
      <c r="BS478" s="15" t="s">
        <v>181</v>
      </c>
      <c r="BT478" s="15" t="s">
        <v>624</v>
      </c>
      <c r="BU478" s="15"/>
      <c r="BV478" s="15"/>
    </row>
    <row r="479" spans="1:74">
      <c r="A479" t="s">
        <v>805</v>
      </c>
      <c r="B479" t="s">
        <v>10</v>
      </c>
      <c r="C479" t="s">
        <v>11</v>
      </c>
      <c r="D479" t="s">
        <v>301</v>
      </c>
      <c r="F479" t="s">
        <v>70</v>
      </c>
      <c r="G479" t="s">
        <v>56</v>
      </c>
      <c r="H479" t="s">
        <v>70</v>
      </c>
      <c r="I479" t="s">
        <v>56</v>
      </c>
      <c r="Y479">
        <f>AVERAGE(4.46,4.42,4.36)</f>
        <v>4.4133333333333331</v>
      </c>
      <c r="AB479">
        <f>AVERAGE(5.75,5.88,5.83)</f>
        <v>5.82</v>
      </c>
      <c r="AC479">
        <f>AVERAGE(3.91,4.09)</f>
        <v>4</v>
      </c>
      <c r="AF479">
        <f>AVERAGE(6.24,6.15)</f>
        <v>6.1950000000000003</v>
      </c>
      <c r="BQ479" t="s">
        <v>281</v>
      </c>
      <c r="BR479" t="s">
        <v>793</v>
      </c>
    </row>
    <row r="480" spans="1:74">
      <c r="A480" s="15" t="s">
        <v>805</v>
      </c>
      <c r="B480" s="15" t="s">
        <v>10</v>
      </c>
      <c r="C480" s="15" t="s">
        <v>11</v>
      </c>
      <c r="D480" s="15" t="s">
        <v>301</v>
      </c>
      <c r="E480" s="15"/>
      <c r="F480" s="15" t="s">
        <v>70</v>
      </c>
      <c r="G480" s="15" t="s">
        <v>56</v>
      </c>
      <c r="H480" s="15" t="s">
        <v>53</v>
      </c>
      <c r="I480" s="15" t="s">
        <v>56</v>
      </c>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t="s">
        <v>281</v>
      </c>
      <c r="BR480" s="15" t="s">
        <v>624</v>
      </c>
      <c r="BS480" s="15" t="s">
        <v>181</v>
      </c>
      <c r="BT480" s="15" t="s">
        <v>624</v>
      </c>
      <c r="BU480" s="15"/>
      <c r="BV480" s="15"/>
    </row>
    <row r="481" spans="1:74">
      <c r="A481" t="s">
        <v>803</v>
      </c>
      <c r="B481" t="s">
        <v>10</v>
      </c>
      <c r="C481" t="s">
        <v>11</v>
      </c>
      <c r="D481" t="s">
        <v>301</v>
      </c>
      <c r="F481" t="s">
        <v>70</v>
      </c>
      <c r="G481" t="s">
        <v>56</v>
      </c>
      <c r="H481" t="s">
        <v>70</v>
      </c>
      <c r="I481" t="s">
        <v>807</v>
      </c>
      <c r="AC481">
        <v>3.8</v>
      </c>
      <c r="AF481">
        <v>5.89</v>
      </c>
      <c r="BP481" t="s">
        <v>801</v>
      </c>
      <c r="BQ481" t="s">
        <v>281</v>
      </c>
      <c r="BR481" t="s">
        <v>793</v>
      </c>
    </row>
    <row r="482" spans="1:74">
      <c r="A482" t="s">
        <v>804</v>
      </c>
      <c r="B482" t="s">
        <v>10</v>
      </c>
      <c r="C482" t="s">
        <v>11</v>
      </c>
      <c r="D482" t="s">
        <v>301</v>
      </c>
      <c r="F482" t="s">
        <v>70</v>
      </c>
      <c r="G482" t="s">
        <v>56</v>
      </c>
      <c r="H482" t="s">
        <v>70</v>
      </c>
      <c r="I482" t="s">
        <v>807</v>
      </c>
      <c r="Y482">
        <v>4.38</v>
      </c>
      <c r="AB482">
        <v>5.96</v>
      </c>
      <c r="BP482" t="s">
        <v>808</v>
      </c>
      <c r="BQ482" t="s">
        <v>281</v>
      </c>
      <c r="BR482" t="s">
        <v>793</v>
      </c>
    </row>
    <row r="483" spans="1:74">
      <c r="A483" t="s">
        <v>843</v>
      </c>
      <c r="B483" t="s">
        <v>10</v>
      </c>
      <c r="C483" t="s">
        <v>11</v>
      </c>
      <c r="D483" t="s">
        <v>301</v>
      </c>
      <c r="F483" t="s">
        <v>70</v>
      </c>
      <c r="G483" t="s">
        <v>72</v>
      </c>
      <c r="H483" t="s">
        <v>70</v>
      </c>
      <c r="I483" t="s">
        <v>72</v>
      </c>
      <c r="AW483">
        <v>4.0999999999999996</v>
      </c>
      <c r="AZ483">
        <v>3.4</v>
      </c>
      <c r="BA483">
        <v>4.4000000000000004</v>
      </c>
      <c r="BD483">
        <v>3.7</v>
      </c>
      <c r="BQ483" t="s">
        <v>281</v>
      </c>
      <c r="BR483" t="s">
        <v>818</v>
      </c>
      <c r="BS483" t="s">
        <v>181</v>
      </c>
      <c r="BT483" t="s">
        <v>818</v>
      </c>
    </row>
    <row r="484" spans="1:74">
      <c r="A484" t="s">
        <v>844</v>
      </c>
      <c r="B484" t="s">
        <v>10</v>
      </c>
      <c r="C484" t="s">
        <v>11</v>
      </c>
      <c r="D484" t="s">
        <v>301</v>
      </c>
      <c r="F484" t="s">
        <v>70</v>
      </c>
      <c r="G484" t="s">
        <v>72</v>
      </c>
      <c r="H484" t="s">
        <v>70</v>
      </c>
      <c r="I484" t="s">
        <v>72</v>
      </c>
      <c r="AK484">
        <v>2.7</v>
      </c>
      <c r="AN484">
        <v>1.6</v>
      </c>
      <c r="AO484">
        <v>3.3</v>
      </c>
      <c r="AR484">
        <v>2.1</v>
      </c>
      <c r="AS484">
        <v>3.8</v>
      </c>
      <c r="AV484">
        <v>2.8</v>
      </c>
      <c r="BQ484" t="s">
        <v>281</v>
      </c>
      <c r="BR484" t="s">
        <v>818</v>
      </c>
      <c r="BS484" t="s">
        <v>181</v>
      </c>
      <c r="BT484" t="s">
        <v>818</v>
      </c>
    </row>
    <row r="485" spans="1:74">
      <c r="A485" t="s">
        <v>806</v>
      </c>
      <c r="B485" t="s">
        <v>10</v>
      </c>
      <c r="C485" t="s">
        <v>11</v>
      </c>
      <c r="D485" t="s">
        <v>301</v>
      </c>
      <c r="F485" t="s">
        <v>70</v>
      </c>
      <c r="G485" t="s">
        <v>72</v>
      </c>
      <c r="H485" t="s">
        <v>70</v>
      </c>
      <c r="I485" t="s">
        <v>72</v>
      </c>
      <c r="AC485">
        <v>4</v>
      </c>
      <c r="AF485">
        <v>5.87</v>
      </c>
      <c r="BQ485" t="s">
        <v>281</v>
      </c>
      <c r="BR485" t="s">
        <v>793</v>
      </c>
    </row>
    <row r="486" spans="1:74">
      <c r="A486" t="s">
        <v>541</v>
      </c>
      <c r="B486" t="s">
        <v>10</v>
      </c>
      <c r="C486" t="s">
        <v>11</v>
      </c>
      <c r="D486" t="s">
        <v>301</v>
      </c>
      <c r="E486" t="s">
        <v>52</v>
      </c>
      <c r="F486" t="s">
        <v>70</v>
      </c>
      <c r="G486" t="s">
        <v>60</v>
      </c>
      <c r="H486" t="s">
        <v>70</v>
      </c>
      <c r="I486" t="s">
        <v>60</v>
      </c>
      <c r="BE486">
        <v>4.95</v>
      </c>
      <c r="BF486">
        <v>3.5</v>
      </c>
      <c r="BG486">
        <v>2.85</v>
      </c>
      <c r="BH486">
        <v>3.5</v>
      </c>
      <c r="BQ486" t="s">
        <v>281</v>
      </c>
      <c r="BR486" t="s">
        <v>510</v>
      </c>
      <c r="BS486" t="s">
        <v>181</v>
      </c>
      <c r="BT486" t="s">
        <v>510</v>
      </c>
    </row>
    <row r="487" spans="1:74">
      <c r="A487" t="s">
        <v>713</v>
      </c>
      <c r="B487" s="7" t="s">
        <v>10</v>
      </c>
      <c r="C487" s="7" t="s">
        <v>11</v>
      </c>
      <c r="D487" t="s">
        <v>301</v>
      </c>
      <c r="E487" t="s">
        <v>52</v>
      </c>
      <c r="F487" t="s">
        <v>70</v>
      </c>
      <c r="G487" t="s">
        <v>60</v>
      </c>
      <c r="H487" t="s">
        <v>714</v>
      </c>
      <c r="I487" t="s">
        <v>60</v>
      </c>
      <c r="BE487">
        <v>4.66</v>
      </c>
      <c r="BF487">
        <v>3.27</v>
      </c>
      <c r="BG487">
        <v>2.94</v>
      </c>
      <c r="BH487">
        <v>3.27</v>
      </c>
      <c r="BQ487" t="s">
        <v>281</v>
      </c>
      <c r="BR487" t="s">
        <v>682</v>
      </c>
      <c r="BS487" t="s">
        <v>371</v>
      </c>
      <c r="BT487" t="s">
        <v>682</v>
      </c>
    </row>
    <row r="488" spans="1:74">
      <c r="A488" t="s">
        <v>393</v>
      </c>
      <c r="B488" t="s">
        <v>10</v>
      </c>
      <c r="C488" t="s">
        <v>11</v>
      </c>
      <c r="D488" t="s">
        <v>301</v>
      </c>
      <c r="E488" t="s">
        <v>52</v>
      </c>
      <c r="F488" t="s">
        <v>70</v>
      </c>
      <c r="G488" t="s">
        <v>73</v>
      </c>
      <c r="H488" t="s">
        <v>70</v>
      </c>
      <c r="I488" t="s">
        <v>73</v>
      </c>
      <c r="BE488">
        <v>3.5</v>
      </c>
      <c r="BF488">
        <v>2.4</v>
      </c>
      <c r="BG488">
        <v>1.9</v>
      </c>
      <c r="BH488">
        <v>2.4</v>
      </c>
      <c r="BQ488" t="s">
        <v>281</v>
      </c>
      <c r="BR488" t="s">
        <v>389</v>
      </c>
    </row>
    <row r="489" spans="1:74">
      <c r="A489" t="s">
        <v>391</v>
      </c>
      <c r="B489" t="s">
        <v>10</v>
      </c>
      <c r="C489" t="s">
        <v>11</v>
      </c>
      <c r="D489" t="s">
        <v>301</v>
      </c>
      <c r="E489" t="s">
        <v>52</v>
      </c>
      <c r="F489" t="s">
        <v>70</v>
      </c>
      <c r="G489" t="s">
        <v>73</v>
      </c>
      <c r="H489" t="s">
        <v>70</v>
      </c>
      <c r="I489" t="s">
        <v>73</v>
      </c>
      <c r="AC489">
        <v>2.9</v>
      </c>
      <c r="AF489">
        <v>4.3</v>
      </c>
      <c r="BQ489" t="s">
        <v>281</v>
      </c>
      <c r="BR489" t="s">
        <v>389</v>
      </c>
      <c r="BS489" t="s">
        <v>371</v>
      </c>
      <c r="BT489" t="s">
        <v>389</v>
      </c>
    </row>
    <row r="490" spans="1:74">
      <c r="A490" t="s">
        <v>390</v>
      </c>
      <c r="B490" t="s">
        <v>10</v>
      </c>
      <c r="C490" t="s">
        <v>11</v>
      </c>
      <c r="D490" t="s">
        <v>301</v>
      </c>
      <c r="E490" t="s">
        <v>52</v>
      </c>
      <c r="F490" t="s">
        <v>70</v>
      </c>
      <c r="G490" t="s">
        <v>73</v>
      </c>
      <c r="H490" t="s">
        <v>70</v>
      </c>
      <c r="I490" t="s">
        <v>73</v>
      </c>
      <c r="U490">
        <v>2.9</v>
      </c>
      <c r="X490">
        <v>3.5</v>
      </c>
      <c r="BQ490" t="s">
        <v>281</v>
      </c>
      <c r="BR490" t="s">
        <v>389</v>
      </c>
      <c r="BS490" t="s">
        <v>371</v>
      </c>
      <c r="BT490" t="s">
        <v>389</v>
      </c>
    </row>
    <row r="491" spans="1:74">
      <c r="A491" t="s">
        <v>407</v>
      </c>
      <c r="B491" t="s">
        <v>10</v>
      </c>
      <c r="C491" t="s">
        <v>11</v>
      </c>
      <c r="D491" t="s">
        <v>301</v>
      </c>
      <c r="E491" t="s">
        <v>52</v>
      </c>
      <c r="F491" t="s">
        <v>70</v>
      </c>
      <c r="G491" t="s">
        <v>73</v>
      </c>
      <c r="H491" t="s">
        <v>70</v>
      </c>
      <c r="I491" t="s">
        <v>73</v>
      </c>
      <c r="AO491">
        <v>3</v>
      </c>
      <c r="AR491">
        <v>2</v>
      </c>
      <c r="AS491">
        <v>3.3</v>
      </c>
      <c r="AV491">
        <v>2.2999999999999998</v>
      </c>
      <c r="AW491">
        <v>3</v>
      </c>
      <c r="AX491">
        <v>2.5</v>
      </c>
      <c r="AY491">
        <v>2.6</v>
      </c>
      <c r="AZ491">
        <v>2.6</v>
      </c>
      <c r="BA491">
        <v>3.6</v>
      </c>
      <c r="BB491">
        <v>3</v>
      </c>
      <c r="BC491">
        <v>3.2</v>
      </c>
      <c r="BD491">
        <v>3.2</v>
      </c>
      <c r="BE491">
        <v>3.6</v>
      </c>
      <c r="BF491">
        <v>2.6</v>
      </c>
      <c r="BG491">
        <v>2.2999999999999998</v>
      </c>
      <c r="BH491">
        <v>2.6</v>
      </c>
      <c r="BP491" t="s">
        <v>408</v>
      </c>
      <c r="BQ491" t="s">
        <v>281</v>
      </c>
      <c r="BR491" t="s">
        <v>389</v>
      </c>
      <c r="BS491" t="s">
        <v>371</v>
      </c>
      <c r="BT491" t="s">
        <v>389</v>
      </c>
    </row>
    <row r="492" spans="1:74" s="15" customFormat="1">
      <c r="A492" t="s">
        <v>394</v>
      </c>
      <c r="B492" t="s">
        <v>10</v>
      </c>
      <c r="C492" t="s">
        <v>11</v>
      </c>
      <c r="D492" t="s">
        <v>301</v>
      </c>
      <c r="E492" t="s">
        <v>52</v>
      </c>
      <c r="F492" t="s">
        <v>70</v>
      </c>
      <c r="G492" t="s">
        <v>73</v>
      </c>
      <c r="H492" t="s">
        <v>70</v>
      </c>
      <c r="I492" t="s">
        <v>73</v>
      </c>
      <c r="J492"/>
      <c r="K492"/>
      <c r="L492"/>
      <c r="M492"/>
      <c r="N492"/>
      <c r="O492"/>
      <c r="P492"/>
      <c r="Q492"/>
      <c r="R492"/>
      <c r="S492"/>
      <c r="T492"/>
      <c r="U492">
        <v>2.6</v>
      </c>
      <c r="V492"/>
      <c r="W492"/>
      <c r="X492">
        <v>3</v>
      </c>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t="s">
        <v>281</v>
      </c>
      <c r="BR492" t="s">
        <v>389</v>
      </c>
      <c r="BS492"/>
      <c r="BT492"/>
      <c r="BU492"/>
      <c r="BV492"/>
    </row>
    <row r="493" spans="1:74" s="15" customFormat="1">
      <c r="A493" t="s">
        <v>401</v>
      </c>
      <c r="B493" t="s">
        <v>10</v>
      </c>
      <c r="C493" t="s">
        <v>11</v>
      </c>
      <c r="D493" t="s">
        <v>301</v>
      </c>
      <c r="E493" t="s">
        <v>52</v>
      </c>
      <c r="F493" t="s">
        <v>70</v>
      </c>
      <c r="G493" t="s">
        <v>73</v>
      </c>
      <c r="H493" t="s">
        <v>70</v>
      </c>
      <c r="I493" t="s">
        <v>73</v>
      </c>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v>3.4</v>
      </c>
      <c r="AT493"/>
      <c r="AU493"/>
      <c r="AV493">
        <v>2</v>
      </c>
      <c r="AW493"/>
      <c r="AX493"/>
      <c r="AY493"/>
      <c r="AZ493"/>
      <c r="BA493"/>
      <c r="BB493"/>
      <c r="BC493"/>
      <c r="BD493"/>
      <c r="BE493"/>
      <c r="BF493"/>
      <c r="BG493"/>
      <c r="BH493"/>
      <c r="BI493"/>
      <c r="BJ493"/>
      <c r="BK493"/>
      <c r="BL493"/>
      <c r="BM493"/>
      <c r="BN493"/>
      <c r="BO493"/>
      <c r="BP493"/>
      <c r="BQ493" t="s">
        <v>281</v>
      </c>
      <c r="BR493" t="s">
        <v>389</v>
      </c>
      <c r="BS493"/>
      <c r="BT493"/>
      <c r="BU493"/>
      <c r="BV493"/>
    </row>
    <row r="494" spans="1:74" s="15" customFormat="1">
      <c r="A494" t="s">
        <v>402</v>
      </c>
      <c r="B494" t="s">
        <v>10</v>
      </c>
      <c r="C494" t="s">
        <v>11</v>
      </c>
      <c r="D494" t="s">
        <v>301</v>
      </c>
      <c r="E494" t="s">
        <v>52</v>
      </c>
      <c r="F494" t="s">
        <v>70</v>
      </c>
      <c r="G494" t="s">
        <v>73</v>
      </c>
      <c r="H494" t="s">
        <v>70</v>
      </c>
      <c r="I494" t="s">
        <v>73</v>
      </c>
      <c r="J494"/>
      <c r="K494"/>
      <c r="L494"/>
      <c r="M494"/>
      <c r="N494"/>
      <c r="O494"/>
      <c r="P494"/>
      <c r="Q494"/>
      <c r="R494"/>
      <c r="S494"/>
      <c r="T494"/>
      <c r="U494"/>
      <c r="V494"/>
      <c r="W494"/>
      <c r="X494"/>
      <c r="Y494"/>
      <c r="Z494"/>
      <c r="AA494"/>
      <c r="AB494"/>
      <c r="AC494"/>
      <c r="AD494"/>
      <c r="AE494"/>
      <c r="AF494"/>
      <c r="AG494"/>
      <c r="AH494"/>
      <c r="AI494"/>
      <c r="AJ494"/>
      <c r="AK494">
        <v>2.2000000000000002</v>
      </c>
      <c r="AL494"/>
      <c r="AM494"/>
      <c r="AN494">
        <v>1.6</v>
      </c>
      <c r="AO494"/>
      <c r="AP494"/>
      <c r="AQ494"/>
      <c r="AR494"/>
      <c r="AS494"/>
      <c r="AT494"/>
      <c r="AU494"/>
      <c r="AV494"/>
      <c r="AW494"/>
      <c r="AX494"/>
      <c r="AY494"/>
      <c r="AZ494"/>
      <c r="BA494"/>
      <c r="BB494"/>
      <c r="BC494"/>
      <c r="BD494"/>
      <c r="BE494"/>
      <c r="BF494"/>
      <c r="BG494"/>
      <c r="BH494"/>
      <c r="BI494"/>
      <c r="BJ494"/>
      <c r="BK494"/>
      <c r="BL494"/>
      <c r="BM494"/>
      <c r="BN494"/>
      <c r="BO494"/>
      <c r="BP494" t="s">
        <v>403</v>
      </c>
      <c r="BQ494" t="s">
        <v>281</v>
      </c>
      <c r="BR494" t="s">
        <v>389</v>
      </c>
      <c r="BS494"/>
      <c r="BT494"/>
      <c r="BU494"/>
      <c r="BV494"/>
    </row>
    <row r="495" spans="1:74" s="15" customFormat="1">
      <c r="A495" t="s">
        <v>396</v>
      </c>
      <c r="B495" t="s">
        <v>10</v>
      </c>
      <c r="C495" t="s">
        <v>11</v>
      </c>
      <c r="D495" t="s">
        <v>301</v>
      </c>
      <c r="E495" t="s">
        <v>52</v>
      </c>
      <c r="F495" t="s">
        <v>70</v>
      </c>
      <c r="G495" t="s">
        <v>73</v>
      </c>
      <c r="H495" t="s">
        <v>70</v>
      </c>
      <c r="I495" t="s">
        <v>73</v>
      </c>
      <c r="J495"/>
      <c r="K495"/>
      <c r="L495"/>
      <c r="M495"/>
      <c r="N495"/>
      <c r="O495"/>
      <c r="P495"/>
      <c r="Q495"/>
      <c r="R495"/>
      <c r="S495"/>
      <c r="T495"/>
      <c r="U495"/>
      <c r="V495"/>
      <c r="W495"/>
      <c r="X495"/>
      <c r="Y495">
        <v>2.8</v>
      </c>
      <c r="Z495"/>
      <c r="AA495"/>
      <c r="AB495">
        <v>3.7</v>
      </c>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t="s">
        <v>281</v>
      </c>
      <c r="BR495" t="s">
        <v>389</v>
      </c>
      <c r="BS495" t="s">
        <v>371</v>
      </c>
      <c r="BT495" t="s">
        <v>389</v>
      </c>
      <c r="BU495"/>
      <c r="BV495"/>
    </row>
    <row r="496" spans="1:74">
      <c r="A496" t="s">
        <v>398</v>
      </c>
      <c r="B496" t="s">
        <v>10</v>
      </c>
      <c r="C496" t="s">
        <v>11</v>
      </c>
      <c r="D496" t="s">
        <v>301</v>
      </c>
      <c r="E496" t="s">
        <v>52</v>
      </c>
      <c r="F496" t="s">
        <v>70</v>
      </c>
      <c r="G496" t="s">
        <v>73</v>
      </c>
      <c r="H496" t="s">
        <v>70</v>
      </c>
      <c r="I496" t="s">
        <v>73</v>
      </c>
      <c r="AC496">
        <v>2.9</v>
      </c>
      <c r="AF496">
        <v>3.9</v>
      </c>
      <c r="BP496" t="s">
        <v>399</v>
      </c>
      <c r="BQ496" t="s">
        <v>281</v>
      </c>
      <c r="BR496" t="s">
        <v>389</v>
      </c>
    </row>
    <row r="497" spans="1:72">
      <c r="A497" t="s">
        <v>404</v>
      </c>
      <c r="B497" t="s">
        <v>10</v>
      </c>
      <c r="C497" t="s">
        <v>11</v>
      </c>
      <c r="D497" t="s">
        <v>301</v>
      </c>
      <c r="E497" t="s">
        <v>52</v>
      </c>
      <c r="F497" t="s">
        <v>70</v>
      </c>
      <c r="G497" t="s">
        <v>73</v>
      </c>
      <c r="H497" t="s">
        <v>70</v>
      </c>
      <c r="I497" t="s">
        <v>73</v>
      </c>
      <c r="BE497">
        <v>3.6</v>
      </c>
      <c r="BF497">
        <v>2.4</v>
      </c>
      <c r="BG497">
        <v>2</v>
      </c>
      <c r="BH497">
        <v>2.4</v>
      </c>
      <c r="BQ497" t="s">
        <v>281</v>
      </c>
      <c r="BR497" t="s">
        <v>389</v>
      </c>
    </row>
    <row r="498" spans="1:72">
      <c r="A498" t="s">
        <v>395</v>
      </c>
      <c r="B498" t="s">
        <v>10</v>
      </c>
      <c r="C498" t="s">
        <v>11</v>
      </c>
      <c r="D498" t="s">
        <v>301</v>
      </c>
      <c r="E498" t="s">
        <v>52</v>
      </c>
      <c r="F498" t="s">
        <v>70</v>
      </c>
      <c r="G498" t="s">
        <v>73</v>
      </c>
      <c r="H498" t="s">
        <v>70</v>
      </c>
      <c r="I498" t="s">
        <v>73</v>
      </c>
      <c r="Y498">
        <v>2.6</v>
      </c>
      <c r="AB498">
        <v>3.3</v>
      </c>
      <c r="BQ498" t="s">
        <v>281</v>
      </c>
      <c r="BR498" t="s">
        <v>389</v>
      </c>
    </row>
    <row r="499" spans="1:72">
      <c r="A499" t="s">
        <v>405</v>
      </c>
      <c r="B499" t="s">
        <v>10</v>
      </c>
      <c r="C499" t="s">
        <v>11</v>
      </c>
      <c r="D499" t="s">
        <v>301</v>
      </c>
      <c r="E499" t="s">
        <v>52</v>
      </c>
      <c r="F499" t="s">
        <v>70</v>
      </c>
      <c r="G499" t="s">
        <v>73</v>
      </c>
      <c r="H499" t="s">
        <v>70</v>
      </c>
      <c r="I499" t="s">
        <v>73</v>
      </c>
      <c r="BF499">
        <v>2.4</v>
      </c>
      <c r="BH499">
        <v>2.4</v>
      </c>
      <c r="BP499" t="s">
        <v>406</v>
      </c>
      <c r="BQ499" t="s">
        <v>281</v>
      </c>
      <c r="BR499" t="s">
        <v>389</v>
      </c>
    </row>
    <row r="500" spans="1:72">
      <c r="A500" t="s">
        <v>397</v>
      </c>
      <c r="B500" t="s">
        <v>10</v>
      </c>
      <c r="C500" t="s">
        <v>11</v>
      </c>
      <c r="D500" t="s">
        <v>301</v>
      </c>
      <c r="E500" t="s">
        <v>52</v>
      </c>
      <c r="F500" t="s">
        <v>70</v>
      </c>
      <c r="G500" t="s">
        <v>73</v>
      </c>
      <c r="H500" t="s">
        <v>70</v>
      </c>
      <c r="I500" t="s">
        <v>73</v>
      </c>
      <c r="Y500">
        <v>2.7</v>
      </c>
      <c r="AB500">
        <v>3.1</v>
      </c>
      <c r="BQ500" t="s">
        <v>281</v>
      </c>
      <c r="BR500" t="s">
        <v>389</v>
      </c>
    </row>
    <row r="501" spans="1:72">
      <c r="A501" t="s">
        <v>400</v>
      </c>
      <c r="B501" t="s">
        <v>10</v>
      </c>
      <c r="C501" t="s">
        <v>11</v>
      </c>
      <c r="D501" t="s">
        <v>301</v>
      </c>
      <c r="E501" t="s">
        <v>52</v>
      </c>
      <c r="F501" t="s">
        <v>70</v>
      </c>
      <c r="G501" t="s">
        <v>73</v>
      </c>
      <c r="H501" t="s">
        <v>70</v>
      </c>
      <c r="I501" t="s">
        <v>73</v>
      </c>
      <c r="AK501">
        <v>2.4</v>
      </c>
      <c r="AN501">
        <v>1.5</v>
      </c>
      <c r="BQ501" t="s">
        <v>281</v>
      </c>
      <c r="BR501" t="s">
        <v>389</v>
      </c>
    </row>
    <row r="502" spans="1:72">
      <c r="A502" t="s">
        <v>392</v>
      </c>
      <c r="B502" t="s">
        <v>10</v>
      </c>
      <c r="C502" t="s">
        <v>11</v>
      </c>
      <c r="D502" t="s">
        <v>301</v>
      </c>
      <c r="E502" t="s">
        <v>52</v>
      </c>
      <c r="F502" t="s">
        <v>70</v>
      </c>
      <c r="G502" t="s">
        <v>73</v>
      </c>
      <c r="H502" t="s">
        <v>70</v>
      </c>
      <c r="I502" t="s">
        <v>73</v>
      </c>
      <c r="AW502">
        <v>3</v>
      </c>
      <c r="AX502">
        <v>2.5</v>
      </c>
      <c r="AY502">
        <v>2.5</v>
      </c>
      <c r="AZ502">
        <v>2.5</v>
      </c>
      <c r="BQ502" t="s">
        <v>281</v>
      </c>
      <c r="BR502" t="s">
        <v>389</v>
      </c>
    </row>
    <row r="503" spans="1:72">
      <c r="A503" t="s">
        <v>852</v>
      </c>
      <c r="B503" t="s">
        <v>10</v>
      </c>
      <c r="C503" t="s">
        <v>11</v>
      </c>
      <c r="D503" t="s">
        <v>301</v>
      </c>
      <c r="F503" t="s">
        <v>74</v>
      </c>
      <c r="G503" t="s">
        <v>76</v>
      </c>
      <c r="H503" t="s">
        <v>853</v>
      </c>
      <c r="I503" t="s">
        <v>76</v>
      </c>
      <c r="BA503">
        <v>5.4</v>
      </c>
      <c r="BD503">
        <v>3.8</v>
      </c>
      <c r="BE503">
        <v>5.5</v>
      </c>
      <c r="BH503">
        <v>3.2</v>
      </c>
      <c r="BQ503" t="s">
        <v>281</v>
      </c>
      <c r="BR503" t="s">
        <v>818</v>
      </c>
      <c r="BS503" t="s">
        <v>181</v>
      </c>
      <c r="BT503" t="s">
        <v>818</v>
      </c>
    </row>
    <row r="504" spans="1:72">
      <c r="A504" t="s">
        <v>854</v>
      </c>
      <c r="B504" t="s">
        <v>10</v>
      </c>
      <c r="C504" t="s">
        <v>11</v>
      </c>
      <c r="D504" t="s">
        <v>301</v>
      </c>
      <c r="F504" t="s">
        <v>74</v>
      </c>
      <c r="G504" t="s">
        <v>76</v>
      </c>
      <c r="H504" t="s">
        <v>853</v>
      </c>
      <c r="I504" t="s">
        <v>76</v>
      </c>
      <c r="AW504">
        <v>5.6</v>
      </c>
      <c r="AZ504">
        <v>3.6</v>
      </c>
      <c r="BQ504" t="s">
        <v>281</v>
      </c>
      <c r="BR504" t="s">
        <v>818</v>
      </c>
      <c r="BS504" t="s">
        <v>181</v>
      </c>
      <c r="BT504" t="s">
        <v>818</v>
      </c>
    </row>
    <row r="505" spans="1:72">
      <c r="A505" t="s">
        <v>508</v>
      </c>
      <c r="B505" t="s">
        <v>10</v>
      </c>
      <c r="C505" t="s">
        <v>11</v>
      </c>
      <c r="D505" t="s">
        <v>301</v>
      </c>
      <c r="F505" t="s">
        <v>509</v>
      </c>
      <c r="G505" t="s">
        <v>321</v>
      </c>
      <c r="H505" t="s">
        <v>509</v>
      </c>
      <c r="I505" t="s">
        <v>321</v>
      </c>
      <c r="AS505">
        <v>3.5</v>
      </c>
      <c r="AT505">
        <v>2.2000000000000002</v>
      </c>
      <c r="AV505">
        <v>2.2000000000000002</v>
      </c>
      <c r="AW505">
        <v>3.3</v>
      </c>
      <c r="AY505">
        <v>2.63</v>
      </c>
      <c r="AZ505">
        <v>2.63</v>
      </c>
      <c r="BA505">
        <v>3.8</v>
      </c>
      <c r="BB505">
        <v>3.2</v>
      </c>
      <c r="BC505">
        <v>3.05</v>
      </c>
      <c r="BD505">
        <v>3.2</v>
      </c>
      <c r="BQ505" t="s">
        <v>281</v>
      </c>
      <c r="BR505" t="s">
        <v>510</v>
      </c>
      <c r="BS505" t="s">
        <v>181</v>
      </c>
      <c r="BT505" t="s">
        <v>510</v>
      </c>
    </row>
    <row r="506" spans="1:72">
      <c r="A506" t="s">
        <v>676</v>
      </c>
      <c r="B506" s="7" t="s">
        <v>10</v>
      </c>
      <c r="C506" s="7" t="s">
        <v>11</v>
      </c>
      <c r="D506" t="s">
        <v>301</v>
      </c>
      <c r="F506" t="s">
        <v>77</v>
      </c>
      <c r="G506" t="s">
        <v>78</v>
      </c>
      <c r="H506" t="s">
        <v>77</v>
      </c>
      <c r="I506" t="s">
        <v>78</v>
      </c>
      <c r="AS506">
        <v>3.5</v>
      </c>
      <c r="AV506">
        <v>2.2999999999999998</v>
      </c>
      <c r="AW506">
        <v>3.2</v>
      </c>
      <c r="AZ506">
        <v>2.9</v>
      </c>
      <c r="BA506">
        <v>3.5</v>
      </c>
      <c r="BD506">
        <v>2.9</v>
      </c>
      <c r="BQ506" t="s">
        <v>281</v>
      </c>
      <c r="BR506" t="s">
        <v>671</v>
      </c>
      <c r="BS506" t="s">
        <v>371</v>
      </c>
      <c r="BT506" t="s">
        <v>671</v>
      </c>
    </row>
    <row r="507" spans="1:72">
      <c r="A507" t="s">
        <v>256</v>
      </c>
      <c r="B507" t="s">
        <v>10</v>
      </c>
      <c r="C507" t="s">
        <v>11</v>
      </c>
      <c r="D507" t="s">
        <v>301</v>
      </c>
      <c r="E507" t="s">
        <v>52</v>
      </c>
      <c r="F507" t="s">
        <v>79</v>
      </c>
      <c r="G507" t="s">
        <v>80</v>
      </c>
      <c r="H507" t="s">
        <v>70</v>
      </c>
      <c r="I507" t="s">
        <v>80</v>
      </c>
      <c r="AC507">
        <v>3.9</v>
      </c>
      <c r="AF507">
        <v>5.4</v>
      </c>
      <c r="BQ507" t="s">
        <v>166</v>
      </c>
      <c r="BR507" t="s">
        <v>197</v>
      </c>
      <c r="BS507" t="s">
        <v>181</v>
      </c>
      <c r="BT507" t="s">
        <v>197</v>
      </c>
    </row>
    <row r="508" spans="1:72">
      <c r="A508" t="s">
        <v>435</v>
      </c>
      <c r="D508" t="s">
        <v>502</v>
      </c>
      <c r="F508" t="s">
        <v>471</v>
      </c>
      <c r="G508" t="s">
        <v>501</v>
      </c>
      <c r="H508" t="s">
        <v>471</v>
      </c>
      <c r="I508" t="s">
        <v>501</v>
      </c>
      <c r="AO508">
        <v>3.2</v>
      </c>
      <c r="AR508">
        <v>2.1</v>
      </c>
      <c r="AS508">
        <v>3.1</v>
      </c>
      <c r="AV508">
        <v>2.2999999999999998</v>
      </c>
      <c r="AW508">
        <v>3.7</v>
      </c>
      <c r="AZ508">
        <v>2.8</v>
      </c>
      <c r="BA508">
        <v>3.4</v>
      </c>
      <c r="BD508">
        <v>2.8</v>
      </c>
      <c r="BE508">
        <v>2.9</v>
      </c>
      <c r="BH508">
        <v>2.2000000000000002</v>
      </c>
      <c r="BQ508" t="s">
        <v>281</v>
      </c>
      <c r="BR508" t="s">
        <v>412</v>
      </c>
    </row>
    <row r="509" spans="1:72">
      <c r="A509" t="s">
        <v>319</v>
      </c>
      <c r="D509" t="s">
        <v>502</v>
      </c>
      <c r="F509" t="s">
        <v>471</v>
      </c>
      <c r="G509" t="s">
        <v>433</v>
      </c>
      <c r="H509" t="s">
        <v>471</v>
      </c>
      <c r="I509" t="s">
        <v>433</v>
      </c>
      <c r="AO509">
        <v>2.77</v>
      </c>
      <c r="AR509">
        <v>1.53</v>
      </c>
      <c r="AS509">
        <v>2.4</v>
      </c>
      <c r="AV509">
        <v>1.5</v>
      </c>
      <c r="AW509">
        <v>3.25</v>
      </c>
      <c r="AZ509">
        <v>2.13</v>
      </c>
      <c r="BA509">
        <v>2.72</v>
      </c>
      <c r="BD509">
        <v>2.1800000000000002</v>
      </c>
      <c r="BE509">
        <v>2.6</v>
      </c>
      <c r="BH509">
        <v>1.8</v>
      </c>
      <c r="BQ509" t="s">
        <v>281</v>
      </c>
      <c r="BR509" t="s">
        <v>412</v>
      </c>
    </row>
    <row r="510" spans="1:72">
      <c r="A510" t="s">
        <v>722</v>
      </c>
      <c r="B510" s="7" t="s">
        <v>10</v>
      </c>
      <c r="C510" s="7" t="s">
        <v>11</v>
      </c>
      <c r="D510" t="s">
        <v>482</v>
      </c>
      <c r="F510" t="s">
        <v>480</v>
      </c>
      <c r="G510" t="s">
        <v>725</v>
      </c>
      <c r="H510" t="s">
        <v>480</v>
      </c>
      <c r="I510" t="s">
        <v>725</v>
      </c>
      <c r="AC510">
        <v>4.0999999999999996</v>
      </c>
      <c r="AF510">
        <v>5.9</v>
      </c>
      <c r="BQ510" t="s">
        <v>721</v>
      </c>
      <c r="BR510" t="s">
        <v>682</v>
      </c>
    </row>
    <row r="511" spans="1:72">
      <c r="A511" t="s">
        <v>723</v>
      </c>
      <c r="B511" s="7" t="s">
        <v>10</v>
      </c>
      <c r="C511" s="7" t="s">
        <v>11</v>
      </c>
      <c r="D511" t="s">
        <v>482</v>
      </c>
      <c r="F511" t="s">
        <v>480</v>
      </c>
      <c r="G511" t="s">
        <v>725</v>
      </c>
      <c r="H511" t="s">
        <v>480</v>
      </c>
      <c r="I511" t="s">
        <v>725</v>
      </c>
      <c r="AC511">
        <v>3.9</v>
      </c>
      <c r="AF511">
        <v>5.9</v>
      </c>
      <c r="BQ511" t="s">
        <v>721</v>
      </c>
      <c r="BR511" t="s">
        <v>682</v>
      </c>
    </row>
    <row r="512" spans="1:72">
      <c r="A512" t="s">
        <v>715</v>
      </c>
      <c r="B512" s="7" t="s">
        <v>10</v>
      </c>
      <c r="C512" s="7" t="s">
        <v>11</v>
      </c>
      <c r="D512" t="s">
        <v>482</v>
      </c>
      <c r="F512" t="s">
        <v>480</v>
      </c>
      <c r="G512" t="s">
        <v>725</v>
      </c>
      <c r="H512" t="s">
        <v>480</v>
      </c>
      <c r="I512" t="s">
        <v>717</v>
      </c>
      <c r="AC512">
        <v>4.05</v>
      </c>
      <c r="AD512" s="14">
        <v>5.96</v>
      </c>
      <c r="AE512">
        <v>5.67</v>
      </c>
      <c r="AF512">
        <v>5.96</v>
      </c>
      <c r="BQ512" t="s">
        <v>281</v>
      </c>
      <c r="BR512" t="s">
        <v>682</v>
      </c>
      <c r="BS512" t="s">
        <v>371</v>
      </c>
      <c r="BT512" t="s">
        <v>682</v>
      </c>
    </row>
    <row r="513" spans="1:74">
      <c r="A513" t="s">
        <v>716</v>
      </c>
      <c r="B513" s="7" t="s">
        <v>10</v>
      </c>
      <c r="C513" s="7" t="s">
        <v>11</v>
      </c>
      <c r="D513" t="s">
        <v>482</v>
      </c>
      <c r="F513" t="s">
        <v>480</v>
      </c>
      <c r="G513" t="s">
        <v>725</v>
      </c>
      <c r="H513" t="s">
        <v>480</v>
      </c>
      <c r="I513" t="s">
        <v>717</v>
      </c>
      <c r="BA513">
        <v>3.97</v>
      </c>
      <c r="BB513">
        <v>2.79</v>
      </c>
      <c r="BC513">
        <v>2.87</v>
      </c>
      <c r="BD513">
        <v>2.79</v>
      </c>
      <c r="BE513">
        <v>4.7</v>
      </c>
      <c r="BF513">
        <v>2.79</v>
      </c>
      <c r="BG513">
        <v>2.7</v>
      </c>
      <c r="BH513">
        <v>2.79</v>
      </c>
      <c r="BQ513" t="s">
        <v>281</v>
      </c>
      <c r="BR513" t="s">
        <v>682</v>
      </c>
      <c r="BS513" t="s">
        <v>371</v>
      </c>
      <c r="BT513" t="s">
        <v>682</v>
      </c>
    </row>
    <row r="514" spans="1:74">
      <c r="A514" t="s">
        <v>719</v>
      </c>
      <c r="B514" s="7" t="s">
        <v>10</v>
      </c>
      <c r="C514" s="7" t="s">
        <v>11</v>
      </c>
      <c r="D514" t="s">
        <v>482</v>
      </c>
      <c r="F514" t="s">
        <v>480</v>
      </c>
      <c r="G514" t="s">
        <v>725</v>
      </c>
      <c r="H514" t="s">
        <v>480</v>
      </c>
      <c r="I514" t="s">
        <v>725</v>
      </c>
      <c r="AC514">
        <v>3.9</v>
      </c>
      <c r="AF514">
        <v>6.5</v>
      </c>
      <c r="BP514" t="s">
        <v>720</v>
      </c>
      <c r="BQ514" t="s">
        <v>721</v>
      </c>
      <c r="BR514" t="s">
        <v>682</v>
      </c>
    </row>
    <row r="515" spans="1:74">
      <c r="A515" t="s">
        <v>718</v>
      </c>
      <c r="B515" s="7" t="s">
        <v>10</v>
      </c>
      <c r="C515" s="7" t="s">
        <v>11</v>
      </c>
      <c r="D515" t="s">
        <v>482</v>
      </c>
      <c r="F515" t="s">
        <v>480</v>
      </c>
      <c r="G515" t="s">
        <v>725</v>
      </c>
      <c r="H515" t="s">
        <v>480</v>
      </c>
      <c r="I515" t="s">
        <v>725</v>
      </c>
      <c r="AC515">
        <v>3.9</v>
      </c>
      <c r="AF515">
        <v>6</v>
      </c>
      <c r="BQ515" t="s">
        <v>721</v>
      </c>
      <c r="BR515" t="s">
        <v>682</v>
      </c>
    </row>
    <row r="516" spans="1:74">
      <c r="A516" t="s">
        <v>545</v>
      </c>
      <c r="B516" t="s">
        <v>10</v>
      </c>
      <c r="C516" t="s">
        <v>11</v>
      </c>
      <c r="D516" t="s">
        <v>482</v>
      </c>
      <c r="F516" t="s">
        <v>480</v>
      </c>
      <c r="G516" t="s">
        <v>546</v>
      </c>
      <c r="H516" t="s">
        <v>480</v>
      </c>
      <c r="I516" t="s">
        <v>547</v>
      </c>
      <c r="AG516">
        <v>3.1</v>
      </c>
      <c r="BP516" t="s">
        <v>548</v>
      </c>
      <c r="BQ516" t="s">
        <v>281</v>
      </c>
      <c r="BR516" t="s">
        <v>544</v>
      </c>
      <c r="BS516" t="s">
        <v>181</v>
      </c>
      <c r="BT516" t="s">
        <v>544</v>
      </c>
    </row>
    <row r="517" spans="1:74">
      <c r="A517" t="s">
        <v>724</v>
      </c>
      <c r="B517" s="7" t="s">
        <v>10</v>
      </c>
      <c r="C517" s="7" t="s">
        <v>11</v>
      </c>
      <c r="D517" t="s">
        <v>482</v>
      </c>
      <c r="F517" t="s">
        <v>480</v>
      </c>
      <c r="G517" t="s">
        <v>481</v>
      </c>
      <c r="H517" t="s">
        <v>480</v>
      </c>
      <c r="I517" t="s">
        <v>481</v>
      </c>
      <c r="AC517">
        <v>4.6500000000000004</v>
      </c>
      <c r="AF517">
        <v>6.5</v>
      </c>
      <c r="BQ517" t="s">
        <v>721</v>
      </c>
      <c r="BR517" t="s">
        <v>682</v>
      </c>
    </row>
    <row r="518" spans="1:74" s="15" customFormat="1" ht="14.25" customHeight="1">
      <c r="A518" t="s">
        <v>319</v>
      </c>
      <c r="B518" t="s">
        <v>10</v>
      </c>
      <c r="C518" t="s">
        <v>11</v>
      </c>
      <c r="D518" t="s">
        <v>482</v>
      </c>
      <c r="E518"/>
      <c r="F518" t="s">
        <v>480</v>
      </c>
      <c r="G518" t="s">
        <v>481</v>
      </c>
      <c r="H518" t="s">
        <v>480</v>
      </c>
      <c r="I518" t="s">
        <v>481</v>
      </c>
      <c r="J518"/>
      <c r="K518"/>
      <c r="L518"/>
      <c r="M518"/>
      <c r="N518"/>
      <c r="O518"/>
      <c r="P518"/>
      <c r="Q518"/>
      <c r="R518"/>
      <c r="S518"/>
      <c r="T518"/>
      <c r="U518"/>
      <c r="V518"/>
      <c r="W518"/>
      <c r="X518"/>
      <c r="Y518"/>
      <c r="Z518"/>
      <c r="AA518"/>
      <c r="AB518"/>
      <c r="AC518"/>
      <c r="AD518"/>
      <c r="AE518"/>
      <c r="AF518"/>
      <c r="AG518"/>
      <c r="AH518"/>
      <c r="AI518"/>
      <c r="AJ518"/>
      <c r="AK518"/>
      <c r="AL518"/>
      <c r="AM518"/>
      <c r="AN518"/>
      <c r="AO518">
        <v>6.28</v>
      </c>
      <c r="AP518"/>
      <c r="AQ518"/>
      <c r="AR518">
        <v>3.22</v>
      </c>
      <c r="AS518">
        <v>5.86</v>
      </c>
      <c r="AT518"/>
      <c r="AU518"/>
      <c r="AV518">
        <v>3.88</v>
      </c>
      <c r="AW518">
        <v>5.47</v>
      </c>
      <c r="AX518"/>
      <c r="AY518"/>
      <c r="AZ518">
        <v>3.87</v>
      </c>
      <c r="BA518">
        <v>5.34</v>
      </c>
      <c r="BB518"/>
      <c r="BC518"/>
      <c r="BD518">
        <v>4.0599999999999996</v>
      </c>
      <c r="BE518">
        <v>5.58</v>
      </c>
      <c r="BF518"/>
      <c r="BG518"/>
      <c r="BH518">
        <v>3.54</v>
      </c>
      <c r="BI518"/>
      <c r="BJ518"/>
      <c r="BK518"/>
      <c r="BL518"/>
      <c r="BM518"/>
      <c r="BN518"/>
      <c r="BO518"/>
      <c r="BP518"/>
      <c r="BQ518" t="s">
        <v>281</v>
      </c>
      <c r="BR518" t="s">
        <v>412</v>
      </c>
      <c r="BS518" t="s">
        <v>371</v>
      </c>
      <c r="BT518" t="s">
        <v>412</v>
      </c>
      <c r="BU518"/>
      <c r="BV518"/>
    </row>
    <row r="519" spans="1:74" s="15" customFormat="1">
      <c r="A519" t="s">
        <v>319</v>
      </c>
      <c r="B519" t="s">
        <v>10</v>
      </c>
      <c r="C519" t="s">
        <v>11</v>
      </c>
      <c r="D519" t="s">
        <v>482</v>
      </c>
      <c r="E519"/>
      <c r="F519" t="s">
        <v>480</v>
      </c>
      <c r="G519" t="s">
        <v>481</v>
      </c>
      <c r="H519" t="s">
        <v>480</v>
      </c>
      <c r="I519" t="s">
        <v>481</v>
      </c>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v>5.94</v>
      </c>
      <c r="AT519"/>
      <c r="AU519"/>
      <c r="AV519">
        <v>3.92</v>
      </c>
      <c r="AW519"/>
      <c r="AX519"/>
      <c r="AY519"/>
      <c r="AZ519"/>
      <c r="BA519"/>
      <c r="BB519"/>
      <c r="BC519"/>
      <c r="BD519"/>
      <c r="BE519"/>
      <c r="BF519"/>
      <c r="BG519"/>
      <c r="BH519"/>
      <c r="BI519"/>
      <c r="BJ519"/>
      <c r="BK519"/>
      <c r="BL519"/>
      <c r="BM519"/>
      <c r="BN519"/>
      <c r="BO519"/>
      <c r="BP519"/>
      <c r="BQ519" s="3" t="s">
        <v>281</v>
      </c>
      <c r="BR519" t="s">
        <v>412</v>
      </c>
      <c r="BS519"/>
      <c r="BT519"/>
      <c r="BU519"/>
      <c r="BV519"/>
    </row>
    <row r="520" spans="1:74">
      <c r="A520" t="s">
        <v>931</v>
      </c>
      <c r="B520" t="s">
        <v>10</v>
      </c>
      <c r="C520" t="s">
        <v>11</v>
      </c>
      <c r="D520" t="s">
        <v>482</v>
      </c>
      <c r="F520" t="s">
        <v>777</v>
      </c>
      <c r="G520" t="s">
        <v>786</v>
      </c>
      <c r="H520" t="s">
        <v>777</v>
      </c>
      <c r="I520" t="s">
        <v>786</v>
      </c>
      <c r="AK520">
        <v>4.7</v>
      </c>
      <c r="AN520">
        <v>3.5</v>
      </c>
      <c r="AO520">
        <v>5.0999999999999996</v>
      </c>
      <c r="AR520">
        <v>3.9</v>
      </c>
      <c r="AS520">
        <v>5.5</v>
      </c>
      <c r="AV520">
        <v>4.4000000000000004</v>
      </c>
      <c r="AY520">
        <v>4.5999999999999996</v>
      </c>
      <c r="AZ520">
        <v>4.5999999999999996</v>
      </c>
      <c r="BA520">
        <v>6.2</v>
      </c>
      <c r="BB520">
        <v>5.7</v>
      </c>
      <c r="BC520">
        <v>5.4</v>
      </c>
      <c r="BD520">
        <v>5.7</v>
      </c>
      <c r="BE520">
        <v>6.2</v>
      </c>
      <c r="BF520">
        <v>4.4000000000000004</v>
      </c>
      <c r="BG520">
        <v>3.9</v>
      </c>
      <c r="BH520">
        <v>4.4000000000000004</v>
      </c>
      <c r="BQ520" t="s">
        <v>166</v>
      </c>
      <c r="BR520" t="s">
        <v>883</v>
      </c>
      <c r="BS520" t="s">
        <v>371</v>
      </c>
      <c r="BT520" t="s">
        <v>883</v>
      </c>
    </row>
    <row r="521" spans="1:74">
      <c r="A521" t="s">
        <v>934</v>
      </c>
      <c r="B521" t="s">
        <v>10</v>
      </c>
      <c r="C521" t="s">
        <v>11</v>
      </c>
      <c r="D521" t="s">
        <v>482</v>
      </c>
      <c r="F521" t="s">
        <v>777</v>
      </c>
      <c r="G521" t="s">
        <v>786</v>
      </c>
      <c r="H521" t="s">
        <v>777</v>
      </c>
      <c r="I521" t="s">
        <v>786</v>
      </c>
      <c r="AO521">
        <v>5.2</v>
      </c>
      <c r="AR521">
        <v>4.2</v>
      </c>
      <c r="BQ521" t="s">
        <v>166</v>
      </c>
      <c r="BR521" t="s">
        <v>883</v>
      </c>
    </row>
    <row r="522" spans="1:74">
      <c r="A522" t="s">
        <v>935</v>
      </c>
      <c r="B522" t="s">
        <v>10</v>
      </c>
      <c r="C522" t="s">
        <v>11</v>
      </c>
      <c r="D522" t="s">
        <v>482</v>
      </c>
      <c r="F522" t="s">
        <v>777</v>
      </c>
      <c r="G522" t="s">
        <v>786</v>
      </c>
      <c r="H522" t="s">
        <v>777</v>
      </c>
      <c r="I522" t="s">
        <v>786</v>
      </c>
      <c r="AS522">
        <v>5.7</v>
      </c>
      <c r="AV522">
        <v>4.3</v>
      </c>
      <c r="BQ522" t="s">
        <v>166</v>
      </c>
      <c r="BR522" t="s">
        <v>883</v>
      </c>
    </row>
    <row r="523" spans="1:74">
      <c r="A523" t="s">
        <v>927</v>
      </c>
      <c r="B523" t="s">
        <v>10</v>
      </c>
      <c r="C523" t="s">
        <v>11</v>
      </c>
      <c r="D523" t="s">
        <v>482</v>
      </c>
      <c r="F523" t="s">
        <v>524</v>
      </c>
      <c r="G523" t="s">
        <v>679</v>
      </c>
      <c r="H523" t="s">
        <v>524</v>
      </c>
      <c r="I523" t="s">
        <v>679</v>
      </c>
      <c r="AK523">
        <v>4.5</v>
      </c>
      <c r="AN523">
        <v>3</v>
      </c>
      <c r="AO523">
        <v>5.2</v>
      </c>
      <c r="AR523">
        <v>3.6</v>
      </c>
      <c r="AS523">
        <v>5.5</v>
      </c>
      <c r="AV523">
        <v>4</v>
      </c>
      <c r="AW523">
        <v>6</v>
      </c>
      <c r="AX523">
        <v>3.7</v>
      </c>
      <c r="AY523">
        <v>4</v>
      </c>
      <c r="AZ523">
        <v>4</v>
      </c>
      <c r="BA523">
        <v>5.9</v>
      </c>
      <c r="BB523">
        <v>4.4000000000000004</v>
      </c>
      <c r="BC523">
        <v>4.3</v>
      </c>
      <c r="BD523">
        <v>4.4000000000000004</v>
      </c>
      <c r="BE523">
        <v>5.7</v>
      </c>
      <c r="BF523">
        <v>3.9</v>
      </c>
      <c r="BG523">
        <v>3.3</v>
      </c>
      <c r="BH523">
        <v>3.9</v>
      </c>
      <c r="BP523" t="s">
        <v>928</v>
      </c>
      <c r="BQ523" t="s">
        <v>166</v>
      </c>
      <c r="BR523" t="s">
        <v>883</v>
      </c>
      <c r="BS523" t="s">
        <v>371</v>
      </c>
      <c r="BT523" t="s">
        <v>883</v>
      </c>
    </row>
    <row r="524" spans="1:74">
      <c r="A524" t="s">
        <v>929</v>
      </c>
      <c r="B524" t="s">
        <v>10</v>
      </c>
      <c r="C524" t="s">
        <v>11</v>
      </c>
      <c r="D524" t="s">
        <v>482</v>
      </c>
      <c r="F524" t="s">
        <v>524</v>
      </c>
      <c r="G524" t="s">
        <v>679</v>
      </c>
      <c r="H524" t="s">
        <v>524</v>
      </c>
      <c r="I524" t="s">
        <v>679</v>
      </c>
      <c r="AK524">
        <v>4.4000000000000004</v>
      </c>
      <c r="AN524">
        <v>3</v>
      </c>
      <c r="AO524">
        <v>5.3</v>
      </c>
      <c r="AR524">
        <v>4</v>
      </c>
      <c r="AV524">
        <v>4.5</v>
      </c>
      <c r="BA524">
        <v>6.2</v>
      </c>
      <c r="BB524">
        <v>5</v>
      </c>
      <c r="BC524">
        <v>4.4000000000000004</v>
      </c>
      <c r="BD524">
        <v>5</v>
      </c>
      <c r="BE524">
        <v>6.1</v>
      </c>
      <c r="BF524">
        <v>4.2</v>
      </c>
      <c r="BG524">
        <v>3.3</v>
      </c>
      <c r="BH524">
        <v>4.2</v>
      </c>
      <c r="BP524" t="s">
        <v>928</v>
      </c>
      <c r="BQ524" t="s">
        <v>166</v>
      </c>
      <c r="BR524" t="s">
        <v>883</v>
      </c>
    </row>
    <row r="525" spans="1:74">
      <c r="A525" t="s">
        <v>932</v>
      </c>
      <c r="B525" t="s">
        <v>10</v>
      </c>
      <c r="C525" t="s">
        <v>11</v>
      </c>
      <c r="D525" t="s">
        <v>482</v>
      </c>
      <c r="F525" t="s">
        <v>524</v>
      </c>
      <c r="G525" t="s">
        <v>679</v>
      </c>
      <c r="H525" t="s">
        <v>524</v>
      </c>
      <c r="I525" t="s">
        <v>679</v>
      </c>
      <c r="AS525">
        <v>6.1</v>
      </c>
      <c r="AV525">
        <v>4.7</v>
      </c>
      <c r="AW525">
        <v>6.3</v>
      </c>
      <c r="AX525">
        <v>4.8</v>
      </c>
      <c r="AY525">
        <v>5.2</v>
      </c>
      <c r="AZ525">
        <v>5.2</v>
      </c>
      <c r="BQ525" t="s">
        <v>166</v>
      </c>
      <c r="BR525" t="s">
        <v>883</v>
      </c>
    </row>
    <row r="526" spans="1:74">
      <c r="A526" t="s">
        <v>933</v>
      </c>
      <c r="B526" t="s">
        <v>10</v>
      </c>
      <c r="C526" t="s">
        <v>11</v>
      </c>
      <c r="D526" t="s">
        <v>482</v>
      </c>
      <c r="F526" t="s">
        <v>524</v>
      </c>
      <c r="G526" t="s">
        <v>679</v>
      </c>
      <c r="H526" t="s">
        <v>524</v>
      </c>
      <c r="I526" t="s">
        <v>679</v>
      </c>
      <c r="AS526">
        <v>5.7</v>
      </c>
      <c r="AV526">
        <v>4.2</v>
      </c>
      <c r="BQ526" t="s">
        <v>166</v>
      </c>
      <c r="BR526" t="s">
        <v>883</v>
      </c>
    </row>
    <row r="527" spans="1:74">
      <c r="A527" t="s">
        <v>930</v>
      </c>
      <c r="B527" t="s">
        <v>10</v>
      </c>
      <c r="C527" t="s">
        <v>11</v>
      </c>
      <c r="D527" t="s">
        <v>482</v>
      </c>
      <c r="F527" t="s">
        <v>524</v>
      </c>
      <c r="G527" t="s">
        <v>679</v>
      </c>
      <c r="H527" t="s">
        <v>524</v>
      </c>
      <c r="I527" t="s">
        <v>679</v>
      </c>
      <c r="AW527">
        <v>5.9</v>
      </c>
      <c r="AX527">
        <v>4.3</v>
      </c>
      <c r="AY527">
        <v>4.5999999999999996</v>
      </c>
      <c r="AZ527">
        <v>4.5999999999999996</v>
      </c>
      <c r="BQ527" t="s">
        <v>166</v>
      </c>
      <c r="BR527" t="s">
        <v>883</v>
      </c>
    </row>
    <row r="528" spans="1:74">
      <c r="A528" t="s">
        <v>533</v>
      </c>
      <c r="B528" t="s">
        <v>10</v>
      </c>
      <c r="C528" t="s">
        <v>11</v>
      </c>
      <c r="D528" t="s">
        <v>482</v>
      </c>
      <c r="F528" t="s">
        <v>531</v>
      </c>
      <c r="G528" t="s">
        <v>532</v>
      </c>
      <c r="H528" t="s">
        <v>531</v>
      </c>
      <c r="I528" t="s">
        <v>532</v>
      </c>
      <c r="BE528">
        <v>14.6</v>
      </c>
      <c r="BH528">
        <v>9.4</v>
      </c>
      <c r="BQ528" t="s">
        <v>281</v>
      </c>
      <c r="BR528" t="s">
        <v>510</v>
      </c>
      <c r="BS528" t="s">
        <v>181</v>
      </c>
      <c r="BT528" t="s">
        <v>510</v>
      </c>
    </row>
    <row r="529" spans="1:74">
      <c r="A529" t="s">
        <v>530</v>
      </c>
      <c r="B529" t="s">
        <v>10</v>
      </c>
      <c r="C529" t="s">
        <v>11</v>
      </c>
      <c r="D529" t="s">
        <v>482</v>
      </c>
      <c r="F529" t="s">
        <v>531</v>
      </c>
      <c r="G529" t="s">
        <v>532</v>
      </c>
      <c r="H529" t="s">
        <v>531</v>
      </c>
      <c r="I529" t="s">
        <v>532</v>
      </c>
      <c r="U529">
        <v>9.1999999999999993</v>
      </c>
      <c r="X529">
        <v>11.7</v>
      </c>
      <c r="BQ529" t="s">
        <v>281</v>
      </c>
      <c r="BR529" t="s">
        <v>510</v>
      </c>
      <c r="BS529" t="s">
        <v>181</v>
      </c>
      <c r="BT529" t="s">
        <v>510</v>
      </c>
    </row>
    <row r="530" spans="1:74">
      <c r="A530" t="s">
        <v>554</v>
      </c>
      <c r="B530" t="s">
        <v>10</v>
      </c>
      <c r="C530" t="s">
        <v>11</v>
      </c>
      <c r="D530" t="s">
        <v>482</v>
      </c>
      <c r="F530" t="s">
        <v>531</v>
      </c>
      <c r="G530" t="s">
        <v>532</v>
      </c>
      <c r="H530" t="s">
        <v>531</v>
      </c>
      <c r="I530" t="s">
        <v>532</v>
      </c>
      <c r="Y530">
        <v>9.6</v>
      </c>
      <c r="AB530">
        <v>13.5</v>
      </c>
      <c r="BP530" t="s">
        <v>555</v>
      </c>
      <c r="BQ530" t="s">
        <v>281</v>
      </c>
      <c r="BR530" t="s">
        <v>544</v>
      </c>
      <c r="BS530" t="s">
        <v>181</v>
      </c>
      <c r="BT530" t="s">
        <v>544</v>
      </c>
    </row>
    <row r="531" spans="1:74">
      <c r="A531" t="s">
        <v>549</v>
      </c>
      <c r="B531" t="s">
        <v>10</v>
      </c>
      <c r="C531" t="s">
        <v>11</v>
      </c>
      <c r="D531" t="s">
        <v>482</v>
      </c>
      <c r="F531" t="s">
        <v>526</v>
      </c>
      <c r="G531" t="s">
        <v>550</v>
      </c>
      <c r="H531" t="s">
        <v>526</v>
      </c>
      <c r="I531" t="s">
        <v>550</v>
      </c>
      <c r="AW531">
        <v>3.8</v>
      </c>
      <c r="AX531">
        <v>2.7</v>
      </c>
      <c r="AY531">
        <v>2.8</v>
      </c>
      <c r="AZ531">
        <v>2.8</v>
      </c>
      <c r="BA531">
        <f>AVERAGE(3.9,4)</f>
        <v>3.95</v>
      </c>
      <c r="BB531">
        <f>AVERAGE(3.2,3.1)</f>
        <v>3.1500000000000004</v>
      </c>
      <c r="BC531">
        <f>AVERAGE(2.9,3)</f>
        <v>2.95</v>
      </c>
      <c r="BD531">
        <v>3.15</v>
      </c>
      <c r="BQ531" t="s">
        <v>281</v>
      </c>
      <c r="BR531" t="s">
        <v>544</v>
      </c>
      <c r="BS531" t="s">
        <v>181</v>
      </c>
      <c r="BT531" t="s">
        <v>544</v>
      </c>
    </row>
    <row r="532" spans="1:74">
      <c r="A532" t="s">
        <v>553</v>
      </c>
      <c r="B532" t="s">
        <v>10</v>
      </c>
      <c r="C532" t="s">
        <v>11</v>
      </c>
      <c r="D532" t="s">
        <v>482</v>
      </c>
      <c r="F532" t="s">
        <v>526</v>
      </c>
      <c r="G532" t="s">
        <v>550</v>
      </c>
      <c r="H532" t="s">
        <v>526</v>
      </c>
      <c r="I532" t="s">
        <v>550</v>
      </c>
      <c r="AS532">
        <v>4.5</v>
      </c>
      <c r="AV532">
        <v>3.3</v>
      </c>
      <c r="BQ532" t="s">
        <v>281</v>
      </c>
      <c r="BR532" t="s">
        <v>544</v>
      </c>
      <c r="BS532" t="s">
        <v>181</v>
      </c>
      <c r="BT532" t="s">
        <v>544</v>
      </c>
    </row>
    <row r="533" spans="1:74">
      <c r="A533" t="s">
        <v>551</v>
      </c>
      <c r="B533" t="s">
        <v>10</v>
      </c>
      <c r="C533" t="s">
        <v>11</v>
      </c>
      <c r="D533" t="s">
        <v>482</v>
      </c>
      <c r="F533" t="s">
        <v>526</v>
      </c>
      <c r="G533" t="s">
        <v>550</v>
      </c>
      <c r="H533" t="s">
        <v>526</v>
      </c>
      <c r="I533" t="s">
        <v>550</v>
      </c>
      <c r="AO533">
        <v>4.5</v>
      </c>
      <c r="AR533">
        <v>2.8</v>
      </c>
      <c r="BP533" t="s">
        <v>552</v>
      </c>
      <c r="BQ533" t="s">
        <v>281</v>
      </c>
      <c r="BR533" t="s">
        <v>544</v>
      </c>
      <c r="BS533" t="s">
        <v>181</v>
      </c>
      <c r="BT533" t="s">
        <v>544</v>
      </c>
    </row>
    <row r="534" spans="1:74">
      <c r="A534" t="s">
        <v>654</v>
      </c>
      <c r="B534" s="7" t="s">
        <v>10</v>
      </c>
      <c r="C534" s="7" t="s">
        <v>11</v>
      </c>
      <c r="D534" t="s">
        <v>482</v>
      </c>
      <c r="F534" t="s">
        <v>526</v>
      </c>
      <c r="G534" t="s">
        <v>525</v>
      </c>
      <c r="H534" t="s">
        <v>524</v>
      </c>
      <c r="I534" t="s">
        <v>525</v>
      </c>
      <c r="Q534">
        <v>7</v>
      </c>
      <c r="T534">
        <v>7.6</v>
      </c>
      <c r="U534">
        <v>6.4</v>
      </c>
      <c r="X534">
        <v>9</v>
      </c>
      <c r="Y534">
        <v>5.2</v>
      </c>
      <c r="AB534">
        <v>9</v>
      </c>
      <c r="AC534">
        <v>5</v>
      </c>
      <c r="AF534">
        <v>10.199999999999999</v>
      </c>
      <c r="AG534">
        <v>3.5</v>
      </c>
      <c r="AJ534">
        <v>8</v>
      </c>
      <c r="AK534">
        <v>5.9</v>
      </c>
      <c r="AN534">
        <v>4.8</v>
      </c>
      <c r="AO534">
        <v>6.9</v>
      </c>
      <c r="AR534">
        <v>5.4</v>
      </c>
      <c r="AS534">
        <v>6.9</v>
      </c>
      <c r="AV534">
        <v>5.4</v>
      </c>
      <c r="AW534">
        <v>5.5</v>
      </c>
      <c r="AZ534">
        <v>5</v>
      </c>
      <c r="BA534">
        <v>5.3</v>
      </c>
      <c r="BD534">
        <v>5</v>
      </c>
      <c r="BE534">
        <v>5.9</v>
      </c>
      <c r="BH534">
        <v>4.2</v>
      </c>
      <c r="BQ534" t="s">
        <v>281</v>
      </c>
      <c r="BR534" t="s">
        <v>624</v>
      </c>
    </row>
    <row r="535" spans="1:74">
      <c r="A535" t="s">
        <v>653</v>
      </c>
      <c r="B535" s="7" t="s">
        <v>10</v>
      </c>
      <c r="C535" s="7" t="s">
        <v>11</v>
      </c>
      <c r="D535" t="s">
        <v>482</v>
      </c>
      <c r="F535" t="s">
        <v>526</v>
      </c>
      <c r="G535" t="s">
        <v>525</v>
      </c>
      <c r="H535" t="s">
        <v>524</v>
      </c>
      <c r="I535" t="s">
        <v>525</v>
      </c>
      <c r="M535">
        <v>6.2</v>
      </c>
      <c r="Q535">
        <v>7</v>
      </c>
      <c r="T535">
        <v>8.1999999999999993</v>
      </c>
      <c r="U535">
        <v>6.9</v>
      </c>
      <c r="X535">
        <v>9.5</v>
      </c>
      <c r="Y535">
        <v>5.3</v>
      </c>
      <c r="AB535">
        <v>9.4</v>
      </c>
      <c r="AC535">
        <v>5</v>
      </c>
      <c r="AF535">
        <v>10.7</v>
      </c>
      <c r="AG535">
        <v>4</v>
      </c>
      <c r="AJ535">
        <v>9</v>
      </c>
      <c r="AK535">
        <v>6.3</v>
      </c>
      <c r="AN535">
        <v>4.5</v>
      </c>
      <c r="AO535">
        <v>6.8</v>
      </c>
      <c r="AR535">
        <v>5.5</v>
      </c>
      <c r="BQ535" t="s">
        <v>281</v>
      </c>
      <c r="BR535" t="s">
        <v>624</v>
      </c>
    </row>
    <row r="536" spans="1:74">
      <c r="A536" t="s">
        <v>655</v>
      </c>
      <c r="B536" s="7" t="s">
        <v>10</v>
      </c>
      <c r="C536" s="7" t="s">
        <v>11</v>
      </c>
      <c r="D536" t="s">
        <v>482</v>
      </c>
      <c r="F536" t="s">
        <v>526</v>
      </c>
      <c r="G536" t="s">
        <v>525</v>
      </c>
      <c r="H536" t="s">
        <v>524</v>
      </c>
      <c r="I536" t="s">
        <v>525</v>
      </c>
      <c r="M536">
        <v>5.8</v>
      </c>
      <c r="P536">
        <v>5.3</v>
      </c>
      <c r="Q536">
        <v>7.3</v>
      </c>
      <c r="T536">
        <v>7.3</v>
      </c>
      <c r="U536">
        <v>6</v>
      </c>
      <c r="X536">
        <v>8.8000000000000007</v>
      </c>
      <c r="Y536">
        <v>5.4</v>
      </c>
      <c r="AB536">
        <v>8.6999999999999993</v>
      </c>
      <c r="AC536">
        <v>4.7</v>
      </c>
      <c r="AF536">
        <v>10</v>
      </c>
      <c r="AG536">
        <v>3.9</v>
      </c>
      <c r="AJ536">
        <v>8.1999999999999993</v>
      </c>
      <c r="BQ536" t="s">
        <v>281</v>
      </c>
      <c r="BR536" t="s">
        <v>624</v>
      </c>
    </row>
    <row r="537" spans="1:74" s="4" customFormat="1">
      <c r="A537" t="s">
        <v>661</v>
      </c>
      <c r="B537" s="7" t="s">
        <v>10</v>
      </c>
      <c r="C537" s="7" t="s">
        <v>11</v>
      </c>
      <c r="D537" t="s">
        <v>482</v>
      </c>
      <c r="E537"/>
      <c r="F537" t="s">
        <v>526</v>
      </c>
      <c r="G537" t="s">
        <v>525</v>
      </c>
      <c r="H537" t="s">
        <v>524</v>
      </c>
      <c r="I537" t="s">
        <v>525</v>
      </c>
      <c r="J537"/>
      <c r="K537"/>
      <c r="L537"/>
      <c r="M537"/>
      <c r="N537"/>
      <c r="O537"/>
      <c r="P537"/>
      <c r="Q537"/>
      <c r="R537"/>
      <c r="S537"/>
      <c r="T537"/>
      <c r="U537"/>
      <c r="V537"/>
      <c r="W537"/>
      <c r="X537"/>
      <c r="Y537"/>
      <c r="Z537"/>
      <c r="AA537"/>
      <c r="AB537"/>
      <c r="AC537"/>
      <c r="AD537"/>
      <c r="AE537"/>
      <c r="AF537"/>
      <c r="AG537"/>
      <c r="AH537"/>
      <c r="AI537"/>
      <c r="AJ537"/>
      <c r="AK537">
        <v>5.9</v>
      </c>
      <c r="AL537"/>
      <c r="AM537"/>
      <c r="AN537">
        <v>4.5</v>
      </c>
      <c r="AO537">
        <v>6.6</v>
      </c>
      <c r="AP537"/>
      <c r="AQ537"/>
      <c r="AR537">
        <v>5</v>
      </c>
      <c r="AS537">
        <v>6.7</v>
      </c>
      <c r="AT537"/>
      <c r="AU537"/>
      <c r="AV537">
        <v>5</v>
      </c>
      <c r="AW537">
        <v>5.6</v>
      </c>
      <c r="AX537"/>
      <c r="AY537"/>
      <c r="AZ537">
        <v>4.4000000000000004</v>
      </c>
      <c r="BA537">
        <v>5.5</v>
      </c>
      <c r="BB537"/>
      <c r="BC537"/>
      <c r="BD537">
        <v>4.5999999999999996</v>
      </c>
      <c r="BE537">
        <v>5.9</v>
      </c>
      <c r="BF537"/>
      <c r="BG537"/>
      <c r="BH537">
        <v>4</v>
      </c>
      <c r="BI537"/>
      <c r="BJ537"/>
      <c r="BK537"/>
      <c r="BL537"/>
      <c r="BM537"/>
      <c r="BN537"/>
      <c r="BO537"/>
      <c r="BP537"/>
      <c r="BQ537" t="s">
        <v>281</v>
      </c>
      <c r="BR537" t="s">
        <v>624</v>
      </c>
      <c r="BS537"/>
      <c r="BT537"/>
      <c r="BU537"/>
      <c r="BV537"/>
    </row>
    <row r="538" spans="1:74">
      <c r="A538" t="s">
        <v>659</v>
      </c>
      <c r="B538" s="7" t="s">
        <v>10</v>
      </c>
      <c r="C538" s="7" t="s">
        <v>11</v>
      </c>
      <c r="D538" t="s">
        <v>482</v>
      </c>
      <c r="F538" t="s">
        <v>526</v>
      </c>
      <c r="G538" t="s">
        <v>525</v>
      </c>
      <c r="H538" t="s">
        <v>524</v>
      </c>
      <c r="I538" t="s">
        <v>525</v>
      </c>
      <c r="AK538">
        <v>5.8</v>
      </c>
      <c r="AN538">
        <v>4</v>
      </c>
      <c r="AO538">
        <v>6.7</v>
      </c>
      <c r="AR538">
        <v>4.7</v>
      </c>
      <c r="AS538">
        <v>6.4</v>
      </c>
      <c r="AV538">
        <v>4.7</v>
      </c>
      <c r="AW538">
        <v>5.7</v>
      </c>
      <c r="AZ538">
        <v>4.4000000000000004</v>
      </c>
      <c r="BA538">
        <v>5.2</v>
      </c>
      <c r="BD538">
        <v>4.5</v>
      </c>
      <c r="BE538">
        <v>6.1</v>
      </c>
      <c r="BH538">
        <v>4</v>
      </c>
      <c r="BQ538" t="s">
        <v>281</v>
      </c>
      <c r="BR538" t="s">
        <v>624</v>
      </c>
    </row>
    <row r="539" spans="1:74">
      <c r="A539" t="s">
        <v>660</v>
      </c>
      <c r="B539" s="7" t="s">
        <v>10</v>
      </c>
      <c r="C539" s="7" t="s">
        <v>11</v>
      </c>
      <c r="D539" t="s">
        <v>482</v>
      </c>
      <c r="F539" t="s">
        <v>526</v>
      </c>
      <c r="G539" t="s">
        <v>525</v>
      </c>
      <c r="H539" t="s">
        <v>524</v>
      </c>
      <c r="I539" t="s">
        <v>525</v>
      </c>
      <c r="AO539">
        <v>6.2</v>
      </c>
      <c r="AR539">
        <v>5</v>
      </c>
      <c r="AS539">
        <v>6.4</v>
      </c>
      <c r="AV539">
        <v>5.3</v>
      </c>
      <c r="AW539">
        <v>5.3</v>
      </c>
      <c r="AZ539">
        <v>4.5</v>
      </c>
      <c r="BA539">
        <v>4.7</v>
      </c>
      <c r="BD539">
        <v>4.8</v>
      </c>
      <c r="BE539">
        <v>5.6</v>
      </c>
      <c r="BH539">
        <v>4.0999999999999996</v>
      </c>
      <c r="BQ539" t="s">
        <v>281</v>
      </c>
      <c r="BR539" t="s">
        <v>624</v>
      </c>
    </row>
    <row r="540" spans="1:74">
      <c r="A540" t="s">
        <v>658</v>
      </c>
      <c r="B540" s="7" t="s">
        <v>10</v>
      </c>
      <c r="C540" s="7" t="s">
        <v>11</v>
      </c>
      <c r="D540" t="s">
        <v>482</v>
      </c>
      <c r="F540" t="s">
        <v>526</v>
      </c>
      <c r="G540" t="s">
        <v>525</v>
      </c>
      <c r="H540" t="s">
        <v>524</v>
      </c>
      <c r="I540" t="s">
        <v>525</v>
      </c>
      <c r="M540">
        <v>6.2</v>
      </c>
      <c r="P540">
        <v>6.9</v>
      </c>
      <c r="AO540">
        <v>7.5</v>
      </c>
      <c r="AR540">
        <v>5.9</v>
      </c>
      <c r="AS540">
        <v>7</v>
      </c>
      <c r="AV540">
        <v>5.8</v>
      </c>
      <c r="AW540">
        <v>5.6</v>
      </c>
      <c r="AZ540">
        <v>4.8</v>
      </c>
      <c r="BA540">
        <v>5.4</v>
      </c>
      <c r="BD540">
        <v>5</v>
      </c>
      <c r="BQ540" t="s">
        <v>281</v>
      </c>
      <c r="BR540" t="s">
        <v>624</v>
      </c>
    </row>
    <row r="541" spans="1:74">
      <c r="A541" t="s">
        <v>650</v>
      </c>
      <c r="B541" s="7" t="s">
        <v>10</v>
      </c>
      <c r="C541" s="7" t="s">
        <v>11</v>
      </c>
      <c r="D541" t="s">
        <v>482</v>
      </c>
      <c r="F541" t="s">
        <v>526</v>
      </c>
      <c r="G541" t="s">
        <v>525</v>
      </c>
      <c r="H541" t="s">
        <v>524</v>
      </c>
      <c r="I541" t="s">
        <v>525</v>
      </c>
      <c r="Q541">
        <v>6.7</v>
      </c>
      <c r="T541">
        <v>7.2</v>
      </c>
      <c r="U541">
        <v>6.3</v>
      </c>
      <c r="X541">
        <v>8.1</v>
      </c>
      <c r="Y541">
        <v>5.2</v>
      </c>
      <c r="AB541">
        <v>8.5</v>
      </c>
      <c r="AC541">
        <v>5</v>
      </c>
      <c r="AF541">
        <v>8</v>
      </c>
      <c r="AG541">
        <v>3.6</v>
      </c>
      <c r="AJ541">
        <v>7.9</v>
      </c>
      <c r="BH541">
        <v>4</v>
      </c>
      <c r="BQ541" t="s">
        <v>281</v>
      </c>
      <c r="BR541" t="s">
        <v>624</v>
      </c>
    </row>
    <row r="542" spans="1:74" s="15" customFormat="1">
      <c r="A542" t="s">
        <v>651</v>
      </c>
      <c r="B542" s="7" t="s">
        <v>10</v>
      </c>
      <c r="C542" s="7" t="s">
        <v>11</v>
      </c>
      <c r="D542" t="s">
        <v>482</v>
      </c>
      <c r="E542"/>
      <c r="F542" t="s">
        <v>526</v>
      </c>
      <c r="G542" t="s">
        <v>525</v>
      </c>
      <c r="H542" t="s">
        <v>524</v>
      </c>
      <c r="I542" t="s">
        <v>525</v>
      </c>
      <c r="J542"/>
      <c r="K542"/>
      <c r="L542"/>
      <c r="M542">
        <v>5.9</v>
      </c>
      <c r="N542"/>
      <c r="O542"/>
      <c r="P542">
        <v>5.5</v>
      </c>
      <c r="Q542">
        <v>6.4</v>
      </c>
      <c r="R542"/>
      <c r="S542"/>
      <c r="T542">
        <v>7.1</v>
      </c>
      <c r="U542">
        <v>6.4</v>
      </c>
      <c r="V542"/>
      <c r="W542"/>
      <c r="X542">
        <v>8.6</v>
      </c>
      <c r="Y542">
        <v>5.2</v>
      </c>
      <c r="Z542"/>
      <c r="AA542"/>
      <c r="AB542">
        <v>8.8000000000000007</v>
      </c>
      <c r="AC542">
        <v>5</v>
      </c>
      <c r="AD542"/>
      <c r="AE542"/>
      <c r="AF542">
        <v>9.6999999999999993</v>
      </c>
      <c r="AG542"/>
      <c r="AH542"/>
      <c r="AI542"/>
      <c r="AJ542"/>
      <c r="AK542">
        <v>6</v>
      </c>
      <c r="AL542"/>
      <c r="AM542"/>
      <c r="AN542">
        <v>4.4000000000000004</v>
      </c>
      <c r="AO542">
        <v>6.9</v>
      </c>
      <c r="AP542"/>
      <c r="AQ542"/>
      <c r="AR542">
        <v>4.7</v>
      </c>
      <c r="AS542">
        <v>6.6</v>
      </c>
      <c r="AT542"/>
      <c r="AU542"/>
      <c r="AV542">
        <v>5</v>
      </c>
      <c r="AW542"/>
      <c r="AX542"/>
      <c r="AY542"/>
      <c r="AZ542"/>
      <c r="BA542"/>
      <c r="BB542"/>
      <c r="BC542"/>
      <c r="BD542"/>
      <c r="BE542"/>
      <c r="BF542"/>
      <c r="BG542"/>
      <c r="BH542"/>
      <c r="BI542"/>
      <c r="BJ542"/>
      <c r="BK542"/>
      <c r="BL542"/>
      <c r="BM542"/>
      <c r="BN542"/>
      <c r="BO542"/>
      <c r="BP542"/>
      <c r="BQ542" t="s">
        <v>281</v>
      </c>
      <c r="BR542" t="s">
        <v>624</v>
      </c>
      <c r="BS542" t="s">
        <v>371</v>
      </c>
      <c r="BT542" t="s">
        <v>624</v>
      </c>
      <c r="BU542"/>
      <c r="BV542"/>
    </row>
    <row r="543" spans="1:74">
      <c r="A543" t="s">
        <v>656</v>
      </c>
      <c r="B543" s="7" t="s">
        <v>10</v>
      </c>
      <c r="C543" s="7" t="s">
        <v>11</v>
      </c>
      <c r="D543" t="s">
        <v>482</v>
      </c>
      <c r="F543" t="s">
        <v>526</v>
      </c>
      <c r="G543" t="s">
        <v>525</v>
      </c>
      <c r="H543" t="s">
        <v>524</v>
      </c>
      <c r="I543" t="s">
        <v>525</v>
      </c>
      <c r="U543">
        <v>6.4</v>
      </c>
      <c r="X543">
        <v>8</v>
      </c>
      <c r="Y543">
        <v>5.4</v>
      </c>
      <c r="AB543">
        <v>8.6999999999999993</v>
      </c>
      <c r="AC543">
        <v>4.8</v>
      </c>
      <c r="AF543">
        <v>10</v>
      </c>
      <c r="AG543">
        <v>4</v>
      </c>
      <c r="AJ543">
        <v>8.1999999999999993</v>
      </c>
      <c r="AO543">
        <v>7</v>
      </c>
      <c r="AR543">
        <v>5</v>
      </c>
      <c r="AS543">
        <v>6.5</v>
      </c>
      <c r="AV543">
        <v>4.9000000000000004</v>
      </c>
      <c r="BA543">
        <v>4.9000000000000004</v>
      </c>
      <c r="BD543">
        <v>4.5999999999999996</v>
      </c>
      <c r="BE543">
        <v>5.0999999999999996</v>
      </c>
      <c r="BH543">
        <v>3.6</v>
      </c>
      <c r="BQ543" t="s">
        <v>281</v>
      </c>
      <c r="BR543" t="s">
        <v>624</v>
      </c>
    </row>
    <row r="544" spans="1:74">
      <c r="A544" t="s">
        <v>657</v>
      </c>
      <c r="B544" s="7" t="s">
        <v>10</v>
      </c>
      <c r="C544" s="7" t="s">
        <v>11</v>
      </c>
      <c r="D544" t="s">
        <v>482</v>
      </c>
      <c r="F544" t="s">
        <v>526</v>
      </c>
      <c r="G544" t="s">
        <v>525</v>
      </c>
      <c r="H544" t="s">
        <v>524</v>
      </c>
      <c r="I544" t="s">
        <v>525</v>
      </c>
      <c r="Q544">
        <v>7</v>
      </c>
      <c r="T544">
        <v>7.3</v>
      </c>
      <c r="AK544">
        <v>5.5</v>
      </c>
      <c r="AN544">
        <v>4</v>
      </c>
      <c r="AO544">
        <v>6.5</v>
      </c>
      <c r="AR544">
        <v>4.8</v>
      </c>
      <c r="AS544">
        <v>6.5</v>
      </c>
      <c r="AV544">
        <v>5.0999999999999996</v>
      </c>
      <c r="AW544">
        <v>5.7</v>
      </c>
      <c r="AZ544">
        <v>4.4000000000000004</v>
      </c>
      <c r="BA544">
        <v>5.2</v>
      </c>
      <c r="BD544">
        <v>4.8</v>
      </c>
      <c r="BE544">
        <v>6.2</v>
      </c>
      <c r="BH544">
        <v>4.0999999999999996</v>
      </c>
      <c r="BQ544" t="s">
        <v>281</v>
      </c>
      <c r="BR544" t="s">
        <v>624</v>
      </c>
      <c r="BS544" t="s">
        <v>371</v>
      </c>
      <c r="BT544" t="s">
        <v>624</v>
      </c>
    </row>
    <row r="545" spans="1:74">
      <c r="A545" t="s">
        <v>652</v>
      </c>
      <c r="B545" s="7" t="s">
        <v>10</v>
      </c>
      <c r="C545" s="7" t="s">
        <v>11</v>
      </c>
      <c r="D545" t="s">
        <v>482</v>
      </c>
      <c r="F545" t="s">
        <v>526</v>
      </c>
      <c r="G545" t="s">
        <v>525</v>
      </c>
      <c r="H545" t="s">
        <v>524</v>
      </c>
      <c r="I545" t="s">
        <v>525</v>
      </c>
      <c r="Q545">
        <v>7</v>
      </c>
      <c r="T545">
        <v>7.4</v>
      </c>
      <c r="U545">
        <v>6.5</v>
      </c>
      <c r="X545">
        <v>9.1</v>
      </c>
      <c r="Y545">
        <v>5.0999999999999996</v>
      </c>
      <c r="AB545">
        <v>9.3000000000000007</v>
      </c>
      <c r="AC545">
        <v>4.8</v>
      </c>
      <c r="AF545">
        <v>10</v>
      </c>
      <c r="BQ545" t="s">
        <v>281</v>
      </c>
      <c r="BR545" t="s">
        <v>624</v>
      </c>
    </row>
    <row r="546" spans="1:74">
      <c r="A546" t="s">
        <v>527</v>
      </c>
      <c r="B546" t="s">
        <v>10</v>
      </c>
      <c r="C546" t="s">
        <v>11</v>
      </c>
      <c r="D546" t="s">
        <v>482</v>
      </c>
      <c r="F546" t="s">
        <v>526</v>
      </c>
      <c r="G546" t="s">
        <v>525</v>
      </c>
      <c r="H546" t="s">
        <v>524</v>
      </c>
      <c r="I546" t="s">
        <v>525</v>
      </c>
      <c r="U546">
        <v>6.2</v>
      </c>
      <c r="X546">
        <v>9.4</v>
      </c>
      <c r="Y546">
        <v>4.5</v>
      </c>
      <c r="AB546">
        <v>8.6999999999999993</v>
      </c>
      <c r="BQ546" t="s">
        <v>281</v>
      </c>
      <c r="BR546" t="s">
        <v>510</v>
      </c>
      <c r="BS546" t="s">
        <v>181</v>
      </c>
      <c r="BT546" t="s">
        <v>510</v>
      </c>
    </row>
    <row r="547" spans="1:74">
      <c r="A547" t="s">
        <v>528</v>
      </c>
      <c r="B547" t="s">
        <v>10</v>
      </c>
      <c r="C547" t="s">
        <v>11</v>
      </c>
      <c r="D547" t="s">
        <v>482</v>
      </c>
      <c r="F547" t="s">
        <v>526</v>
      </c>
      <c r="G547" t="s">
        <v>60</v>
      </c>
      <c r="H547" t="s">
        <v>526</v>
      </c>
      <c r="I547" t="s">
        <v>60</v>
      </c>
      <c r="AK547">
        <v>3.4</v>
      </c>
      <c r="AN547">
        <v>1.92</v>
      </c>
      <c r="AO547">
        <v>4.5</v>
      </c>
      <c r="AR547">
        <v>2.9</v>
      </c>
      <c r="BQ547" t="s">
        <v>281</v>
      </c>
      <c r="BR547" t="s">
        <v>510</v>
      </c>
      <c r="BS547" t="s">
        <v>181</v>
      </c>
      <c r="BT547" t="s">
        <v>510</v>
      </c>
    </row>
    <row r="548" spans="1:74">
      <c r="A548" t="s">
        <v>529</v>
      </c>
      <c r="B548" t="s">
        <v>10</v>
      </c>
      <c r="C548" t="s">
        <v>11</v>
      </c>
      <c r="D548" t="s">
        <v>482</v>
      </c>
      <c r="F548" t="s">
        <v>526</v>
      </c>
      <c r="G548" t="s">
        <v>60</v>
      </c>
      <c r="H548" t="s">
        <v>526</v>
      </c>
      <c r="I548" t="s">
        <v>60</v>
      </c>
      <c r="BE548">
        <v>4.8</v>
      </c>
      <c r="BF548">
        <v>3.15</v>
      </c>
      <c r="BG548">
        <v>2.65</v>
      </c>
      <c r="BH548">
        <v>3.15</v>
      </c>
      <c r="BQ548" t="s">
        <v>281</v>
      </c>
      <c r="BR548" t="s">
        <v>510</v>
      </c>
      <c r="BS548" t="s">
        <v>181</v>
      </c>
      <c r="BT548" t="s">
        <v>510</v>
      </c>
    </row>
    <row r="549" spans="1:74">
      <c r="A549" t="s">
        <v>363</v>
      </c>
      <c r="B549" t="s">
        <v>10</v>
      </c>
      <c r="C549" t="s">
        <v>11</v>
      </c>
      <c r="D549" t="s">
        <v>482</v>
      </c>
      <c r="F549" t="s">
        <v>364</v>
      </c>
      <c r="G549" t="s">
        <v>353</v>
      </c>
      <c r="H549" t="s">
        <v>364</v>
      </c>
      <c r="I549" t="s">
        <v>353</v>
      </c>
      <c r="AW549">
        <v>3.87</v>
      </c>
      <c r="AX549">
        <v>2.62</v>
      </c>
      <c r="AY549">
        <v>2.68</v>
      </c>
      <c r="AZ549">
        <f>MAX(AX549:AY549)</f>
        <v>2.68</v>
      </c>
      <c r="BA549">
        <v>4.05</v>
      </c>
      <c r="BB549">
        <v>3.16</v>
      </c>
      <c r="BC549">
        <v>2.87</v>
      </c>
      <c r="BD549">
        <f>MAX(BB549:BC549)</f>
        <v>3.16</v>
      </c>
      <c r="BE549">
        <v>4.7699999999999996</v>
      </c>
      <c r="BF549">
        <v>2.77</v>
      </c>
      <c r="BP549" t="s">
        <v>366</v>
      </c>
      <c r="BQ549" t="s">
        <v>281</v>
      </c>
      <c r="BR549" t="s">
        <v>322</v>
      </c>
    </row>
    <row r="550" spans="1:74">
      <c r="A550" t="s">
        <v>352</v>
      </c>
      <c r="B550" t="s">
        <v>10</v>
      </c>
      <c r="C550" t="s">
        <v>11</v>
      </c>
      <c r="D550" t="s">
        <v>482</v>
      </c>
      <c r="F550" t="s">
        <v>364</v>
      </c>
      <c r="G550" t="s">
        <v>353</v>
      </c>
      <c r="H550" t="s">
        <v>364</v>
      </c>
      <c r="I550" t="s">
        <v>353</v>
      </c>
      <c r="AW550">
        <v>3.86</v>
      </c>
      <c r="AX550">
        <v>2.75</v>
      </c>
      <c r="AY550">
        <v>2.76</v>
      </c>
      <c r="AZ550">
        <f>MAX(AX550:AY550)</f>
        <v>2.76</v>
      </c>
      <c r="BA550">
        <v>4.58</v>
      </c>
      <c r="BB550">
        <v>3.22</v>
      </c>
      <c r="BC550">
        <v>3.27</v>
      </c>
      <c r="BD550">
        <f>MAX(BB550:BC550)</f>
        <v>3.27</v>
      </c>
      <c r="BE550">
        <v>5.0199999999999996</v>
      </c>
      <c r="BF550">
        <v>2.93</v>
      </c>
      <c r="BP550" t="s">
        <v>366</v>
      </c>
      <c r="BQ550" t="s">
        <v>281</v>
      </c>
      <c r="BR550" t="s">
        <v>322</v>
      </c>
    </row>
    <row r="551" spans="1:74">
      <c r="A551" t="s">
        <v>319</v>
      </c>
      <c r="B551" t="s">
        <v>10</v>
      </c>
      <c r="C551" t="s">
        <v>11</v>
      </c>
      <c r="D551" t="s">
        <v>482</v>
      </c>
      <c r="F551" t="s">
        <v>89</v>
      </c>
      <c r="G551" t="s">
        <v>787</v>
      </c>
      <c r="H551" t="s">
        <v>89</v>
      </c>
      <c r="I551" t="s">
        <v>787</v>
      </c>
      <c r="T551">
        <v>2.8</v>
      </c>
      <c r="U551">
        <f>AVERAGE(3,2.8)</f>
        <v>2.9</v>
      </c>
      <c r="X551">
        <f>AVERAGE(4.1,4.1)</f>
        <v>4.0999999999999996</v>
      </c>
      <c r="Y551">
        <f>AVERAGE(3,3)</f>
        <v>3</v>
      </c>
      <c r="Z551">
        <f>AVERAGE(4.1,4.1)</f>
        <v>4.0999999999999996</v>
      </c>
      <c r="AA551">
        <f>AVERAGE(4.3,4.4)</f>
        <v>4.3499999999999996</v>
      </c>
      <c r="AB551">
        <f>MAX(Z551:AA551)</f>
        <v>4.3499999999999996</v>
      </c>
      <c r="AC551">
        <f>AVERAGE(3.1,3.1)</f>
        <v>3.1</v>
      </c>
      <c r="AD551">
        <f>AVERAGE(4.9,4.9)</f>
        <v>4.9000000000000004</v>
      </c>
      <c r="AE551">
        <f>AVERAGE(5,5)</f>
        <v>5</v>
      </c>
      <c r="AF551">
        <f>MAX(AD551:AE551)</f>
        <v>5</v>
      </c>
      <c r="AG551">
        <v>2.7</v>
      </c>
      <c r="AH551">
        <v>4.4000000000000004</v>
      </c>
      <c r="AI551">
        <v>4</v>
      </c>
      <c r="AJ551">
        <v>4.4000000000000004</v>
      </c>
      <c r="AS551">
        <v>2.9</v>
      </c>
      <c r="AV551">
        <v>2</v>
      </c>
      <c r="AW551">
        <v>2.9</v>
      </c>
      <c r="AX551">
        <v>2.2000000000000002</v>
      </c>
      <c r="AY551">
        <v>2.2000000000000002</v>
      </c>
      <c r="AZ551">
        <v>2.2000000000000002</v>
      </c>
      <c r="BA551">
        <v>2.9</v>
      </c>
      <c r="BB551">
        <v>2.4</v>
      </c>
      <c r="BC551">
        <v>2.4</v>
      </c>
      <c r="BD551">
        <v>2.4</v>
      </c>
      <c r="BE551">
        <v>3.6</v>
      </c>
      <c r="BF551">
        <v>2.2999999999999998</v>
      </c>
      <c r="BG551">
        <v>2.1</v>
      </c>
      <c r="BH551">
        <v>2.2999999999999998</v>
      </c>
      <c r="BQ551" t="s">
        <v>166</v>
      </c>
      <c r="BR551" t="s">
        <v>861</v>
      </c>
    </row>
    <row r="552" spans="1:74">
      <c r="A552" s="15" t="s">
        <v>865</v>
      </c>
      <c r="B552" s="15" t="s">
        <v>10</v>
      </c>
      <c r="C552" s="15" t="s">
        <v>11</v>
      </c>
      <c r="D552" s="15" t="s">
        <v>482</v>
      </c>
      <c r="E552" s="15"/>
      <c r="F552" s="15" t="s">
        <v>89</v>
      </c>
      <c r="G552" s="15" t="s">
        <v>787</v>
      </c>
      <c r="H552" s="15" t="s">
        <v>89</v>
      </c>
      <c r="I552" s="15" t="s">
        <v>787</v>
      </c>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t="s">
        <v>166</v>
      </c>
      <c r="BR552" s="15" t="s">
        <v>861</v>
      </c>
      <c r="BS552" s="15" t="s">
        <v>181</v>
      </c>
      <c r="BT552" s="15" t="s">
        <v>861</v>
      </c>
      <c r="BU552" s="15"/>
      <c r="BV552" s="15"/>
    </row>
    <row r="553" spans="1:74">
      <c r="A553" s="15" t="s">
        <v>866</v>
      </c>
      <c r="B553" s="15" t="s">
        <v>10</v>
      </c>
      <c r="C553" s="15" t="s">
        <v>11</v>
      </c>
      <c r="D553" s="15" t="s">
        <v>482</v>
      </c>
      <c r="E553" s="15"/>
      <c r="F553" s="15" t="s">
        <v>89</v>
      </c>
      <c r="G553" s="15" t="s">
        <v>788</v>
      </c>
      <c r="H553" s="15" t="s">
        <v>89</v>
      </c>
      <c r="I553" s="15" t="s">
        <v>788</v>
      </c>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t="s">
        <v>166</v>
      </c>
      <c r="BR553" s="15" t="s">
        <v>861</v>
      </c>
      <c r="BS553" s="15" t="s">
        <v>181</v>
      </c>
      <c r="BT553" s="15" t="s">
        <v>861</v>
      </c>
      <c r="BU553" s="15"/>
      <c r="BV553" s="15"/>
    </row>
    <row r="554" spans="1:74">
      <c r="A554" t="s">
        <v>864</v>
      </c>
      <c r="B554" t="s">
        <v>10</v>
      </c>
      <c r="C554" t="s">
        <v>11</v>
      </c>
      <c r="D554" t="s">
        <v>482</v>
      </c>
      <c r="F554" t="s">
        <v>89</v>
      </c>
      <c r="G554" t="s">
        <v>788</v>
      </c>
      <c r="H554" t="s">
        <v>89</v>
      </c>
      <c r="I554" t="s">
        <v>788</v>
      </c>
      <c r="Y554">
        <v>4.0999999999999996</v>
      </c>
      <c r="Z554">
        <v>5.3</v>
      </c>
      <c r="AA554">
        <v>5.7</v>
      </c>
      <c r="AB554">
        <v>5.7</v>
      </c>
      <c r="BQ554" t="s">
        <v>166</v>
      </c>
      <c r="BR554" t="s">
        <v>861</v>
      </c>
    </row>
    <row r="555" spans="1:74">
      <c r="A555" t="s">
        <v>862</v>
      </c>
      <c r="B555" t="s">
        <v>10</v>
      </c>
      <c r="C555" t="s">
        <v>11</v>
      </c>
      <c r="D555" t="s">
        <v>482</v>
      </c>
      <c r="F555" t="s">
        <v>89</v>
      </c>
      <c r="G555" t="s">
        <v>788</v>
      </c>
      <c r="H555" t="s">
        <v>89</v>
      </c>
      <c r="I555" t="s">
        <v>788</v>
      </c>
      <c r="AW555">
        <v>4.0999999999999996</v>
      </c>
      <c r="AX555">
        <v>3.1</v>
      </c>
      <c r="AY555">
        <v>3.2</v>
      </c>
      <c r="AZ555">
        <v>3.2</v>
      </c>
      <c r="BP555" t="s">
        <v>863</v>
      </c>
      <c r="BQ555" t="s">
        <v>166</v>
      </c>
      <c r="BR555" t="s">
        <v>861</v>
      </c>
    </row>
    <row r="556" spans="1:74">
      <c r="A556" t="s">
        <v>319</v>
      </c>
      <c r="B556" t="s">
        <v>10</v>
      </c>
      <c r="C556" t="s">
        <v>11</v>
      </c>
      <c r="D556" t="s">
        <v>482</v>
      </c>
      <c r="F556" t="s">
        <v>89</v>
      </c>
      <c r="G556" t="s">
        <v>788</v>
      </c>
      <c r="H556" t="s">
        <v>89</v>
      </c>
      <c r="I556" t="s">
        <v>788</v>
      </c>
      <c r="U556">
        <v>4</v>
      </c>
      <c r="X556">
        <v>4.9000000000000004</v>
      </c>
      <c r="Y556">
        <v>4.0999999999999996</v>
      </c>
      <c r="Z556">
        <v>5.7</v>
      </c>
      <c r="AA556">
        <v>6</v>
      </c>
      <c r="AB556">
        <v>6</v>
      </c>
      <c r="AC556">
        <v>3.9</v>
      </c>
      <c r="AD556">
        <v>6.6</v>
      </c>
      <c r="AE556">
        <v>6.7</v>
      </c>
      <c r="AF556">
        <v>6.7</v>
      </c>
      <c r="AG556">
        <v>3.5</v>
      </c>
      <c r="AH556">
        <v>6.2</v>
      </c>
      <c r="AI556">
        <v>5.4</v>
      </c>
      <c r="AJ556">
        <v>6.2</v>
      </c>
      <c r="AK556">
        <v>3.8</v>
      </c>
      <c r="AN556">
        <v>2.4</v>
      </c>
      <c r="AO556">
        <v>4.3</v>
      </c>
      <c r="AR556">
        <v>2.6</v>
      </c>
      <c r="AS556">
        <v>4.3</v>
      </c>
      <c r="AV556">
        <v>2.8</v>
      </c>
      <c r="AW556">
        <v>4.2</v>
      </c>
      <c r="AX556">
        <v>3</v>
      </c>
      <c r="AY556">
        <v>3.1</v>
      </c>
      <c r="AZ556">
        <v>3.1</v>
      </c>
      <c r="BA556">
        <v>3.9</v>
      </c>
      <c r="BB556">
        <v>3.3</v>
      </c>
      <c r="BC556">
        <v>3.1</v>
      </c>
      <c r="BD556">
        <v>3.3</v>
      </c>
      <c r="BE556">
        <v>4.8</v>
      </c>
      <c r="BF556">
        <v>3.1</v>
      </c>
      <c r="BG556">
        <v>2.7</v>
      </c>
      <c r="BH556">
        <v>3.1</v>
      </c>
      <c r="BQ556" t="s">
        <v>166</v>
      </c>
      <c r="BR556" t="s">
        <v>861</v>
      </c>
      <c r="BS556" t="s">
        <v>181</v>
      </c>
      <c r="BT556" t="s">
        <v>197</v>
      </c>
    </row>
    <row r="557" spans="1:74">
      <c r="A557" t="s">
        <v>918</v>
      </c>
      <c r="B557" t="s">
        <v>10</v>
      </c>
      <c r="C557" t="s">
        <v>11</v>
      </c>
      <c r="D557" t="s">
        <v>482</v>
      </c>
      <c r="F557" t="s">
        <v>89</v>
      </c>
      <c r="G557" t="s">
        <v>789</v>
      </c>
      <c r="H557" t="s">
        <v>89</v>
      </c>
      <c r="I557" t="s">
        <v>789</v>
      </c>
      <c r="U557">
        <v>4.4000000000000004</v>
      </c>
      <c r="X557">
        <v>4.8</v>
      </c>
      <c r="BQ557" t="s">
        <v>166</v>
      </c>
      <c r="BR557" t="s">
        <v>883</v>
      </c>
    </row>
    <row r="558" spans="1:74">
      <c r="A558" t="s">
        <v>919</v>
      </c>
      <c r="B558" t="s">
        <v>10</v>
      </c>
      <c r="C558" t="s">
        <v>11</v>
      </c>
      <c r="D558" t="s">
        <v>482</v>
      </c>
      <c r="F558" t="s">
        <v>89</v>
      </c>
      <c r="G558" t="s">
        <v>789</v>
      </c>
      <c r="H558" t="s">
        <v>89</v>
      </c>
      <c r="I558" t="s">
        <v>789</v>
      </c>
      <c r="Q558">
        <v>3.8</v>
      </c>
      <c r="T558">
        <v>3.8</v>
      </c>
      <c r="BP558" t="s">
        <v>920</v>
      </c>
      <c r="BQ558" t="s">
        <v>166</v>
      </c>
      <c r="BR558" t="s">
        <v>883</v>
      </c>
    </row>
    <row r="559" spans="1:74">
      <c r="A559" t="s">
        <v>923</v>
      </c>
      <c r="B559" t="s">
        <v>10</v>
      </c>
      <c r="C559" t="s">
        <v>11</v>
      </c>
      <c r="D559" t="s">
        <v>482</v>
      </c>
      <c r="F559" t="s">
        <v>89</v>
      </c>
      <c r="G559" t="s">
        <v>789</v>
      </c>
      <c r="H559" t="s">
        <v>89</v>
      </c>
      <c r="I559" t="s">
        <v>789</v>
      </c>
      <c r="AO559">
        <v>4.3</v>
      </c>
      <c r="AR559">
        <v>2.5</v>
      </c>
      <c r="AS559">
        <v>4.4000000000000004</v>
      </c>
      <c r="AV559">
        <v>3.1</v>
      </c>
      <c r="AW559">
        <v>4.4000000000000004</v>
      </c>
      <c r="AX559">
        <v>3.4</v>
      </c>
      <c r="AY559">
        <v>3.5</v>
      </c>
      <c r="AZ559">
        <v>3.5</v>
      </c>
      <c r="BA559">
        <v>4.3</v>
      </c>
      <c r="BB559">
        <v>3.7</v>
      </c>
      <c r="BC559">
        <v>3.5</v>
      </c>
      <c r="BD559">
        <v>3.7</v>
      </c>
      <c r="BE559">
        <v>4.7</v>
      </c>
      <c r="BF559">
        <v>3.1</v>
      </c>
      <c r="BG559">
        <v>2.7</v>
      </c>
      <c r="BH559">
        <v>3.1</v>
      </c>
      <c r="BP559" t="s">
        <v>924</v>
      </c>
      <c r="BQ559" t="s">
        <v>166</v>
      </c>
      <c r="BR559" t="s">
        <v>883</v>
      </c>
    </row>
    <row r="560" spans="1:74">
      <c r="A560" t="s">
        <v>921</v>
      </c>
      <c r="B560" t="s">
        <v>10</v>
      </c>
      <c r="C560" t="s">
        <v>11</v>
      </c>
      <c r="D560" t="s">
        <v>482</v>
      </c>
      <c r="F560" t="s">
        <v>89</v>
      </c>
      <c r="G560" t="s">
        <v>789</v>
      </c>
      <c r="H560" t="s">
        <v>89</v>
      </c>
      <c r="I560" t="s">
        <v>789</v>
      </c>
      <c r="U560">
        <v>4.2</v>
      </c>
      <c r="X560">
        <v>5.3</v>
      </c>
      <c r="BP560" t="s">
        <v>899</v>
      </c>
      <c r="BQ560" t="s">
        <v>166</v>
      </c>
      <c r="BR560" t="s">
        <v>883</v>
      </c>
    </row>
    <row r="561" spans="1:74">
      <c r="A561" t="s">
        <v>922</v>
      </c>
      <c r="B561" t="s">
        <v>10</v>
      </c>
      <c r="C561" t="s">
        <v>11</v>
      </c>
      <c r="D561" t="s">
        <v>482</v>
      </c>
      <c r="F561" t="s">
        <v>89</v>
      </c>
      <c r="G561" t="s">
        <v>789</v>
      </c>
      <c r="H561" t="s">
        <v>89</v>
      </c>
      <c r="I561" t="s">
        <v>789</v>
      </c>
      <c r="U561">
        <v>4.4000000000000004</v>
      </c>
      <c r="X561">
        <v>5.6</v>
      </c>
      <c r="Y561">
        <v>4.5999999999999996</v>
      </c>
      <c r="AA561">
        <v>6.1</v>
      </c>
      <c r="AB561">
        <v>6.1</v>
      </c>
      <c r="AC561">
        <v>4.3</v>
      </c>
      <c r="AD561">
        <v>7.2</v>
      </c>
      <c r="AE561">
        <v>7.2</v>
      </c>
      <c r="AF561">
        <v>7.2</v>
      </c>
      <c r="AG561">
        <v>3.1</v>
      </c>
      <c r="AH561">
        <v>6</v>
      </c>
      <c r="AI561">
        <v>5</v>
      </c>
      <c r="AJ561">
        <v>6</v>
      </c>
      <c r="BP561" t="s">
        <v>899</v>
      </c>
      <c r="BQ561" t="s">
        <v>166</v>
      </c>
      <c r="BR561" t="s">
        <v>883</v>
      </c>
    </row>
    <row r="562" spans="1:74">
      <c r="A562" t="s">
        <v>925</v>
      </c>
      <c r="B562" t="s">
        <v>10</v>
      </c>
      <c r="C562" t="s">
        <v>11</v>
      </c>
      <c r="D562" t="s">
        <v>482</v>
      </c>
      <c r="F562" t="s">
        <v>89</v>
      </c>
      <c r="G562" t="s">
        <v>789</v>
      </c>
      <c r="H562" t="s">
        <v>89</v>
      </c>
      <c r="I562" t="s">
        <v>789</v>
      </c>
      <c r="BA562">
        <v>4.4000000000000004</v>
      </c>
      <c r="BB562">
        <v>3.5</v>
      </c>
      <c r="BC562">
        <v>3.2</v>
      </c>
      <c r="BD562">
        <v>3.5</v>
      </c>
      <c r="BE562">
        <v>4.5999999999999996</v>
      </c>
      <c r="BF562">
        <v>3.1</v>
      </c>
      <c r="BG562">
        <v>2.6</v>
      </c>
      <c r="BH562">
        <v>3.1</v>
      </c>
      <c r="BP562" t="s">
        <v>926</v>
      </c>
      <c r="BQ562" t="s">
        <v>166</v>
      </c>
      <c r="BR562" t="s">
        <v>883</v>
      </c>
    </row>
    <row r="563" spans="1:74">
      <c r="A563" t="s">
        <v>879</v>
      </c>
      <c r="B563" t="s">
        <v>10</v>
      </c>
      <c r="C563" t="s">
        <v>11</v>
      </c>
      <c r="D563" t="s">
        <v>482</v>
      </c>
      <c r="F563" t="s">
        <v>89</v>
      </c>
      <c r="G563" t="s">
        <v>790</v>
      </c>
      <c r="H563" t="s">
        <v>89</v>
      </c>
      <c r="I563" t="s">
        <v>790</v>
      </c>
      <c r="Y563">
        <v>3.6</v>
      </c>
      <c r="Z563">
        <v>4.8</v>
      </c>
      <c r="AA563">
        <v>4.9000000000000004</v>
      </c>
      <c r="AB563">
        <v>4.9000000000000004</v>
      </c>
      <c r="BQ563" t="s">
        <v>166</v>
      </c>
      <c r="BR563" t="s">
        <v>861</v>
      </c>
    </row>
    <row r="564" spans="1:74">
      <c r="A564" t="s">
        <v>871</v>
      </c>
      <c r="B564" t="s">
        <v>10</v>
      </c>
      <c r="C564" t="s">
        <v>11</v>
      </c>
      <c r="D564" t="s">
        <v>482</v>
      </c>
      <c r="F564" t="s">
        <v>89</v>
      </c>
      <c r="G564" t="s">
        <v>790</v>
      </c>
      <c r="H564" t="s">
        <v>89</v>
      </c>
      <c r="I564" t="s">
        <v>790</v>
      </c>
      <c r="BB564">
        <v>2.2999999999999998</v>
      </c>
      <c r="BP564" t="s">
        <v>872</v>
      </c>
      <c r="BQ564" t="s">
        <v>166</v>
      </c>
      <c r="BR564" t="s">
        <v>861</v>
      </c>
    </row>
    <row r="565" spans="1:74">
      <c r="A565" t="s">
        <v>871</v>
      </c>
      <c r="B565" t="s">
        <v>10</v>
      </c>
      <c r="C565" t="s">
        <v>11</v>
      </c>
      <c r="D565" t="s">
        <v>482</v>
      </c>
      <c r="F565" t="s">
        <v>89</v>
      </c>
      <c r="G565" t="s">
        <v>790</v>
      </c>
      <c r="H565" t="s">
        <v>89</v>
      </c>
      <c r="I565" t="s">
        <v>790</v>
      </c>
      <c r="AG565">
        <v>3</v>
      </c>
      <c r="BQ565" t="s">
        <v>166</v>
      </c>
      <c r="BR565" t="s">
        <v>861</v>
      </c>
    </row>
    <row r="566" spans="1:74">
      <c r="A566" t="s">
        <v>873</v>
      </c>
      <c r="B566" t="s">
        <v>10</v>
      </c>
      <c r="C566" t="s">
        <v>11</v>
      </c>
      <c r="D566" t="s">
        <v>482</v>
      </c>
      <c r="F566" t="s">
        <v>89</v>
      </c>
      <c r="G566" t="s">
        <v>790</v>
      </c>
      <c r="H566" t="s">
        <v>89</v>
      </c>
      <c r="I566" t="s">
        <v>790</v>
      </c>
      <c r="BA566">
        <v>3.4</v>
      </c>
      <c r="BB566">
        <v>2.7</v>
      </c>
      <c r="BC566">
        <v>2.6</v>
      </c>
      <c r="BD566">
        <v>2.7</v>
      </c>
      <c r="BP566" t="s">
        <v>874</v>
      </c>
      <c r="BQ566" t="s">
        <v>166</v>
      </c>
      <c r="BR566" t="s">
        <v>861</v>
      </c>
    </row>
    <row r="567" spans="1:74">
      <c r="A567" t="s">
        <v>880</v>
      </c>
      <c r="B567" t="s">
        <v>10</v>
      </c>
      <c r="C567" t="s">
        <v>11</v>
      </c>
      <c r="D567" t="s">
        <v>482</v>
      </c>
      <c r="F567" t="s">
        <v>89</v>
      </c>
      <c r="G567" t="s">
        <v>790</v>
      </c>
      <c r="H567" t="s">
        <v>89</v>
      </c>
      <c r="I567" t="s">
        <v>790</v>
      </c>
      <c r="Y567">
        <v>3.3</v>
      </c>
      <c r="Z567">
        <v>4.0999999999999996</v>
      </c>
      <c r="AA567">
        <v>4.8</v>
      </c>
      <c r="AB567">
        <v>4.8</v>
      </c>
      <c r="AC567">
        <v>3.5</v>
      </c>
      <c r="AD567">
        <v>6</v>
      </c>
      <c r="AE567">
        <v>6.1</v>
      </c>
      <c r="AF567">
        <v>6.1</v>
      </c>
      <c r="BP567" t="s">
        <v>208</v>
      </c>
      <c r="BQ567" t="s">
        <v>166</v>
      </c>
      <c r="BR567" t="s">
        <v>861</v>
      </c>
    </row>
    <row r="568" spans="1:74">
      <c r="A568" t="s">
        <v>877</v>
      </c>
      <c r="B568" t="s">
        <v>10</v>
      </c>
      <c r="C568" t="s">
        <v>11</v>
      </c>
      <c r="D568" t="s">
        <v>482</v>
      </c>
      <c r="F568" t="s">
        <v>89</v>
      </c>
      <c r="G568" t="s">
        <v>790</v>
      </c>
      <c r="H568" t="s">
        <v>89</v>
      </c>
      <c r="I568" t="s">
        <v>790</v>
      </c>
      <c r="BA568">
        <v>3.2</v>
      </c>
      <c r="BB568">
        <v>2.7</v>
      </c>
      <c r="BC568">
        <v>2.6</v>
      </c>
      <c r="BD568">
        <v>2.7</v>
      </c>
      <c r="BQ568" t="s">
        <v>166</v>
      </c>
      <c r="BR568" t="s">
        <v>861</v>
      </c>
    </row>
    <row r="569" spans="1:74">
      <c r="A569" t="s">
        <v>870</v>
      </c>
      <c r="B569" t="s">
        <v>10</v>
      </c>
      <c r="C569" t="s">
        <v>11</v>
      </c>
      <c r="D569" t="s">
        <v>482</v>
      </c>
      <c r="F569" t="s">
        <v>89</v>
      </c>
      <c r="G569" t="s">
        <v>790</v>
      </c>
      <c r="H569" t="s">
        <v>89</v>
      </c>
      <c r="I569" t="s">
        <v>790</v>
      </c>
      <c r="AW569">
        <v>3.4</v>
      </c>
      <c r="AY569">
        <v>2.5</v>
      </c>
      <c r="AZ569">
        <v>2.5</v>
      </c>
      <c r="BQ569" t="s">
        <v>166</v>
      </c>
      <c r="BR569" t="s">
        <v>861</v>
      </c>
    </row>
    <row r="570" spans="1:74">
      <c r="A570" t="s">
        <v>876</v>
      </c>
      <c r="B570" t="s">
        <v>10</v>
      </c>
      <c r="C570" t="s">
        <v>11</v>
      </c>
      <c r="D570" t="s">
        <v>482</v>
      </c>
      <c r="F570" t="s">
        <v>89</v>
      </c>
      <c r="G570" t="s">
        <v>790</v>
      </c>
      <c r="H570" t="s">
        <v>89</v>
      </c>
      <c r="I570" t="s">
        <v>790</v>
      </c>
      <c r="BA570">
        <v>3.1</v>
      </c>
      <c r="BB570">
        <v>2.7</v>
      </c>
      <c r="BC570">
        <v>2.5</v>
      </c>
      <c r="BD570">
        <v>2.7</v>
      </c>
      <c r="BQ570" t="s">
        <v>166</v>
      </c>
      <c r="BR570" t="s">
        <v>861</v>
      </c>
    </row>
    <row r="571" spans="1:74">
      <c r="A571" t="s">
        <v>881</v>
      </c>
      <c r="B571" t="s">
        <v>10</v>
      </c>
      <c r="C571" t="s">
        <v>11</v>
      </c>
      <c r="D571" t="s">
        <v>482</v>
      </c>
      <c r="F571" t="s">
        <v>89</v>
      </c>
      <c r="G571" t="s">
        <v>790</v>
      </c>
      <c r="H571" t="s">
        <v>89</v>
      </c>
      <c r="I571" t="s">
        <v>790</v>
      </c>
      <c r="AC571">
        <v>3.1</v>
      </c>
      <c r="AD571">
        <v>5.7</v>
      </c>
      <c r="AE571">
        <v>5.6</v>
      </c>
      <c r="AF571">
        <v>5.7</v>
      </c>
      <c r="BQ571" t="s">
        <v>166</v>
      </c>
      <c r="BR571" t="s">
        <v>861</v>
      </c>
    </row>
    <row r="572" spans="1:74">
      <c r="A572" t="s">
        <v>869</v>
      </c>
      <c r="B572" t="s">
        <v>10</v>
      </c>
      <c r="C572" t="s">
        <v>11</v>
      </c>
      <c r="D572" t="s">
        <v>482</v>
      </c>
      <c r="F572" t="s">
        <v>89</v>
      </c>
      <c r="G572" t="s">
        <v>790</v>
      </c>
      <c r="H572" t="s">
        <v>89</v>
      </c>
      <c r="I572" t="s">
        <v>790</v>
      </c>
      <c r="AW572">
        <v>3.2</v>
      </c>
      <c r="AX572">
        <v>2.2999999999999998</v>
      </c>
      <c r="AY572">
        <v>2.1</v>
      </c>
      <c r="AZ572">
        <v>2.2999999999999998</v>
      </c>
      <c r="BQ572" t="s">
        <v>166</v>
      </c>
      <c r="BR572" t="s">
        <v>861</v>
      </c>
    </row>
    <row r="573" spans="1:74">
      <c r="A573" t="s">
        <v>878</v>
      </c>
      <c r="B573" t="s">
        <v>10</v>
      </c>
      <c r="C573" t="s">
        <v>11</v>
      </c>
      <c r="D573" t="s">
        <v>482</v>
      </c>
      <c r="F573" t="s">
        <v>89</v>
      </c>
      <c r="G573" t="s">
        <v>790</v>
      </c>
      <c r="H573" t="s">
        <v>89</v>
      </c>
      <c r="I573" t="s">
        <v>790</v>
      </c>
      <c r="U573">
        <v>3.4</v>
      </c>
      <c r="X573">
        <v>4</v>
      </c>
      <c r="BQ573" t="s">
        <v>166</v>
      </c>
      <c r="BR573" t="s">
        <v>861</v>
      </c>
    </row>
    <row r="574" spans="1:74">
      <c r="A574" t="s">
        <v>875</v>
      </c>
      <c r="B574" t="s">
        <v>10</v>
      </c>
      <c r="C574" t="s">
        <v>11</v>
      </c>
      <c r="D574" t="s">
        <v>482</v>
      </c>
      <c r="F574" t="s">
        <v>89</v>
      </c>
      <c r="G574" t="s">
        <v>790</v>
      </c>
      <c r="H574" t="s">
        <v>89</v>
      </c>
      <c r="I574" t="s">
        <v>790</v>
      </c>
      <c r="BA574">
        <v>3.5</v>
      </c>
      <c r="BB574">
        <v>2.9</v>
      </c>
      <c r="BC574">
        <v>2.7</v>
      </c>
      <c r="BD574">
        <v>2.9</v>
      </c>
      <c r="BQ574" t="s">
        <v>166</v>
      </c>
      <c r="BR574" t="s">
        <v>861</v>
      </c>
    </row>
    <row r="575" spans="1:74">
      <c r="A575" t="s">
        <v>319</v>
      </c>
      <c r="B575" t="s">
        <v>10</v>
      </c>
      <c r="C575" t="s">
        <v>11</v>
      </c>
      <c r="D575" t="s">
        <v>482</v>
      </c>
      <c r="F575" t="s">
        <v>89</v>
      </c>
      <c r="G575" t="s">
        <v>791</v>
      </c>
      <c r="H575" t="s">
        <v>89</v>
      </c>
      <c r="I575" t="s">
        <v>791</v>
      </c>
      <c r="Q575">
        <v>3.3</v>
      </c>
      <c r="T575">
        <v>3.3</v>
      </c>
      <c r="U575">
        <v>3.6</v>
      </c>
      <c r="X575">
        <v>5</v>
      </c>
      <c r="Y575">
        <v>3.6</v>
      </c>
      <c r="Z575">
        <v>5.4</v>
      </c>
      <c r="AA575">
        <v>5.6</v>
      </c>
      <c r="AB575">
        <v>5.6</v>
      </c>
      <c r="AC575">
        <v>3.6</v>
      </c>
      <c r="AD575">
        <v>6.4</v>
      </c>
      <c r="AE575">
        <v>6.4</v>
      </c>
      <c r="AF575">
        <v>6.4</v>
      </c>
      <c r="AG575">
        <v>3.2</v>
      </c>
      <c r="AH575">
        <v>6</v>
      </c>
      <c r="AI575">
        <v>5.4</v>
      </c>
      <c r="AJ575">
        <v>6</v>
      </c>
      <c r="AK575">
        <v>3.1</v>
      </c>
      <c r="AN575">
        <v>1.8</v>
      </c>
      <c r="AO575">
        <v>3.5</v>
      </c>
      <c r="AR575">
        <v>2.2000000000000002</v>
      </c>
      <c r="AS575">
        <v>3.6</v>
      </c>
      <c r="AV575">
        <v>2.5</v>
      </c>
      <c r="AW575">
        <v>3.6</v>
      </c>
      <c r="AX575">
        <v>2.7</v>
      </c>
      <c r="AY575">
        <v>2.7</v>
      </c>
      <c r="AZ575">
        <v>2.7</v>
      </c>
      <c r="BA575">
        <v>3.4</v>
      </c>
      <c r="BB575">
        <v>2.9</v>
      </c>
      <c r="BC575">
        <v>2.8</v>
      </c>
      <c r="BD575">
        <v>2.9</v>
      </c>
      <c r="BE575">
        <v>4.0999999999999996</v>
      </c>
      <c r="BF575">
        <v>2.7</v>
      </c>
      <c r="BG575">
        <v>2.2999999999999998</v>
      </c>
      <c r="BH575">
        <v>2.7</v>
      </c>
      <c r="BQ575" t="s">
        <v>166</v>
      </c>
      <c r="BR575" t="s">
        <v>861</v>
      </c>
    </row>
    <row r="576" spans="1:74">
      <c r="A576" s="15" t="s">
        <v>867</v>
      </c>
      <c r="B576" s="15" t="s">
        <v>10</v>
      </c>
      <c r="C576" s="15" t="s">
        <v>11</v>
      </c>
      <c r="D576" s="15" t="s">
        <v>482</v>
      </c>
      <c r="E576" s="15"/>
      <c r="F576" s="15" t="s">
        <v>89</v>
      </c>
      <c r="G576" s="15" t="s">
        <v>791</v>
      </c>
      <c r="H576" s="15" t="s">
        <v>89</v>
      </c>
      <c r="I576" s="15" t="s">
        <v>791</v>
      </c>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t="s">
        <v>166</v>
      </c>
      <c r="BR576" s="15" t="s">
        <v>861</v>
      </c>
      <c r="BS576" s="15" t="s">
        <v>181</v>
      </c>
      <c r="BT576" s="15" t="s">
        <v>861</v>
      </c>
      <c r="BU576" s="15"/>
      <c r="BV576" s="15"/>
    </row>
    <row r="577" spans="1:74">
      <c r="A577" s="15" t="s">
        <v>868</v>
      </c>
      <c r="B577" s="15" t="s">
        <v>10</v>
      </c>
      <c r="C577" s="15" t="s">
        <v>11</v>
      </c>
      <c r="D577" s="15" t="s">
        <v>482</v>
      </c>
      <c r="E577" s="15"/>
      <c r="F577" s="15" t="s">
        <v>89</v>
      </c>
      <c r="G577" s="15" t="s">
        <v>791</v>
      </c>
      <c r="H577" s="15" t="s">
        <v>89</v>
      </c>
      <c r="I577" s="15" t="s">
        <v>791</v>
      </c>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t="s">
        <v>166</v>
      </c>
      <c r="BR577" s="15" t="s">
        <v>861</v>
      </c>
      <c r="BS577" s="15" t="s">
        <v>181</v>
      </c>
      <c r="BT577" s="15" t="s">
        <v>861</v>
      </c>
      <c r="BU577" s="15"/>
      <c r="BV577" s="15"/>
    </row>
    <row r="578" spans="1:74">
      <c r="A578" t="s">
        <v>649</v>
      </c>
      <c r="B578" t="s">
        <v>10</v>
      </c>
      <c r="C578" t="s">
        <v>11</v>
      </c>
      <c r="D578" t="s">
        <v>482</v>
      </c>
      <c r="F578" t="s">
        <v>534</v>
      </c>
      <c r="G578" t="s">
        <v>669</v>
      </c>
      <c r="H578" t="s">
        <v>534</v>
      </c>
      <c r="I578" t="s">
        <v>647</v>
      </c>
      <c r="Q578">
        <f>0.012*1000</f>
        <v>12</v>
      </c>
      <c r="T578">
        <f>0.012*1000</f>
        <v>12</v>
      </c>
      <c r="AB578">
        <f>0.01*1000</f>
        <v>10</v>
      </c>
      <c r="AG578">
        <f>0.01*1000</f>
        <v>10</v>
      </c>
      <c r="AJ578">
        <f>0.009*1000</f>
        <v>9</v>
      </c>
      <c r="AS578">
        <f>0.012*1000</f>
        <v>12</v>
      </c>
      <c r="AV578">
        <f>0.012*1000</f>
        <v>12</v>
      </c>
      <c r="BE578">
        <f>0.0115*1000</f>
        <v>11.5</v>
      </c>
      <c r="BH578">
        <f>0.009*1000</f>
        <v>9</v>
      </c>
      <c r="BP578" t="s">
        <v>648</v>
      </c>
      <c r="BQ578" t="s">
        <v>281</v>
      </c>
      <c r="BR578" t="s">
        <v>624</v>
      </c>
    </row>
    <row r="579" spans="1:74">
      <c r="A579" t="s">
        <v>802</v>
      </c>
      <c r="B579" t="s">
        <v>10</v>
      </c>
      <c r="C579" t="s">
        <v>11</v>
      </c>
      <c r="D579" t="s">
        <v>482</v>
      </c>
      <c r="F579" t="s">
        <v>534</v>
      </c>
      <c r="G579" t="s">
        <v>669</v>
      </c>
      <c r="H579" t="s">
        <v>534</v>
      </c>
      <c r="I579" t="s">
        <v>797</v>
      </c>
      <c r="AS579">
        <v>11.4</v>
      </c>
      <c r="AV579">
        <v>8</v>
      </c>
      <c r="BQ579" t="s">
        <v>281</v>
      </c>
      <c r="BR579" t="s">
        <v>793</v>
      </c>
    </row>
    <row r="580" spans="1:74">
      <c r="A580" t="s">
        <v>800</v>
      </c>
      <c r="B580" t="s">
        <v>10</v>
      </c>
      <c r="C580" t="s">
        <v>11</v>
      </c>
      <c r="D580" t="s">
        <v>482</v>
      </c>
      <c r="F580" t="s">
        <v>534</v>
      </c>
      <c r="G580" t="s">
        <v>669</v>
      </c>
      <c r="H580" t="s">
        <v>534</v>
      </c>
      <c r="I580" t="s">
        <v>797</v>
      </c>
      <c r="BQ580" t="s">
        <v>281</v>
      </c>
      <c r="BR580" t="s">
        <v>793</v>
      </c>
    </row>
    <row r="581" spans="1:74">
      <c r="A581" t="s">
        <v>798</v>
      </c>
      <c r="B581" t="s">
        <v>10</v>
      </c>
      <c r="C581" t="s">
        <v>11</v>
      </c>
      <c r="D581" t="s">
        <v>482</v>
      </c>
      <c r="F581" t="s">
        <v>534</v>
      </c>
      <c r="G581" t="s">
        <v>669</v>
      </c>
      <c r="H581" t="s">
        <v>534</v>
      </c>
      <c r="I581" t="s">
        <v>797</v>
      </c>
      <c r="AS581">
        <v>11.6</v>
      </c>
      <c r="AV581">
        <v>8</v>
      </c>
      <c r="BP581" t="s">
        <v>801</v>
      </c>
      <c r="BQ581" t="s">
        <v>281</v>
      </c>
      <c r="BR581" t="s">
        <v>793</v>
      </c>
    </row>
    <row r="582" spans="1:74">
      <c r="A582" t="s">
        <v>796</v>
      </c>
      <c r="B582" t="s">
        <v>10</v>
      </c>
      <c r="C582" t="s">
        <v>11</v>
      </c>
      <c r="D582" t="s">
        <v>482</v>
      </c>
      <c r="F582" t="s">
        <v>534</v>
      </c>
      <c r="G582" t="s">
        <v>669</v>
      </c>
      <c r="H582" t="s">
        <v>534</v>
      </c>
      <c r="I582" t="s">
        <v>797</v>
      </c>
      <c r="AK582">
        <v>11.4</v>
      </c>
      <c r="AN582">
        <v>7.2</v>
      </c>
      <c r="AO582">
        <v>12.3</v>
      </c>
      <c r="AR582">
        <v>8.3000000000000007</v>
      </c>
      <c r="AS582">
        <v>11.6</v>
      </c>
      <c r="AV582">
        <v>8.3000000000000007</v>
      </c>
      <c r="AW582">
        <v>11</v>
      </c>
      <c r="AX582">
        <v>8.4</v>
      </c>
      <c r="AY582">
        <v>8.3000000000000007</v>
      </c>
      <c r="AZ582">
        <v>8.4</v>
      </c>
      <c r="BQ582" t="s">
        <v>281</v>
      </c>
      <c r="BR582" t="s">
        <v>793</v>
      </c>
    </row>
    <row r="583" spans="1:74">
      <c r="A583" t="s">
        <v>799</v>
      </c>
      <c r="B583" t="s">
        <v>10</v>
      </c>
      <c r="C583" t="s">
        <v>11</v>
      </c>
      <c r="D583" t="s">
        <v>482</v>
      </c>
      <c r="F583" t="s">
        <v>534</v>
      </c>
      <c r="G583" t="s">
        <v>669</v>
      </c>
      <c r="H583" t="s">
        <v>534</v>
      </c>
      <c r="I583" t="s">
        <v>797</v>
      </c>
      <c r="AO583">
        <v>13.6</v>
      </c>
      <c r="AR583">
        <v>8.6999999999999993</v>
      </c>
      <c r="BQ583" t="s">
        <v>281</v>
      </c>
      <c r="BR583" t="s">
        <v>793</v>
      </c>
    </row>
    <row r="584" spans="1:74">
      <c r="A584" t="s">
        <v>677</v>
      </c>
      <c r="B584" s="7" t="s">
        <v>10</v>
      </c>
      <c r="C584" s="7" t="s">
        <v>11</v>
      </c>
      <c r="D584" t="s">
        <v>482</v>
      </c>
      <c r="F584" t="s">
        <v>534</v>
      </c>
      <c r="G584" t="s">
        <v>535</v>
      </c>
      <c r="H584" t="s">
        <v>678</v>
      </c>
      <c r="I584" t="s">
        <v>679</v>
      </c>
      <c r="AK584">
        <v>11</v>
      </c>
      <c r="AN584">
        <v>8.5</v>
      </c>
      <c r="AO584">
        <v>12.5</v>
      </c>
      <c r="AR584">
        <v>11</v>
      </c>
      <c r="AS584">
        <v>13</v>
      </c>
      <c r="AV584">
        <v>11.5</v>
      </c>
      <c r="AW584">
        <v>10</v>
      </c>
      <c r="AZ584">
        <v>9</v>
      </c>
      <c r="BA584">
        <v>10</v>
      </c>
      <c r="BD584">
        <v>9</v>
      </c>
      <c r="BE584">
        <v>11</v>
      </c>
      <c r="BH584">
        <v>8.5</v>
      </c>
      <c r="BQ584" t="s">
        <v>281</v>
      </c>
      <c r="BR584" t="s">
        <v>671</v>
      </c>
      <c r="BS584" t="s">
        <v>371</v>
      </c>
      <c r="BT584" t="s">
        <v>671</v>
      </c>
    </row>
    <row r="585" spans="1:74">
      <c r="A585" t="s">
        <v>537</v>
      </c>
      <c r="B585" t="s">
        <v>10</v>
      </c>
      <c r="C585" t="s">
        <v>11</v>
      </c>
      <c r="D585" t="s">
        <v>482</v>
      </c>
      <c r="F585" t="s">
        <v>534</v>
      </c>
      <c r="G585" t="s">
        <v>535</v>
      </c>
      <c r="H585" t="s">
        <v>534</v>
      </c>
      <c r="I585" t="s">
        <v>535</v>
      </c>
      <c r="AO585">
        <v>12.7</v>
      </c>
      <c r="AR585">
        <v>9.1</v>
      </c>
      <c r="AS585">
        <v>12.3</v>
      </c>
      <c r="AV585">
        <v>10.3</v>
      </c>
      <c r="BA585">
        <v>9.4</v>
      </c>
      <c r="BB585">
        <v>8</v>
      </c>
      <c r="BC585">
        <v>7.8</v>
      </c>
      <c r="BD585">
        <v>8</v>
      </c>
      <c r="BQ585" t="s">
        <v>281</v>
      </c>
      <c r="BR585" t="s">
        <v>510</v>
      </c>
      <c r="BS585" t="s">
        <v>181</v>
      </c>
      <c r="BT585" t="s">
        <v>510</v>
      </c>
    </row>
    <row r="586" spans="1:74">
      <c r="A586" t="s">
        <v>536</v>
      </c>
      <c r="B586" t="s">
        <v>10</v>
      </c>
      <c r="C586" t="s">
        <v>11</v>
      </c>
      <c r="D586" t="s">
        <v>482</v>
      </c>
      <c r="F586" t="s">
        <v>534</v>
      </c>
      <c r="G586" t="s">
        <v>535</v>
      </c>
      <c r="H586" t="s">
        <v>534</v>
      </c>
      <c r="I586" t="s">
        <v>535</v>
      </c>
      <c r="AK586">
        <v>9.8000000000000007</v>
      </c>
      <c r="AN586">
        <v>7.9</v>
      </c>
      <c r="AS586">
        <v>10.6</v>
      </c>
      <c r="AV586">
        <v>9.5</v>
      </c>
      <c r="BA586">
        <v>8.1999999999999993</v>
      </c>
      <c r="BB586">
        <v>7.8</v>
      </c>
      <c r="BC586">
        <v>7.8</v>
      </c>
      <c r="BD586">
        <v>7.8</v>
      </c>
      <c r="BE586">
        <f>AVERAGE(9.5,9.5)</f>
        <v>9.5</v>
      </c>
      <c r="BF586">
        <f>AVERAGE(7.1,6.9)</f>
        <v>7</v>
      </c>
      <c r="BG586">
        <f>AVERAGE(6,5.9)</f>
        <v>5.95</v>
      </c>
      <c r="BH586">
        <v>7</v>
      </c>
      <c r="BQ586" t="s">
        <v>281</v>
      </c>
      <c r="BR586" t="s">
        <v>510</v>
      </c>
      <c r="BS586" t="s">
        <v>181</v>
      </c>
      <c r="BT586" t="s">
        <v>510</v>
      </c>
    </row>
    <row r="587" spans="1:74">
      <c r="A587" t="s">
        <v>538</v>
      </c>
      <c r="B587" t="s">
        <v>10</v>
      </c>
      <c r="C587" t="s">
        <v>11</v>
      </c>
      <c r="D587" t="s">
        <v>482</v>
      </c>
      <c r="F587" t="s">
        <v>534</v>
      </c>
      <c r="G587" t="s">
        <v>535</v>
      </c>
      <c r="H587" t="s">
        <v>534</v>
      </c>
      <c r="I587" t="s">
        <v>535</v>
      </c>
      <c r="BB587">
        <v>7.6</v>
      </c>
      <c r="BD587">
        <v>7.6</v>
      </c>
      <c r="BP587" t="s">
        <v>539</v>
      </c>
      <c r="BQ587" t="s">
        <v>281</v>
      </c>
      <c r="BR587" t="s">
        <v>510</v>
      </c>
    </row>
    <row r="588" spans="1:74">
      <c r="A588" t="s">
        <v>540</v>
      </c>
      <c r="B588" t="s">
        <v>10</v>
      </c>
      <c r="C588" t="s">
        <v>11</v>
      </c>
      <c r="D588" t="s">
        <v>482</v>
      </c>
      <c r="F588" t="s">
        <v>534</v>
      </c>
      <c r="G588" t="s">
        <v>535</v>
      </c>
      <c r="H588" t="s">
        <v>534</v>
      </c>
      <c r="I588" t="s">
        <v>535</v>
      </c>
      <c r="AW588">
        <v>10</v>
      </c>
      <c r="AX588">
        <v>6.8</v>
      </c>
      <c r="AY588">
        <v>6.1</v>
      </c>
      <c r="AZ588">
        <v>6.8</v>
      </c>
      <c r="BQ588" t="s">
        <v>281</v>
      </c>
      <c r="BR588" t="s">
        <v>510</v>
      </c>
    </row>
    <row r="589" spans="1:74" s="27" customFormat="1">
      <c r="A589" s="27" t="s">
        <v>246</v>
      </c>
      <c r="B589" s="27" t="s">
        <v>492</v>
      </c>
      <c r="D589" s="27" t="s">
        <v>491</v>
      </c>
      <c r="E589" s="27" t="s">
        <v>247</v>
      </c>
      <c r="F589" s="27" t="s">
        <v>248</v>
      </c>
      <c r="G589" s="27" t="s">
        <v>249</v>
      </c>
      <c r="H589" s="27" t="s">
        <v>248</v>
      </c>
      <c r="I589" s="27" t="s">
        <v>249</v>
      </c>
      <c r="AW589" s="27">
        <v>10.4</v>
      </c>
      <c r="AZ589" s="27">
        <v>5.6</v>
      </c>
      <c r="BQ589" s="27" t="s">
        <v>166</v>
      </c>
      <c r="BR589" s="27" t="s">
        <v>197</v>
      </c>
      <c r="BS589" s="27" t="s">
        <v>181</v>
      </c>
      <c r="BT589" s="27" t="s">
        <v>197</v>
      </c>
    </row>
    <row r="590" spans="1:74" s="27" customFormat="1">
      <c r="A590" s="27" t="s">
        <v>250</v>
      </c>
      <c r="B590" s="27" t="s">
        <v>492</v>
      </c>
      <c r="D590" s="27" t="s">
        <v>491</v>
      </c>
      <c r="E590" s="27" t="s">
        <v>247</v>
      </c>
      <c r="F590" s="27" t="s">
        <v>248</v>
      </c>
      <c r="G590" s="27" t="s">
        <v>251</v>
      </c>
      <c r="H590" s="27" t="s">
        <v>248</v>
      </c>
      <c r="I590" s="27" t="s">
        <v>251</v>
      </c>
      <c r="BE590" s="27">
        <v>7.4</v>
      </c>
      <c r="BH590" s="27">
        <v>4.4000000000000004</v>
      </c>
      <c r="BQ590" s="27" t="s">
        <v>166</v>
      </c>
      <c r="BR590" s="27" t="s">
        <v>197</v>
      </c>
      <c r="BS590" s="27" t="s">
        <v>181</v>
      </c>
      <c r="BT590" s="27" t="s">
        <v>197</v>
      </c>
    </row>
    <row r="591" spans="1:74" s="27" customFormat="1">
      <c r="A591" s="27" t="s">
        <v>252</v>
      </c>
      <c r="B591" s="27" t="s">
        <v>492</v>
      </c>
      <c r="D591" s="27" t="s">
        <v>491</v>
      </c>
      <c r="E591" s="27" t="s">
        <v>247</v>
      </c>
      <c r="F591" s="27" t="s">
        <v>253</v>
      </c>
      <c r="G591" s="27" t="s">
        <v>254</v>
      </c>
      <c r="H591" s="27" t="s">
        <v>253</v>
      </c>
      <c r="I591" s="27" t="s">
        <v>254</v>
      </c>
      <c r="K591" s="27" t="s">
        <v>255</v>
      </c>
      <c r="Y591" s="27">
        <v>10.199999999999999</v>
      </c>
      <c r="AB591" s="27">
        <v>11.3</v>
      </c>
      <c r="BQ591" s="27" t="s">
        <v>166</v>
      </c>
      <c r="BR591" s="27" t="s">
        <v>197</v>
      </c>
      <c r="BS591" s="27" t="s">
        <v>181</v>
      </c>
      <c r="BT591" s="27" t="s">
        <v>197</v>
      </c>
    </row>
    <row r="592" spans="1:74" s="27" customFormat="1">
      <c r="A592" s="27" t="s">
        <v>210</v>
      </c>
      <c r="B592" s="27" t="s">
        <v>489</v>
      </c>
      <c r="D592" s="27" t="s">
        <v>488</v>
      </c>
      <c r="F592" s="27" t="s">
        <v>211</v>
      </c>
      <c r="G592" s="27" t="s">
        <v>212</v>
      </c>
      <c r="H592" s="27" t="s">
        <v>211</v>
      </c>
      <c r="I592" s="27" t="s">
        <v>212</v>
      </c>
      <c r="Y592" s="27">
        <v>5.3</v>
      </c>
      <c r="AB592" s="27">
        <v>5.6</v>
      </c>
      <c r="BP592" s="27" t="s">
        <v>728</v>
      </c>
      <c r="BQ592" s="27" t="s">
        <v>166</v>
      </c>
      <c r="BR592" s="27" t="s">
        <v>197</v>
      </c>
      <c r="BS592" s="27" t="s">
        <v>181</v>
      </c>
      <c r="BT592" s="27" t="s">
        <v>197</v>
      </c>
    </row>
    <row r="593" spans="1:72">
      <c r="A593" t="s">
        <v>882</v>
      </c>
      <c r="B593" t="s">
        <v>492</v>
      </c>
      <c r="F593" t="s">
        <v>483</v>
      </c>
      <c r="G593" t="s">
        <v>726</v>
      </c>
      <c r="H593" t="s">
        <v>483</v>
      </c>
      <c r="I593" t="s">
        <v>726</v>
      </c>
      <c r="Y593">
        <v>4.05</v>
      </c>
      <c r="Z593">
        <v>4.3</v>
      </c>
      <c r="AA593">
        <v>4.6500000000000004</v>
      </c>
      <c r="AB593">
        <v>4.6500000000000004</v>
      </c>
      <c r="BQ593" t="s">
        <v>166</v>
      </c>
      <c r="BR593" t="s">
        <v>883</v>
      </c>
    </row>
    <row r="594" spans="1:72">
      <c r="A594" t="s">
        <v>889</v>
      </c>
      <c r="B594" t="s">
        <v>492</v>
      </c>
      <c r="F594" t="s">
        <v>483</v>
      </c>
      <c r="G594" t="s">
        <v>726</v>
      </c>
      <c r="H594" t="s">
        <v>483</v>
      </c>
      <c r="I594" t="s">
        <v>726</v>
      </c>
      <c r="AY594">
        <v>2.85</v>
      </c>
      <c r="AZ594">
        <v>2.85</v>
      </c>
      <c r="BA594">
        <v>3.7</v>
      </c>
      <c r="BB594">
        <v>3.18</v>
      </c>
      <c r="BC594">
        <v>2.98</v>
      </c>
      <c r="BD594">
        <v>3.18</v>
      </c>
      <c r="BE594">
        <v>4.3499999999999996</v>
      </c>
      <c r="BF594">
        <v>2.9</v>
      </c>
      <c r="BG594">
        <v>2.46</v>
      </c>
      <c r="BH594">
        <v>2.9</v>
      </c>
      <c r="BQ594" t="s">
        <v>166</v>
      </c>
      <c r="BR594" t="s">
        <v>883</v>
      </c>
    </row>
    <row r="595" spans="1:72">
      <c r="A595" t="s">
        <v>884</v>
      </c>
      <c r="B595" t="s">
        <v>492</v>
      </c>
      <c r="F595" t="s">
        <v>483</v>
      </c>
      <c r="G595" t="s">
        <v>726</v>
      </c>
      <c r="H595" t="s">
        <v>483</v>
      </c>
      <c r="I595" t="s">
        <v>726</v>
      </c>
      <c r="Y595">
        <v>3.8</v>
      </c>
      <c r="Z595">
        <v>4.55</v>
      </c>
      <c r="AA595">
        <v>4.5999999999999996</v>
      </c>
      <c r="AB595">
        <v>4.5999999999999996</v>
      </c>
      <c r="AC595">
        <v>4.33</v>
      </c>
      <c r="AD595">
        <v>5.52</v>
      </c>
      <c r="AE595">
        <v>5.55</v>
      </c>
      <c r="AF595">
        <v>5.55</v>
      </c>
      <c r="BP595" t="s">
        <v>208</v>
      </c>
      <c r="BQ595" t="s">
        <v>166</v>
      </c>
      <c r="BR595" t="s">
        <v>883</v>
      </c>
      <c r="BS595" t="s">
        <v>371</v>
      </c>
      <c r="BT595" t="s">
        <v>883</v>
      </c>
    </row>
    <row r="596" spans="1:72">
      <c r="A596" t="s">
        <v>890</v>
      </c>
      <c r="B596" t="s">
        <v>492</v>
      </c>
      <c r="F596" t="s">
        <v>483</v>
      </c>
      <c r="G596" t="s">
        <v>726</v>
      </c>
      <c r="H596" t="s">
        <v>483</v>
      </c>
      <c r="I596" t="s">
        <v>726</v>
      </c>
      <c r="AW596">
        <v>3.5</v>
      </c>
      <c r="AX596">
        <v>2.4</v>
      </c>
      <c r="AY596">
        <v>2.4700000000000002</v>
      </c>
      <c r="AZ596">
        <v>2.4700000000000002</v>
      </c>
      <c r="BQ596" t="s">
        <v>166</v>
      </c>
      <c r="BR596" t="s">
        <v>883</v>
      </c>
    </row>
    <row r="597" spans="1:72">
      <c r="A597" t="s">
        <v>891</v>
      </c>
      <c r="B597" t="s">
        <v>492</v>
      </c>
      <c r="F597" t="s">
        <v>483</v>
      </c>
      <c r="G597" t="s">
        <v>726</v>
      </c>
      <c r="H597" t="s">
        <v>483</v>
      </c>
      <c r="I597" t="s">
        <v>726</v>
      </c>
      <c r="AW597">
        <v>3.84</v>
      </c>
      <c r="AX597">
        <v>2.57</v>
      </c>
      <c r="AY597">
        <v>2.86</v>
      </c>
      <c r="AZ597">
        <v>2.86</v>
      </c>
      <c r="BQ597" t="s">
        <v>166</v>
      </c>
      <c r="BR597" t="s">
        <v>883</v>
      </c>
    </row>
    <row r="598" spans="1:72">
      <c r="A598" t="s">
        <v>892</v>
      </c>
      <c r="B598" t="s">
        <v>492</v>
      </c>
      <c r="F598" t="s">
        <v>483</v>
      </c>
      <c r="G598" t="s">
        <v>726</v>
      </c>
      <c r="H598" t="s">
        <v>483</v>
      </c>
      <c r="I598" t="s">
        <v>726</v>
      </c>
      <c r="BA598">
        <v>4.05</v>
      </c>
      <c r="BB598">
        <v>3.2</v>
      </c>
      <c r="BC598">
        <v>3.2</v>
      </c>
      <c r="BD598">
        <v>3.2</v>
      </c>
      <c r="BQ598" t="s">
        <v>166</v>
      </c>
      <c r="BR598" t="s">
        <v>883</v>
      </c>
    </row>
    <row r="599" spans="1:72">
      <c r="A599" t="s">
        <v>893</v>
      </c>
      <c r="B599" t="s">
        <v>492</v>
      </c>
      <c r="F599" t="s">
        <v>483</v>
      </c>
      <c r="G599" t="s">
        <v>726</v>
      </c>
      <c r="H599" t="s">
        <v>483</v>
      </c>
      <c r="I599" t="s">
        <v>726</v>
      </c>
      <c r="AW599">
        <v>3.62</v>
      </c>
      <c r="AX599">
        <v>2.5299999999999998</v>
      </c>
      <c r="AY599">
        <v>2.75</v>
      </c>
      <c r="AZ599">
        <v>2.75</v>
      </c>
      <c r="BA599">
        <v>4.0599999999999996</v>
      </c>
      <c r="BB599">
        <v>3.07</v>
      </c>
      <c r="BD599">
        <v>3.07</v>
      </c>
      <c r="BP599" t="s">
        <v>894</v>
      </c>
      <c r="BQ599" t="s">
        <v>166</v>
      </c>
      <c r="BR599" t="s">
        <v>883</v>
      </c>
    </row>
    <row r="600" spans="1:72">
      <c r="A600" t="s">
        <v>895</v>
      </c>
      <c r="B600" t="s">
        <v>492</v>
      </c>
      <c r="F600" t="s">
        <v>483</v>
      </c>
      <c r="G600" t="s">
        <v>726</v>
      </c>
      <c r="H600" t="s">
        <v>483</v>
      </c>
      <c r="I600" t="s">
        <v>726</v>
      </c>
      <c r="AY600">
        <v>2.78</v>
      </c>
      <c r="AZ600">
        <v>2.78</v>
      </c>
      <c r="BA600">
        <v>4.0999999999999996</v>
      </c>
      <c r="BB600">
        <v>3</v>
      </c>
      <c r="BC600">
        <v>2.98</v>
      </c>
      <c r="BD600">
        <v>3</v>
      </c>
      <c r="BQ600" t="s">
        <v>166</v>
      </c>
      <c r="BR600" t="s">
        <v>883</v>
      </c>
    </row>
    <row r="601" spans="1:72">
      <c r="A601" t="s">
        <v>896</v>
      </c>
      <c r="B601" t="s">
        <v>492</v>
      </c>
      <c r="F601" t="s">
        <v>483</v>
      </c>
      <c r="G601" t="s">
        <v>726</v>
      </c>
      <c r="H601" t="s">
        <v>483</v>
      </c>
      <c r="I601" t="s">
        <v>726</v>
      </c>
      <c r="AO601">
        <v>3</v>
      </c>
      <c r="AR601">
        <v>1.65</v>
      </c>
      <c r="AS601">
        <v>3.15</v>
      </c>
      <c r="AV601">
        <v>1.97</v>
      </c>
      <c r="AW601">
        <v>3.58</v>
      </c>
      <c r="AX601">
        <v>2.5499999999999998</v>
      </c>
      <c r="AY601">
        <v>2.7</v>
      </c>
      <c r="AZ601">
        <v>2.7</v>
      </c>
      <c r="BA601">
        <v>3.91</v>
      </c>
      <c r="BB601">
        <v>3.2</v>
      </c>
      <c r="BC601">
        <v>3.13</v>
      </c>
      <c r="BD601">
        <v>3.2</v>
      </c>
      <c r="BE601">
        <v>4.45</v>
      </c>
      <c r="BF601">
        <v>2.9</v>
      </c>
      <c r="BG601">
        <v>2.5</v>
      </c>
      <c r="BH601">
        <v>2.9</v>
      </c>
      <c r="BP601" t="s">
        <v>899</v>
      </c>
      <c r="BQ601" t="s">
        <v>166</v>
      </c>
      <c r="BR601" t="s">
        <v>883</v>
      </c>
    </row>
    <row r="602" spans="1:72">
      <c r="A602" t="s">
        <v>897</v>
      </c>
      <c r="B602" t="s">
        <v>492</v>
      </c>
      <c r="F602" t="s">
        <v>483</v>
      </c>
      <c r="G602" t="s">
        <v>726</v>
      </c>
      <c r="H602" t="s">
        <v>483</v>
      </c>
      <c r="I602" t="s">
        <v>726</v>
      </c>
      <c r="BA602">
        <v>3.97</v>
      </c>
      <c r="BB602">
        <v>3.05</v>
      </c>
      <c r="BC602">
        <v>3.13</v>
      </c>
      <c r="BD602">
        <v>3.13</v>
      </c>
      <c r="BQ602" t="s">
        <v>166</v>
      </c>
      <c r="BR602" t="s">
        <v>883</v>
      </c>
    </row>
    <row r="603" spans="1:72">
      <c r="A603" t="s">
        <v>898</v>
      </c>
      <c r="B603" t="s">
        <v>492</v>
      </c>
      <c r="F603" t="s">
        <v>483</v>
      </c>
      <c r="G603" t="s">
        <v>726</v>
      </c>
      <c r="H603" t="s">
        <v>483</v>
      </c>
      <c r="I603" t="s">
        <v>726</v>
      </c>
      <c r="AS603">
        <v>3.38</v>
      </c>
      <c r="AV603">
        <v>2.06</v>
      </c>
      <c r="AW603">
        <v>3.55</v>
      </c>
      <c r="AX603">
        <v>2.6</v>
      </c>
      <c r="AY603">
        <v>2.9</v>
      </c>
      <c r="AZ603">
        <v>2.9</v>
      </c>
      <c r="BA603">
        <v>3.75</v>
      </c>
      <c r="BB603">
        <v>3.18</v>
      </c>
      <c r="BC603">
        <v>3.28</v>
      </c>
      <c r="BD603">
        <v>3.28</v>
      </c>
      <c r="BE603">
        <v>4.32</v>
      </c>
      <c r="BF603">
        <v>2.95</v>
      </c>
      <c r="BG603">
        <v>2.5499999999999998</v>
      </c>
      <c r="BH603">
        <v>2.95</v>
      </c>
      <c r="BQ603" t="s">
        <v>166</v>
      </c>
      <c r="BR603" t="s">
        <v>883</v>
      </c>
    </row>
    <row r="604" spans="1:72">
      <c r="A604" t="s">
        <v>900</v>
      </c>
      <c r="B604" t="s">
        <v>492</v>
      </c>
      <c r="F604" t="s">
        <v>483</v>
      </c>
      <c r="G604" t="s">
        <v>726</v>
      </c>
      <c r="H604" t="s">
        <v>483</v>
      </c>
      <c r="I604" t="s">
        <v>726</v>
      </c>
      <c r="AW604">
        <v>3.52</v>
      </c>
      <c r="AX604">
        <v>2.59</v>
      </c>
      <c r="AY604">
        <v>2.79</v>
      </c>
      <c r="AZ604">
        <v>2.79</v>
      </c>
      <c r="BA604">
        <v>3.55</v>
      </c>
      <c r="BB604">
        <v>2.97</v>
      </c>
      <c r="BC604">
        <v>2.9</v>
      </c>
      <c r="BD604">
        <v>2.97</v>
      </c>
      <c r="BE604">
        <v>3.8</v>
      </c>
      <c r="BF604">
        <v>2.48</v>
      </c>
      <c r="BG604">
        <v>2.2000000000000002</v>
      </c>
      <c r="BH604">
        <v>2.48</v>
      </c>
      <c r="BQ604" t="s">
        <v>166</v>
      </c>
      <c r="BR604" t="s">
        <v>883</v>
      </c>
      <c r="BS604" t="s">
        <v>371</v>
      </c>
      <c r="BT604" t="s">
        <v>883</v>
      </c>
    </row>
    <row r="605" spans="1:72">
      <c r="A605" t="s">
        <v>901</v>
      </c>
      <c r="B605" t="s">
        <v>492</v>
      </c>
      <c r="F605" t="s">
        <v>483</v>
      </c>
      <c r="G605" t="s">
        <v>726</v>
      </c>
      <c r="H605" t="s">
        <v>483</v>
      </c>
      <c r="I605" t="s">
        <v>726</v>
      </c>
      <c r="AW605">
        <v>3.58</v>
      </c>
      <c r="AX605">
        <v>2.35</v>
      </c>
      <c r="AY605">
        <v>2.64</v>
      </c>
      <c r="AZ605">
        <v>2.64</v>
      </c>
      <c r="BQ605" t="s">
        <v>166</v>
      </c>
      <c r="BR605" t="s">
        <v>883</v>
      </c>
    </row>
    <row r="606" spans="1:72">
      <c r="A606" t="s">
        <v>902</v>
      </c>
      <c r="B606" t="s">
        <v>492</v>
      </c>
      <c r="F606" t="s">
        <v>483</v>
      </c>
      <c r="G606" t="s">
        <v>726</v>
      </c>
      <c r="H606" t="s">
        <v>483</v>
      </c>
      <c r="I606" t="s">
        <v>726</v>
      </c>
      <c r="BE606">
        <v>4.2</v>
      </c>
      <c r="BF606">
        <v>2.61</v>
      </c>
      <c r="BG606">
        <v>2.2999999999999998</v>
      </c>
      <c r="BH606">
        <v>2.61</v>
      </c>
      <c r="BQ606" s="3" t="s">
        <v>166</v>
      </c>
      <c r="BR606" t="s">
        <v>883</v>
      </c>
    </row>
    <row r="607" spans="1:72">
      <c r="A607" t="s">
        <v>903</v>
      </c>
      <c r="B607" t="s">
        <v>492</v>
      </c>
      <c r="F607" t="s">
        <v>483</v>
      </c>
      <c r="G607" t="s">
        <v>726</v>
      </c>
      <c r="H607" t="s">
        <v>483</v>
      </c>
      <c r="I607" t="s">
        <v>726</v>
      </c>
      <c r="AW607">
        <v>3.6</v>
      </c>
      <c r="AX607">
        <v>2.54</v>
      </c>
      <c r="AY607">
        <v>2.82</v>
      </c>
      <c r="AZ607">
        <v>2.82</v>
      </c>
      <c r="BA607">
        <v>3.68</v>
      </c>
      <c r="BB607">
        <v>3</v>
      </c>
      <c r="BC607">
        <v>3</v>
      </c>
      <c r="BD607">
        <v>3</v>
      </c>
      <c r="BE607">
        <v>4.33</v>
      </c>
      <c r="BF607">
        <v>2.68</v>
      </c>
      <c r="BG607">
        <v>2.35</v>
      </c>
      <c r="BH607">
        <v>2.68</v>
      </c>
      <c r="BQ607" t="s">
        <v>166</v>
      </c>
      <c r="BR607" t="s">
        <v>883</v>
      </c>
    </row>
    <row r="608" spans="1:72">
      <c r="A608" t="s">
        <v>904</v>
      </c>
      <c r="B608" t="s">
        <v>492</v>
      </c>
      <c r="F608" t="s">
        <v>483</v>
      </c>
      <c r="G608" t="s">
        <v>726</v>
      </c>
      <c r="H608" t="s">
        <v>483</v>
      </c>
      <c r="I608" t="s">
        <v>726</v>
      </c>
      <c r="BE608">
        <v>3.9</v>
      </c>
      <c r="BF608">
        <v>2.5</v>
      </c>
      <c r="BH608">
        <v>2.5</v>
      </c>
      <c r="BQ608" t="s">
        <v>166</v>
      </c>
      <c r="BR608" t="s">
        <v>883</v>
      </c>
    </row>
    <row r="609" spans="1:74">
      <c r="A609" t="s">
        <v>905</v>
      </c>
      <c r="B609" t="s">
        <v>492</v>
      </c>
      <c r="F609" t="s">
        <v>483</v>
      </c>
      <c r="G609" t="s">
        <v>726</v>
      </c>
      <c r="H609" t="s">
        <v>483</v>
      </c>
      <c r="I609" t="s">
        <v>726</v>
      </c>
      <c r="AS609">
        <v>3.35</v>
      </c>
      <c r="AT609">
        <v>2.08</v>
      </c>
      <c r="AV609">
        <v>2.08</v>
      </c>
      <c r="AY609">
        <v>2.83</v>
      </c>
      <c r="AZ609">
        <v>2.83</v>
      </c>
      <c r="BA609">
        <v>3.95</v>
      </c>
      <c r="BB609">
        <v>3.05</v>
      </c>
      <c r="BC609">
        <v>3.18</v>
      </c>
      <c r="BD609">
        <v>3.18</v>
      </c>
      <c r="BE609">
        <v>4.3499999999999996</v>
      </c>
      <c r="BF609">
        <v>2.7</v>
      </c>
      <c r="BG609">
        <v>2.4</v>
      </c>
      <c r="BH609">
        <v>2.7</v>
      </c>
      <c r="BP609" t="s">
        <v>907</v>
      </c>
      <c r="BQ609" t="s">
        <v>166</v>
      </c>
      <c r="BR609" t="s">
        <v>883</v>
      </c>
    </row>
    <row r="610" spans="1:74">
      <c r="A610" t="s">
        <v>906</v>
      </c>
      <c r="B610" t="s">
        <v>492</v>
      </c>
      <c r="F610" t="s">
        <v>483</v>
      </c>
      <c r="G610" t="s">
        <v>726</v>
      </c>
      <c r="H610" t="s">
        <v>483</v>
      </c>
      <c r="I610" t="s">
        <v>726</v>
      </c>
      <c r="AK610">
        <v>2.35</v>
      </c>
      <c r="AN610">
        <v>1.3</v>
      </c>
      <c r="AV610">
        <v>1.85</v>
      </c>
      <c r="AY610">
        <v>2.65</v>
      </c>
      <c r="AZ610">
        <v>2.65</v>
      </c>
      <c r="BA610">
        <v>3.47</v>
      </c>
      <c r="BB610">
        <v>2.9</v>
      </c>
      <c r="BC610">
        <v>3</v>
      </c>
      <c r="BD610">
        <v>3</v>
      </c>
      <c r="BE610">
        <v>3.75</v>
      </c>
      <c r="BF610">
        <v>2.54</v>
      </c>
      <c r="BG610">
        <v>2.25</v>
      </c>
      <c r="BH610">
        <v>2.54</v>
      </c>
      <c r="BQ610" t="s">
        <v>166</v>
      </c>
      <c r="BR610" t="s">
        <v>883</v>
      </c>
    </row>
    <row r="611" spans="1:74">
      <c r="A611" t="s">
        <v>908</v>
      </c>
      <c r="B611" t="s">
        <v>492</v>
      </c>
      <c r="F611" t="s">
        <v>483</v>
      </c>
      <c r="G611" t="s">
        <v>726</v>
      </c>
      <c r="H611" t="s">
        <v>483</v>
      </c>
      <c r="I611" t="s">
        <v>726</v>
      </c>
      <c r="AS611">
        <v>3.55</v>
      </c>
      <c r="AV611">
        <v>2.15</v>
      </c>
      <c r="AW611">
        <v>3.85</v>
      </c>
      <c r="AX611">
        <v>2.68</v>
      </c>
      <c r="AY611">
        <v>2.84</v>
      </c>
      <c r="AZ611">
        <v>2.84</v>
      </c>
      <c r="BQ611" t="s">
        <v>166</v>
      </c>
      <c r="BR611" t="s">
        <v>883</v>
      </c>
    </row>
    <row r="612" spans="1:74">
      <c r="A612" t="s">
        <v>885</v>
      </c>
      <c r="B612" t="s">
        <v>492</v>
      </c>
      <c r="F612" t="s">
        <v>483</v>
      </c>
      <c r="G612" t="s">
        <v>726</v>
      </c>
      <c r="H612" t="s">
        <v>483</v>
      </c>
      <c r="I612" t="s">
        <v>726</v>
      </c>
      <c r="Y612">
        <v>3</v>
      </c>
      <c r="Z612">
        <v>4.62</v>
      </c>
      <c r="AA612">
        <v>5</v>
      </c>
      <c r="AB612">
        <v>5</v>
      </c>
      <c r="BP612" t="s">
        <v>886</v>
      </c>
      <c r="BQ612" t="s">
        <v>166</v>
      </c>
      <c r="BR612" t="s">
        <v>883</v>
      </c>
    </row>
    <row r="613" spans="1:74">
      <c r="A613" t="s">
        <v>909</v>
      </c>
      <c r="B613" t="s">
        <v>492</v>
      </c>
      <c r="F613" t="s">
        <v>483</v>
      </c>
      <c r="G613" t="s">
        <v>726</v>
      </c>
      <c r="H613" t="s">
        <v>483</v>
      </c>
      <c r="I613" t="s">
        <v>726</v>
      </c>
      <c r="BA613">
        <v>3.6</v>
      </c>
      <c r="BB613">
        <v>2.9</v>
      </c>
      <c r="BC613">
        <v>2.9</v>
      </c>
      <c r="BD613">
        <v>2.9</v>
      </c>
      <c r="BQ613" t="s">
        <v>166</v>
      </c>
      <c r="BR613" t="s">
        <v>883</v>
      </c>
    </row>
    <row r="614" spans="1:74" s="15" customFormat="1">
      <c r="A614" t="s">
        <v>910</v>
      </c>
      <c r="B614" t="s">
        <v>492</v>
      </c>
      <c r="C614"/>
      <c r="D614"/>
      <c r="E614"/>
      <c r="F614" t="s">
        <v>483</v>
      </c>
      <c r="G614" t="s">
        <v>726</v>
      </c>
      <c r="H614" t="s">
        <v>483</v>
      </c>
      <c r="I614" t="s">
        <v>726</v>
      </c>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v>3.84</v>
      </c>
      <c r="AT614"/>
      <c r="AU614"/>
      <c r="AV614">
        <v>2.23</v>
      </c>
      <c r="AW614"/>
      <c r="AX614"/>
      <c r="AY614"/>
      <c r="AZ614"/>
      <c r="BA614"/>
      <c r="BB614"/>
      <c r="BC614"/>
      <c r="BD614"/>
      <c r="BE614"/>
      <c r="BF614"/>
      <c r="BG614"/>
      <c r="BH614"/>
      <c r="BI614"/>
      <c r="BJ614"/>
      <c r="BK614"/>
      <c r="BL614"/>
      <c r="BM614"/>
      <c r="BN614"/>
      <c r="BO614"/>
      <c r="BP614"/>
      <c r="BQ614" t="s">
        <v>166</v>
      </c>
      <c r="BR614" t="s">
        <v>883</v>
      </c>
      <c r="BS614"/>
      <c r="BT614"/>
      <c r="BU614"/>
      <c r="BV614"/>
    </row>
    <row r="615" spans="1:74" s="15" customFormat="1">
      <c r="A615" t="s">
        <v>911</v>
      </c>
      <c r="B615" t="s">
        <v>492</v>
      </c>
      <c r="C615"/>
      <c r="D615"/>
      <c r="E615"/>
      <c r="F615" t="s">
        <v>483</v>
      </c>
      <c r="G615" t="s">
        <v>726</v>
      </c>
      <c r="H615" t="s">
        <v>483</v>
      </c>
      <c r="I615" t="s">
        <v>726</v>
      </c>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v>2</v>
      </c>
      <c r="AW615"/>
      <c r="AX615"/>
      <c r="AY615"/>
      <c r="AZ615"/>
      <c r="BA615"/>
      <c r="BB615"/>
      <c r="BC615"/>
      <c r="BD615"/>
      <c r="BE615"/>
      <c r="BF615"/>
      <c r="BG615"/>
      <c r="BH615"/>
      <c r="BI615"/>
      <c r="BJ615"/>
      <c r="BK615"/>
      <c r="BL615"/>
      <c r="BM615"/>
      <c r="BN615"/>
      <c r="BO615"/>
      <c r="BP615" t="s">
        <v>912</v>
      </c>
      <c r="BQ615" t="s">
        <v>166</v>
      </c>
      <c r="BR615" t="s">
        <v>883</v>
      </c>
      <c r="BS615"/>
      <c r="BT615"/>
      <c r="BU615"/>
      <c r="BV615"/>
    </row>
    <row r="616" spans="1:74" s="15" customFormat="1">
      <c r="A616" t="s">
        <v>887</v>
      </c>
      <c r="B616" t="s">
        <v>492</v>
      </c>
      <c r="C616"/>
      <c r="D616"/>
      <c r="E616"/>
      <c r="F616" t="s">
        <v>483</v>
      </c>
      <c r="G616" t="s">
        <v>726</v>
      </c>
      <c r="H616" t="s">
        <v>483</v>
      </c>
      <c r="I616" t="s">
        <v>726</v>
      </c>
      <c r="J616"/>
      <c r="K616"/>
      <c r="L616"/>
      <c r="M616"/>
      <c r="N616"/>
      <c r="O616"/>
      <c r="P616"/>
      <c r="Q616"/>
      <c r="R616"/>
      <c r="S616"/>
      <c r="T616"/>
      <c r="U616"/>
      <c r="V616"/>
      <c r="W616"/>
      <c r="X616"/>
      <c r="Y616"/>
      <c r="Z616"/>
      <c r="AA616"/>
      <c r="AB616"/>
      <c r="AC616"/>
      <c r="AD616"/>
      <c r="AE616"/>
      <c r="AF616"/>
      <c r="AG616">
        <v>3.24</v>
      </c>
      <c r="AH616">
        <v>4.78</v>
      </c>
      <c r="AI616">
        <v>4.2</v>
      </c>
      <c r="AJ616">
        <v>4.78</v>
      </c>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t="s">
        <v>166</v>
      </c>
      <c r="BR616" t="s">
        <v>883</v>
      </c>
      <c r="BS616"/>
      <c r="BT616"/>
      <c r="BU616"/>
      <c r="BV616"/>
    </row>
    <row r="617" spans="1:74">
      <c r="A617" t="s">
        <v>888</v>
      </c>
      <c r="B617" t="s">
        <v>492</v>
      </c>
      <c r="F617" t="s">
        <v>483</v>
      </c>
      <c r="G617" t="s">
        <v>726</v>
      </c>
      <c r="H617" t="s">
        <v>483</v>
      </c>
      <c r="I617" t="s">
        <v>726</v>
      </c>
      <c r="Y617">
        <v>3.7</v>
      </c>
      <c r="Z617">
        <v>4.12</v>
      </c>
      <c r="AA617">
        <v>4.3499999999999996</v>
      </c>
      <c r="AB617">
        <v>4.3499999999999996</v>
      </c>
      <c r="AC617">
        <v>3.85</v>
      </c>
      <c r="AD617">
        <v>4.95</v>
      </c>
      <c r="AE617">
        <v>5.3</v>
      </c>
      <c r="AF617">
        <v>5.3</v>
      </c>
      <c r="BQ617" t="s">
        <v>166</v>
      </c>
      <c r="BR617" t="s">
        <v>883</v>
      </c>
    </row>
    <row r="618" spans="1:74" s="15" customFormat="1">
      <c r="A618" t="s">
        <v>913</v>
      </c>
      <c r="B618" t="s">
        <v>492</v>
      </c>
      <c r="C618"/>
      <c r="D618"/>
      <c r="E618"/>
      <c r="F618" t="s">
        <v>483</v>
      </c>
      <c r="G618" t="s">
        <v>726</v>
      </c>
      <c r="H618" t="s">
        <v>483</v>
      </c>
      <c r="I618" t="s">
        <v>726</v>
      </c>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v>3.82</v>
      </c>
      <c r="BB618">
        <v>3.09</v>
      </c>
      <c r="BC618">
        <v>2.96</v>
      </c>
      <c r="BD618">
        <v>3.09</v>
      </c>
      <c r="BE618"/>
      <c r="BF618"/>
      <c r="BG618"/>
      <c r="BH618"/>
      <c r="BI618"/>
      <c r="BJ618"/>
      <c r="BK618"/>
      <c r="BL618"/>
      <c r="BM618"/>
      <c r="BN618"/>
      <c r="BO618"/>
      <c r="BP618"/>
      <c r="BQ618" t="s">
        <v>166</v>
      </c>
      <c r="BR618" t="s">
        <v>883</v>
      </c>
      <c r="BS618"/>
      <c r="BT618"/>
      <c r="BU618"/>
      <c r="BV618"/>
    </row>
    <row r="619" spans="1:74" s="15" customFormat="1">
      <c r="A619" t="s">
        <v>914</v>
      </c>
      <c r="B619" t="s">
        <v>492</v>
      </c>
      <c r="C619"/>
      <c r="D619"/>
      <c r="E619"/>
      <c r="F619" t="s">
        <v>483</v>
      </c>
      <c r="G619" t="s">
        <v>726</v>
      </c>
      <c r="H619" t="s">
        <v>483</v>
      </c>
      <c r="I619" t="s">
        <v>726</v>
      </c>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v>4.12</v>
      </c>
      <c r="BB619">
        <v>3.02</v>
      </c>
      <c r="BC619">
        <v>3.03</v>
      </c>
      <c r="BD619">
        <v>3.03</v>
      </c>
      <c r="BE619"/>
      <c r="BF619"/>
      <c r="BG619"/>
      <c r="BH619"/>
      <c r="BI619"/>
      <c r="BJ619"/>
      <c r="BK619"/>
      <c r="BL619"/>
      <c r="BM619"/>
      <c r="BN619"/>
      <c r="BO619"/>
      <c r="BP619"/>
      <c r="BQ619" t="s">
        <v>166</v>
      </c>
      <c r="BR619" t="s">
        <v>883</v>
      </c>
      <c r="BS619"/>
      <c r="BT619"/>
      <c r="BU619"/>
      <c r="BV619"/>
    </row>
    <row r="620" spans="1:74" ht="32">
      <c r="A620" t="s">
        <v>319</v>
      </c>
      <c r="B620" t="s">
        <v>10</v>
      </c>
      <c r="C620" t="s">
        <v>1052</v>
      </c>
      <c r="D620" t="s">
        <v>1053</v>
      </c>
      <c r="E620" t="s">
        <v>1054</v>
      </c>
      <c r="F620" t="s">
        <v>1055</v>
      </c>
      <c r="G620" t="s">
        <v>1056</v>
      </c>
      <c r="H620" t="s">
        <v>1055</v>
      </c>
      <c r="I620" t="s">
        <v>1056</v>
      </c>
      <c r="L620" s="19" t="s">
        <v>1057</v>
      </c>
      <c r="Q620">
        <v>5.43</v>
      </c>
      <c r="T620">
        <v>5.23</v>
      </c>
      <c r="U620">
        <v>5.8</v>
      </c>
      <c r="X620">
        <v>6.77</v>
      </c>
      <c r="Y620">
        <v>6.72</v>
      </c>
      <c r="AB620">
        <v>7.78</v>
      </c>
      <c r="AC620">
        <v>7.3</v>
      </c>
      <c r="AF620">
        <v>8.16</v>
      </c>
      <c r="AG620">
        <v>6.28</v>
      </c>
      <c r="AJ620">
        <v>6.76</v>
      </c>
      <c r="AO620">
        <v>4.96</v>
      </c>
      <c r="AR620">
        <v>3.02</v>
      </c>
      <c r="AS620">
        <v>5.94</v>
      </c>
      <c r="AV620">
        <v>3.96</v>
      </c>
      <c r="AW620">
        <v>6</v>
      </c>
      <c r="AZ620">
        <v>4.45</v>
      </c>
      <c r="BA620">
        <v>6.36</v>
      </c>
      <c r="BD620">
        <v>4.95</v>
      </c>
      <c r="BE620">
        <v>6.9</v>
      </c>
      <c r="BH620">
        <v>4.3099999999999996</v>
      </c>
      <c r="BP620" t="s">
        <v>1058</v>
      </c>
      <c r="BQ620" t="s">
        <v>281</v>
      </c>
      <c r="BR620" t="s">
        <v>1059</v>
      </c>
    </row>
    <row r="621" spans="1:74" ht="32">
      <c r="A621" t="s">
        <v>319</v>
      </c>
      <c r="B621" t="s">
        <v>10</v>
      </c>
      <c r="C621" t="s">
        <v>1052</v>
      </c>
      <c r="D621" t="s">
        <v>1053</v>
      </c>
      <c r="E621" t="s">
        <v>1054</v>
      </c>
      <c r="F621" t="s">
        <v>1055</v>
      </c>
      <c r="G621" t="s">
        <v>1060</v>
      </c>
      <c r="H621" t="s">
        <v>1055</v>
      </c>
      <c r="I621" t="s">
        <v>1060</v>
      </c>
      <c r="L621" s="19" t="s">
        <v>1061</v>
      </c>
      <c r="Q621">
        <v>5.6</v>
      </c>
      <c r="T621">
        <v>5.05</v>
      </c>
      <c r="U621">
        <v>5.83</v>
      </c>
      <c r="X621">
        <v>6.76</v>
      </c>
      <c r="Y621">
        <v>7.21</v>
      </c>
      <c r="AB621">
        <v>8.39</v>
      </c>
      <c r="AC621">
        <v>7.4</v>
      </c>
      <c r="AF621">
        <v>8.36</v>
      </c>
      <c r="AG621">
        <v>6.39</v>
      </c>
      <c r="AJ621">
        <v>7.07</v>
      </c>
      <c r="AO621">
        <v>5.51</v>
      </c>
      <c r="AR621">
        <v>3.29</v>
      </c>
      <c r="AS621">
        <v>6.54</v>
      </c>
      <c r="AV621">
        <v>4.4400000000000004</v>
      </c>
      <c r="AW621">
        <v>6.59</v>
      </c>
      <c r="AZ621">
        <v>5.19</v>
      </c>
      <c r="BA621">
        <v>6.71</v>
      </c>
      <c r="BD621">
        <v>5.59</v>
      </c>
      <c r="BE621">
        <v>7.34</v>
      </c>
      <c r="BH621">
        <v>4.8099999999999996</v>
      </c>
      <c r="BP621" t="s">
        <v>1058</v>
      </c>
      <c r="BQ621" t="s">
        <v>281</v>
      </c>
      <c r="BR621" t="s">
        <v>1059</v>
      </c>
    </row>
    <row r="622" spans="1:74" s="8" customFormat="1" ht="16">
      <c r="A622" t="s">
        <v>1062</v>
      </c>
      <c r="B622" t="s">
        <v>10</v>
      </c>
      <c r="C622" t="s">
        <v>1052</v>
      </c>
      <c r="D622" t="s">
        <v>1053</v>
      </c>
      <c r="E622" t="s">
        <v>1054</v>
      </c>
      <c r="F622" t="s">
        <v>1055</v>
      </c>
      <c r="G622" t="s">
        <v>1063</v>
      </c>
      <c r="H622" t="s">
        <v>1055</v>
      </c>
      <c r="I622" t="s">
        <v>1063</v>
      </c>
      <c r="J622"/>
      <c r="K622" t="s">
        <v>1064</v>
      </c>
      <c r="L622" s="19" t="s">
        <v>1065</v>
      </c>
      <c r="M622">
        <v>5.77</v>
      </c>
      <c r="N622"/>
      <c r="O622"/>
      <c r="P622">
        <v>4.1500000000000004</v>
      </c>
      <c r="Q622">
        <v>7.42</v>
      </c>
      <c r="R622"/>
      <c r="S622"/>
      <c r="T622">
        <v>7.39</v>
      </c>
      <c r="U622">
        <v>7.35</v>
      </c>
      <c r="V622"/>
      <c r="W622"/>
      <c r="X622">
        <v>8.59</v>
      </c>
      <c r="Y622"/>
      <c r="Z622"/>
      <c r="AA622"/>
      <c r="AB622"/>
      <c r="AC622">
        <f>AVERAGE(8.15,8.33)</f>
        <v>8.24</v>
      </c>
      <c r="AD622"/>
      <c r="AE622"/>
      <c r="AF622">
        <f>AVERAGE(11.09,10.83)</f>
        <v>10.96</v>
      </c>
      <c r="AG622">
        <f>AVERAGE(7.5,7.52)</f>
        <v>7.51</v>
      </c>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t="s">
        <v>281</v>
      </c>
      <c r="BR622" t="s">
        <v>1066</v>
      </c>
      <c r="BS622" t="s">
        <v>181</v>
      </c>
      <c r="BT622" t="s">
        <v>1066</v>
      </c>
      <c r="BU622"/>
      <c r="BV622"/>
    </row>
    <row r="623" spans="1:74" ht="16">
      <c r="A623" t="s">
        <v>319</v>
      </c>
      <c r="B623" t="s">
        <v>10</v>
      </c>
      <c r="C623" t="s">
        <v>1052</v>
      </c>
      <c r="D623" t="s">
        <v>1053</v>
      </c>
      <c r="E623" t="s">
        <v>1054</v>
      </c>
      <c r="F623" t="s">
        <v>1055</v>
      </c>
      <c r="G623" t="s">
        <v>1067</v>
      </c>
      <c r="H623" t="s">
        <v>1055</v>
      </c>
      <c r="I623" t="s">
        <v>1067</v>
      </c>
      <c r="J623" t="s">
        <v>1068</v>
      </c>
      <c r="L623" s="19" t="s">
        <v>1069</v>
      </c>
      <c r="AO623">
        <v>7.5</v>
      </c>
      <c r="AR623">
        <v>4.5</v>
      </c>
      <c r="AS623">
        <v>8.1999999999999993</v>
      </c>
      <c r="AV623">
        <v>5.85</v>
      </c>
      <c r="AW623">
        <v>8.9</v>
      </c>
      <c r="AZ623">
        <v>7.27</v>
      </c>
      <c r="BA623">
        <v>9.17</v>
      </c>
      <c r="BD623">
        <v>7.5</v>
      </c>
      <c r="BE623">
        <v>9.6999999999999993</v>
      </c>
      <c r="BH623">
        <v>6.5</v>
      </c>
      <c r="BP623" t="s">
        <v>1058</v>
      </c>
      <c r="BQ623" t="s">
        <v>281</v>
      </c>
      <c r="BR623" t="s">
        <v>1059</v>
      </c>
    </row>
    <row r="624" spans="1:74" ht="32">
      <c r="A624" t="s">
        <v>319</v>
      </c>
      <c r="B624" t="s">
        <v>10</v>
      </c>
      <c r="C624" t="s">
        <v>1052</v>
      </c>
      <c r="D624" t="s">
        <v>1053</v>
      </c>
      <c r="E624" t="s">
        <v>1054</v>
      </c>
      <c r="F624" t="s">
        <v>1055</v>
      </c>
      <c r="G624" t="s">
        <v>1070</v>
      </c>
      <c r="H624" t="s">
        <v>1055</v>
      </c>
      <c r="I624" t="s">
        <v>1070</v>
      </c>
      <c r="L624" s="19" t="s">
        <v>1071</v>
      </c>
      <c r="Q624">
        <v>5.77</v>
      </c>
      <c r="T624">
        <v>5.5</v>
      </c>
      <c r="U624">
        <v>5.91</v>
      </c>
      <c r="X624">
        <v>7.06</v>
      </c>
      <c r="Y624">
        <v>6.94</v>
      </c>
      <c r="AB624">
        <v>8.18</v>
      </c>
      <c r="AC624">
        <v>7.46</v>
      </c>
      <c r="AF624">
        <v>8.2799999999999994</v>
      </c>
      <c r="AG624">
        <v>6.32</v>
      </c>
      <c r="AJ624">
        <v>6.74</v>
      </c>
      <c r="AO624">
        <v>5.7</v>
      </c>
      <c r="AR624">
        <v>3.51</v>
      </c>
      <c r="AS624">
        <v>6.26</v>
      </c>
      <c r="AV624">
        <v>4.37</v>
      </c>
      <c r="AW624">
        <v>6.38</v>
      </c>
      <c r="AZ624">
        <v>5.0599999999999996</v>
      </c>
      <c r="BA624">
        <v>6.57</v>
      </c>
      <c r="BD624">
        <v>5.38</v>
      </c>
      <c r="BE624">
        <v>7.22</v>
      </c>
      <c r="BH624">
        <v>4.58</v>
      </c>
      <c r="BP624" t="s">
        <v>1058</v>
      </c>
      <c r="BQ624" t="s">
        <v>281</v>
      </c>
      <c r="BR624" t="s">
        <v>1059</v>
      </c>
    </row>
    <row r="625" spans="1:72">
      <c r="A625" t="s">
        <v>1073</v>
      </c>
      <c r="B625" t="s">
        <v>10</v>
      </c>
      <c r="C625" t="s">
        <v>1052</v>
      </c>
      <c r="D625" t="s">
        <v>1053</v>
      </c>
      <c r="E625" t="s">
        <v>1054</v>
      </c>
      <c r="F625" t="s">
        <v>1055</v>
      </c>
      <c r="G625" t="s">
        <v>1074</v>
      </c>
      <c r="H625" t="s">
        <v>1055</v>
      </c>
      <c r="I625" t="s">
        <v>1074</v>
      </c>
      <c r="L625" s="19"/>
      <c r="BE625">
        <v>8.35</v>
      </c>
      <c r="BH625">
        <v>5.9</v>
      </c>
      <c r="BP625" t="s">
        <v>1075</v>
      </c>
      <c r="BQ625" t="s">
        <v>281</v>
      </c>
      <c r="BR625" t="s">
        <v>273</v>
      </c>
    </row>
    <row r="626" spans="1:72">
      <c r="A626" t="s">
        <v>1076</v>
      </c>
      <c r="B626" t="s">
        <v>10</v>
      </c>
      <c r="C626" t="s">
        <v>1052</v>
      </c>
      <c r="D626" t="s">
        <v>1053</v>
      </c>
      <c r="E626" t="s">
        <v>1054</v>
      </c>
      <c r="F626" t="s">
        <v>1055</v>
      </c>
      <c r="G626" t="s">
        <v>1074</v>
      </c>
      <c r="H626" t="s">
        <v>1055</v>
      </c>
      <c r="I626" t="s">
        <v>1074</v>
      </c>
      <c r="L626" s="19"/>
      <c r="Y626">
        <v>7.15</v>
      </c>
      <c r="AB626">
        <v>8.6</v>
      </c>
      <c r="AC626">
        <v>7.4</v>
      </c>
      <c r="AF626">
        <v>9.8000000000000007</v>
      </c>
      <c r="BP626" t="s">
        <v>1075</v>
      </c>
      <c r="BQ626" t="s">
        <v>281</v>
      </c>
      <c r="BR626" t="s">
        <v>273</v>
      </c>
    </row>
    <row r="627" spans="1:72">
      <c r="A627" t="s">
        <v>1077</v>
      </c>
      <c r="B627" t="s">
        <v>10</v>
      </c>
      <c r="C627" t="s">
        <v>1052</v>
      </c>
      <c r="D627" t="s">
        <v>1053</v>
      </c>
      <c r="E627" t="s">
        <v>1054</v>
      </c>
      <c r="F627" t="s">
        <v>1055</v>
      </c>
      <c r="G627" t="s">
        <v>1074</v>
      </c>
      <c r="H627" t="s">
        <v>1055</v>
      </c>
      <c r="I627" t="s">
        <v>1074</v>
      </c>
      <c r="L627" s="19"/>
      <c r="AO627">
        <v>6.75</v>
      </c>
      <c r="AR627">
        <v>4.3499999999999996</v>
      </c>
      <c r="AS627">
        <v>7.3</v>
      </c>
      <c r="AV627">
        <v>5.3</v>
      </c>
      <c r="AW627">
        <v>7.1</v>
      </c>
      <c r="AZ627">
        <v>6</v>
      </c>
      <c r="BP627" t="s">
        <v>1075</v>
      </c>
      <c r="BQ627" t="s">
        <v>281</v>
      </c>
      <c r="BR627" t="s">
        <v>273</v>
      </c>
    </row>
    <row r="628" spans="1:72" s="10" customFormat="1">
      <c r="A628" s="10" t="s">
        <v>1078</v>
      </c>
      <c r="B628" s="10" t="s">
        <v>10</v>
      </c>
      <c r="C628" s="10" t="s">
        <v>1052</v>
      </c>
      <c r="D628" s="10" t="s">
        <v>1053</v>
      </c>
      <c r="E628" s="10" t="s">
        <v>1054</v>
      </c>
      <c r="F628" s="10" t="s">
        <v>1055</v>
      </c>
      <c r="G628" s="10" t="s">
        <v>1074</v>
      </c>
      <c r="H628" s="10" t="s">
        <v>1055</v>
      </c>
      <c r="I628" s="10" t="s">
        <v>1079</v>
      </c>
      <c r="L628" s="24"/>
    </row>
    <row r="629" spans="1:72">
      <c r="A629" t="s">
        <v>319</v>
      </c>
      <c r="B629" t="s">
        <v>10</v>
      </c>
      <c r="C629" t="s">
        <v>1052</v>
      </c>
      <c r="D629" t="s">
        <v>1053</v>
      </c>
      <c r="E629" t="s">
        <v>1054</v>
      </c>
      <c r="F629" t="s">
        <v>1055</v>
      </c>
      <c r="G629" t="s">
        <v>1074</v>
      </c>
      <c r="H629" t="s">
        <v>1055</v>
      </c>
      <c r="I629" t="s">
        <v>1074</v>
      </c>
      <c r="L629" s="19"/>
      <c r="U629">
        <v>6.72</v>
      </c>
      <c r="X629">
        <v>8.0500000000000007</v>
      </c>
      <c r="Y629">
        <v>7.36</v>
      </c>
      <c r="AB629">
        <v>8.8699999999999992</v>
      </c>
      <c r="AC629">
        <v>7.66</v>
      </c>
      <c r="AF629">
        <v>8.86</v>
      </c>
      <c r="AG629">
        <v>6.36</v>
      </c>
      <c r="AJ629">
        <v>7.33</v>
      </c>
      <c r="BP629" t="s">
        <v>1080</v>
      </c>
      <c r="BQ629" t="s">
        <v>281</v>
      </c>
      <c r="BR629" t="s">
        <v>1081</v>
      </c>
      <c r="BS629" t="s">
        <v>181</v>
      </c>
      <c r="BT629" t="s">
        <v>1081</v>
      </c>
    </row>
    <row r="630" spans="1:72" ht="32">
      <c r="A630" t="s">
        <v>319</v>
      </c>
      <c r="B630" t="s">
        <v>10</v>
      </c>
      <c r="C630" t="s">
        <v>1052</v>
      </c>
      <c r="D630" t="s">
        <v>1053</v>
      </c>
      <c r="E630" t="s">
        <v>1054</v>
      </c>
      <c r="F630" t="s">
        <v>1055</v>
      </c>
      <c r="G630" t="s">
        <v>1074</v>
      </c>
      <c r="H630" t="s">
        <v>1055</v>
      </c>
      <c r="I630" t="s">
        <v>1074</v>
      </c>
      <c r="L630" s="19" t="s">
        <v>1082</v>
      </c>
      <c r="U630">
        <v>6.54</v>
      </c>
      <c r="X630">
        <v>7.95</v>
      </c>
      <c r="Y630">
        <v>7.36</v>
      </c>
      <c r="AB630">
        <v>8.61</v>
      </c>
      <c r="AC630">
        <v>7.77</v>
      </c>
      <c r="AF630">
        <v>9.02</v>
      </c>
      <c r="AG630">
        <v>6.44</v>
      </c>
      <c r="AJ630">
        <v>7.19</v>
      </c>
      <c r="AO630">
        <v>6.99</v>
      </c>
      <c r="AR630">
        <v>4.03</v>
      </c>
      <c r="AS630">
        <v>7.14</v>
      </c>
      <c r="AV630">
        <v>4.96</v>
      </c>
      <c r="AW630">
        <v>6.78</v>
      </c>
      <c r="AZ630">
        <v>5.57</v>
      </c>
      <c r="BA630">
        <v>6.92</v>
      </c>
      <c r="BD630">
        <v>5.84</v>
      </c>
      <c r="BE630">
        <v>7.44</v>
      </c>
      <c r="BH630">
        <v>4.93</v>
      </c>
      <c r="BP630" t="s">
        <v>1058</v>
      </c>
      <c r="BQ630" t="s">
        <v>281</v>
      </c>
      <c r="BR630" t="s">
        <v>1059</v>
      </c>
    </row>
    <row r="631" spans="1:72" ht="32">
      <c r="A631" t="s">
        <v>319</v>
      </c>
      <c r="B631" t="s">
        <v>10</v>
      </c>
      <c r="C631" t="s">
        <v>1052</v>
      </c>
      <c r="D631" t="s">
        <v>1053</v>
      </c>
      <c r="E631" t="s">
        <v>1054</v>
      </c>
      <c r="F631" t="s">
        <v>1055</v>
      </c>
      <c r="G631" t="s">
        <v>1074</v>
      </c>
      <c r="H631" t="s">
        <v>1055</v>
      </c>
      <c r="I631" t="s">
        <v>1074</v>
      </c>
      <c r="L631" s="19" t="s">
        <v>1083</v>
      </c>
      <c r="Q631">
        <v>6.15</v>
      </c>
      <c r="T631">
        <v>6.16</v>
      </c>
      <c r="U631">
        <v>6.61</v>
      </c>
      <c r="X631">
        <v>7.78</v>
      </c>
      <c r="Y631">
        <v>7.23</v>
      </c>
      <c r="AB631">
        <v>8.74</v>
      </c>
      <c r="AC631">
        <v>7.58</v>
      </c>
      <c r="AF631">
        <v>8.8800000000000008</v>
      </c>
      <c r="AG631">
        <v>6.23</v>
      </c>
      <c r="AJ631">
        <v>7</v>
      </c>
      <c r="AO631">
        <v>6.6</v>
      </c>
      <c r="AR631">
        <v>3.7</v>
      </c>
      <c r="AS631">
        <v>6.7</v>
      </c>
      <c r="AV631">
        <v>4.7</v>
      </c>
      <c r="AW631">
        <v>6.56</v>
      </c>
      <c r="AZ631">
        <v>5.2</v>
      </c>
      <c r="BA631">
        <v>6.7</v>
      </c>
      <c r="BD631">
        <v>5.56</v>
      </c>
      <c r="BE631">
        <v>7.21</v>
      </c>
      <c r="BH631">
        <v>4.7699999999999996</v>
      </c>
      <c r="BP631" t="s">
        <v>1058</v>
      </c>
      <c r="BQ631" t="s">
        <v>281</v>
      </c>
      <c r="BR631" t="s">
        <v>1059</v>
      </c>
    </row>
    <row r="632" spans="1:72" ht="32">
      <c r="A632" t="s">
        <v>319</v>
      </c>
      <c r="B632" t="s">
        <v>10</v>
      </c>
      <c r="C632" t="s">
        <v>1052</v>
      </c>
      <c r="D632" t="s">
        <v>1053</v>
      </c>
      <c r="E632" t="s">
        <v>1054</v>
      </c>
      <c r="F632" t="s">
        <v>1055</v>
      </c>
      <c r="G632" t="s">
        <v>1074</v>
      </c>
      <c r="H632" t="s">
        <v>1055</v>
      </c>
      <c r="I632" t="s">
        <v>1074</v>
      </c>
      <c r="L632" s="19" t="s">
        <v>1084</v>
      </c>
      <c r="Q632">
        <v>6.29</v>
      </c>
      <c r="T632">
        <v>6.28</v>
      </c>
      <c r="U632">
        <v>6.72</v>
      </c>
      <c r="X632">
        <v>8.0500000000000007</v>
      </c>
      <c r="Y632">
        <v>7.36</v>
      </c>
      <c r="AB632">
        <v>8.8699999999999992</v>
      </c>
      <c r="AC632">
        <v>7.66</v>
      </c>
      <c r="AF632">
        <v>8.86</v>
      </c>
      <c r="AG632">
        <v>6.36</v>
      </c>
      <c r="AJ632">
        <v>7.33</v>
      </c>
      <c r="AO632">
        <v>6.62</v>
      </c>
      <c r="AR632">
        <v>3.93</v>
      </c>
      <c r="AS632">
        <v>6.67</v>
      </c>
      <c r="AV632">
        <v>4.7300000000000004</v>
      </c>
      <c r="AW632">
        <v>6.55</v>
      </c>
      <c r="AZ632">
        <v>5.23</v>
      </c>
      <c r="BA632">
        <v>6.72</v>
      </c>
      <c r="BD632">
        <v>5.63</v>
      </c>
      <c r="BE632">
        <v>7.19</v>
      </c>
      <c r="BH632">
        <v>4.76</v>
      </c>
      <c r="BP632" t="s">
        <v>1058</v>
      </c>
      <c r="BQ632" t="s">
        <v>281</v>
      </c>
      <c r="BR632" t="s">
        <v>1059</v>
      </c>
    </row>
    <row r="633" spans="1:72" ht="32">
      <c r="A633" t="s">
        <v>319</v>
      </c>
      <c r="B633" t="s">
        <v>10</v>
      </c>
      <c r="C633" t="s">
        <v>1052</v>
      </c>
      <c r="D633" t="s">
        <v>1053</v>
      </c>
      <c r="E633" t="s">
        <v>1054</v>
      </c>
      <c r="F633" t="s">
        <v>1055</v>
      </c>
      <c r="G633" t="s">
        <v>1074</v>
      </c>
      <c r="H633" t="s">
        <v>1055</v>
      </c>
      <c r="I633" t="s">
        <v>1074</v>
      </c>
      <c r="L633" s="19" t="s">
        <v>1085</v>
      </c>
      <c r="Q633">
        <v>6.39</v>
      </c>
      <c r="T633">
        <v>6.2</v>
      </c>
      <c r="U633">
        <v>6.56</v>
      </c>
      <c r="X633">
        <v>7.68</v>
      </c>
      <c r="Y633">
        <v>7.23</v>
      </c>
      <c r="AB633">
        <v>8.73</v>
      </c>
      <c r="AC633">
        <v>7.48</v>
      </c>
      <c r="AF633">
        <v>8.83</v>
      </c>
      <c r="AG633">
        <v>6.36</v>
      </c>
      <c r="AJ633">
        <v>7.1</v>
      </c>
      <c r="AO633">
        <v>6.9</v>
      </c>
      <c r="AR633">
        <v>3.82</v>
      </c>
      <c r="AS633">
        <v>6.88</v>
      </c>
      <c r="AV633">
        <v>4.7699999999999996</v>
      </c>
      <c r="AW633">
        <v>6.63</v>
      </c>
      <c r="AZ633">
        <v>5.32</v>
      </c>
      <c r="BA633">
        <v>6.83</v>
      </c>
      <c r="BD633">
        <v>5.7</v>
      </c>
      <c r="BE633">
        <v>7.15</v>
      </c>
      <c r="BH633">
        <v>4.8099999999999996</v>
      </c>
      <c r="BP633" t="s">
        <v>1058</v>
      </c>
      <c r="BQ633" t="s">
        <v>281</v>
      </c>
      <c r="BR633" t="s">
        <v>1059</v>
      </c>
    </row>
    <row r="634" spans="1:72" ht="32">
      <c r="A634" t="s">
        <v>319</v>
      </c>
      <c r="B634" t="s">
        <v>10</v>
      </c>
      <c r="C634" t="s">
        <v>1052</v>
      </c>
      <c r="D634" t="s">
        <v>1053</v>
      </c>
      <c r="E634" t="s">
        <v>1054</v>
      </c>
      <c r="F634" t="s">
        <v>1055</v>
      </c>
      <c r="G634" t="s">
        <v>1074</v>
      </c>
      <c r="H634" t="s">
        <v>1055</v>
      </c>
      <c r="I634" t="s">
        <v>1074</v>
      </c>
      <c r="L634" s="19" t="s">
        <v>1086</v>
      </c>
      <c r="Q634">
        <v>6.48</v>
      </c>
      <c r="T634">
        <v>6.74</v>
      </c>
      <c r="U634">
        <v>6.67</v>
      </c>
      <c r="X634">
        <v>8.0299999999999994</v>
      </c>
      <c r="Y634">
        <v>7.68</v>
      </c>
      <c r="AB634">
        <v>8.86</v>
      </c>
      <c r="AC634">
        <v>7.64</v>
      </c>
      <c r="AF634">
        <v>8.84</v>
      </c>
      <c r="AG634">
        <v>6.75</v>
      </c>
      <c r="AJ634">
        <v>7.75</v>
      </c>
      <c r="AO634">
        <v>6.91</v>
      </c>
      <c r="AR634">
        <v>4.16</v>
      </c>
      <c r="AS634">
        <v>7.15</v>
      </c>
      <c r="AV634">
        <v>5.0199999999999996</v>
      </c>
      <c r="AW634">
        <v>6.9</v>
      </c>
      <c r="AZ634">
        <v>5.63</v>
      </c>
      <c r="BA634">
        <v>7</v>
      </c>
      <c r="BD634">
        <v>5.81</v>
      </c>
      <c r="BE634">
        <v>7.32</v>
      </c>
      <c r="BH634">
        <v>4.93</v>
      </c>
      <c r="BP634" t="s">
        <v>1058</v>
      </c>
      <c r="BQ634" t="s">
        <v>281</v>
      </c>
      <c r="BR634" t="s">
        <v>1059</v>
      </c>
    </row>
    <row r="635" spans="1:72">
      <c r="A635" t="s">
        <v>1087</v>
      </c>
      <c r="B635" t="s">
        <v>10</v>
      </c>
      <c r="C635" t="s">
        <v>1052</v>
      </c>
      <c r="D635" t="s">
        <v>1053</v>
      </c>
      <c r="E635" t="s">
        <v>1054</v>
      </c>
      <c r="F635" t="s">
        <v>1055</v>
      </c>
      <c r="G635" t="s">
        <v>1074</v>
      </c>
      <c r="H635" t="s">
        <v>1055</v>
      </c>
      <c r="I635" t="s">
        <v>1074</v>
      </c>
      <c r="L635" s="19"/>
      <c r="BE635">
        <v>7.3</v>
      </c>
      <c r="BH635">
        <v>4.5999999999999996</v>
      </c>
      <c r="BP635" t="s">
        <v>1075</v>
      </c>
      <c r="BQ635" t="s">
        <v>281</v>
      </c>
      <c r="BR635" t="s">
        <v>273</v>
      </c>
    </row>
    <row r="636" spans="1:72">
      <c r="A636" t="s">
        <v>1088</v>
      </c>
      <c r="B636" t="s">
        <v>10</v>
      </c>
      <c r="C636" t="s">
        <v>1052</v>
      </c>
      <c r="D636" t="s">
        <v>1053</v>
      </c>
      <c r="E636" t="s">
        <v>1054</v>
      </c>
      <c r="F636" t="s">
        <v>1055</v>
      </c>
      <c r="G636" t="s">
        <v>1074</v>
      </c>
      <c r="H636" t="s">
        <v>1055</v>
      </c>
      <c r="I636" t="s">
        <v>1089</v>
      </c>
      <c r="L636" s="19"/>
      <c r="AS636">
        <v>7.5</v>
      </c>
      <c r="AV636">
        <v>5.0999999999999996</v>
      </c>
      <c r="AW636">
        <v>6.8</v>
      </c>
      <c r="AZ636">
        <v>5.9</v>
      </c>
      <c r="BA636">
        <v>7.1</v>
      </c>
      <c r="BD636">
        <v>6.5</v>
      </c>
      <c r="BQ636" t="s">
        <v>281</v>
      </c>
      <c r="BR636" t="s">
        <v>818</v>
      </c>
    </row>
    <row r="637" spans="1:72">
      <c r="A637" t="s">
        <v>1090</v>
      </c>
      <c r="B637" t="s">
        <v>10</v>
      </c>
      <c r="C637" t="s">
        <v>1052</v>
      </c>
      <c r="D637" t="s">
        <v>1053</v>
      </c>
      <c r="E637" t="s">
        <v>1054</v>
      </c>
      <c r="F637" t="s">
        <v>1055</v>
      </c>
      <c r="G637" t="s">
        <v>1074</v>
      </c>
      <c r="H637" t="s">
        <v>1055</v>
      </c>
      <c r="I637" t="s">
        <v>1079</v>
      </c>
      <c r="L637" s="19"/>
      <c r="M637">
        <v>4</v>
      </c>
      <c r="P637">
        <v>2.2000000000000002</v>
      </c>
      <c r="Q637">
        <v>5.7</v>
      </c>
      <c r="T637">
        <v>5.5</v>
      </c>
      <c r="U637">
        <v>6</v>
      </c>
      <c r="X637">
        <v>7.3</v>
      </c>
      <c r="Y637">
        <v>6.2</v>
      </c>
      <c r="AB637">
        <v>8.5</v>
      </c>
      <c r="AC637">
        <v>6.2</v>
      </c>
      <c r="AF637">
        <v>9.1</v>
      </c>
      <c r="AG637">
        <v>4.9000000000000004</v>
      </c>
      <c r="AJ637">
        <v>7.5</v>
      </c>
      <c r="AO637">
        <v>5.5</v>
      </c>
      <c r="AR637">
        <v>3.2</v>
      </c>
      <c r="AS637">
        <v>6.7</v>
      </c>
      <c r="AV637">
        <v>4.0999999999999996</v>
      </c>
      <c r="AW637">
        <v>6.5</v>
      </c>
      <c r="AZ637">
        <v>5.0999999999999996</v>
      </c>
      <c r="BA637">
        <v>6.5</v>
      </c>
      <c r="BD637">
        <v>5.4</v>
      </c>
      <c r="BE637">
        <v>6.7</v>
      </c>
      <c r="BH637">
        <v>4.5</v>
      </c>
      <c r="BQ637" t="s">
        <v>281</v>
      </c>
      <c r="BR637" t="s">
        <v>818</v>
      </c>
    </row>
    <row r="638" spans="1:72">
      <c r="A638" t="s">
        <v>319</v>
      </c>
      <c r="B638" t="s">
        <v>10</v>
      </c>
      <c r="C638" t="s">
        <v>1052</v>
      </c>
      <c r="D638" t="s">
        <v>1053</v>
      </c>
      <c r="E638" t="s">
        <v>1054</v>
      </c>
      <c r="F638" t="s">
        <v>1055</v>
      </c>
      <c r="G638" t="s">
        <v>1091</v>
      </c>
      <c r="H638" t="s">
        <v>1055</v>
      </c>
      <c r="I638" t="s">
        <v>1091</v>
      </c>
      <c r="L638" s="19"/>
      <c r="U638">
        <v>5.6</v>
      </c>
      <c r="X638">
        <v>6.55</v>
      </c>
      <c r="Y638">
        <v>5.67</v>
      </c>
      <c r="AB638">
        <v>7.37</v>
      </c>
      <c r="AC638">
        <v>6.33</v>
      </c>
      <c r="AF638">
        <v>7.3</v>
      </c>
      <c r="AG638">
        <v>5.2</v>
      </c>
      <c r="AJ638">
        <v>6.06</v>
      </c>
      <c r="BP638" t="s">
        <v>1080</v>
      </c>
      <c r="BQ638" t="s">
        <v>281</v>
      </c>
      <c r="BR638" t="s">
        <v>1081</v>
      </c>
    </row>
    <row r="639" spans="1:72" ht="32">
      <c r="A639" t="s">
        <v>319</v>
      </c>
      <c r="B639" t="s">
        <v>10</v>
      </c>
      <c r="C639" t="s">
        <v>1052</v>
      </c>
      <c r="D639" t="s">
        <v>1053</v>
      </c>
      <c r="E639" t="s">
        <v>1054</v>
      </c>
      <c r="F639" t="s">
        <v>1055</v>
      </c>
      <c r="G639" t="s">
        <v>1091</v>
      </c>
      <c r="H639" t="s">
        <v>1055</v>
      </c>
      <c r="I639" t="s">
        <v>1091</v>
      </c>
      <c r="L639" s="19" t="s">
        <v>1092</v>
      </c>
      <c r="Q639">
        <v>5.2</v>
      </c>
      <c r="T639">
        <v>5.15</v>
      </c>
      <c r="U639">
        <v>5.6</v>
      </c>
      <c r="X639">
        <v>6.55</v>
      </c>
      <c r="Y639">
        <v>5.67</v>
      </c>
      <c r="AB639">
        <v>7.37</v>
      </c>
      <c r="AC639">
        <v>6.33</v>
      </c>
      <c r="AF639">
        <v>7.3</v>
      </c>
      <c r="AG639">
        <v>5.2</v>
      </c>
      <c r="AJ639">
        <v>6.06</v>
      </c>
      <c r="AO639">
        <v>5.77</v>
      </c>
      <c r="AR639">
        <v>3.05</v>
      </c>
      <c r="AS639">
        <v>5.78</v>
      </c>
      <c r="AV639">
        <v>3.77</v>
      </c>
      <c r="AW639">
        <v>5.47</v>
      </c>
      <c r="AZ639">
        <v>4.3600000000000003</v>
      </c>
      <c r="BA639">
        <v>5.48</v>
      </c>
      <c r="BD639">
        <v>4.6399999999999997</v>
      </c>
      <c r="BE639">
        <v>5.88</v>
      </c>
      <c r="BH639">
        <v>3.83</v>
      </c>
      <c r="BP639" t="s">
        <v>1058</v>
      </c>
      <c r="BQ639" t="s">
        <v>281</v>
      </c>
      <c r="BR639" t="s">
        <v>1059</v>
      </c>
    </row>
    <row r="640" spans="1:72" ht="32">
      <c r="A640" t="s">
        <v>319</v>
      </c>
      <c r="B640" t="s">
        <v>10</v>
      </c>
      <c r="C640" t="s">
        <v>1052</v>
      </c>
      <c r="D640" t="s">
        <v>1053</v>
      </c>
      <c r="E640" t="s">
        <v>1054</v>
      </c>
      <c r="F640" t="s">
        <v>1055</v>
      </c>
      <c r="G640" t="s">
        <v>1093</v>
      </c>
      <c r="H640" t="s">
        <v>1055</v>
      </c>
      <c r="I640" t="s">
        <v>1093</v>
      </c>
      <c r="L640" s="19" t="s">
        <v>1094</v>
      </c>
      <c r="U640">
        <v>7</v>
      </c>
      <c r="X640">
        <v>8.4</v>
      </c>
      <c r="Y640">
        <v>7.85</v>
      </c>
      <c r="AB640">
        <v>10.1</v>
      </c>
      <c r="AC640">
        <v>8.3000000000000007</v>
      </c>
      <c r="AF640">
        <v>10.199999999999999</v>
      </c>
      <c r="AG640">
        <v>8.1</v>
      </c>
      <c r="AJ640">
        <v>8.73</v>
      </c>
      <c r="AO640">
        <v>7.8</v>
      </c>
      <c r="AR640">
        <v>4.95</v>
      </c>
      <c r="AS640">
        <v>8</v>
      </c>
      <c r="AV640">
        <v>5.57</v>
      </c>
      <c r="AW640">
        <v>8.1999999999999993</v>
      </c>
      <c r="AZ640">
        <v>6.77</v>
      </c>
      <c r="BA640">
        <v>8.0500000000000007</v>
      </c>
      <c r="BD640">
        <v>6.97</v>
      </c>
      <c r="BE640">
        <v>9.8000000000000007</v>
      </c>
      <c r="BH640">
        <v>7.1</v>
      </c>
      <c r="BP640" t="s">
        <v>1058</v>
      </c>
      <c r="BQ640" t="s">
        <v>281</v>
      </c>
      <c r="BR640" t="s">
        <v>1059</v>
      </c>
    </row>
    <row r="641" spans="1:74" s="8" customFormat="1">
      <c r="A641" t="s">
        <v>1095</v>
      </c>
      <c r="B641" t="s">
        <v>10</v>
      </c>
      <c r="C641" t="s">
        <v>1052</v>
      </c>
      <c r="D641" t="s">
        <v>1053</v>
      </c>
      <c r="E641" t="s">
        <v>1054</v>
      </c>
      <c r="F641" t="s">
        <v>1096</v>
      </c>
      <c r="G641" t="s">
        <v>1097</v>
      </c>
      <c r="H641" t="s">
        <v>1096</v>
      </c>
      <c r="I641" t="s">
        <v>1097</v>
      </c>
      <c r="J641"/>
      <c r="K641"/>
      <c r="L641"/>
      <c r="M641"/>
      <c r="N641"/>
      <c r="O641"/>
      <c r="P641"/>
      <c r="Q641"/>
      <c r="R641"/>
      <c r="S641"/>
      <c r="T641"/>
      <c r="U641"/>
      <c r="V641"/>
      <c r="W641"/>
      <c r="X641"/>
      <c r="Y641">
        <v>6.3</v>
      </c>
      <c r="Z641"/>
      <c r="AA641"/>
      <c r="AB641">
        <v>11.5</v>
      </c>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t="s">
        <v>281</v>
      </c>
      <c r="BR641" t="s">
        <v>299</v>
      </c>
      <c r="BS641"/>
      <c r="BT641"/>
      <c r="BU641"/>
      <c r="BV641"/>
    </row>
    <row r="642" spans="1:74" s="8" customFormat="1">
      <c r="A642" t="s">
        <v>1098</v>
      </c>
      <c r="B642" t="s">
        <v>10</v>
      </c>
      <c r="C642" t="s">
        <v>1052</v>
      </c>
      <c r="D642" t="s">
        <v>1053</v>
      </c>
      <c r="E642" t="s">
        <v>1054</v>
      </c>
      <c r="F642" t="s">
        <v>1096</v>
      </c>
      <c r="G642" t="s">
        <v>1097</v>
      </c>
      <c r="H642" t="s">
        <v>1096</v>
      </c>
      <c r="I642" t="s">
        <v>1097</v>
      </c>
      <c r="J642"/>
      <c r="K642"/>
      <c r="L642"/>
      <c r="M642"/>
      <c r="N642"/>
      <c r="O642"/>
      <c r="P642"/>
      <c r="Q642"/>
      <c r="R642"/>
      <c r="S642"/>
      <c r="T642"/>
      <c r="U642"/>
      <c r="V642"/>
      <c r="W642"/>
      <c r="X642"/>
      <c r="Y642"/>
      <c r="Z642"/>
      <c r="AA642"/>
      <c r="AB642"/>
      <c r="AC642">
        <v>7.9</v>
      </c>
      <c r="AD642"/>
      <c r="AE642"/>
      <c r="AF642">
        <v>11</v>
      </c>
      <c r="AG642">
        <v>8.1</v>
      </c>
      <c r="AH642"/>
      <c r="AI642"/>
      <c r="AJ642">
        <v>11.6</v>
      </c>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t="s">
        <v>281</v>
      </c>
      <c r="BR642" t="s">
        <v>299</v>
      </c>
      <c r="BS642"/>
      <c r="BT642"/>
      <c r="BU642"/>
      <c r="BV642"/>
    </row>
    <row r="643" spans="1:74">
      <c r="A643" t="s">
        <v>1099</v>
      </c>
      <c r="B643" t="s">
        <v>10</v>
      </c>
      <c r="C643" t="s">
        <v>1052</v>
      </c>
      <c r="D643" t="s">
        <v>1053</v>
      </c>
      <c r="E643" t="s">
        <v>1054</v>
      </c>
      <c r="F643" t="s">
        <v>1096</v>
      </c>
      <c r="G643" t="s">
        <v>1100</v>
      </c>
      <c r="H643" t="s">
        <v>1096</v>
      </c>
      <c r="I643" t="s">
        <v>1101</v>
      </c>
      <c r="L643" s="19"/>
      <c r="AC643">
        <f>AVERAGE(6.39,6.34)</f>
        <v>6.3650000000000002</v>
      </c>
      <c r="AF643">
        <f>AVERAGE(7.84,7.71)</f>
        <v>7.7750000000000004</v>
      </c>
      <c r="AG643">
        <v>5.39</v>
      </c>
      <c r="BE643">
        <v>6.5</v>
      </c>
      <c r="BH643">
        <f>AVERAGE(3.88,3.8)</f>
        <v>3.84</v>
      </c>
      <c r="BQ643" t="s">
        <v>281</v>
      </c>
      <c r="BR643" t="s">
        <v>1066</v>
      </c>
      <c r="BS643" t="s">
        <v>181</v>
      </c>
      <c r="BT643" t="s">
        <v>1066</v>
      </c>
    </row>
    <row r="644" spans="1:74">
      <c r="A644" t="s">
        <v>1102</v>
      </c>
      <c r="B644" t="s">
        <v>10</v>
      </c>
      <c r="C644" t="s">
        <v>1052</v>
      </c>
      <c r="D644" t="s">
        <v>1053</v>
      </c>
      <c r="E644" t="s">
        <v>1054</v>
      </c>
      <c r="F644" t="s">
        <v>1096</v>
      </c>
      <c r="G644" t="s">
        <v>1100</v>
      </c>
      <c r="H644" t="s">
        <v>1096</v>
      </c>
      <c r="I644" t="s">
        <v>1101</v>
      </c>
      <c r="L644" s="19"/>
      <c r="U644">
        <v>4.1500000000000004</v>
      </c>
      <c r="Y644">
        <v>5.24</v>
      </c>
      <c r="AC644">
        <v>6.05</v>
      </c>
      <c r="BP644" t="s">
        <v>1103</v>
      </c>
      <c r="BQ644" t="s">
        <v>281</v>
      </c>
      <c r="BR644" t="s">
        <v>1066</v>
      </c>
      <c r="BS644" t="s">
        <v>181</v>
      </c>
      <c r="BT644" t="s">
        <v>1066</v>
      </c>
    </row>
    <row r="645" spans="1:74">
      <c r="A645" t="s">
        <v>1104</v>
      </c>
      <c r="B645" t="s">
        <v>10</v>
      </c>
      <c r="C645" t="s">
        <v>1052</v>
      </c>
      <c r="D645" t="s">
        <v>1053</v>
      </c>
      <c r="E645" t="s">
        <v>1054</v>
      </c>
      <c r="F645" t="s">
        <v>1096</v>
      </c>
      <c r="G645" t="s">
        <v>1100</v>
      </c>
      <c r="H645" t="s">
        <v>1096</v>
      </c>
      <c r="I645" t="s">
        <v>1101</v>
      </c>
      <c r="L645" s="19"/>
      <c r="Y645">
        <v>5.61</v>
      </c>
      <c r="AC645">
        <v>6.67</v>
      </c>
      <c r="AF645">
        <v>7.92</v>
      </c>
      <c r="BQ645" t="s">
        <v>281</v>
      </c>
      <c r="BR645" t="s">
        <v>1066</v>
      </c>
      <c r="BS645" t="s">
        <v>181</v>
      </c>
      <c r="BT645" t="s">
        <v>1066</v>
      </c>
    </row>
    <row r="646" spans="1:74">
      <c r="A646" t="s">
        <v>1105</v>
      </c>
      <c r="B646" t="s">
        <v>10</v>
      </c>
      <c r="C646" t="s">
        <v>1052</v>
      </c>
      <c r="D646" t="s">
        <v>1053</v>
      </c>
      <c r="E646" t="s">
        <v>1054</v>
      </c>
      <c r="F646" t="s">
        <v>1096</v>
      </c>
      <c r="G646" t="s">
        <v>1100</v>
      </c>
      <c r="H646" t="s">
        <v>1096</v>
      </c>
      <c r="I646" t="s">
        <v>1101</v>
      </c>
      <c r="L646" s="19"/>
      <c r="AG646">
        <v>5.29</v>
      </c>
      <c r="AJ646">
        <v>8.4700000000000006</v>
      </c>
      <c r="BQ646" t="s">
        <v>281</v>
      </c>
      <c r="BR646" t="s">
        <v>1066</v>
      </c>
      <c r="BS646" t="s">
        <v>181</v>
      </c>
      <c r="BT646" t="s">
        <v>1066</v>
      </c>
    </row>
    <row r="647" spans="1:74">
      <c r="A647" t="s">
        <v>1106</v>
      </c>
      <c r="B647" t="s">
        <v>10</v>
      </c>
      <c r="C647" t="s">
        <v>1052</v>
      </c>
      <c r="D647" t="s">
        <v>1053</v>
      </c>
      <c r="E647" t="s">
        <v>1054</v>
      </c>
      <c r="F647" t="s">
        <v>1096</v>
      </c>
      <c r="G647" t="s">
        <v>1100</v>
      </c>
      <c r="H647" t="s">
        <v>1096</v>
      </c>
      <c r="I647" t="s">
        <v>1101</v>
      </c>
      <c r="L647" s="19"/>
      <c r="AC647">
        <v>6.42</v>
      </c>
      <c r="BQ647" t="s">
        <v>281</v>
      </c>
      <c r="BR647" t="s">
        <v>1066</v>
      </c>
      <c r="BS647" t="s">
        <v>181</v>
      </c>
      <c r="BT647" t="s">
        <v>1066</v>
      </c>
    </row>
    <row r="648" spans="1:74">
      <c r="A648" t="s">
        <v>1107</v>
      </c>
      <c r="B648" t="s">
        <v>10</v>
      </c>
      <c r="C648" t="s">
        <v>1052</v>
      </c>
      <c r="D648" t="s">
        <v>1053</v>
      </c>
      <c r="E648" t="s">
        <v>1054</v>
      </c>
      <c r="F648" t="s">
        <v>1096</v>
      </c>
      <c r="G648" t="s">
        <v>1100</v>
      </c>
      <c r="H648" t="s">
        <v>1096</v>
      </c>
      <c r="I648" t="s">
        <v>1101</v>
      </c>
      <c r="L648" s="19"/>
      <c r="AW648">
        <v>4.7</v>
      </c>
      <c r="AZ648">
        <v>4</v>
      </c>
      <c r="BQ648" t="s">
        <v>281</v>
      </c>
      <c r="BR648" t="s">
        <v>1066</v>
      </c>
      <c r="BS648" t="s">
        <v>181</v>
      </c>
      <c r="BT648" t="s">
        <v>1066</v>
      </c>
    </row>
    <row r="649" spans="1:74">
      <c r="A649" t="s">
        <v>1108</v>
      </c>
      <c r="B649" t="s">
        <v>10</v>
      </c>
      <c r="C649" t="s">
        <v>1052</v>
      </c>
      <c r="D649" t="s">
        <v>1053</v>
      </c>
      <c r="F649" t="s">
        <v>1109</v>
      </c>
      <c r="G649" t="s">
        <v>1110</v>
      </c>
      <c r="H649" s="28" t="s">
        <v>1111</v>
      </c>
      <c r="I649" s="28" t="s">
        <v>1110</v>
      </c>
      <c r="L649" s="19"/>
      <c r="AG649">
        <v>5.05</v>
      </c>
      <c r="AJ649">
        <v>7.15</v>
      </c>
      <c r="BQ649" t="s">
        <v>281</v>
      </c>
      <c r="BR649" t="s">
        <v>273</v>
      </c>
    </row>
    <row r="650" spans="1:74">
      <c r="A650" t="s">
        <v>1112</v>
      </c>
      <c r="B650" t="s">
        <v>10</v>
      </c>
      <c r="C650" t="s">
        <v>1052</v>
      </c>
      <c r="D650" t="s">
        <v>1053</v>
      </c>
      <c r="F650" t="s">
        <v>1109</v>
      </c>
      <c r="G650" t="s">
        <v>1110</v>
      </c>
      <c r="H650" s="28" t="s">
        <v>1111</v>
      </c>
      <c r="I650" s="28" t="s">
        <v>1110</v>
      </c>
      <c r="L650" s="19"/>
      <c r="AW650">
        <v>6.3</v>
      </c>
      <c r="AZ650">
        <v>4.95</v>
      </c>
      <c r="BQ650" t="s">
        <v>281</v>
      </c>
      <c r="BR650" t="s">
        <v>273</v>
      </c>
    </row>
    <row r="651" spans="1:74">
      <c r="A651" t="s">
        <v>1113</v>
      </c>
      <c r="B651" t="s">
        <v>10</v>
      </c>
      <c r="C651" t="s">
        <v>1052</v>
      </c>
      <c r="D651" t="s">
        <v>1053</v>
      </c>
      <c r="F651" t="s">
        <v>1109</v>
      </c>
      <c r="G651" t="s">
        <v>1110</v>
      </c>
      <c r="H651" s="28" t="s">
        <v>1111</v>
      </c>
      <c r="I651" s="28" t="s">
        <v>1110</v>
      </c>
      <c r="L651" s="19"/>
      <c r="AW651">
        <v>6.6</v>
      </c>
      <c r="AZ651">
        <v>5.25</v>
      </c>
      <c r="BQ651" t="s">
        <v>281</v>
      </c>
      <c r="BR651" t="s">
        <v>273</v>
      </c>
    </row>
    <row r="652" spans="1:74">
      <c r="A652" t="s">
        <v>1114</v>
      </c>
      <c r="B652" t="s">
        <v>10</v>
      </c>
      <c r="C652" t="s">
        <v>1052</v>
      </c>
      <c r="D652" t="s">
        <v>1053</v>
      </c>
      <c r="F652" t="s">
        <v>1109</v>
      </c>
      <c r="G652" t="s">
        <v>1110</v>
      </c>
      <c r="H652" s="28" t="s">
        <v>1111</v>
      </c>
      <c r="I652" s="28" t="s">
        <v>1110</v>
      </c>
      <c r="L652" s="19"/>
      <c r="AW652">
        <v>6.5</v>
      </c>
      <c r="AZ652">
        <v>5.35</v>
      </c>
      <c r="BA652">
        <v>6.6</v>
      </c>
      <c r="BD652">
        <v>6</v>
      </c>
      <c r="BQ652" t="s">
        <v>281</v>
      </c>
      <c r="BR652" t="s">
        <v>273</v>
      </c>
    </row>
    <row r="653" spans="1:74">
      <c r="A653" t="s">
        <v>1115</v>
      </c>
      <c r="B653" t="s">
        <v>10</v>
      </c>
      <c r="C653" t="s">
        <v>1052</v>
      </c>
      <c r="D653" t="s">
        <v>1053</v>
      </c>
      <c r="F653" t="s">
        <v>1109</v>
      </c>
      <c r="G653" t="s">
        <v>1110</v>
      </c>
      <c r="H653" s="28" t="s">
        <v>1111</v>
      </c>
      <c r="I653" s="28" t="s">
        <v>1110</v>
      </c>
      <c r="L653" s="19"/>
      <c r="AO653">
        <v>7.3</v>
      </c>
      <c r="AR653">
        <v>4.1500000000000004</v>
      </c>
      <c r="AS653">
        <v>7.35</v>
      </c>
      <c r="AV653">
        <v>3.4</v>
      </c>
      <c r="AW653">
        <v>7.1</v>
      </c>
      <c r="AZ653">
        <v>5.5</v>
      </c>
      <c r="BQ653" t="s">
        <v>281</v>
      </c>
      <c r="BR653" t="s">
        <v>273</v>
      </c>
    </row>
    <row r="654" spans="1:74" ht="32">
      <c r="A654" t="s">
        <v>319</v>
      </c>
      <c r="B654" t="s">
        <v>10</v>
      </c>
      <c r="C654" t="s">
        <v>1052</v>
      </c>
      <c r="D654" t="s">
        <v>1053</v>
      </c>
      <c r="F654" t="s">
        <v>1109</v>
      </c>
      <c r="G654" t="s">
        <v>1110</v>
      </c>
      <c r="H654" t="s">
        <v>1109</v>
      </c>
      <c r="I654" s="28" t="s">
        <v>1110</v>
      </c>
      <c r="L654" s="19" t="s">
        <v>1085</v>
      </c>
      <c r="U654">
        <v>6.6</v>
      </c>
      <c r="X654">
        <v>7</v>
      </c>
      <c r="Y654">
        <v>6.97</v>
      </c>
      <c r="AB654">
        <v>8.52</v>
      </c>
      <c r="AC654">
        <v>7.29</v>
      </c>
      <c r="AF654">
        <v>8.6199999999999992</v>
      </c>
      <c r="AG654">
        <v>6.21</v>
      </c>
      <c r="AJ654">
        <v>6.72</v>
      </c>
      <c r="AO654">
        <v>7.66</v>
      </c>
      <c r="AR654">
        <v>4.03</v>
      </c>
      <c r="AS654">
        <v>8</v>
      </c>
      <c r="AV654">
        <v>4.72</v>
      </c>
      <c r="AW654">
        <v>6.82</v>
      </c>
      <c r="AZ654">
        <v>5.25</v>
      </c>
      <c r="BA654">
        <v>6.87</v>
      </c>
      <c r="BD654">
        <v>5.77</v>
      </c>
      <c r="BE654">
        <v>7.21</v>
      </c>
      <c r="BH654">
        <v>5.01</v>
      </c>
      <c r="BP654" t="s">
        <v>1058</v>
      </c>
      <c r="BQ654" t="s">
        <v>281</v>
      </c>
      <c r="BR654" t="s">
        <v>1059</v>
      </c>
    </row>
    <row r="655" spans="1:74" ht="16">
      <c r="A655" t="s">
        <v>319</v>
      </c>
      <c r="B655" t="s">
        <v>10</v>
      </c>
      <c r="C655" t="s">
        <v>1052</v>
      </c>
      <c r="D655" t="s">
        <v>1053</v>
      </c>
      <c r="F655" t="s">
        <v>1109</v>
      </c>
      <c r="G655" t="s">
        <v>1110</v>
      </c>
      <c r="H655" t="s">
        <v>1109</v>
      </c>
      <c r="I655" s="28" t="s">
        <v>1110</v>
      </c>
      <c r="L655" s="19" t="s">
        <v>1116</v>
      </c>
      <c r="Q655">
        <v>7.43</v>
      </c>
      <c r="T655">
        <v>5.63</v>
      </c>
      <c r="U655">
        <v>6.82</v>
      </c>
      <c r="X655">
        <v>7.5</v>
      </c>
      <c r="Y655">
        <v>7.27</v>
      </c>
      <c r="AB655">
        <v>8.26</v>
      </c>
      <c r="AC655">
        <v>7.03</v>
      </c>
      <c r="AF655">
        <v>8.4700000000000006</v>
      </c>
      <c r="AG655">
        <v>6.3</v>
      </c>
      <c r="AJ655">
        <v>6.63</v>
      </c>
      <c r="AO655">
        <v>7.28</v>
      </c>
      <c r="AR655">
        <v>3.63</v>
      </c>
      <c r="AS655">
        <v>7.72</v>
      </c>
      <c r="AV655">
        <v>4.72</v>
      </c>
      <c r="AW655">
        <v>6.72</v>
      </c>
      <c r="AZ655">
        <v>5.45</v>
      </c>
      <c r="BA655">
        <v>6.71</v>
      </c>
      <c r="BD655">
        <v>5.73</v>
      </c>
      <c r="BE655">
        <v>7.02</v>
      </c>
      <c r="BH655">
        <v>4.91</v>
      </c>
      <c r="BP655" t="s">
        <v>1058</v>
      </c>
      <c r="BQ655" t="s">
        <v>281</v>
      </c>
      <c r="BR655" t="s">
        <v>1059</v>
      </c>
    </row>
    <row r="656" spans="1:74" ht="16">
      <c r="A656" t="s">
        <v>319</v>
      </c>
      <c r="B656" t="s">
        <v>10</v>
      </c>
      <c r="C656" t="s">
        <v>1052</v>
      </c>
      <c r="D656" t="s">
        <v>1053</v>
      </c>
      <c r="F656" t="s">
        <v>1109</v>
      </c>
      <c r="G656" t="s">
        <v>1110</v>
      </c>
      <c r="H656" t="s">
        <v>1109</v>
      </c>
      <c r="I656" s="28" t="s">
        <v>1110</v>
      </c>
      <c r="L656" s="19" t="s">
        <v>1117</v>
      </c>
      <c r="U656">
        <v>6.4</v>
      </c>
      <c r="X656">
        <v>7.7</v>
      </c>
      <c r="AC656">
        <v>7.27</v>
      </c>
      <c r="AF656">
        <v>8.6999999999999993</v>
      </c>
      <c r="AG656">
        <v>6.48</v>
      </c>
      <c r="AJ656">
        <v>6.8</v>
      </c>
      <c r="AO656">
        <v>7.5</v>
      </c>
      <c r="AR656">
        <v>4.4000000000000004</v>
      </c>
      <c r="AS656">
        <v>7.87</v>
      </c>
      <c r="AV656">
        <v>5.96</v>
      </c>
      <c r="AW656">
        <v>6.98</v>
      </c>
      <c r="AZ656">
        <v>5.6</v>
      </c>
      <c r="BA656">
        <v>6.93</v>
      </c>
      <c r="BD656">
        <v>5.95</v>
      </c>
      <c r="BE656">
        <v>7.5</v>
      </c>
      <c r="BH656">
        <v>5.07</v>
      </c>
      <c r="BP656" t="s">
        <v>1058</v>
      </c>
      <c r="BQ656" t="s">
        <v>281</v>
      </c>
      <c r="BR656" t="s">
        <v>1059</v>
      </c>
    </row>
    <row r="657" spans="1:72" ht="16">
      <c r="A657" t="s">
        <v>1118</v>
      </c>
      <c r="B657" t="s">
        <v>10</v>
      </c>
      <c r="C657" t="s">
        <v>1052</v>
      </c>
      <c r="D657" t="s">
        <v>1053</v>
      </c>
      <c r="F657" t="s">
        <v>1109</v>
      </c>
      <c r="G657" t="s">
        <v>1110</v>
      </c>
      <c r="H657" t="s">
        <v>1111</v>
      </c>
      <c r="I657" t="s">
        <v>1119</v>
      </c>
      <c r="K657" t="s">
        <v>1064</v>
      </c>
      <c r="L657" s="19" t="s">
        <v>1065</v>
      </c>
      <c r="BA657">
        <v>7.3</v>
      </c>
      <c r="BD657">
        <v>5.9</v>
      </c>
      <c r="BQ657" t="s">
        <v>281</v>
      </c>
      <c r="BR657" t="s">
        <v>1066</v>
      </c>
    </row>
    <row r="658" spans="1:72" s="10" customFormat="1" ht="32">
      <c r="A658" s="10" t="s">
        <v>319</v>
      </c>
      <c r="B658" s="10" t="s">
        <v>10</v>
      </c>
      <c r="C658" s="10" t="s">
        <v>1052</v>
      </c>
      <c r="D658" s="10" t="s">
        <v>1053</v>
      </c>
      <c r="F658" s="10" t="s">
        <v>1109</v>
      </c>
      <c r="G658" s="10" t="s">
        <v>1120</v>
      </c>
      <c r="H658" s="10" t="s">
        <v>1109</v>
      </c>
      <c r="I658" s="10" t="s">
        <v>1120</v>
      </c>
      <c r="L658" s="24" t="s">
        <v>1092</v>
      </c>
      <c r="Q658" s="10">
        <v>3.8</v>
      </c>
      <c r="T658" s="10">
        <v>2.2000000000000002</v>
      </c>
      <c r="X658" s="10">
        <v>6.2</v>
      </c>
      <c r="Y658" s="10">
        <v>6.1</v>
      </c>
      <c r="AB658" s="10">
        <v>7.07</v>
      </c>
      <c r="AC658" s="10">
        <v>5.96</v>
      </c>
      <c r="AF658" s="10">
        <v>6.98</v>
      </c>
      <c r="AG658" s="10">
        <v>4.88</v>
      </c>
      <c r="AJ658" s="10">
        <v>5.2</v>
      </c>
      <c r="AO658" s="10">
        <v>6.6</v>
      </c>
      <c r="AR658" s="10">
        <v>3.15</v>
      </c>
      <c r="AS658" s="10">
        <v>6.15</v>
      </c>
      <c r="AV658" s="10">
        <v>3.82</v>
      </c>
      <c r="AW658" s="10">
        <v>5.64</v>
      </c>
      <c r="AZ658" s="10">
        <v>4.3600000000000003</v>
      </c>
      <c r="BA658" s="10">
        <v>5.78</v>
      </c>
      <c r="BD658" s="10">
        <v>4.79</v>
      </c>
      <c r="BE658" s="10">
        <v>5.57</v>
      </c>
      <c r="BH658" s="10">
        <v>4</v>
      </c>
      <c r="BP658" s="25"/>
      <c r="BQ658" s="25"/>
      <c r="BR658" s="25"/>
      <c r="BS658" s="25"/>
      <c r="BT658" s="25"/>
    </row>
    <row r="659" spans="1:72" ht="16">
      <c r="A659" t="s">
        <v>1121</v>
      </c>
      <c r="B659" t="s">
        <v>10</v>
      </c>
      <c r="C659" t="s">
        <v>1052</v>
      </c>
      <c r="D659" t="s">
        <v>1053</v>
      </c>
      <c r="F659" t="s">
        <v>1055</v>
      </c>
      <c r="G659" t="s">
        <v>60</v>
      </c>
      <c r="H659" t="s">
        <v>1055</v>
      </c>
      <c r="I659" t="s">
        <v>60</v>
      </c>
      <c r="K659" t="s">
        <v>1064</v>
      </c>
      <c r="L659" s="19" t="s">
        <v>1065</v>
      </c>
      <c r="BA659">
        <v>7</v>
      </c>
      <c r="BD659">
        <v>6</v>
      </c>
      <c r="BQ659" t="s">
        <v>281</v>
      </c>
      <c r="BR659" t="s">
        <v>1066</v>
      </c>
    </row>
    <row r="660" spans="1:72">
      <c r="A660" t="s">
        <v>1122</v>
      </c>
      <c r="B660" t="s">
        <v>10</v>
      </c>
      <c r="C660" t="s">
        <v>1052</v>
      </c>
      <c r="D660" t="s">
        <v>1053</v>
      </c>
      <c r="F660" t="s">
        <v>1123</v>
      </c>
      <c r="G660" t="s">
        <v>54</v>
      </c>
      <c r="H660" t="s">
        <v>1123</v>
      </c>
      <c r="I660" t="s">
        <v>54</v>
      </c>
      <c r="L660" s="19"/>
      <c r="U660">
        <v>6.8</v>
      </c>
      <c r="X660">
        <v>8.24</v>
      </c>
      <c r="Y660">
        <v>7.07</v>
      </c>
      <c r="AB660">
        <v>8.76</v>
      </c>
      <c r="AC660">
        <v>7.02</v>
      </c>
      <c r="AF660">
        <v>9.2799999999999994</v>
      </c>
      <c r="BQ660" t="s">
        <v>281</v>
      </c>
      <c r="BR660" t="s">
        <v>1081</v>
      </c>
      <c r="BS660" t="s">
        <v>181</v>
      </c>
      <c r="BT660" t="s">
        <v>1081</v>
      </c>
    </row>
    <row r="661" spans="1:72">
      <c r="B661" t="s">
        <v>10</v>
      </c>
      <c r="C661" t="s">
        <v>1052</v>
      </c>
      <c r="D661" t="s">
        <v>1053</v>
      </c>
      <c r="F661" t="s">
        <v>1124</v>
      </c>
      <c r="G661" t="s">
        <v>1125</v>
      </c>
      <c r="H661" t="s">
        <v>1124</v>
      </c>
      <c r="I661" t="s">
        <v>1125</v>
      </c>
      <c r="L661" s="19"/>
      <c r="BA661">
        <f>1000*0.0065</f>
        <v>6.5</v>
      </c>
      <c r="BD661">
        <f>1000*0.006</f>
        <v>6</v>
      </c>
      <c r="BE661">
        <f>1000*0.0085</f>
        <v>8.5</v>
      </c>
      <c r="BH661">
        <f>1000*0.005</f>
        <v>5</v>
      </c>
      <c r="BQ661" t="s">
        <v>281</v>
      </c>
      <c r="BR661" t="s">
        <v>1126</v>
      </c>
    </row>
    <row r="662" spans="1:72">
      <c r="B662" t="s">
        <v>10</v>
      </c>
      <c r="C662" t="s">
        <v>1052</v>
      </c>
      <c r="D662" t="s">
        <v>1053</v>
      </c>
      <c r="F662" t="s">
        <v>1124</v>
      </c>
      <c r="G662" t="s">
        <v>1127</v>
      </c>
      <c r="H662" t="s">
        <v>1124</v>
      </c>
      <c r="I662" t="s">
        <v>1127</v>
      </c>
      <c r="L662" s="19"/>
      <c r="BE662">
        <v>12</v>
      </c>
      <c r="BH662">
        <f>1000*0.006</f>
        <v>6</v>
      </c>
      <c r="BP662" t="s">
        <v>1128</v>
      </c>
      <c r="BQ662" t="s">
        <v>281</v>
      </c>
      <c r="BR662" t="s">
        <v>1126</v>
      </c>
    </row>
    <row r="663" spans="1:72" ht="32">
      <c r="A663" t="s">
        <v>319</v>
      </c>
      <c r="B663" t="s">
        <v>10</v>
      </c>
      <c r="C663" t="s">
        <v>1052</v>
      </c>
      <c r="D663" t="s">
        <v>1053</v>
      </c>
      <c r="F663" t="s">
        <v>1111</v>
      </c>
      <c r="G663" t="s">
        <v>1129</v>
      </c>
      <c r="H663" t="s">
        <v>1111</v>
      </c>
      <c r="I663" t="s">
        <v>1129</v>
      </c>
      <c r="L663" s="19" t="s">
        <v>1061</v>
      </c>
      <c r="T663">
        <v>3.6</v>
      </c>
      <c r="U663">
        <v>9.56</v>
      </c>
      <c r="X663">
        <v>6.24</v>
      </c>
      <c r="Y663">
        <v>9.6</v>
      </c>
      <c r="AB663">
        <v>7.35</v>
      </c>
      <c r="AC663">
        <v>9.8000000000000007</v>
      </c>
      <c r="AF663">
        <v>8.1</v>
      </c>
      <c r="AG663">
        <v>10.220000000000001</v>
      </c>
      <c r="AJ663">
        <v>6.97</v>
      </c>
      <c r="AO663">
        <v>7.1</v>
      </c>
      <c r="AR663">
        <v>8.7799999999999994</v>
      </c>
      <c r="AS663">
        <v>9.43</v>
      </c>
      <c r="BP663" t="s">
        <v>1058</v>
      </c>
      <c r="BQ663" t="s">
        <v>281</v>
      </c>
      <c r="BR663" t="s">
        <v>1059</v>
      </c>
    </row>
    <row r="664" spans="1:72" ht="32">
      <c r="A664" t="s">
        <v>319</v>
      </c>
      <c r="B664" t="s">
        <v>10</v>
      </c>
      <c r="C664" t="s">
        <v>1052</v>
      </c>
      <c r="D664" t="s">
        <v>1053</v>
      </c>
      <c r="F664" t="s">
        <v>1111</v>
      </c>
      <c r="G664" t="s">
        <v>1129</v>
      </c>
      <c r="H664" t="s">
        <v>1111</v>
      </c>
      <c r="I664" t="s">
        <v>1129</v>
      </c>
      <c r="L664" s="19" t="s">
        <v>1130</v>
      </c>
      <c r="Q664" s="19">
        <v>8.33</v>
      </c>
      <c r="R664" s="19"/>
      <c r="S664" s="19"/>
      <c r="T664">
        <v>5.3</v>
      </c>
      <c r="U664">
        <v>8.76</v>
      </c>
      <c r="X664">
        <v>6.01</v>
      </c>
      <c r="Y664">
        <v>8.89</v>
      </c>
      <c r="AB664">
        <v>7.01</v>
      </c>
      <c r="AC664">
        <v>8.92</v>
      </c>
      <c r="AF664">
        <v>7.43</v>
      </c>
      <c r="AG664">
        <v>9.6</v>
      </c>
      <c r="AJ664">
        <v>6.5</v>
      </c>
      <c r="AO664">
        <v>7.5</v>
      </c>
      <c r="AR664">
        <v>8.9</v>
      </c>
      <c r="AS664">
        <v>8.25</v>
      </c>
      <c r="AV664">
        <v>9.3000000000000007</v>
      </c>
      <c r="BA664">
        <v>10.1</v>
      </c>
      <c r="BD664">
        <v>10.77</v>
      </c>
      <c r="BE664">
        <v>8.58</v>
      </c>
      <c r="BH664">
        <v>8.74</v>
      </c>
      <c r="BP664" t="s">
        <v>1058</v>
      </c>
      <c r="BQ664" t="s">
        <v>281</v>
      </c>
      <c r="BR664" t="s">
        <v>1059</v>
      </c>
    </row>
    <row r="665" spans="1:72" ht="16">
      <c r="A665" t="s">
        <v>319</v>
      </c>
      <c r="B665" t="s">
        <v>10</v>
      </c>
      <c r="C665" t="s">
        <v>1052</v>
      </c>
      <c r="D665" t="s">
        <v>1053</v>
      </c>
      <c r="F665" t="s">
        <v>1111</v>
      </c>
      <c r="G665" t="s">
        <v>1129</v>
      </c>
      <c r="H665" t="s">
        <v>1111</v>
      </c>
      <c r="I665" t="s">
        <v>1129</v>
      </c>
      <c r="L665" s="19" t="s">
        <v>1131</v>
      </c>
      <c r="Q665">
        <v>7.9</v>
      </c>
      <c r="T665">
        <v>6.5</v>
      </c>
      <c r="U665">
        <v>7.87</v>
      </c>
      <c r="X665">
        <v>8.33</v>
      </c>
      <c r="Y665">
        <v>9.65</v>
      </c>
      <c r="AB665">
        <v>10.67</v>
      </c>
      <c r="AC665">
        <v>10.23</v>
      </c>
      <c r="AF665">
        <v>11.13</v>
      </c>
      <c r="AG665">
        <v>9.6</v>
      </c>
      <c r="AJ665">
        <v>9.6</v>
      </c>
      <c r="AS665">
        <v>8.93</v>
      </c>
      <c r="AV665">
        <v>5.93</v>
      </c>
      <c r="AW665">
        <v>8.82</v>
      </c>
      <c r="AZ665">
        <v>7.15</v>
      </c>
      <c r="BA665">
        <v>9.4</v>
      </c>
      <c r="BD665">
        <v>7.85</v>
      </c>
      <c r="BE665">
        <v>10.43</v>
      </c>
      <c r="BH665">
        <v>7.27</v>
      </c>
      <c r="BP665" t="s">
        <v>1058</v>
      </c>
      <c r="BQ665" t="s">
        <v>281</v>
      </c>
      <c r="BR665" t="s">
        <v>1059</v>
      </c>
    </row>
    <row r="666" spans="1:72" ht="32">
      <c r="A666" t="s">
        <v>319</v>
      </c>
      <c r="B666" t="s">
        <v>10</v>
      </c>
      <c r="C666" t="s">
        <v>1052</v>
      </c>
      <c r="D666" t="s">
        <v>1053</v>
      </c>
      <c r="F666" t="s">
        <v>1111</v>
      </c>
      <c r="G666" t="s">
        <v>54</v>
      </c>
      <c r="H666" t="s">
        <v>1111</v>
      </c>
      <c r="I666" t="s">
        <v>54</v>
      </c>
      <c r="L666" s="19" t="s">
        <v>1057</v>
      </c>
      <c r="Q666">
        <v>9.73</v>
      </c>
      <c r="T666">
        <v>9.67</v>
      </c>
      <c r="U666">
        <v>9.49</v>
      </c>
      <c r="X666">
        <v>11</v>
      </c>
      <c r="Y666">
        <v>11.48</v>
      </c>
      <c r="AB666">
        <v>13.27</v>
      </c>
      <c r="AC666">
        <v>12.15</v>
      </c>
      <c r="AF666">
        <v>13.86</v>
      </c>
      <c r="AG666">
        <v>10.85</v>
      </c>
      <c r="AJ666">
        <v>10.99</v>
      </c>
      <c r="AO666">
        <v>9.1</v>
      </c>
      <c r="AR666">
        <v>5.4</v>
      </c>
      <c r="AS666">
        <v>10.54</v>
      </c>
      <c r="AV666">
        <v>7.54</v>
      </c>
      <c r="AW666">
        <v>11</v>
      </c>
      <c r="AZ666">
        <v>9</v>
      </c>
      <c r="BA666">
        <v>10.82</v>
      </c>
      <c r="BD666">
        <v>9.59</v>
      </c>
      <c r="BE666">
        <v>11.9</v>
      </c>
      <c r="BH666">
        <v>8.5</v>
      </c>
      <c r="BP666" t="s">
        <v>1058</v>
      </c>
      <c r="BQ666" t="s">
        <v>281</v>
      </c>
      <c r="BR666" t="s">
        <v>1059</v>
      </c>
    </row>
    <row r="667" spans="1:72" ht="32">
      <c r="A667" t="s">
        <v>319</v>
      </c>
      <c r="B667" t="s">
        <v>10</v>
      </c>
      <c r="C667" t="s">
        <v>1052</v>
      </c>
      <c r="D667" t="s">
        <v>1053</v>
      </c>
      <c r="F667" t="s">
        <v>1111</v>
      </c>
      <c r="G667" t="s">
        <v>54</v>
      </c>
      <c r="H667" t="s">
        <v>1111</v>
      </c>
      <c r="I667" t="s">
        <v>54</v>
      </c>
      <c r="L667" s="19" t="s">
        <v>1132</v>
      </c>
      <c r="Q667">
        <v>9.6</v>
      </c>
      <c r="T667">
        <v>8.77</v>
      </c>
      <c r="U667">
        <v>9.43</v>
      </c>
      <c r="X667">
        <v>11.04</v>
      </c>
      <c r="Y667">
        <v>11.13</v>
      </c>
      <c r="AB667">
        <v>12.78</v>
      </c>
      <c r="AC667">
        <v>11.8</v>
      </c>
      <c r="AF667">
        <v>13.11</v>
      </c>
      <c r="AG667">
        <v>10.72</v>
      </c>
      <c r="AJ667">
        <v>10.210000000000001</v>
      </c>
      <c r="AO667">
        <v>9.94</v>
      </c>
      <c r="AR667">
        <v>6.32</v>
      </c>
      <c r="AS667">
        <v>11.15</v>
      </c>
      <c r="AV667">
        <v>7.96</v>
      </c>
      <c r="AW667">
        <v>11.81</v>
      </c>
      <c r="AZ667">
        <v>10</v>
      </c>
      <c r="BA667">
        <v>11.85</v>
      </c>
      <c r="BD667">
        <v>10.72</v>
      </c>
      <c r="BE667">
        <v>12.52</v>
      </c>
      <c r="BH667">
        <v>8.89</v>
      </c>
      <c r="BP667" t="s">
        <v>1058</v>
      </c>
      <c r="BQ667" t="s">
        <v>281</v>
      </c>
      <c r="BR667" t="s">
        <v>1059</v>
      </c>
    </row>
    <row r="668" spans="1:72" ht="32">
      <c r="A668" t="s">
        <v>319</v>
      </c>
      <c r="B668" t="s">
        <v>10</v>
      </c>
      <c r="C668" t="s">
        <v>1052</v>
      </c>
      <c r="D668" t="s">
        <v>1053</v>
      </c>
      <c r="F668" t="s">
        <v>1111</v>
      </c>
      <c r="G668" t="s">
        <v>1133</v>
      </c>
      <c r="H668" t="s">
        <v>1111</v>
      </c>
      <c r="I668" t="s">
        <v>1133</v>
      </c>
      <c r="L668" s="19" t="s">
        <v>1134</v>
      </c>
      <c r="T668">
        <v>8.4</v>
      </c>
      <c r="U668">
        <v>10.57</v>
      </c>
      <c r="X668">
        <v>11.05</v>
      </c>
      <c r="Y668">
        <v>11.47</v>
      </c>
      <c r="AB668">
        <v>12.82</v>
      </c>
      <c r="AC668">
        <v>11.45</v>
      </c>
      <c r="AF668">
        <v>13.17</v>
      </c>
      <c r="AG668">
        <v>10.86</v>
      </c>
      <c r="AJ668">
        <v>10.58</v>
      </c>
      <c r="AO668">
        <v>10.4</v>
      </c>
      <c r="AR668">
        <v>6.71</v>
      </c>
      <c r="AS668">
        <v>11.16</v>
      </c>
      <c r="AV668">
        <v>8.32</v>
      </c>
      <c r="AW668">
        <v>11.82</v>
      </c>
      <c r="AZ668">
        <v>9.7799999999999994</v>
      </c>
      <c r="BA668">
        <v>12.26</v>
      </c>
      <c r="BD668">
        <v>11.05</v>
      </c>
      <c r="BE668">
        <v>12.19</v>
      </c>
      <c r="BH668">
        <v>9.1999999999999993</v>
      </c>
      <c r="BP668" t="s">
        <v>1058</v>
      </c>
      <c r="BQ668" t="s">
        <v>281</v>
      </c>
      <c r="BR668" t="s">
        <v>1059</v>
      </c>
    </row>
    <row r="669" spans="1:72" ht="32">
      <c r="A669" t="s">
        <v>319</v>
      </c>
      <c r="B669" t="s">
        <v>10</v>
      </c>
      <c r="C669" t="s">
        <v>1052</v>
      </c>
      <c r="D669" t="s">
        <v>1053</v>
      </c>
      <c r="F669" t="s">
        <v>1111</v>
      </c>
      <c r="G669" t="s">
        <v>1133</v>
      </c>
      <c r="H669" t="s">
        <v>1111</v>
      </c>
      <c r="I669" t="s">
        <v>1133</v>
      </c>
      <c r="L669" s="19" t="s">
        <v>1083</v>
      </c>
      <c r="Q669">
        <v>10.73</v>
      </c>
      <c r="T669">
        <v>9.8800000000000008</v>
      </c>
      <c r="U669">
        <v>10.67</v>
      </c>
      <c r="X669">
        <v>11.52</v>
      </c>
      <c r="Y669">
        <v>12.33</v>
      </c>
      <c r="AB669">
        <v>13.83</v>
      </c>
      <c r="AC669">
        <v>13.21</v>
      </c>
      <c r="AF669">
        <v>14.28</v>
      </c>
      <c r="AG669">
        <v>11.73</v>
      </c>
      <c r="AJ669">
        <v>10.95</v>
      </c>
      <c r="AO669">
        <v>10.93</v>
      </c>
      <c r="AR669">
        <v>6.87</v>
      </c>
      <c r="AS669">
        <v>11.93</v>
      </c>
      <c r="AV669">
        <v>8.6199999999999992</v>
      </c>
      <c r="AW669">
        <v>12.36</v>
      </c>
      <c r="AZ669">
        <v>10.25</v>
      </c>
      <c r="BA669">
        <v>12.76</v>
      </c>
      <c r="BD669">
        <v>11.28</v>
      </c>
      <c r="BE669">
        <v>13.13</v>
      </c>
      <c r="BH669">
        <v>9.7799999999999994</v>
      </c>
      <c r="BP669" t="s">
        <v>1058</v>
      </c>
      <c r="BQ669" t="s">
        <v>281</v>
      </c>
      <c r="BR669" t="s">
        <v>1059</v>
      </c>
    </row>
    <row r="670" spans="1:72" ht="32">
      <c r="A670" t="s">
        <v>319</v>
      </c>
      <c r="B670" t="s">
        <v>10</v>
      </c>
      <c r="C670" t="s">
        <v>1052</v>
      </c>
      <c r="D670" t="s">
        <v>1053</v>
      </c>
      <c r="F670" t="s">
        <v>1111</v>
      </c>
      <c r="G670" t="s">
        <v>1133</v>
      </c>
      <c r="H670" t="s">
        <v>1111</v>
      </c>
      <c r="I670" t="s">
        <v>1133</v>
      </c>
      <c r="L670" s="19" t="s">
        <v>1084</v>
      </c>
      <c r="Q670">
        <v>11.04</v>
      </c>
      <c r="T670">
        <v>10</v>
      </c>
      <c r="U670">
        <v>11.46</v>
      </c>
      <c r="X670">
        <v>12.26</v>
      </c>
      <c r="Y670">
        <v>12.78</v>
      </c>
      <c r="AB670">
        <v>14</v>
      </c>
      <c r="AC670">
        <v>13.85</v>
      </c>
      <c r="AF670">
        <v>14.78</v>
      </c>
      <c r="AG670">
        <v>12.52</v>
      </c>
      <c r="AJ670">
        <v>11.89</v>
      </c>
      <c r="AO670">
        <v>11.46</v>
      </c>
      <c r="AR670">
        <v>6.93</v>
      </c>
      <c r="AS670">
        <v>12.3</v>
      </c>
      <c r="AV670">
        <v>8.56</v>
      </c>
      <c r="AW670">
        <v>11.83</v>
      </c>
      <c r="AZ670">
        <v>9.99</v>
      </c>
      <c r="BA670">
        <v>12.67</v>
      </c>
      <c r="BD670">
        <v>11.08</v>
      </c>
      <c r="BE670">
        <v>13.17</v>
      </c>
      <c r="BH670">
        <v>9.68</v>
      </c>
      <c r="BP670" t="s">
        <v>1058</v>
      </c>
      <c r="BQ670" t="s">
        <v>281</v>
      </c>
      <c r="BR670" t="s">
        <v>1059</v>
      </c>
    </row>
    <row r="671" spans="1:72" ht="32">
      <c r="A671" t="s">
        <v>319</v>
      </c>
      <c r="B671" t="s">
        <v>10</v>
      </c>
      <c r="C671" t="s">
        <v>1052</v>
      </c>
      <c r="D671" t="s">
        <v>1053</v>
      </c>
      <c r="F671" t="s">
        <v>1111</v>
      </c>
      <c r="G671" t="s">
        <v>1133</v>
      </c>
      <c r="H671" t="s">
        <v>1111</v>
      </c>
      <c r="I671" t="s">
        <v>1133</v>
      </c>
      <c r="L671" s="19" t="s">
        <v>1085</v>
      </c>
      <c r="Q671">
        <v>9.32</v>
      </c>
      <c r="T671">
        <v>8.36</v>
      </c>
      <c r="U671">
        <v>9.7899999999999991</v>
      </c>
      <c r="X671">
        <v>10.27</v>
      </c>
      <c r="Y671">
        <v>11.57</v>
      </c>
      <c r="AB671">
        <v>12.52</v>
      </c>
      <c r="AC671">
        <v>11.76</v>
      </c>
      <c r="AF671">
        <v>12.82</v>
      </c>
      <c r="AG671">
        <v>11.1</v>
      </c>
      <c r="AJ671">
        <v>10.26</v>
      </c>
      <c r="AO671">
        <v>10.28</v>
      </c>
      <c r="AR671">
        <v>6.02</v>
      </c>
      <c r="AS671">
        <v>11.02</v>
      </c>
      <c r="AV671">
        <v>7.53</v>
      </c>
      <c r="AW671">
        <v>10.92</v>
      </c>
      <c r="AZ671">
        <v>9.02</v>
      </c>
      <c r="BA671">
        <v>11.41</v>
      </c>
      <c r="BD671">
        <v>10.31</v>
      </c>
      <c r="BE671">
        <v>11.64</v>
      </c>
      <c r="BH671">
        <v>8.74</v>
      </c>
      <c r="BP671" t="s">
        <v>1058</v>
      </c>
      <c r="BQ671" t="s">
        <v>281</v>
      </c>
      <c r="BR671" t="s">
        <v>1059</v>
      </c>
    </row>
    <row r="672" spans="1:72">
      <c r="A672" t="s">
        <v>1135</v>
      </c>
      <c r="B672" t="s">
        <v>10</v>
      </c>
      <c r="C672" t="s">
        <v>1052</v>
      </c>
      <c r="D672" t="s">
        <v>1053</v>
      </c>
      <c r="F672" t="s">
        <v>1111</v>
      </c>
      <c r="G672" t="s">
        <v>1133</v>
      </c>
      <c r="H672" t="s">
        <v>1111</v>
      </c>
      <c r="I672" t="s">
        <v>1133</v>
      </c>
      <c r="L672" s="19"/>
      <c r="AS672">
        <v>11.5</v>
      </c>
      <c r="AV672">
        <v>7.8</v>
      </c>
      <c r="AW672">
        <v>11.8</v>
      </c>
      <c r="AZ672">
        <v>9.8000000000000007</v>
      </c>
      <c r="BQ672" t="s">
        <v>281</v>
      </c>
      <c r="BR672" t="s">
        <v>818</v>
      </c>
    </row>
    <row r="673" spans="1:74" ht="32">
      <c r="A673" t="s">
        <v>319</v>
      </c>
      <c r="B673" t="s">
        <v>10</v>
      </c>
      <c r="C673" t="s">
        <v>1052</v>
      </c>
      <c r="D673" t="s">
        <v>1053</v>
      </c>
      <c r="F673" t="s">
        <v>1111</v>
      </c>
      <c r="G673" t="s">
        <v>1136</v>
      </c>
      <c r="H673" t="s">
        <v>1111</v>
      </c>
      <c r="I673" t="s">
        <v>1136</v>
      </c>
      <c r="L673" s="19" t="s">
        <v>1071</v>
      </c>
      <c r="T673">
        <v>10</v>
      </c>
      <c r="U673">
        <v>11.63</v>
      </c>
      <c r="X673">
        <v>13</v>
      </c>
      <c r="Y673">
        <v>13.2</v>
      </c>
      <c r="AB673">
        <v>14.95</v>
      </c>
      <c r="AC673">
        <v>14.1</v>
      </c>
      <c r="AF673">
        <v>15.42</v>
      </c>
      <c r="AG673">
        <v>11.65</v>
      </c>
      <c r="AJ673">
        <v>11.57</v>
      </c>
      <c r="AS673">
        <v>13.3</v>
      </c>
      <c r="AV673">
        <v>9.4</v>
      </c>
      <c r="AW673">
        <v>14.2</v>
      </c>
      <c r="AZ673">
        <v>11.4</v>
      </c>
      <c r="BA673">
        <v>14.5</v>
      </c>
      <c r="BD673">
        <v>12.6</v>
      </c>
      <c r="BP673" t="s">
        <v>1058</v>
      </c>
      <c r="BQ673" t="s">
        <v>281</v>
      </c>
      <c r="BR673" t="s">
        <v>1059</v>
      </c>
    </row>
    <row r="674" spans="1:74">
      <c r="A674" t="s">
        <v>1137</v>
      </c>
      <c r="B674" t="s">
        <v>10</v>
      </c>
      <c r="C674" t="s">
        <v>1052</v>
      </c>
      <c r="D674" t="s">
        <v>1053</v>
      </c>
      <c r="F674" t="s">
        <v>1111</v>
      </c>
      <c r="G674" t="s">
        <v>679</v>
      </c>
      <c r="H674" t="s">
        <v>1111</v>
      </c>
      <c r="I674" t="s">
        <v>679</v>
      </c>
      <c r="L674" s="19"/>
      <c r="BA674">
        <v>7.5</v>
      </c>
      <c r="BD674">
        <v>6.8</v>
      </c>
      <c r="BE674">
        <v>7.65</v>
      </c>
      <c r="BH674">
        <v>5.65</v>
      </c>
      <c r="BP674" t="s">
        <v>1138</v>
      </c>
      <c r="BQ674" t="s">
        <v>281</v>
      </c>
      <c r="BR674" t="s">
        <v>273</v>
      </c>
    </row>
    <row r="675" spans="1:74">
      <c r="A675" t="s">
        <v>1139</v>
      </c>
      <c r="B675" t="s">
        <v>10</v>
      </c>
      <c r="C675" t="s">
        <v>1052</v>
      </c>
      <c r="D675" t="s">
        <v>1053</v>
      </c>
      <c r="F675" t="s">
        <v>1111</v>
      </c>
      <c r="G675" t="s">
        <v>679</v>
      </c>
      <c r="H675" t="s">
        <v>1111</v>
      </c>
      <c r="I675" t="s">
        <v>679</v>
      </c>
      <c r="L675" s="19"/>
      <c r="AS675">
        <v>6.8</v>
      </c>
      <c r="AV675">
        <v>4.7</v>
      </c>
      <c r="AW675">
        <v>6.85</v>
      </c>
      <c r="AZ675">
        <v>5.75</v>
      </c>
      <c r="BE675">
        <v>7.4</v>
      </c>
      <c r="BH675">
        <v>5.15</v>
      </c>
      <c r="BP675" t="s">
        <v>1138</v>
      </c>
      <c r="BQ675" t="s">
        <v>281</v>
      </c>
      <c r="BR675" t="s">
        <v>273</v>
      </c>
    </row>
    <row r="676" spans="1:74">
      <c r="A676" t="s">
        <v>1140</v>
      </c>
      <c r="B676" t="s">
        <v>10</v>
      </c>
      <c r="C676" t="s">
        <v>1052</v>
      </c>
      <c r="D676" t="s">
        <v>1053</v>
      </c>
      <c r="F676" t="s">
        <v>1111</v>
      </c>
      <c r="G676" t="s">
        <v>679</v>
      </c>
      <c r="H676" t="s">
        <v>1111</v>
      </c>
      <c r="I676" t="s">
        <v>1141</v>
      </c>
      <c r="L676" s="19"/>
      <c r="BA676">
        <v>8</v>
      </c>
      <c r="BD676">
        <v>6.6</v>
      </c>
      <c r="BE676">
        <v>8.1999999999999993</v>
      </c>
      <c r="BH676">
        <v>6.1</v>
      </c>
      <c r="BP676" t="s">
        <v>1138</v>
      </c>
      <c r="BQ676" t="s">
        <v>281</v>
      </c>
      <c r="BR676" t="s">
        <v>273</v>
      </c>
      <c r="BS676" t="s">
        <v>181</v>
      </c>
      <c r="BT676" t="s">
        <v>1142</v>
      </c>
    </row>
    <row r="677" spans="1:74">
      <c r="A677" t="s">
        <v>1143</v>
      </c>
      <c r="B677" t="s">
        <v>10</v>
      </c>
      <c r="C677" t="s">
        <v>1052</v>
      </c>
      <c r="D677" t="s">
        <v>1053</v>
      </c>
      <c r="F677" t="s">
        <v>1111</v>
      </c>
      <c r="G677" t="s">
        <v>679</v>
      </c>
      <c r="H677" t="s">
        <v>1111</v>
      </c>
      <c r="I677" t="s">
        <v>1141</v>
      </c>
      <c r="L677" s="19"/>
      <c r="AO677">
        <v>7.4</v>
      </c>
      <c r="AR677">
        <v>4.2</v>
      </c>
      <c r="AS677">
        <v>7.9</v>
      </c>
      <c r="AV677">
        <v>5.3</v>
      </c>
      <c r="AW677">
        <v>8</v>
      </c>
      <c r="AZ677">
        <v>6.6</v>
      </c>
      <c r="BA677">
        <v>7.85</v>
      </c>
      <c r="BD677">
        <v>6.8</v>
      </c>
      <c r="BE677">
        <v>8.1</v>
      </c>
      <c r="BH677">
        <v>5.6</v>
      </c>
      <c r="BP677" t="s">
        <v>1138</v>
      </c>
      <c r="BQ677" t="s">
        <v>281</v>
      </c>
      <c r="BR677" t="s">
        <v>273</v>
      </c>
    </row>
    <row r="678" spans="1:74">
      <c r="A678" s="16" t="s">
        <v>1144</v>
      </c>
      <c r="B678" s="16" t="s">
        <v>10</v>
      </c>
      <c r="C678" s="16" t="s">
        <v>1052</v>
      </c>
      <c r="D678" s="16" t="s">
        <v>1053</v>
      </c>
      <c r="E678" s="16"/>
      <c r="F678" s="16" t="s">
        <v>1111</v>
      </c>
      <c r="G678" s="16" t="s">
        <v>1145</v>
      </c>
      <c r="H678" s="16" t="s">
        <v>1111</v>
      </c>
      <c r="I678" s="16" t="s">
        <v>1145</v>
      </c>
      <c r="J678" s="16"/>
      <c r="K678" s="16"/>
      <c r="L678" s="20"/>
      <c r="M678" s="16"/>
      <c r="N678" s="16"/>
      <c r="O678" s="16"/>
      <c r="P678" s="16"/>
      <c r="Q678" s="16"/>
      <c r="R678" s="16"/>
      <c r="S678" s="16"/>
      <c r="T678" s="16"/>
      <c r="U678" s="16"/>
      <c r="V678" s="16"/>
      <c r="W678" s="16"/>
      <c r="X678" s="16"/>
      <c r="Y678" s="16"/>
      <c r="Z678" s="16"/>
      <c r="AA678" s="16"/>
      <c r="AB678" s="16"/>
      <c r="AC678" s="16">
        <v>11</v>
      </c>
      <c r="AD678" s="16"/>
      <c r="AE678" s="16"/>
      <c r="AF678" s="16">
        <v>13.85</v>
      </c>
      <c r="AG678" s="16"/>
      <c r="AH678" s="16"/>
      <c r="AI678" s="16"/>
      <c r="AJ678" s="16"/>
      <c r="AK678" s="16"/>
      <c r="AL678" s="16"/>
      <c r="AM678" s="16"/>
      <c r="AN678" s="16"/>
      <c r="AO678" s="16"/>
      <c r="AP678" s="16"/>
      <c r="AQ678" s="16"/>
      <c r="AR678" s="16"/>
      <c r="AS678" s="16"/>
      <c r="AT678" s="16"/>
      <c r="AU678" s="16"/>
      <c r="AV678" s="16"/>
      <c r="AW678" s="16">
        <v>12.43</v>
      </c>
      <c r="AX678" s="16"/>
      <c r="AY678" s="16"/>
      <c r="AZ678" s="16">
        <v>11.23</v>
      </c>
      <c r="BA678" s="16">
        <v>13.65</v>
      </c>
      <c r="BB678" s="16"/>
      <c r="BC678" s="16"/>
      <c r="BD678" s="16">
        <v>10.96</v>
      </c>
      <c r="BE678" s="16">
        <v>12.87</v>
      </c>
      <c r="BF678" s="16"/>
      <c r="BG678" s="16"/>
      <c r="BH678" s="16">
        <v>9.34</v>
      </c>
      <c r="BI678" s="16"/>
      <c r="BJ678" s="16"/>
      <c r="BK678" s="16"/>
      <c r="BL678" s="16"/>
      <c r="BM678" s="16"/>
      <c r="BN678" s="16"/>
      <c r="BO678" s="16"/>
      <c r="BP678" s="16" t="s">
        <v>1146</v>
      </c>
      <c r="BQ678" s="16" t="s">
        <v>281</v>
      </c>
      <c r="BR678" s="16" t="s">
        <v>1147</v>
      </c>
      <c r="BS678" s="16" t="s">
        <v>371</v>
      </c>
      <c r="BT678" s="16" t="s">
        <v>1147</v>
      </c>
      <c r="BU678" s="16"/>
      <c r="BV678" s="16"/>
    </row>
    <row r="679" spans="1:74">
      <c r="A679" t="s">
        <v>1148</v>
      </c>
      <c r="B679" t="s">
        <v>10</v>
      </c>
      <c r="C679" t="s">
        <v>1052</v>
      </c>
      <c r="D679" t="s">
        <v>1053</v>
      </c>
      <c r="F679" t="s">
        <v>1111</v>
      </c>
      <c r="G679" t="s">
        <v>1145</v>
      </c>
      <c r="H679" t="s">
        <v>1111</v>
      </c>
      <c r="I679" t="s">
        <v>1145</v>
      </c>
      <c r="L679" s="19"/>
      <c r="AG679">
        <v>8.6999999999999993</v>
      </c>
      <c r="AJ679">
        <v>12.05</v>
      </c>
      <c r="BQ679" t="s">
        <v>281</v>
      </c>
      <c r="BR679" t="s">
        <v>273</v>
      </c>
    </row>
    <row r="680" spans="1:74">
      <c r="A680" t="s">
        <v>1149</v>
      </c>
      <c r="B680" t="s">
        <v>10</v>
      </c>
      <c r="C680" t="s">
        <v>1052</v>
      </c>
      <c r="D680" t="s">
        <v>1053</v>
      </c>
      <c r="F680" t="s">
        <v>1111</v>
      </c>
      <c r="G680" t="s">
        <v>1145</v>
      </c>
      <c r="H680" t="s">
        <v>1111</v>
      </c>
      <c r="I680" t="s">
        <v>1145</v>
      </c>
      <c r="L680" s="19"/>
      <c r="AG680">
        <v>8.9</v>
      </c>
      <c r="AJ680">
        <v>12.4</v>
      </c>
      <c r="BQ680" t="s">
        <v>281</v>
      </c>
      <c r="BR680" t="s">
        <v>273</v>
      </c>
    </row>
    <row r="681" spans="1:74">
      <c r="A681" t="s">
        <v>1150</v>
      </c>
      <c r="B681" t="s">
        <v>10</v>
      </c>
      <c r="C681" t="s">
        <v>1052</v>
      </c>
      <c r="D681" t="s">
        <v>1053</v>
      </c>
      <c r="F681" t="s">
        <v>1111</v>
      </c>
      <c r="G681" t="s">
        <v>1145</v>
      </c>
      <c r="H681" t="s">
        <v>1111</v>
      </c>
      <c r="I681" t="s">
        <v>1145</v>
      </c>
      <c r="L681" s="19"/>
      <c r="U681">
        <v>10.65</v>
      </c>
      <c r="X681">
        <v>11.15</v>
      </c>
      <c r="BQ681" t="s">
        <v>281</v>
      </c>
      <c r="BR681" t="s">
        <v>273</v>
      </c>
    </row>
    <row r="682" spans="1:74">
      <c r="A682" t="s">
        <v>1151</v>
      </c>
      <c r="B682" t="s">
        <v>10</v>
      </c>
      <c r="C682" t="s">
        <v>1052</v>
      </c>
      <c r="D682" t="s">
        <v>1053</v>
      </c>
      <c r="F682" t="s">
        <v>1111</v>
      </c>
      <c r="G682" t="s">
        <v>1145</v>
      </c>
      <c r="H682" t="s">
        <v>1111</v>
      </c>
      <c r="I682" t="s">
        <v>1145</v>
      </c>
      <c r="L682" s="19"/>
      <c r="U682">
        <v>10.4</v>
      </c>
      <c r="X682">
        <v>11.1</v>
      </c>
      <c r="BQ682" t="s">
        <v>281</v>
      </c>
      <c r="BR682" t="s">
        <v>273</v>
      </c>
    </row>
    <row r="683" spans="1:74">
      <c r="A683" t="s">
        <v>1152</v>
      </c>
      <c r="B683" t="s">
        <v>10</v>
      </c>
      <c r="C683" t="s">
        <v>1052</v>
      </c>
      <c r="D683" t="s">
        <v>1053</v>
      </c>
      <c r="F683" t="s">
        <v>1111</v>
      </c>
      <c r="G683" t="s">
        <v>1145</v>
      </c>
      <c r="H683" t="s">
        <v>1111</v>
      </c>
      <c r="I683" t="s">
        <v>1145</v>
      </c>
      <c r="L683" s="19"/>
      <c r="AG683">
        <v>8.6999999999999993</v>
      </c>
      <c r="AJ683">
        <v>12.5</v>
      </c>
      <c r="BP683" t="s">
        <v>1153</v>
      </c>
      <c r="BQ683" t="s">
        <v>281</v>
      </c>
      <c r="BR683" t="s">
        <v>273</v>
      </c>
    </row>
    <row r="684" spans="1:74">
      <c r="A684" t="s">
        <v>1154</v>
      </c>
      <c r="B684" t="s">
        <v>10</v>
      </c>
      <c r="C684" t="s">
        <v>1052</v>
      </c>
      <c r="D684" t="s">
        <v>1053</v>
      </c>
      <c r="F684" t="s">
        <v>1111</v>
      </c>
      <c r="G684" t="s">
        <v>1145</v>
      </c>
      <c r="H684" t="s">
        <v>1111</v>
      </c>
      <c r="I684" t="s">
        <v>1145</v>
      </c>
      <c r="L684" s="19"/>
      <c r="AS684">
        <v>12.7</v>
      </c>
      <c r="AV684">
        <v>10.199999999999999</v>
      </c>
      <c r="AW684">
        <v>12.1</v>
      </c>
      <c r="AZ684">
        <v>11.2</v>
      </c>
      <c r="BA684">
        <v>12.5</v>
      </c>
      <c r="BD684">
        <v>12.5</v>
      </c>
      <c r="BP684" t="s">
        <v>1155</v>
      </c>
      <c r="BQ684" t="s">
        <v>281</v>
      </c>
      <c r="BR684" t="s">
        <v>818</v>
      </c>
    </row>
    <row r="685" spans="1:74">
      <c r="B685" t="s">
        <v>10</v>
      </c>
      <c r="C685" t="s">
        <v>1052</v>
      </c>
      <c r="D685" t="s">
        <v>1053</v>
      </c>
      <c r="F685" t="s">
        <v>1111</v>
      </c>
      <c r="G685" t="s">
        <v>1145</v>
      </c>
      <c r="H685" t="s">
        <v>1111</v>
      </c>
      <c r="I685" t="s">
        <v>1156</v>
      </c>
      <c r="L685" s="19"/>
      <c r="AC685">
        <f>1000*0.0093</f>
        <v>9.2999999999999989</v>
      </c>
      <c r="AF685">
        <f>1000*0.014</f>
        <v>14</v>
      </c>
      <c r="BP685" t="s">
        <v>1157</v>
      </c>
      <c r="BQ685" t="s">
        <v>281</v>
      </c>
      <c r="BR685" t="s">
        <v>1158</v>
      </c>
    </row>
    <row r="686" spans="1:74" ht="16">
      <c r="A686" t="s">
        <v>1159</v>
      </c>
      <c r="B686" t="s">
        <v>10</v>
      </c>
      <c r="C686" t="s">
        <v>1052</v>
      </c>
      <c r="D686" t="s">
        <v>1053</v>
      </c>
      <c r="F686" t="s">
        <v>1111</v>
      </c>
      <c r="G686" t="s">
        <v>60</v>
      </c>
      <c r="H686" t="s">
        <v>1111</v>
      </c>
      <c r="I686" t="s">
        <v>60</v>
      </c>
      <c r="K686" t="s">
        <v>1064</v>
      </c>
      <c r="L686" s="19" t="s">
        <v>1065</v>
      </c>
      <c r="BA686">
        <v>8.9</v>
      </c>
      <c r="BD686">
        <v>7.8</v>
      </c>
      <c r="BQ686" t="s">
        <v>281</v>
      </c>
      <c r="BR686" t="s">
        <v>1066</v>
      </c>
    </row>
    <row r="687" spans="1:74" ht="16">
      <c r="A687" t="s">
        <v>1160</v>
      </c>
      <c r="B687" t="s">
        <v>10</v>
      </c>
      <c r="C687" t="s">
        <v>1052</v>
      </c>
      <c r="D687" t="s">
        <v>1053</v>
      </c>
      <c r="F687" t="s">
        <v>1111</v>
      </c>
      <c r="G687" t="s">
        <v>60</v>
      </c>
      <c r="H687" t="s">
        <v>1111</v>
      </c>
      <c r="I687" t="s">
        <v>60</v>
      </c>
      <c r="K687" t="s">
        <v>1064</v>
      </c>
      <c r="L687" s="19" t="s">
        <v>1065</v>
      </c>
      <c r="BA687">
        <v>7</v>
      </c>
      <c r="BD687">
        <v>6</v>
      </c>
      <c r="BQ687" t="s">
        <v>281</v>
      </c>
      <c r="BR687" t="s">
        <v>1066</v>
      </c>
    </row>
    <row r="688" spans="1:74" ht="16">
      <c r="A688" t="s">
        <v>1161</v>
      </c>
      <c r="B688" t="s">
        <v>10</v>
      </c>
      <c r="C688" t="s">
        <v>1052</v>
      </c>
      <c r="D688" t="s">
        <v>1053</v>
      </c>
      <c r="F688" t="s">
        <v>1111</v>
      </c>
      <c r="G688" t="s">
        <v>60</v>
      </c>
      <c r="H688" t="s">
        <v>1111</v>
      </c>
      <c r="I688" t="s">
        <v>60</v>
      </c>
      <c r="K688" t="s">
        <v>1064</v>
      </c>
      <c r="L688" s="19" t="s">
        <v>1065</v>
      </c>
      <c r="BA688">
        <v>9.4</v>
      </c>
      <c r="BD688">
        <v>8</v>
      </c>
      <c r="BQ688" t="s">
        <v>281</v>
      </c>
      <c r="BR688" t="s">
        <v>1066</v>
      </c>
    </row>
    <row r="689" spans="1:74" ht="16">
      <c r="A689" t="s">
        <v>1162</v>
      </c>
      <c r="B689" t="s">
        <v>10</v>
      </c>
      <c r="C689" t="s">
        <v>1052</v>
      </c>
      <c r="D689" t="s">
        <v>1053</v>
      </c>
      <c r="F689" t="s">
        <v>1111</v>
      </c>
      <c r="G689" t="s">
        <v>60</v>
      </c>
      <c r="H689" t="s">
        <v>1111</v>
      </c>
      <c r="I689" t="s">
        <v>60</v>
      </c>
      <c r="K689" t="s">
        <v>1064</v>
      </c>
      <c r="L689" s="19" t="s">
        <v>1065</v>
      </c>
      <c r="BA689">
        <v>11.9</v>
      </c>
      <c r="BD689">
        <v>10</v>
      </c>
      <c r="BQ689" t="s">
        <v>281</v>
      </c>
      <c r="BR689" t="s">
        <v>1066</v>
      </c>
    </row>
    <row r="690" spans="1:74" s="8" customFormat="1" ht="32">
      <c r="A690" t="s">
        <v>319</v>
      </c>
      <c r="B690" t="s">
        <v>10</v>
      </c>
      <c r="C690" t="s">
        <v>1052</v>
      </c>
      <c r="D690" t="s">
        <v>1053</v>
      </c>
      <c r="E690"/>
      <c r="F690" t="s">
        <v>1111</v>
      </c>
      <c r="G690" t="s">
        <v>1163</v>
      </c>
      <c r="H690" t="s">
        <v>1111</v>
      </c>
      <c r="I690" t="s">
        <v>1163</v>
      </c>
      <c r="J690"/>
      <c r="K690"/>
      <c r="L690" s="19" t="s">
        <v>1086</v>
      </c>
      <c r="M690"/>
      <c r="N690"/>
      <c r="O690"/>
      <c r="P690"/>
      <c r="Q690">
        <v>11.02</v>
      </c>
      <c r="R690"/>
      <c r="S690"/>
      <c r="T690">
        <v>9.69</v>
      </c>
      <c r="U690">
        <v>11.26</v>
      </c>
      <c r="V690"/>
      <c r="W690"/>
      <c r="X690">
        <v>11.85</v>
      </c>
      <c r="Y690">
        <v>13.51</v>
      </c>
      <c r="Z690"/>
      <c r="AA690"/>
      <c r="AB690">
        <v>14.6</v>
      </c>
      <c r="AC690">
        <v>14.01</v>
      </c>
      <c r="AD690"/>
      <c r="AE690"/>
      <c r="AF690">
        <v>15.17</v>
      </c>
      <c r="AG690">
        <v>12.87</v>
      </c>
      <c r="AH690"/>
      <c r="AI690"/>
      <c r="AJ690">
        <v>12.02</v>
      </c>
      <c r="AK690"/>
      <c r="AL690"/>
      <c r="AM690"/>
      <c r="AN690"/>
      <c r="AO690">
        <v>11.61</v>
      </c>
      <c r="AP690"/>
      <c r="AQ690"/>
      <c r="AR690">
        <v>6.97</v>
      </c>
      <c r="AS690">
        <v>12.47</v>
      </c>
      <c r="AT690"/>
      <c r="AU690"/>
      <c r="AV690">
        <v>8.82</v>
      </c>
      <c r="AW690">
        <v>12.57</v>
      </c>
      <c r="AX690"/>
      <c r="AY690"/>
      <c r="AZ690">
        <v>10.68</v>
      </c>
      <c r="BA690">
        <v>13.03</v>
      </c>
      <c r="BB690"/>
      <c r="BC690"/>
      <c r="BD690">
        <v>11.83</v>
      </c>
      <c r="BE690">
        <v>13.55</v>
      </c>
      <c r="BF690"/>
      <c r="BG690"/>
      <c r="BH690">
        <v>10.27</v>
      </c>
      <c r="BI690"/>
      <c r="BJ690"/>
      <c r="BK690"/>
      <c r="BL690"/>
      <c r="BM690"/>
      <c r="BN690"/>
      <c r="BO690"/>
      <c r="BP690" t="s">
        <v>1058</v>
      </c>
      <c r="BQ690" t="s">
        <v>281</v>
      </c>
      <c r="BR690" t="s">
        <v>1059</v>
      </c>
      <c r="BS690"/>
      <c r="BT690"/>
      <c r="BU690"/>
      <c r="BV690"/>
    </row>
    <row r="691" spans="1:74">
      <c r="B691" t="s">
        <v>10</v>
      </c>
      <c r="C691" t="s">
        <v>1052</v>
      </c>
      <c r="D691" t="s">
        <v>1053</v>
      </c>
      <c r="F691" t="s">
        <v>1111</v>
      </c>
      <c r="G691" t="s">
        <v>1163</v>
      </c>
      <c r="L691" s="19"/>
    </row>
    <row r="692" spans="1:74">
      <c r="A692" t="s">
        <v>1164</v>
      </c>
      <c r="B692" t="s">
        <v>10</v>
      </c>
      <c r="C692" t="s">
        <v>1052</v>
      </c>
      <c r="D692" t="s">
        <v>1053</v>
      </c>
      <c r="F692" t="s">
        <v>1111</v>
      </c>
      <c r="G692" t="s">
        <v>1165</v>
      </c>
      <c r="H692" t="s">
        <v>1111</v>
      </c>
      <c r="I692" t="s">
        <v>1165</v>
      </c>
      <c r="L692" s="19"/>
      <c r="U692">
        <v>7.25</v>
      </c>
      <c r="X692">
        <v>7.7</v>
      </c>
      <c r="Y692">
        <f>(8.25+8.6)/2</f>
        <v>8.4250000000000007</v>
      </c>
      <c r="AB692">
        <f>(9.05+9.3)/2</f>
        <v>9.1750000000000007</v>
      </c>
      <c r="AC692">
        <v>8</v>
      </c>
      <c r="AF692">
        <v>9.6999999999999993</v>
      </c>
      <c r="AG692">
        <f>(6.2+6.2)/2</f>
        <v>6.2</v>
      </c>
      <c r="AJ692">
        <f>(7.9+7.8)/2</f>
        <v>7.85</v>
      </c>
      <c r="AK692">
        <f>(8.25+8)/2</f>
        <v>8.125</v>
      </c>
      <c r="AN692">
        <f>(4.05+4.05)/2</f>
        <v>4.05</v>
      </c>
      <c r="AO692">
        <f>(8.35+8.2)/2</f>
        <v>8.2749999999999986</v>
      </c>
      <c r="AR692">
        <f>(4.8+4.85)/2</f>
        <v>4.8249999999999993</v>
      </c>
      <c r="AS692">
        <f>(8.3+8.5)/2</f>
        <v>8.4</v>
      </c>
      <c r="AV692">
        <f>(6.25+6.15)/2</f>
        <v>6.2</v>
      </c>
      <c r="AW692">
        <f>(9.05+8.7)/2</f>
        <v>8.875</v>
      </c>
      <c r="AZ692">
        <f>(7.1+7.1)/2</f>
        <v>7.1</v>
      </c>
      <c r="BA692">
        <f>(8.9+8.65)/2</f>
        <v>8.7750000000000004</v>
      </c>
      <c r="BD692">
        <f>(6.96+7.25)/2</f>
        <v>7.1050000000000004</v>
      </c>
      <c r="BE692">
        <f>(8.85+8.6)/2</f>
        <v>8.7249999999999996</v>
      </c>
      <c r="BH692">
        <f>(6.15+6.15)/2</f>
        <v>6.15</v>
      </c>
      <c r="BP692" t="s">
        <v>1166</v>
      </c>
      <c r="BQ692" t="s">
        <v>281</v>
      </c>
      <c r="BR692" t="s">
        <v>273</v>
      </c>
    </row>
    <row r="693" spans="1:74">
      <c r="A693" t="s">
        <v>1167</v>
      </c>
      <c r="B693" t="s">
        <v>10</v>
      </c>
      <c r="C693" t="s">
        <v>1052</v>
      </c>
      <c r="D693" t="s">
        <v>1053</v>
      </c>
      <c r="F693" t="s">
        <v>1111</v>
      </c>
      <c r="G693" t="s">
        <v>1165</v>
      </c>
      <c r="H693" t="s">
        <v>1111</v>
      </c>
      <c r="I693" t="s">
        <v>1165</v>
      </c>
      <c r="L693" s="19"/>
      <c r="AS693">
        <v>8.6999999999999993</v>
      </c>
      <c r="AV693">
        <v>5.95</v>
      </c>
      <c r="BP693" t="s">
        <v>1168</v>
      </c>
      <c r="BQ693" t="s">
        <v>281</v>
      </c>
      <c r="BR693" t="s">
        <v>273</v>
      </c>
    </row>
    <row r="694" spans="1:74">
      <c r="A694" t="s">
        <v>1169</v>
      </c>
      <c r="B694" t="s">
        <v>10</v>
      </c>
      <c r="C694" t="s">
        <v>1052</v>
      </c>
      <c r="D694" t="s">
        <v>1053</v>
      </c>
      <c r="F694" t="s">
        <v>1111</v>
      </c>
      <c r="G694" t="s">
        <v>1165</v>
      </c>
      <c r="H694" t="s">
        <v>1111</v>
      </c>
      <c r="I694" t="s">
        <v>1165</v>
      </c>
      <c r="L694" s="19"/>
      <c r="AG694">
        <v>6.5</v>
      </c>
      <c r="AJ694">
        <v>8.1999999999999993</v>
      </c>
      <c r="AK694">
        <v>6.4</v>
      </c>
      <c r="AN694">
        <v>3.1</v>
      </c>
      <c r="AO694">
        <f>(7.45+7.85)/2</f>
        <v>7.65</v>
      </c>
      <c r="AR694">
        <f>(4.3+4.35)/2</f>
        <v>4.3249999999999993</v>
      </c>
      <c r="AS694">
        <v>8.85</v>
      </c>
      <c r="AV694">
        <v>5.3</v>
      </c>
      <c r="AW694">
        <v>8.5</v>
      </c>
      <c r="AZ694">
        <v>7.15</v>
      </c>
      <c r="BA694">
        <v>8.4</v>
      </c>
      <c r="BD694">
        <v>6.95</v>
      </c>
      <c r="BP694" t="s">
        <v>1138</v>
      </c>
      <c r="BQ694" t="s">
        <v>281</v>
      </c>
      <c r="BR694" t="s">
        <v>273</v>
      </c>
      <c r="BS694" t="s">
        <v>181</v>
      </c>
      <c r="BT694" t="s">
        <v>273</v>
      </c>
    </row>
    <row r="695" spans="1:74" ht="16">
      <c r="A695" t="s">
        <v>1170</v>
      </c>
      <c r="B695" t="s">
        <v>10</v>
      </c>
      <c r="C695" t="s">
        <v>1052</v>
      </c>
      <c r="D695" t="s">
        <v>1053</v>
      </c>
      <c r="F695" t="s">
        <v>1111</v>
      </c>
      <c r="G695" t="s">
        <v>1165</v>
      </c>
      <c r="H695" t="s">
        <v>1111</v>
      </c>
      <c r="I695" t="s">
        <v>1171</v>
      </c>
      <c r="K695" t="s">
        <v>1064</v>
      </c>
      <c r="L695" s="19" t="s">
        <v>1065</v>
      </c>
      <c r="BE695">
        <v>9.4</v>
      </c>
      <c r="BH695">
        <v>6.1</v>
      </c>
      <c r="BQ695" t="s">
        <v>281</v>
      </c>
      <c r="BR695" t="s">
        <v>1066</v>
      </c>
      <c r="BS695" t="s">
        <v>181</v>
      </c>
      <c r="BT695" t="s">
        <v>1066</v>
      </c>
    </row>
    <row r="696" spans="1:74" ht="16">
      <c r="A696" t="s">
        <v>319</v>
      </c>
      <c r="B696" t="s">
        <v>10</v>
      </c>
      <c r="C696" t="s">
        <v>1052</v>
      </c>
      <c r="D696" t="s">
        <v>1053</v>
      </c>
      <c r="F696" t="s">
        <v>1111</v>
      </c>
      <c r="G696" t="s">
        <v>1165</v>
      </c>
      <c r="H696" t="s">
        <v>1111</v>
      </c>
      <c r="I696" t="s">
        <v>1165</v>
      </c>
      <c r="L696" s="19" t="s">
        <v>1172</v>
      </c>
      <c r="X696">
        <v>9.6</v>
      </c>
      <c r="Y696">
        <v>9.4</v>
      </c>
      <c r="AB696">
        <v>11.15</v>
      </c>
      <c r="AC696">
        <v>9.75</v>
      </c>
      <c r="AF696">
        <v>10.5</v>
      </c>
      <c r="AG696">
        <v>9.48</v>
      </c>
      <c r="AJ696">
        <v>8.8800000000000008</v>
      </c>
      <c r="AO696">
        <v>8.4700000000000006</v>
      </c>
      <c r="AR696">
        <v>5.6</v>
      </c>
      <c r="AS696">
        <v>9.48</v>
      </c>
      <c r="AV696">
        <v>6.48</v>
      </c>
      <c r="AW696">
        <v>9.6300000000000008</v>
      </c>
      <c r="AZ696">
        <v>7.67</v>
      </c>
      <c r="BA696">
        <v>9.66</v>
      </c>
      <c r="BD696">
        <v>8.1</v>
      </c>
      <c r="BE696">
        <v>9.84</v>
      </c>
      <c r="BH696">
        <v>6.91</v>
      </c>
      <c r="BP696" t="s">
        <v>1058</v>
      </c>
      <c r="BQ696" t="s">
        <v>281</v>
      </c>
      <c r="BR696" t="s">
        <v>1059</v>
      </c>
    </row>
    <row r="697" spans="1:74" ht="32">
      <c r="A697" t="s">
        <v>319</v>
      </c>
      <c r="B697" t="s">
        <v>10</v>
      </c>
      <c r="C697" t="s">
        <v>1052</v>
      </c>
      <c r="D697" t="s">
        <v>1053</v>
      </c>
      <c r="F697" t="s">
        <v>1111</v>
      </c>
      <c r="G697" t="s">
        <v>1165</v>
      </c>
      <c r="H697" t="s">
        <v>1111</v>
      </c>
      <c r="I697" t="s">
        <v>1165</v>
      </c>
      <c r="L697" s="19" t="s">
        <v>1173</v>
      </c>
      <c r="Q697">
        <v>8.65</v>
      </c>
      <c r="T697">
        <v>7.05</v>
      </c>
      <c r="U697">
        <v>8.5</v>
      </c>
      <c r="X697">
        <v>9.3000000000000007</v>
      </c>
      <c r="Y697">
        <v>9.35</v>
      </c>
      <c r="AB697">
        <v>10.57</v>
      </c>
      <c r="AC697">
        <v>10.08</v>
      </c>
      <c r="AF697">
        <v>10.56</v>
      </c>
      <c r="AG697">
        <v>8.5500000000000007</v>
      </c>
      <c r="AJ697">
        <v>8.33</v>
      </c>
      <c r="AO697">
        <v>8.9499999999999993</v>
      </c>
      <c r="AR697">
        <v>5.2</v>
      </c>
      <c r="AS697">
        <v>9.7100000000000009</v>
      </c>
      <c r="AV697">
        <v>6.1</v>
      </c>
      <c r="AW697">
        <v>9.32</v>
      </c>
      <c r="AZ697">
        <v>7.66</v>
      </c>
      <c r="BA697">
        <v>9.09</v>
      </c>
      <c r="BD697">
        <v>7.79</v>
      </c>
      <c r="BE697">
        <v>9.5299999999999994</v>
      </c>
      <c r="BH697">
        <v>6.78</v>
      </c>
      <c r="BP697" t="s">
        <v>1058</v>
      </c>
      <c r="BQ697" t="s">
        <v>281</v>
      </c>
      <c r="BR697" t="s">
        <v>1059</v>
      </c>
    </row>
    <row r="698" spans="1:74" ht="32">
      <c r="A698" t="s">
        <v>319</v>
      </c>
      <c r="B698" t="s">
        <v>10</v>
      </c>
      <c r="C698" t="s">
        <v>1052</v>
      </c>
      <c r="D698" t="s">
        <v>1053</v>
      </c>
      <c r="F698" t="s">
        <v>1111</v>
      </c>
      <c r="G698" t="s">
        <v>1165</v>
      </c>
      <c r="H698" t="s">
        <v>1111</v>
      </c>
      <c r="I698" t="s">
        <v>1165</v>
      </c>
      <c r="L698" s="19" t="s">
        <v>1085</v>
      </c>
      <c r="Q698">
        <v>8.1999999999999993</v>
      </c>
      <c r="T698">
        <v>7.55</v>
      </c>
      <c r="U698">
        <v>7.63</v>
      </c>
      <c r="X698">
        <v>8.43</v>
      </c>
      <c r="Y698">
        <v>8.74</v>
      </c>
      <c r="AB698">
        <v>10.02</v>
      </c>
      <c r="AC698">
        <v>8.99</v>
      </c>
      <c r="AF698">
        <v>9.8000000000000007</v>
      </c>
      <c r="AG698">
        <v>8.0500000000000007</v>
      </c>
      <c r="AJ698">
        <v>7.48</v>
      </c>
      <c r="AO698">
        <v>7.97</v>
      </c>
      <c r="AR698">
        <v>4.7</v>
      </c>
      <c r="AS698">
        <v>8.8800000000000008</v>
      </c>
      <c r="AV698">
        <v>5.95</v>
      </c>
      <c r="AW698">
        <v>8.51</v>
      </c>
      <c r="AZ698">
        <v>7.04</v>
      </c>
      <c r="BA698">
        <v>8.5299999999999994</v>
      </c>
      <c r="BD698">
        <v>7.33</v>
      </c>
      <c r="BE698">
        <v>8.44</v>
      </c>
      <c r="BH698">
        <v>6.16</v>
      </c>
      <c r="BP698" t="s">
        <v>1058</v>
      </c>
      <c r="BQ698" t="s">
        <v>281</v>
      </c>
      <c r="BR698" t="s">
        <v>1059</v>
      </c>
    </row>
    <row r="699" spans="1:74" ht="16">
      <c r="A699" t="s">
        <v>319</v>
      </c>
      <c r="B699" t="s">
        <v>10</v>
      </c>
      <c r="C699" t="s">
        <v>1052</v>
      </c>
      <c r="D699" t="s">
        <v>1053</v>
      </c>
      <c r="F699" t="s">
        <v>1111</v>
      </c>
      <c r="G699" t="s">
        <v>1165</v>
      </c>
      <c r="H699" t="s">
        <v>1111</v>
      </c>
      <c r="I699" t="s">
        <v>1165</v>
      </c>
      <c r="L699" s="19" t="s">
        <v>1116</v>
      </c>
      <c r="Q699">
        <v>7.22</v>
      </c>
      <c r="T699">
        <v>7.1</v>
      </c>
      <c r="U699">
        <v>7.88</v>
      </c>
      <c r="X699">
        <v>8.86</v>
      </c>
      <c r="Y699">
        <v>8.51</v>
      </c>
      <c r="AB699">
        <v>10.3</v>
      </c>
      <c r="AC699">
        <v>8.7200000000000006</v>
      </c>
      <c r="AF699">
        <v>9.8800000000000008</v>
      </c>
      <c r="AG699">
        <v>7.64</v>
      </c>
      <c r="AJ699">
        <v>7.57</v>
      </c>
      <c r="AO699">
        <v>7.92</v>
      </c>
      <c r="AR699">
        <v>4.67</v>
      </c>
      <c r="AS699">
        <v>8.75</v>
      </c>
      <c r="AV699">
        <v>5.97</v>
      </c>
      <c r="AW699">
        <v>8.2799999999999994</v>
      </c>
      <c r="AZ699">
        <v>7</v>
      </c>
      <c r="BA699">
        <v>8.4</v>
      </c>
      <c r="BD699">
        <v>7.18</v>
      </c>
      <c r="BE699">
        <v>8.82</v>
      </c>
      <c r="BH699">
        <v>6.25</v>
      </c>
      <c r="BP699" t="s">
        <v>1058</v>
      </c>
      <c r="BQ699" t="s">
        <v>281</v>
      </c>
      <c r="BR699" t="s">
        <v>1059</v>
      </c>
    </row>
    <row r="700" spans="1:74" ht="16">
      <c r="A700" t="s">
        <v>319</v>
      </c>
      <c r="B700" t="s">
        <v>10</v>
      </c>
      <c r="C700" t="s">
        <v>1052</v>
      </c>
      <c r="D700" t="s">
        <v>1053</v>
      </c>
      <c r="F700" t="s">
        <v>1111</v>
      </c>
      <c r="G700" t="s">
        <v>1165</v>
      </c>
      <c r="H700" t="s">
        <v>1111</v>
      </c>
      <c r="I700" t="s">
        <v>1165</v>
      </c>
      <c r="L700" s="19" t="s">
        <v>1117</v>
      </c>
      <c r="Q700">
        <v>7.23</v>
      </c>
      <c r="T700">
        <v>6.76</v>
      </c>
      <c r="U700">
        <v>7.84</v>
      </c>
      <c r="X700">
        <v>8.74</v>
      </c>
      <c r="Y700">
        <v>8.81</v>
      </c>
      <c r="AB700">
        <v>10.24</v>
      </c>
      <c r="AC700">
        <v>8.83</v>
      </c>
      <c r="AF700">
        <v>10.1</v>
      </c>
      <c r="AG700">
        <v>7.71</v>
      </c>
      <c r="AJ700">
        <v>7.53</v>
      </c>
      <c r="AO700">
        <v>7.69</v>
      </c>
      <c r="AR700">
        <v>4.53</v>
      </c>
      <c r="AS700">
        <v>8.76</v>
      </c>
      <c r="AV700">
        <v>5.86</v>
      </c>
      <c r="AW700">
        <v>8.41</v>
      </c>
      <c r="AZ700">
        <v>7.04</v>
      </c>
      <c r="BA700">
        <v>8.3800000000000008</v>
      </c>
      <c r="BD700">
        <v>7.37</v>
      </c>
      <c r="BE700">
        <v>8.73</v>
      </c>
      <c r="BH700">
        <v>6.23</v>
      </c>
      <c r="BP700" t="s">
        <v>1058</v>
      </c>
      <c r="BQ700" t="s">
        <v>281</v>
      </c>
      <c r="BR700" t="s">
        <v>1059</v>
      </c>
    </row>
    <row r="701" spans="1:74">
      <c r="A701" t="s">
        <v>1174</v>
      </c>
      <c r="B701" t="s">
        <v>10</v>
      </c>
      <c r="C701" t="s">
        <v>1052</v>
      </c>
      <c r="D701" t="s">
        <v>1053</v>
      </c>
      <c r="F701" t="s">
        <v>1111</v>
      </c>
      <c r="G701" t="s">
        <v>1165</v>
      </c>
      <c r="H701" t="s">
        <v>1111</v>
      </c>
      <c r="I701" t="s">
        <v>1175</v>
      </c>
      <c r="L701" s="19"/>
      <c r="Q701">
        <v>8.1999999999999993</v>
      </c>
      <c r="T701">
        <v>7.3</v>
      </c>
      <c r="U701">
        <v>8.5</v>
      </c>
      <c r="X701">
        <v>8.5</v>
      </c>
      <c r="Y701">
        <v>9</v>
      </c>
      <c r="AB701">
        <v>10</v>
      </c>
      <c r="AC701">
        <v>9.1999999999999993</v>
      </c>
      <c r="AF701">
        <v>11</v>
      </c>
      <c r="AG701">
        <v>7.8</v>
      </c>
      <c r="AJ701">
        <v>10.6</v>
      </c>
      <c r="BQ701" t="s">
        <v>281</v>
      </c>
      <c r="BR701" t="s">
        <v>1176</v>
      </c>
    </row>
    <row r="702" spans="1:74">
      <c r="A702" t="s">
        <v>1177</v>
      </c>
      <c r="B702" t="s">
        <v>10</v>
      </c>
      <c r="C702" t="s">
        <v>1052</v>
      </c>
      <c r="D702" t="s">
        <v>1053</v>
      </c>
      <c r="F702" t="s">
        <v>1111</v>
      </c>
      <c r="G702" t="s">
        <v>1165</v>
      </c>
      <c r="H702" t="s">
        <v>1111</v>
      </c>
      <c r="I702" t="s">
        <v>1175</v>
      </c>
      <c r="L702" s="19"/>
      <c r="Q702">
        <v>8.1999999999999993</v>
      </c>
      <c r="T702">
        <v>7.4</v>
      </c>
      <c r="U702">
        <v>8.5</v>
      </c>
      <c r="X702">
        <v>8.5</v>
      </c>
      <c r="Y702">
        <v>9</v>
      </c>
      <c r="AB702">
        <v>10</v>
      </c>
      <c r="AC702">
        <v>9.1999999999999993</v>
      </c>
      <c r="AF702">
        <v>11.3</v>
      </c>
      <c r="AG702">
        <v>7.7</v>
      </c>
      <c r="AJ702">
        <v>10.8</v>
      </c>
      <c r="BQ702" t="s">
        <v>281</v>
      </c>
      <c r="BR702" t="s">
        <v>818</v>
      </c>
    </row>
    <row r="703" spans="1:74">
      <c r="A703" t="s">
        <v>1178</v>
      </c>
      <c r="B703" t="s">
        <v>10</v>
      </c>
      <c r="C703" t="s">
        <v>1052</v>
      </c>
      <c r="D703" t="s">
        <v>1053</v>
      </c>
      <c r="F703" t="s">
        <v>1111</v>
      </c>
      <c r="G703" t="s">
        <v>1165</v>
      </c>
      <c r="H703" t="s">
        <v>1111</v>
      </c>
      <c r="I703" t="s">
        <v>1175</v>
      </c>
      <c r="L703" s="19"/>
      <c r="AS703">
        <v>9.6</v>
      </c>
      <c r="AV703">
        <v>6.2</v>
      </c>
      <c r="AW703">
        <v>9.1</v>
      </c>
      <c r="AZ703">
        <v>7.4</v>
      </c>
      <c r="BQ703" t="s">
        <v>281</v>
      </c>
      <c r="BR703" t="s">
        <v>818</v>
      </c>
    </row>
    <row r="704" spans="1:74">
      <c r="A704" t="s">
        <v>1179</v>
      </c>
      <c r="B704" t="s">
        <v>10</v>
      </c>
      <c r="C704" t="s">
        <v>1052</v>
      </c>
      <c r="D704" t="s">
        <v>1053</v>
      </c>
      <c r="F704" t="s">
        <v>1111</v>
      </c>
      <c r="G704" t="s">
        <v>1165</v>
      </c>
      <c r="H704" t="s">
        <v>1111</v>
      </c>
      <c r="I704" t="s">
        <v>1175</v>
      </c>
      <c r="L704" s="19"/>
      <c r="Q704">
        <v>7.7</v>
      </c>
      <c r="T704">
        <v>8.6</v>
      </c>
      <c r="U704">
        <v>7.9</v>
      </c>
      <c r="X704">
        <v>9.1999999999999993</v>
      </c>
      <c r="Y704">
        <v>9</v>
      </c>
      <c r="AB704">
        <v>11</v>
      </c>
      <c r="AC704">
        <v>8.8000000000000007</v>
      </c>
      <c r="AF704">
        <v>12.5</v>
      </c>
      <c r="AG704">
        <v>8.6999999999999993</v>
      </c>
      <c r="AJ704">
        <v>10.5</v>
      </c>
      <c r="BP704" t="s">
        <v>1180</v>
      </c>
      <c r="BQ704" t="s">
        <v>281</v>
      </c>
      <c r="BR704" t="s">
        <v>818</v>
      </c>
    </row>
    <row r="705" spans="1:72" ht="32">
      <c r="A705" t="s">
        <v>319</v>
      </c>
      <c r="B705" t="s">
        <v>10</v>
      </c>
      <c r="C705" t="s">
        <v>1052</v>
      </c>
      <c r="D705" t="s">
        <v>1053</v>
      </c>
      <c r="F705" t="s">
        <v>1181</v>
      </c>
      <c r="G705" t="s">
        <v>1182</v>
      </c>
      <c r="H705" t="s">
        <v>1181</v>
      </c>
      <c r="I705" t="s">
        <v>1182</v>
      </c>
      <c r="L705" s="19" t="s">
        <v>1183</v>
      </c>
      <c r="Q705">
        <v>7</v>
      </c>
      <c r="T705">
        <v>6.25</v>
      </c>
      <c r="U705">
        <v>6.97</v>
      </c>
      <c r="X705">
        <v>7.87</v>
      </c>
      <c r="Y705">
        <v>7.69</v>
      </c>
      <c r="AB705">
        <v>9.64</v>
      </c>
      <c r="AC705">
        <v>8.06</v>
      </c>
      <c r="AF705">
        <v>9.9</v>
      </c>
      <c r="AG705">
        <v>7.12</v>
      </c>
      <c r="AJ705">
        <v>7.19</v>
      </c>
      <c r="AO705">
        <v>7.45</v>
      </c>
      <c r="AR705">
        <v>4.42</v>
      </c>
      <c r="AS705">
        <v>7.69</v>
      </c>
      <c r="AV705">
        <v>5.34</v>
      </c>
      <c r="AW705">
        <v>7.81</v>
      </c>
      <c r="AZ705">
        <v>6.38</v>
      </c>
      <c r="BA705">
        <v>7.9</v>
      </c>
      <c r="BD705">
        <v>6.79</v>
      </c>
      <c r="BE705">
        <v>8.08</v>
      </c>
      <c r="BH705">
        <v>5.74</v>
      </c>
      <c r="BP705" t="s">
        <v>1058</v>
      </c>
      <c r="BQ705" t="s">
        <v>281</v>
      </c>
      <c r="BR705" t="s">
        <v>1059</v>
      </c>
    </row>
    <row r="706" spans="1:72" ht="16">
      <c r="A706" t="s">
        <v>319</v>
      </c>
      <c r="B706" t="s">
        <v>10</v>
      </c>
      <c r="C706" t="s">
        <v>1052</v>
      </c>
      <c r="D706" t="s">
        <v>1053</v>
      </c>
      <c r="F706" t="s">
        <v>1181</v>
      </c>
      <c r="G706" t="s">
        <v>1182</v>
      </c>
      <c r="H706" t="s">
        <v>1181</v>
      </c>
      <c r="I706" t="s">
        <v>1182</v>
      </c>
      <c r="L706" s="19" t="s">
        <v>1184</v>
      </c>
      <c r="Q706">
        <v>7.07</v>
      </c>
      <c r="T706">
        <v>6.13</v>
      </c>
      <c r="U706">
        <v>7.27</v>
      </c>
      <c r="X706">
        <v>7.88</v>
      </c>
      <c r="Y706">
        <v>7.88</v>
      </c>
      <c r="AB706">
        <v>9.3800000000000008</v>
      </c>
      <c r="AC706">
        <v>8.27</v>
      </c>
      <c r="AF706">
        <v>9.6</v>
      </c>
      <c r="AG706">
        <v>7.02</v>
      </c>
      <c r="AJ706">
        <v>6.91</v>
      </c>
      <c r="AO706">
        <v>7.03</v>
      </c>
      <c r="AR706">
        <v>4.28</v>
      </c>
      <c r="AS706">
        <v>7.39</v>
      </c>
      <c r="AV706">
        <v>5.12</v>
      </c>
      <c r="AW706">
        <v>7.68</v>
      </c>
      <c r="AZ706">
        <v>6.36</v>
      </c>
      <c r="BA706">
        <v>7.76</v>
      </c>
      <c r="BD706">
        <v>6.93</v>
      </c>
      <c r="BE706">
        <v>7.93</v>
      </c>
      <c r="BH706">
        <v>5.81</v>
      </c>
      <c r="BP706" t="s">
        <v>1058</v>
      </c>
      <c r="BQ706" t="s">
        <v>281</v>
      </c>
      <c r="BR706" t="s">
        <v>1059</v>
      </c>
    </row>
    <row r="707" spans="1:72" s="10" customFormat="1">
      <c r="B707" s="10" t="s">
        <v>10</v>
      </c>
      <c r="C707" s="10" t="s">
        <v>1052</v>
      </c>
      <c r="D707" s="10" t="s">
        <v>1053</v>
      </c>
      <c r="F707" s="10" t="s">
        <v>1181</v>
      </c>
      <c r="G707" s="10" t="s">
        <v>1182</v>
      </c>
      <c r="L707" s="24"/>
      <c r="BS707" s="10" t="s">
        <v>181</v>
      </c>
      <c r="BT707" s="10" t="s">
        <v>1185</v>
      </c>
    </row>
    <row r="708" spans="1:72" ht="32">
      <c r="A708" t="s">
        <v>319</v>
      </c>
      <c r="B708" t="s">
        <v>10</v>
      </c>
      <c r="C708" t="s">
        <v>1052</v>
      </c>
      <c r="D708" t="s">
        <v>1053</v>
      </c>
      <c r="F708" s="28" t="s">
        <v>1181</v>
      </c>
      <c r="G708" s="28" t="s">
        <v>1232</v>
      </c>
      <c r="H708" s="28" t="s">
        <v>1181</v>
      </c>
      <c r="I708" s="28" t="s">
        <v>1232</v>
      </c>
      <c r="L708" s="19" t="s">
        <v>1186</v>
      </c>
      <c r="Q708">
        <v>8.3000000000000007</v>
      </c>
      <c r="T708">
        <v>7.3</v>
      </c>
      <c r="Y708">
        <v>8.3000000000000007</v>
      </c>
      <c r="AB708">
        <v>10.3</v>
      </c>
      <c r="AC708">
        <v>9.9</v>
      </c>
      <c r="AF708">
        <v>11.55</v>
      </c>
      <c r="AG708">
        <v>8</v>
      </c>
      <c r="AJ708">
        <v>7.9</v>
      </c>
      <c r="BP708" t="s">
        <v>1187</v>
      </c>
      <c r="BQ708" t="s">
        <v>281</v>
      </c>
      <c r="BR708" t="s">
        <v>1059</v>
      </c>
    </row>
    <row r="709" spans="1:72">
      <c r="A709" t="s">
        <v>1188</v>
      </c>
      <c r="B709" t="s">
        <v>10</v>
      </c>
      <c r="C709" t="s">
        <v>1052</v>
      </c>
      <c r="D709" t="s">
        <v>1053</v>
      </c>
      <c r="E709" t="s">
        <v>1054</v>
      </c>
      <c r="F709" t="s">
        <v>1055</v>
      </c>
      <c r="G709" t="s">
        <v>1072</v>
      </c>
      <c r="H709" t="s">
        <v>1055</v>
      </c>
      <c r="I709" t="s">
        <v>1072</v>
      </c>
      <c r="L709" s="19"/>
      <c r="Y709">
        <v>4.8499999999999996</v>
      </c>
      <c r="BQ709" t="s">
        <v>281</v>
      </c>
      <c r="BR709" t="s">
        <v>312</v>
      </c>
      <c r="BS709" t="s">
        <v>181</v>
      </c>
      <c r="BT709" t="s">
        <v>312</v>
      </c>
    </row>
    <row r="710" spans="1:72">
      <c r="A710" t="s">
        <v>1189</v>
      </c>
      <c r="B710" t="s">
        <v>10</v>
      </c>
      <c r="C710" t="s">
        <v>1052</v>
      </c>
      <c r="D710" t="s">
        <v>1053</v>
      </c>
      <c r="E710" t="s">
        <v>1054</v>
      </c>
      <c r="F710" t="s">
        <v>1055</v>
      </c>
      <c r="G710" t="s">
        <v>1072</v>
      </c>
      <c r="H710" t="s">
        <v>1055</v>
      </c>
      <c r="I710" t="s">
        <v>1072</v>
      </c>
      <c r="L710" s="19"/>
      <c r="U710">
        <v>4.55</v>
      </c>
      <c r="X710">
        <v>6.05</v>
      </c>
      <c r="BQ710" t="s">
        <v>281</v>
      </c>
      <c r="BR710" t="s">
        <v>312</v>
      </c>
      <c r="BS710" t="s">
        <v>181</v>
      </c>
      <c r="BT710" t="s">
        <v>312</v>
      </c>
    </row>
    <row r="711" spans="1:72">
      <c r="A711" t="s">
        <v>1190</v>
      </c>
      <c r="B711" t="s">
        <v>10</v>
      </c>
      <c r="C711" t="s">
        <v>1052</v>
      </c>
      <c r="D711" t="s">
        <v>1053</v>
      </c>
      <c r="F711" t="s">
        <v>1181</v>
      </c>
      <c r="G711" t="s">
        <v>1182</v>
      </c>
      <c r="H711" t="s">
        <v>1181</v>
      </c>
      <c r="I711" t="s">
        <v>1182</v>
      </c>
      <c r="L711" s="19"/>
      <c r="AW711">
        <v>7.84</v>
      </c>
      <c r="AX711">
        <v>7.04</v>
      </c>
      <c r="AY711">
        <v>6.88</v>
      </c>
      <c r="BA711">
        <v>8.58</v>
      </c>
      <c r="BB711">
        <v>7.51</v>
      </c>
      <c r="BC711">
        <v>7.37</v>
      </c>
      <c r="BQ711" t="s">
        <v>281</v>
      </c>
      <c r="BR711" t="s">
        <v>322</v>
      </c>
    </row>
    <row r="712" spans="1:72">
      <c r="A712" t="s">
        <v>1191</v>
      </c>
      <c r="B712" t="s">
        <v>10</v>
      </c>
      <c r="C712" t="s">
        <v>1052</v>
      </c>
      <c r="D712" t="s">
        <v>1053</v>
      </c>
      <c r="F712" t="s">
        <v>1181</v>
      </c>
      <c r="G712" t="s">
        <v>1182</v>
      </c>
      <c r="H712" t="s">
        <v>1181</v>
      </c>
      <c r="I712" t="s">
        <v>1182</v>
      </c>
      <c r="L712" s="19"/>
      <c r="AW712">
        <v>8.17</v>
      </c>
      <c r="AX712">
        <v>6.42</v>
      </c>
      <c r="AY712">
        <v>6.47</v>
      </c>
      <c r="BA712">
        <v>8.6</v>
      </c>
      <c r="BB712">
        <v>7.35</v>
      </c>
      <c r="BC712">
        <v>7</v>
      </c>
      <c r="BQ712" t="s">
        <v>281</v>
      </c>
      <c r="BR712" t="s">
        <v>322</v>
      </c>
    </row>
    <row r="713" spans="1:72">
      <c r="A713" t="s">
        <v>319</v>
      </c>
      <c r="B713" t="s">
        <v>10</v>
      </c>
      <c r="C713" t="s">
        <v>1052</v>
      </c>
      <c r="D713" t="s">
        <v>1053</v>
      </c>
      <c r="F713" t="s">
        <v>1181</v>
      </c>
      <c r="G713" t="s">
        <v>1182</v>
      </c>
      <c r="H713" t="s">
        <v>1181</v>
      </c>
      <c r="I713" t="s">
        <v>1192</v>
      </c>
      <c r="AW713">
        <v>7.63</v>
      </c>
      <c r="AZ713">
        <v>6.23</v>
      </c>
      <c r="BA713">
        <v>7.77</v>
      </c>
      <c r="BD713">
        <v>6.75</v>
      </c>
      <c r="BE713">
        <v>7.7</v>
      </c>
      <c r="BH713">
        <v>5.37</v>
      </c>
      <c r="BQ713" t="s">
        <v>281</v>
      </c>
      <c r="BR713" t="s">
        <v>412</v>
      </c>
      <c r="BS713" t="s">
        <v>371</v>
      </c>
      <c r="BT713" t="s">
        <v>412</v>
      </c>
    </row>
    <row r="714" spans="1:72">
      <c r="A714" t="s">
        <v>1193</v>
      </c>
      <c r="B714" t="s">
        <v>10</v>
      </c>
      <c r="C714" t="s">
        <v>1052</v>
      </c>
      <c r="D714" t="s">
        <v>1053</v>
      </c>
      <c r="F714" t="s">
        <v>1181</v>
      </c>
      <c r="G714" t="s">
        <v>1182</v>
      </c>
      <c r="H714" t="s">
        <v>1181</v>
      </c>
      <c r="I714" t="s">
        <v>1192</v>
      </c>
      <c r="L714" s="19"/>
      <c r="AW714">
        <v>7.9</v>
      </c>
      <c r="AZ714">
        <v>6.3</v>
      </c>
      <c r="BQ714" t="s">
        <v>281</v>
      </c>
      <c r="BR714" t="s">
        <v>412</v>
      </c>
    </row>
    <row r="715" spans="1:72">
      <c r="A715" t="s">
        <v>1194</v>
      </c>
      <c r="B715" t="s">
        <v>10</v>
      </c>
      <c r="C715" t="s">
        <v>1052</v>
      </c>
      <c r="D715" t="s">
        <v>1053</v>
      </c>
      <c r="F715" t="s">
        <v>1181</v>
      </c>
      <c r="G715" t="s">
        <v>1182</v>
      </c>
      <c r="H715" t="s">
        <v>1181</v>
      </c>
      <c r="I715" t="s">
        <v>1192</v>
      </c>
      <c r="L715" s="19"/>
      <c r="AW715">
        <v>7.5</v>
      </c>
      <c r="AZ715">
        <v>6.6</v>
      </c>
      <c r="BE715">
        <v>7.9</v>
      </c>
      <c r="BH715">
        <v>5.7</v>
      </c>
      <c r="BQ715" t="s">
        <v>281</v>
      </c>
      <c r="BR715" t="s">
        <v>412</v>
      </c>
    </row>
    <row r="716" spans="1:72">
      <c r="A716" t="s">
        <v>1195</v>
      </c>
      <c r="B716" t="s">
        <v>10</v>
      </c>
      <c r="C716" t="s">
        <v>1052</v>
      </c>
      <c r="D716" t="s">
        <v>1053</v>
      </c>
      <c r="F716" t="s">
        <v>1181</v>
      </c>
      <c r="G716" t="s">
        <v>1182</v>
      </c>
      <c r="H716" t="s">
        <v>1181</v>
      </c>
      <c r="I716" t="s">
        <v>1196</v>
      </c>
      <c r="L716" s="19"/>
      <c r="AW716">
        <v>6.8</v>
      </c>
      <c r="AZ716">
        <v>5.6</v>
      </c>
      <c r="BA716">
        <v>7</v>
      </c>
      <c r="BD716">
        <v>6.2</v>
      </c>
      <c r="BQ716" t="s">
        <v>281</v>
      </c>
      <c r="BR716" t="s">
        <v>412</v>
      </c>
    </row>
    <row r="717" spans="1:72">
      <c r="A717" t="s">
        <v>1197</v>
      </c>
      <c r="B717" t="s">
        <v>10</v>
      </c>
      <c r="C717" t="s">
        <v>1052</v>
      </c>
      <c r="D717" t="s">
        <v>1053</v>
      </c>
      <c r="E717" t="s">
        <v>1054</v>
      </c>
      <c r="F717" t="s">
        <v>1055</v>
      </c>
      <c r="G717" t="s">
        <v>1060</v>
      </c>
      <c r="H717" t="s">
        <v>1198</v>
      </c>
      <c r="I717" t="s">
        <v>226</v>
      </c>
      <c r="L717" s="19"/>
      <c r="M717">
        <v>4.5</v>
      </c>
      <c r="P717">
        <v>3.1</v>
      </c>
      <c r="Q717">
        <v>5.9</v>
      </c>
      <c r="T717">
        <v>5.8</v>
      </c>
      <c r="U717">
        <v>5.7</v>
      </c>
      <c r="X717">
        <v>7.2</v>
      </c>
      <c r="Y717">
        <v>7</v>
      </c>
      <c r="AB717">
        <v>9</v>
      </c>
      <c r="AC717">
        <v>6.9</v>
      </c>
      <c r="AF717">
        <v>9.9</v>
      </c>
      <c r="BQ717" t="s">
        <v>281</v>
      </c>
      <c r="BR717" t="s">
        <v>412</v>
      </c>
    </row>
    <row r="718" spans="1:72">
      <c r="A718" t="s">
        <v>1199</v>
      </c>
      <c r="B718" t="s">
        <v>10</v>
      </c>
      <c r="C718" t="s">
        <v>1052</v>
      </c>
      <c r="D718" t="s">
        <v>1053</v>
      </c>
      <c r="E718" t="s">
        <v>1054</v>
      </c>
      <c r="F718" t="s">
        <v>1055</v>
      </c>
      <c r="G718" t="s">
        <v>1060</v>
      </c>
      <c r="H718" t="s">
        <v>1198</v>
      </c>
      <c r="I718" t="s">
        <v>1200</v>
      </c>
      <c r="L718" s="19"/>
      <c r="AS718">
        <v>7.2</v>
      </c>
      <c r="AV718">
        <v>4.8</v>
      </c>
      <c r="BQ718" t="s">
        <v>281</v>
      </c>
      <c r="BR718" t="s">
        <v>412</v>
      </c>
    </row>
    <row r="719" spans="1:72">
      <c r="A719" t="s">
        <v>1201</v>
      </c>
      <c r="B719" t="s">
        <v>10</v>
      </c>
      <c r="C719" t="s">
        <v>1052</v>
      </c>
      <c r="D719" t="s">
        <v>1053</v>
      </c>
      <c r="E719" t="s">
        <v>1054</v>
      </c>
      <c r="F719" t="s">
        <v>1055</v>
      </c>
      <c r="G719" t="s">
        <v>1060</v>
      </c>
      <c r="H719" t="s">
        <v>1202</v>
      </c>
      <c r="I719" t="s">
        <v>425</v>
      </c>
      <c r="L719" s="19"/>
      <c r="AO719">
        <v>6.7</v>
      </c>
      <c r="AR719">
        <v>3.9</v>
      </c>
      <c r="AS719">
        <v>7.2</v>
      </c>
      <c r="AV719">
        <v>4.7</v>
      </c>
      <c r="AW719">
        <v>7</v>
      </c>
      <c r="AZ719">
        <v>5.4</v>
      </c>
      <c r="BA719">
        <v>7.3</v>
      </c>
      <c r="BD719">
        <v>5.4</v>
      </c>
      <c r="BE719">
        <v>7.3</v>
      </c>
      <c r="BH719">
        <v>4.5999999999999996</v>
      </c>
      <c r="BQ719" t="s">
        <v>281</v>
      </c>
      <c r="BR719" t="s">
        <v>412</v>
      </c>
      <c r="BS719" t="s">
        <v>371</v>
      </c>
      <c r="BT719" t="s">
        <v>412</v>
      </c>
    </row>
    <row r="720" spans="1:72">
      <c r="A720" t="s">
        <v>1203</v>
      </c>
      <c r="B720" t="s">
        <v>10</v>
      </c>
      <c r="C720" t="s">
        <v>1052</v>
      </c>
      <c r="D720" t="s">
        <v>1053</v>
      </c>
      <c r="E720" t="s">
        <v>1054</v>
      </c>
      <c r="F720" t="s">
        <v>1055</v>
      </c>
      <c r="G720" t="s">
        <v>1060</v>
      </c>
      <c r="H720" t="s">
        <v>1202</v>
      </c>
      <c r="I720" t="s">
        <v>1204</v>
      </c>
      <c r="L720" s="19"/>
      <c r="BA720">
        <v>7.7</v>
      </c>
      <c r="BB720">
        <v>6.2</v>
      </c>
      <c r="BC720">
        <v>5.5</v>
      </c>
      <c r="BD720">
        <v>6.2</v>
      </c>
      <c r="BQ720" t="s">
        <v>281</v>
      </c>
      <c r="BR720" t="s">
        <v>412</v>
      </c>
      <c r="BS720" t="s">
        <v>371</v>
      </c>
      <c r="BT720" t="s">
        <v>412</v>
      </c>
    </row>
    <row r="721" spans="1:72">
      <c r="A721" t="s">
        <v>1205</v>
      </c>
      <c r="B721" t="s">
        <v>10</v>
      </c>
      <c r="C721" t="s">
        <v>1052</v>
      </c>
      <c r="D721" t="s">
        <v>1053</v>
      </c>
      <c r="F721" t="s">
        <v>1181</v>
      </c>
      <c r="G721" t="s">
        <v>1182</v>
      </c>
      <c r="H721" t="s">
        <v>1181</v>
      </c>
      <c r="I721" t="s">
        <v>1182</v>
      </c>
      <c r="L721" s="19"/>
      <c r="U721">
        <v>8.3000000000000007</v>
      </c>
      <c r="X721">
        <v>8.4</v>
      </c>
      <c r="BQ721" t="s">
        <v>281</v>
      </c>
      <c r="BR721" t="s">
        <v>389</v>
      </c>
    </row>
    <row r="722" spans="1:72">
      <c r="A722" t="s">
        <v>319</v>
      </c>
      <c r="B722" t="s">
        <v>10</v>
      </c>
      <c r="C722" t="s">
        <v>1052</v>
      </c>
      <c r="D722" t="s">
        <v>1053</v>
      </c>
      <c r="F722" t="s">
        <v>1181</v>
      </c>
      <c r="G722" t="s">
        <v>1182</v>
      </c>
      <c r="H722" t="s">
        <v>1181</v>
      </c>
      <c r="I722" t="s">
        <v>1192</v>
      </c>
      <c r="L722" s="19"/>
      <c r="AW722">
        <f>AVERAGE(7.5,7.9)</f>
        <v>7.7</v>
      </c>
      <c r="AZ722">
        <v>6.35</v>
      </c>
      <c r="BA722">
        <f>AVERAGE(7.8,8.2)</f>
        <v>8</v>
      </c>
      <c r="BD722">
        <v>7</v>
      </c>
      <c r="BQ722" t="s">
        <v>281</v>
      </c>
      <c r="BR722" t="s">
        <v>503</v>
      </c>
    </row>
    <row r="723" spans="1:72">
      <c r="A723" t="s">
        <v>1203</v>
      </c>
      <c r="B723" t="s">
        <v>10</v>
      </c>
      <c r="C723" t="s">
        <v>1052</v>
      </c>
      <c r="D723" t="s">
        <v>1053</v>
      </c>
      <c r="F723" t="s">
        <v>1055</v>
      </c>
      <c r="G723" t="s">
        <v>1060</v>
      </c>
      <c r="H723" t="s">
        <v>1181</v>
      </c>
      <c r="I723" t="s">
        <v>1204</v>
      </c>
      <c r="L723" s="19"/>
      <c r="BA723">
        <v>7.7</v>
      </c>
      <c r="BD723">
        <v>6.2</v>
      </c>
      <c r="BQ723" t="s">
        <v>281</v>
      </c>
      <c r="BR723" t="s">
        <v>503</v>
      </c>
    </row>
    <row r="724" spans="1:72">
      <c r="A724" t="s">
        <v>1197</v>
      </c>
      <c r="B724" t="s">
        <v>10</v>
      </c>
      <c r="C724" t="s">
        <v>1052</v>
      </c>
      <c r="D724" t="s">
        <v>1053</v>
      </c>
      <c r="F724" t="s">
        <v>1055</v>
      </c>
      <c r="G724" t="s">
        <v>1060</v>
      </c>
      <c r="H724" t="s">
        <v>1198</v>
      </c>
      <c r="I724" t="s">
        <v>226</v>
      </c>
      <c r="L724" s="19"/>
      <c r="M724">
        <v>4.5</v>
      </c>
      <c r="P724">
        <v>3.1</v>
      </c>
      <c r="Q724">
        <v>5.9</v>
      </c>
      <c r="T724">
        <v>5.8</v>
      </c>
      <c r="U724">
        <v>5.7</v>
      </c>
      <c r="X724">
        <v>7.2</v>
      </c>
      <c r="Y724">
        <v>7</v>
      </c>
      <c r="AB724">
        <v>9</v>
      </c>
      <c r="AC724">
        <v>6.9</v>
      </c>
      <c r="AF724">
        <v>9.9</v>
      </c>
      <c r="BQ724" t="s">
        <v>281</v>
      </c>
      <c r="BR724" t="s">
        <v>503</v>
      </c>
    </row>
    <row r="725" spans="1:72">
      <c r="A725" t="s">
        <v>1201</v>
      </c>
      <c r="B725" t="s">
        <v>10</v>
      </c>
      <c r="C725" t="s">
        <v>1052</v>
      </c>
      <c r="D725" t="s">
        <v>1053</v>
      </c>
      <c r="E725" t="s">
        <v>1054</v>
      </c>
      <c r="F725" t="s">
        <v>1055</v>
      </c>
      <c r="G725" t="s">
        <v>1060</v>
      </c>
      <c r="H725" t="s">
        <v>1202</v>
      </c>
      <c r="I725" t="s">
        <v>425</v>
      </c>
      <c r="L725" s="19"/>
      <c r="AO725">
        <v>6.7</v>
      </c>
      <c r="AR725">
        <v>3.9</v>
      </c>
      <c r="AS725">
        <v>7.2</v>
      </c>
      <c r="AV725">
        <v>4.7</v>
      </c>
      <c r="AW725">
        <v>7</v>
      </c>
      <c r="AZ725">
        <v>5.4</v>
      </c>
      <c r="BA725">
        <v>7.3</v>
      </c>
      <c r="BD725">
        <v>5.4</v>
      </c>
      <c r="BE725">
        <v>7.3</v>
      </c>
      <c r="BH725">
        <v>4.5999999999999996</v>
      </c>
      <c r="BQ725" t="s">
        <v>281</v>
      </c>
      <c r="BR725" t="s">
        <v>503</v>
      </c>
    </row>
    <row r="726" spans="1:72">
      <c r="A726" t="s">
        <v>1206</v>
      </c>
      <c r="B726" t="s">
        <v>10</v>
      </c>
      <c r="C726" t="s">
        <v>1052</v>
      </c>
      <c r="D726" t="s">
        <v>1053</v>
      </c>
      <c r="F726" t="s">
        <v>1207</v>
      </c>
      <c r="G726" t="s">
        <v>1208</v>
      </c>
      <c r="H726" t="s">
        <v>1207</v>
      </c>
      <c r="I726" t="s">
        <v>1208</v>
      </c>
      <c r="L726" s="19"/>
      <c r="U726">
        <v>3.3</v>
      </c>
      <c r="X726">
        <v>4.0999999999999996</v>
      </c>
      <c r="AO726">
        <v>2.4</v>
      </c>
      <c r="AR726">
        <v>1.4</v>
      </c>
      <c r="AS726">
        <v>4</v>
      </c>
      <c r="AV726">
        <v>2.5</v>
      </c>
      <c r="BQ726" t="s">
        <v>281</v>
      </c>
      <c r="BR726" t="s">
        <v>544</v>
      </c>
      <c r="BS726" t="s">
        <v>371</v>
      </c>
      <c r="BT726" s="12" t="s">
        <v>544</v>
      </c>
    </row>
    <row r="727" spans="1:72">
      <c r="A727" t="s">
        <v>1209</v>
      </c>
      <c r="B727" t="s">
        <v>10</v>
      </c>
      <c r="C727" t="s">
        <v>1052</v>
      </c>
      <c r="D727" t="s">
        <v>1053</v>
      </c>
      <c r="F727" t="s">
        <v>1181</v>
      </c>
      <c r="G727" t="s">
        <v>1182</v>
      </c>
      <c r="H727" t="s">
        <v>1181</v>
      </c>
      <c r="I727" t="s">
        <v>1210</v>
      </c>
      <c r="L727" s="19"/>
      <c r="M727">
        <v>6</v>
      </c>
      <c r="P727">
        <v>4.8</v>
      </c>
      <c r="Q727">
        <f>AVERAGE(5.9,6.1)</f>
        <v>6</v>
      </c>
      <c r="T727">
        <f>AVERAGE(5.9,6)</f>
        <v>5.95</v>
      </c>
      <c r="U727">
        <f>AVERAGE(6,6.1)</f>
        <v>6.05</v>
      </c>
      <c r="X727">
        <f>AVERAGE(7.8,7.5)</f>
        <v>7.65</v>
      </c>
      <c r="Y727">
        <f>AVERAGE(6.6,6.9)</f>
        <v>6.75</v>
      </c>
      <c r="AB727">
        <f>AVERAGE(8.9,8.5)</f>
        <v>8.6999999999999993</v>
      </c>
      <c r="AC727">
        <f>AVERAGE(7.1,7.1)</f>
        <v>7.1</v>
      </c>
      <c r="AF727">
        <f>AVERAGE(9.1,9.4)</f>
        <v>9.25</v>
      </c>
      <c r="AG727">
        <f>AVERAGE(5.5,5.7)</f>
        <v>5.6</v>
      </c>
      <c r="AJ727">
        <f>AVERAGE(7.8,7.5)</f>
        <v>7.65</v>
      </c>
      <c r="AK727">
        <f>AVERAGE(5.7,5.7)</f>
        <v>5.7</v>
      </c>
      <c r="AL727">
        <f>AVERAGE(3,3.1)</f>
        <v>3.05</v>
      </c>
      <c r="AN727">
        <v>3.05</v>
      </c>
      <c r="AO727">
        <f>AVERAGE(6.2,6)</f>
        <v>6.1</v>
      </c>
      <c r="AP727">
        <f>AVERAGE(4.3)</f>
        <v>4.3</v>
      </c>
      <c r="AR727">
        <v>4.3</v>
      </c>
      <c r="AW727">
        <f>AVERAGE(7,8)</f>
        <v>7.5</v>
      </c>
      <c r="AX727">
        <f>AVERAGE(6.5,6.2)</f>
        <v>6.35</v>
      </c>
      <c r="AY727">
        <f>AVERAGE(6.4)</f>
        <v>6.4</v>
      </c>
      <c r="AZ727">
        <v>6.4</v>
      </c>
      <c r="BA727">
        <f>AVERAGE(7.8,8.1)</f>
        <v>7.9499999999999993</v>
      </c>
      <c r="BB727">
        <f>AVERAGE(7)</f>
        <v>7</v>
      </c>
      <c r="BD727">
        <v>7</v>
      </c>
      <c r="BE727">
        <f>AVERAGE(8.2,7.3)</f>
        <v>7.75</v>
      </c>
      <c r="BF727">
        <f>AVERAGE(4.8,6)</f>
        <v>5.4</v>
      </c>
      <c r="BG727">
        <f>AVERAGE(4,5.1)</f>
        <v>4.55</v>
      </c>
      <c r="BH727">
        <v>5.4</v>
      </c>
      <c r="BP727" t="s">
        <v>1211</v>
      </c>
      <c r="BQ727" t="s">
        <v>281</v>
      </c>
      <c r="BR727" t="s">
        <v>1212</v>
      </c>
      <c r="BS727" t="s">
        <v>371</v>
      </c>
      <c r="BT727" t="s">
        <v>1212</v>
      </c>
    </row>
    <row r="728" spans="1:72">
      <c r="A728" t="s">
        <v>1213</v>
      </c>
      <c r="B728" t="s">
        <v>10</v>
      </c>
      <c r="C728" t="s">
        <v>1052</v>
      </c>
      <c r="D728" t="s">
        <v>1053</v>
      </c>
      <c r="F728" t="s">
        <v>1181</v>
      </c>
      <c r="G728" t="s">
        <v>1182</v>
      </c>
      <c r="H728" t="s">
        <v>1181</v>
      </c>
      <c r="I728" t="s">
        <v>1182</v>
      </c>
      <c r="L728" s="19"/>
      <c r="AK728">
        <v>6</v>
      </c>
      <c r="AN728">
        <v>3.2</v>
      </c>
      <c r="AO728">
        <v>7.1</v>
      </c>
      <c r="AR728">
        <v>4.2</v>
      </c>
      <c r="AS728">
        <v>7.8</v>
      </c>
      <c r="AV728">
        <v>5.3</v>
      </c>
      <c r="AW728">
        <v>8</v>
      </c>
      <c r="AX728">
        <v>6.4</v>
      </c>
      <c r="AY728">
        <v>6.6</v>
      </c>
      <c r="AZ728">
        <v>6.6</v>
      </c>
      <c r="BA728">
        <v>8.4</v>
      </c>
      <c r="BB728">
        <v>7.1</v>
      </c>
      <c r="BC728">
        <v>6.7</v>
      </c>
      <c r="BD728">
        <v>7.1</v>
      </c>
      <c r="BE728">
        <v>9</v>
      </c>
      <c r="BF728">
        <v>6.1</v>
      </c>
      <c r="BG728">
        <v>5.3</v>
      </c>
      <c r="BH728">
        <v>6.1</v>
      </c>
      <c r="BQ728" t="s">
        <v>281</v>
      </c>
      <c r="BR728" t="s">
        <v>793</v>
      </c>
    </row>
    <row r="729" spans="1:72">
      <c r="A729" t="s">
        <v>1214</v>
      </c>
      <c r="B729" t="s">
        <v>10</v>
      </c>
      <c r="C729" t="s">
        <v>1052</v>
      </c>
      <c r="D729" t="s">
        <v>1053</v>
      </c>
      <c r="F729" t="s">
        <v>1055</v>
      </c>
      <c r="G729" t="s">
        <v>60</v>
      </c>
      <c r="H729" t="s">
        <v>1055</v>
      </c>
      <c r="I729" t="s">
        <v>60</v>
      </c>
      <c r="L729" s="19"/>
      <c r="AC729" s="6">
        <v>8.6999999999999993</v>
      </c>
      <c r="AF729">
        <v>9.85</v>
      </c>
      <c r="AG729">
        <v>6.65</v>
      </c>
      <c r="AJ729">
        <v>7.45</v>
      </c>
      <c r="BP729" t="s">
        <v>1215</v>
      </c>
      <c r="BQ729" t="s">
        <v>281</v>
      </c>
      <c r="BR729" t="s">
        <v>793</v>
      </c>
    </row>
    <row r="730" spans="1:72">
      <c r="A730" t="s">
        <v>1216</v>
      </c>
      <c r="B730" t="s">
        <v>10</v>
      </c>
      <c r="C730" t="s">
        <v>1052</v>
      </c>
      <c r="D730" t="s">
        <v>1053</v>
      </c>
      <c r="F730" t="s">
        <v>1055</v>
      </c>
      <c r="G730" t="s">
        <v>60</v>
      </c>
      <c r="H730" t="s">
        <v>1055</v>
      </c>
      <c r="I730" t="s">
        <v>60</v>
      </c>
      <c r="L730" s="19"/>
      <c r="AC730">
        <v>8.0500000000000007</v>
      </c>
      <c r="AF730">
        <v>8.66</v>
      </c>
      <c r="BQ730" t="s">
        <v>281</v>
      </c>
      <c r="BR730" t="s">
        <v>793</v>
      </c>
    </row>
    <row r="731" spans="1:72">
      <c r="A731" t="s">
        <v>1217</v>
      </c>
      <c r="B731" t="s">
        <v>10</v>
      </c>
      <c r="C731" t="s">
        <v>1052</v>
      </c>
      <c r="D731" t="s">
        <v>1053</v>
      </c>
      <c r="F731" t="s">
        <v>1055</v>
      </c>
      <c r="G731" t="s">
        <v>1060</v>
      </c>
      <c r="H731" t="s">
        <v>1198</v>
      </c>
      <c r="I731" t="s">
        <v>1218</v>
      </c>
      <c r="L731" s="19"/>
      <c r="Y731">
        <v>7.4</v>
      </c>
      <c r="AB731">
        <v>9.6</v>
      </c>
      <c r="AC731">
        <v>7.2</v>
      </c>
      <c r="AF731">
        <v>10.4</v>
      </c>
      <c r="AG731">
        <v>5.7</v>
      </c>
      <c r="AJ731">
        <v>8.4</v>
      </c>
      <c r="BP731" t="s">
        <v>1219</v>
      </c>
      <c r="BQ731" t="s">
        <v>281</v>
      </c>
      <c r="BR731" t="s">
        <v>818</v>
      </c>
      <c r="BS731" t="s">
        <v>181</v>
      </c>
      <c r="BT731" t="s">
        <v>818</v>
      </c>
    </row>
    <row r="732" spans="1:72">
      <c r="A732" t="s">
        <v>1220</v>
      </c>
      <c r="B732" t="s">
        <v>10</v>
      </c>
      <c r="C732" t="s">
        <v>1052</v>
      </c>
      <c r="D732" t="s">
        <v>1053</v>
      </c>
      <c r="F732" t="s">
        <v>1055</v>
      </c>
      <c r="G732" t="s">
        <v>1060</v>
      </c>
      <c r="H732" t="s">
        <v>1198</v>
      </c>
      <c r="I732" t="s">
        <v>1218</v>
      </c>
      <c r="L732" s="19"/>
      <c r="AO732">
        <v>5.8</v>
      </c>
      <c r="AR732">
        <v>3.5</v>
      </c>
      <c r="AS732">
        <v>6.8</v>
      </c>
      <c r="AV732">
        <v>4.7</v>
      </c>
      <c r="AW732">
        <v>6.5</v>
      </c>
      <c r="AZ732">
        <v>5.2</v>
      </c>
      <c r="BP732" t="s">
        <v>208</v>
      </c>
      <c r="BQ732" t="s">
        <v>281</v>
      </c>
      <c r="BR732" t="s">
        <v>818</v>
      </c>
      <c r="BS732" t="s">
        <v>181</v>
      </c>
      <c r="BT732" t="s">
        <v>818</v>
      </c>
    </row>
    <row r="733" spans="1:72">
      <c r="A733" t="s">
        <v>1221</v>
      </c>
      <c r="B733" t="s">
        <v>10</v>
      </c>
      <c r="C733" t="s">
        <v>1052</v>
      </c>
      <c r="D733" t="s">
        <v>1053</v>
      </c>
      <c r="F733" t="s">
        <v>1055</v>
      </c>
      <c r="G733" t="s">
        <v>1060</v>
      </c>
      <c r="H733" t="s">
        <v>1198</v>
      </c>
      <c r="I733" t="s">
        <v>1218</v>
      </c>
      <c r="L733" s="19"/>
      <c r="AW733">
        <v>6.6</v>
      </c>
      <c r="AZ733">
        <v>5.2</v>
      </c>
      <c r="BA733">
        <v>6.8</v>
      </c>
      <c r="BD733">
        <v>5.6</v>
      </c>
      <c r="BF733">
        <v>4.8</v>
      </c>
      <c r="BH733">
        <v>4.8</v>
      </c>
      <c r="BQ733" t="s">
        <v>281</v>
      </c>
      <c r="BR733" t="s">
        <v>818</v>
      </c>
      <c r="BS733" t="s">
        <v>181</v>
      </c>
      <c r="BT733" t="s">
        <v>818</v>
      </c>
    </row>
    <row r="734" spans="1:72">
      <c r="A734" t="s">
        <v>1222</v>
      </c>
      <c r="B734" t="s">
        <v>10</v>
      </c>
      <c r="C734" t="s">
        <v>1052</v>
      </c>
      <c r="D734" t="s">
        <v>1053</v>
      </c>
      <c r="F734" t="s">
        <v>1111</v>
      </c>
      <c r="G734" t="s">
        <v>1129</v>
      </c>
      <c r="H734" t="s">
        <v>1223</v>
      </c>
      <c r="I734" t="s">
        <v>1129</v>
      </c>
      <c r="L734" s="19"/>
      <c r="U734">
        <v>8.3000000000000007</v>
      </c>
      <c r="X734">
        <v>9.1999999999999993</v>
      </c>
      <c r="Y734">
        <v>9.4</v>
      </c>
      <c r="AB734">
        <v>11</v>
      </c>
      <c r="AC734">
        <v>9.4</v>
      </c>
      <c r="AF734">
        <v>12.8</v>
      </c>
      <c r="BQ734" t="s">
        <v>281</v>
      </c>
      <c r="BR734" t="s">
        <v>818</v>
      </c>
      <c r="BS734" t="s">
        <v>181</v>
      </c>
      <c r="BT734" t="s">
        <v>818</v>
      </c>
    </row>
    <row r="735" spans="1:72">
      <c r="A735" t="s">
        <v>1224</v>
      </c>
      <c r="B735" t="s">
        <v>10</v>
      </c>
      <c r="C735" t="s">
        <v>1052</v>
      </c>
      <c r="D735" t="s">
        <v>1053</v>
      </c>
      <c r="F735" t="s">
        <v>1111</v>
      </c>
      <c r="G735" t="s">
        <v>1129</v>
      </c>
      <c r="H735" t="s">
        <v>1223</v>
      </c>
      <c r="I735" t="s">
        <v>1129</v>
      </c>
      <c r="L735" s="19"/>
      <c r="Q735">
        <v>7.8</v>
      </c>
      <c r="T735">
        <v>6.5</v>
      </c>
      <c r="U735">
        <v>7.2</v>
      </c>
      <c r="X735">
        <v>8</v>
      </c>
      <c r="BQ735" t="s">
        <v>281</v>
      </c>
      <c r="BR735" t="s">
        <v>818</v>
      </c>
      <c r="BS735" t="s">
        <v>181</v>
      </c>
      <c r="BT735" t="s">
        <v>818</v>
      </c>
    </row>
    <row r="736" spans="1:72">
      <c r="A736" t="s">
        <v>1225</v>
      </c>
      <c r="B736" t="s">
        <v>10</v>
      </c>
      <c r="C736" t="s">
        <v>1052</v>
      </c>
      <c r="D736" t="s">
        <v>1053</v>
      </c>
      <c r="F736" t="s">
        <v>1111</v>
      </c>
      <c r="G736" t="s">
        <v>1129</v>
      </c>
      <c r="H736" t="s">
        <v>1223</v>
      </c>
      <c r="I736" t="s">
        <v>1129</v>
      </c>
      <c r="L736" s="19"/>
      <c r="AS736">
        <v>7.7</v>
      </c>
      <c r="AV736">
        <v>4.5999999999999996</v>
      </c>
      <c r="AW736">
        <v>8.8000000000000007</v>
      </c>
      <c r="AZ736">
        <v>5.7</v>
      </c>
      <c r="BA736">
        <v>8.9</v>
      </c>
      <c r="BD736">
        <v>7.6</v>
      </c>
      <c r="BE736">
        <v>9.5</v>
      </c>
      <c r="BH736">
        <v>7.1</v>
      </c>
      <c r="BP736" t="s">
        <v>1226</v>
      </c>
      <c r="BQ736" t="s">
        <v>281</v>
      </c>
      <c r="BR736" t="s">
        <v>818</v>
      </c>
      <c r="BS736" t="s">
        <v>181</v>
      </c>
      <c r="BT736" t="s">
        <v>818</v>
      </c>
    </row>
    <row r="737" spans="1:72">
      <c r="A737" t="s">
        <v>1227</v>
      </c>
      <c r="B737" t="s">
        <v>10</v>
      </c>
      <c r="C737" t="s">
        <v>1052</v>
      </c>
      <c r="D737" t="s">
        <v>1053</v>
      </c>
      <c r="F737" t="s">
        <v>1111</v>
      </c>
      <c r="G737" t="s">
        <v>1129</v>
      </c>
      <c r="H737" t="s">
        <v>1223</v>
      </c>
      <c r="I737" t="s">
        <v>1129</v>
      </c>
      <c r="L737" s="19"/>
      <c r="AW737">
        <v>8.1999999999999993</v>
      </c>
      <c r="AZ737">
        <v>7.3</v>
      </c>
      <c r="BA737">
        <v>9.6</v>
      </c>
      <c r="BD737">
        <v>8.1999999999999993</v>
      </c>
      <c r="BE737">
        <v>10.5</v>
      </c>
      <c r="BH737">
        <v>7.2</v>
      </c>
      <c r="BQ737" t="s">
        <v>281</v>
      </c>
      <c r="BR737" t="s">
        <v>818</v>
      </c>
      <c r="BS737" t="s">
        <v>181</v>
      </c>
      <c r="BT737" t="s">
        <v>818</v>
      </c>
    </row>
    <row r="738" spans="1:72">
      <c r="A738" t="s">
        <v>1228</v>
      </c>
      <c r="B738" t="s">
        <v>10</v>
      </c>
      <c r="C738" t="s">
        <v>1052</v>
      </c>
      <c r="D738" t="s">
        <v>1053</v>
      </c>
      <c r="F738" t="s">
        <v>1111</v>
      </c>
      <c r="G738" t="s">
        <v>60</v>
      </c>
      <c r="H738" t="s">
        <v>1223</v>
      </c>
      <c r="I738" t="s">
        <v>60</v>
      </c>
      <c r="L738" s="19"/>
      <c r="BE738">
        <v>13.6</v>
      </c>
      <c r="BH738">
        <v>9.1999999999999993</v>
      </c>
      <c r="BP738" t="s">
        <v>1229</v>
      </c>
      <c r="BQ738" t="s">
        <v>281</v>
      </c>
      <c r="BR738" t="s">
        <v>818</v>
      </c>
      <c r="BS738" t="s">
        <v>181</v>
      </c>
      <c r="BT738" t="s">
        <v>818</v>
      </c>
    </row>
  </sheetData>
  <sortState xmlns:xlrd2="http://schemas.microsoft.com/office/spreadsheetml/2017/richdata2" ref="A2:BV613">
    <sortCondition ref="D2:D613"/>
    <sortCondition ref="F2:F613"/>
    <sortCondition ref="G2:G613"/>
    <sortCondition ref="A2:A613"/>
  </sortState>
  <phoneticPr fontId="6"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Species List</vt:lpstr>
      <vt:lpstr>Synonyms</vt:lpstr>
      <vt:lpstr>ArchaicUngulate_UploadFile_2021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2020-09-30T17:38:38Z</dcterms:created>
  <dcterms:modified xsi:type="dcterms:W3CDTF">2022-07-25T18:40:12Z</dcterms:modified>
  <cp:category/>
  <cp:contentStatus/>
</cp:coreProperties>
</file>