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66925"/>
  <mc:AlternateContent xmlns:mc="http://schemas.openxmlformats.org/markup-compatibility/2006">
    <mc:Choice Requires="x15">
      <x15ac:absPath xmlns:x15ac="http://schemas.microsoft.com/office/spreadsheetml/2010/11/ac" url="/Users/emdoughty/Dropbox/Code/R/dentalMeasurements/dat/"/>
    </mc:Choice>
  </mc:AlternateContent>
  <xr:revisionPtr revIDLastSave="0" documentId="13_ncr:1_{C8B3D86E-3074-CB4A-A2CC-874ABCCD5A63}" xr6:coauthVersionLast="47" xr6:coauthVersionMax="47" xr10:uidLastSave="{00000000-0000-0000-0000-000000000000}"/>
  <bookViews>
    <workbookView xWindow="17920" yWindow="460" windowWidth="15680" windowHeight="19340" activeTab="2" xr2:uid="{00000000-000D-0000-FFFF-FFFF00000000}"/>
  </bookViews>
  <sheets>
    <sheet name="Species List" sheetId="1" r:id="rId1"/>
    <sheet name="Synonyms" sheetId="2" r:id="rId2"/>
    <sheet name="ArchaicUngulate_UploadFile_2021" sheetId="3" r:id="rId3"/>
    <sheet name="Sheet1" sheetId="4" r:id="rId4"/>
  </sheets>
  <definedNames>
    <definedName name="_xlnm._FilterDatabase" localSheetId="2" hidden="1">ArchaicUngulate_UploadFile_2021!$A$1:$BR$760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I889" i="3" l="1"/>
  <c r="BE889" i="3"/>
  <c r="BA889" i="3"/>
  <c r="AK888" i="3"/>
  <c r="AG888" i="3"/>
  <c r="AC888" i="3"/>
  <c r="Y888" i="3"/>
  <c r="AK887" i="3"/>
  <c r="AG887" i="3"/>
  <c r="AC887" i="3"/>
  <c r="BI886" i="3"/>
  <c r="BE886" i="3"/>
  <c r="BI885" i="3"/>
  <c r="BE885" i="3"/>
  <c r="BI884" i="3"/>
  <c r="BE884" i="3"/>
  <c r="BA884" i="3"/>
  <c r="BI883" i="3"/>
  <c r="BE883" i="3"/>
  <c r="BI882" i="3"/>
  <c r="BE882" i="3"/>
  <c r="BE881" i="3"/>
  <c r="BA881" i="3"/>
  <c r="AK880" i="3"/>
  <c r="AG880" i="3"/>
  <c r="AC880" i="3"/>
  <c r="AK879" i="3"/>
  <c r="AG879" i="3"/>
  <c r="AC879" i="3"/>
  <c r="BI878" i="3"/>
  <c r="BE878" i="3"/>
  <c r="BA878" i="3"/>
  <c r="BI877" i="3"/>
  <c r="BE877" i="3"/>
  <c r="BA877" i="3"/>
  <c r="BI876" i="3"/>
  <c r="BE876" i="3"/>
  <c r="BA876" i="3"/>
  <c r="BI875" i="3"/>
  <c r="BE875" i="3"/>
  <c r="BA875" i="3"/>
  <c r="BI874" i="3"/>
  <c r="BE874" i="3"/>
  <c r="BA874" i="3"/>
  <c r="BI873" i="3"/>
  <c r="BE872" i="3"/>
  <c r="BA871" i="3"/>
  <c r="BE869" i="3"/>
  <c r="BA868" i="3"/>
  <c r="BE865" i="3"/>
  <c r="BA864" i="3"/>
  <c r="BI863" i="3"/>
  <c r="BE862" i="3"/>
  <c r="AG860" i="3"/>
  <c r="AG859" i="3"/>
  <c r="AG857" i="3"/>
  <c r="AG856" i="3"/>
  <c r="BI855" i="3"/>
  <c r="BE854" i="3"/>
  <c r="AK852" i="3"/>
  <c r="AG851" i="3"/>
  <c r="BI850" i="3"/>
  <c r="BE850" i="3"/>
  <c r="BA850" i="3"/>
  <c r="BE849" i="3"/>
  <c r="AG848" i="3"/>
  <c r="AK847" i="3"/>
  <c r="AG846" i="3"/>
  <c r="BE844" i="3"/>
  <c r="AG842" i="3"/>
  <c r="AC841" i="3"/>
  <c r="BI840" i="3"/>
  <c r="BE839" i="3"/>
  <c r="AC838" i="3"/>
  <c r="AG837" i="3"/>
  <c r="BA835" i="3"/>
  <c r="AW834" i="3"/>
  <c r="BE833" i="3"/>
  <c r="BA832" i="3"/>
  <c r="BI831" i="3"/>
  <c r="BE830" i="3"/>
  <c r="AC829" i="3"/>
  <c r="AC828" i="3"/>
  <c r="BI827" i="3"/>
  <c r="BE826" i="3"/>
  <c r="BI825" i="3"/>
  <c r="BE824" i="3"/>
  <c r="BI823" i="3"/>
  <c r="BE823" i="3"/>
  <c r="BA823" i="3"/>
  <c r="BA822" i="3"/>
  <c r="BE821" i="3"/>
  <c r="BA820" i="3"/>
  <c r="BI817" i="3"/>
  <c r="BE816" i="3"/>
  <c r="BA815" i="3"/>
  <c r="BI814" i="3"/>
  <c r="BE813" i="3"/>
  <c r="AK812" i="3"/>
  <c r="AG812" i="3"/>
  <c r="AC812" i="3"/>
  <c r="AG811" i="3"/>
  <c r="AC811" i="3"/>
  <c r="AK810" i="3"/>
  <c r="AG810" i="3"/>
  <c r="AC810" i="3"/>
  <c r="BI809" i="3"/>
  <c r="BE809" i="3"/>
  <c r="BA809" i="3"/>
  <c r="BA808" i="3"/>
  <c r="BI807" i="3"/>
  <c r="BE807" i="3"/>
  <c r="BA807" i="3"/>
  <c r="AG806" i="3"/>
  <c r="AC805" i="3"/>
  <c r="AK804" i="3"/>
  <c r="AC803" i="3"/>
  <c r="BI802" i="3"/>
  <c r="BE801" i="3"/>
  <c r="BA800" i="3"/>
  <c r="BI798" i="3"/>
  <c r="BE797" i="3"/>
  <c r="BA796" i="3"/>
  <c r="AK792" i="3"/>
  <c r="AK791" i="3"/>
  <c r="AG790" i="3"/>
  <c r="AK789" i="3"/>
  <c r="AK788" i="3"/>
  <c r="BI787" i="3"/>
  <c r="BE786" i="3"/>
  <c r="BE784" i="3"/>
  <c r="BA783" i="3"/>
  <c r="AK781" i="3"/>
  <c r="BI780" i="3"/>
  <c r="BE780" i="3"/>
  <c r="BA780" i="3"/>
  <c r="BI779" i="3"/>
  <c r="BE779" i="3"/>
  <c r="BA779" i="3"/>
  <c r="AG778" i="3"/>
  <c r="BI777" i="3"/>
  <c r="BE777" i="3"/>
  <c r="BA777" i="3"/>
  <c r="BI775" i="3"/>
  <c r="BI774" i="3"/>
  <c r="BF774" i="3"/>
  <c r="BE774" i="3"/>
  <c r="BB774" i="3"/>
  <c r="AG773" i="3"/>
  <c r="AD773" i="3"/>
  <c r="AJ772" i="3"/>
  <c r="AI772" i="3"/>
  <c r="AH772" i="3"/>
  <c r="AG771" i="3"/>
  <c r="AD771" i="3"/>
  <c r="AG770" i="3"/>
  <c r="AD770" i="3"/>
  <c r="BA769" i="3"/>
  <c r="AX769" i="3"/>
  <c r="BH768" i="3"/>
  <c r="BG768" i="3"/>
  <c r="BF768" i="3"/>
  <c r="BI767" i="3"/>
  <c r="BF767" i="3"/>
  <c r="BE767" i="3"/>
  <c r="BB767" i="3"/>
  <c r="BI766" i="3"/>
  <c r="BF766" i="3"/>
  <c r="BE766" i="3"/>
  <c r="BB766" i="3"/>
  <c r="AT766" i="3"/>
  <c r="BI765" i="3"/>
  <c r="BF765" i="3"/>
  <c r="BE765" i="3"/>
  <c r="BB765" i="3"/>
  <c r="AK765" i="3"/>
  <c r="AH765" i="3"/>
  <c r="BG764" i="3"/>
  <c r="BI764" i="3" s="1"/>
  <c r="AI764" i="3"/>
  <c r="AK764" i="3" s="1"/>
  <c r="AH764" i="3"/>
  <c r="BH763" i="3"/>
  <c r="BG763" i="3"/>
  <c r="BF763" i="3"/>
  <c r="BI762" i="3"/>
  <c r="BF762" i="3"/>
  <c r="AK762" i="3"/>
  <c r="AH762" i="3"/>
  <c r="AG761" i="3"/>
  <c r="AD761" i="3"/>
  <c r="AK772" i="3" l="1"/>
  <c r="BI768" i="3"/>
  <c r="AX767" i="3"/>
  <c r="AX766" i="3"/>
  <c r="BI763" i="3"/>
  <c r="BE371" i="3" l="1"/>
  <c r="BB371" i="3"/>
  <c r="AW371" i="3"/>
  <c r="AT371" i="3"/>
  <c r="AG332" i="3"/>
  <c r="BH329" i="3"/>
  <c r="BG329" i="3"/>
  <c r="BF329" i="3"/>
  <c r="BC329" i="3"/>
  <c r="BB329" i="3"/>
  <c r="AZ329" i="3"/>
  <c r="AY329" i="3"/>
  <c r="AX329" i="3"/>
  <c r="AQ329" i="3"/>
  <c r="AP329" i="3"/>
  <c r="AM329" i="3"/>
  <c r="AL329" i="3"/>
  <c r="AK329" i="3"/>
  <c r="AH329" i="3"/>
  <c r="AG329" i="3"/>
  <c r="AD329" i="3"/>
  <c r="AC329" i="3"/>
  <c r="Z329" i="3"/>
  <c r="Y329" i="3"/>
  <c r="V329" i="3"/>
  <c r="U329" i="3"/>
  <c r="R329" i="3"/>
  <c r="BB512" i="3"/>
  <c r="AX512" i="3"/>
  <c r="AS129" i="3"/>
  <c r="AP129" i="3"/>
  <c r="BI127" i="3"/>
  <c r="BF127" i="3"/>
  <c r="BE127" i="3"/>
  <c r="BB127" i="3"/>
  <c r="BA127" i="3"/>
  <c r="AX127" i="3"/>
  <c r="AW127" i="3"/>
  <c r="AT127" i="3"/>
  <c r="AS127" i="3"/>
  <c r="AP127" i="3"/>
  <c r="AO127" i="3"/>
  <c r="AL127" i="3"/>
  <c r="AK127" i="3"/>
  <c r="AH127" i="3"/>
  <c r="AC127" i="3"/>
  <c r="Z127" i="3"/>
  <c r="AG74" i="3"/>
  <c r="AD74" i="3"/>
  <c r="BI76" i="3"/>
  <c r="BI75" i="3"/>
  <c r="BF75" i="3"/>
  <c r="BE75" i="3"/>
  <c r="BB75" i="3"/>
  <c r="BI424" i="3"/>
  <c r="AG424" i="3"/>
  <c r="AD424" i="3"/>
  <c r="AH422" i="3"/>
  <c r="AG422" i="3"/>
  <c r="AD422" i="3"/>
  <c r="BH146" i="3" l="1"/>
  <c r="BG146" i="3"/>
  <c r="BF146" i="3"/>
  <c r="BI370" i="3"/>
  <c r="BF370" i="3"/>
  <c r="AW370" i="3"/>
  <c r="AT370" i="3"/>
  <c r="AK370" i="3"/>
  <c r="AH370" i="3"/>
  <c r="AC370" i="3"/>
  <c r="U370" i="3"/>
  <c r="R370" i="3"/>
  <c r="AF2" i="3"/>
  <c r="AE2" i="3"/>
  <c r="AD2" i="3"/>
  <c r="AB2" i="3"/>
  <c r="AA2" i="3"/>
  <c r="Z2" i="3"/>
  <c r="Y2" i="3"/>
  <c r="V2" i="3"/>
  <c r="BE93" i="3"/>
  <c r="BA93" i="3"/>
  <c r="BE92" i="3"/>
  <c r="BA92" i="3"/>
  <c r="BD41" i="3"/>
  <c r="BC41" i="3"/>
  <c r="BB41" i="3"/>
  <c r="AG483" i="3"/>
  <c r="AD483" i="3"/>
  <c r="AC483" i="3"/>
  <c r="Z483" i="3"/>
  <c r="BE91" i="3"/>
  <c r="BA91" i="3"/>
  <c r="BE90" i="3"/>
  <c r="BA90" i="3"/>
  <c r="BE89" i="3"/>
  <c r="BA89" i="3"/>
  <c r="BE88" i="3"/>
  <c r="BA88" i="3"/>
  <c r="AH108" i="3"/>
  <c r="AD108" i="3" s="1"/>
  <c r="Z108" i="3"/>
  <c r="V108" i="3"/>
  <c r="BE87" i="3"/>
  <c r="BA87" i="3"/>
  <c r="BE86" i="3"/>
  <c r="BA86" i="3"/>
  <c r="AG348" i="3"/>
  <c r="AD348" i="3"/>
  <c r="Y348" i="3"/>
  <c r="V348" i="3"/>
  <c r="BE84" i="3"/>
  <c r="BA84" i="3"/>
  <c r="BE83" i="3"/>
  <c r="BA83" i="3"/>
  <c r="BE82" i="3"/>
  <c r="BA82" i="3"/>
  <c r="BE81" i="3"/>
  <c r="BA81" i="3"/>
  <c r="AD332" i="3"/>
  <c r="AK38" i="3"/>
  <c r="AH38" i="3"/>
  <c r="AG38" i="3"/>
  <c r="AD38" i="3"/>
  <c r="AX544" i="3"/>
  <c r="BE102" i="3"/>
  <c r="BB102" i="3"/>
  <c r="BE80" i="3"/>
  <c r="BA80" i="3"/>
  <c r="BE79" i="3"/>
  <c r="BA79" i="3"/>
  <c r="BI131" i="3"/>
  <c r="BH131" i="3"/>
  <c r="BG131" i="3"/>
  <c r="BF131" i="3"/>
  <c r="AK294" i="3"/>
  <c r="AH294" i="3"/>
  <c r="AG294" i="3"/>
  <c r="AD294" i="3"/>
  <c r="AC294" i="3"/>
  <c r="Z294" i="3"/>
  <c r="Y294" i="3"/>
  <c r="V294" i="3"/>
  <c r="AG293" i="3"/>
  <c r="AD293" i="3"/>
  <c r="AG331" i="3"/>
  <c r="AD331" i="3"/>
  <c r="AG330" i="3"/>
  <c r="AD330" i="3"/>
  <c r="AK279" i="3"/>
  <c r="AH279" i="3"/>
  <c r="AG279" i="3"/>
  <c r="AD279" i="3"/>
  <c r="AC279" i="3"/>
  <c r="Z279" i="3"/>
  <c r="Y279" i="3"/>
  <c r="V279" i="3"/>
  <c r="U279" i="3"/>
  <c r="R279" i="3"/>
  <c r="BH269" i="3"/>
  <c r="BG269" i="3"/>
  <c r="BF269" i="3"/>
  <c r="BD269" i="3"/>
  <c r="BC269" i="3"/>
  <c r="BB269" i="3"/>
  <c r="AZ269" i="3"/>
  <c r="AY269" i="3"/>
  <c r="AX269" i="3"/>
  <c r="AW269" i="3"/>
  <c r="AT269" i="3"/>
  <c r="BD267" i="3"/>
  <c r="BC267" i="3"/>
  <c r="BB267" i="3"/>
  <c r="AZ267" i="3"/>
  <c r="AY267" i="3"/>
  <c r="AX267" i="3"/>
  <c r="AW256" i="3"/>
  <c r="AT256" i="3"/>
  <c r="AC233" i="3"/>
  <c r="Z233" i="3"/>
  <c r="AZ232" i="3"/>
  <c r="AY232" i="3"/>
  <c r="AX232" i="3"/>
  <c r="BH226" i="3"/>
  <c r="BG226" i="3"/>
  <c r="BF226" i="3"/>
  <c r="BH224" i="3"/>
  <c r="BG224" i="3"/>
  <c r="BF224" i="3"/>
  <c r="BD224" i="3"/>
  <c r="BC224" i="3"/>
  <c r="BB224" i="3"/>
  <c r="AZ224" i="3"/>
  <c r="AY224" i="3"/>
  <c r="AX224" i="3"/>
  <c r="AW224" i="3"/>
  <c r="AT224" i="3"/>
  <c r="AG218" i="3"/>
  <c r="AD218" i="3"/>
  <c r="AC218" i="3"/>
  <c r="Z218" i="3"/>
  <c r="AK215" i="3"/>
  <c r="AH215" i="3"/>
  <c r="BE78" i="3"/>
  <c r="BA78" i="3"/>
  <c r="BE77" i="3"/>
  <c r="BA77" i="3"/>
  <c r="BI224" i="3" l="1"/>
  <c r="BE269" i="3"/>
  <c r="AG2" i="3"/>
  <c r="BI269" i="3"/>
  <c r="BE224" i="3"/>
  <c r="BA267" i="3"/>
  <c r="BA269" i="3"/>
  <c r="BA232" i="3"/>
  <c r="BI226" i="3"/>
  <c r="BA224" i="3"/>
  <c r="AC2" i="3"/>
  <c r="BE26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H902" authorId="0" shapeId="0" xr:uid="{96BE7E6F-16BF-0245-8B31-228CDABE87B3}">
      <text>
        <r>
          <rPr>
            <sz val="11"/>
            <color theme="1"/>
            <rFont val="Calibri"/>
            <family val="2"/>
            <scheme val="minor"/>
          </rPr>
          <t>======
ID#AAAAQ_z4iIU
EVAN DOUGHTY    (2021-10-19 17:02:05)
is this length or width of M3</t>
        </r>
      </text>
    </comment>
  </commentList>
</comments>
</file>

<file path=xl/sharedStrings.xml><?xml version="1.0" encoding="utf-8"?>
<sst xmlns="http://schemas.openxmlformats.org/spreadsheetml/2006/main" count="11295" uniqueCount="1440">
  <si>
    <t>Order</t>
  </si>
  <si>
    <t>Suborder</t>
  </si>
  <si>
    <t>Family</t>
  </si>
  <si>
    <t>Subfamily</t>
  </si>
  <si>
    <t>Accepted Genus</t>
  </si>
  <si>
    <t>Accepted Species</t>
  </si>
  <si>
    <t>Old Genus</t>
  </si>
  <si>
    <t>Old Species</t>
  </si>
  <si>
    <t>Combination</t>
  </si>
  <si>
    <t>Note</t>
  </si>
  <si>
    <t>Ungulata</t>
  </si>
  <si>
    <t>Condylartha</t>
  </si>
  <si>
    <t>Chriacidae</t>
  </si>
  <si>
    <t>Prothryptacodon</t>
  </si>
  <si>
    <t>albertensis</t>
  </si>
  <si>
    <t>ambiguus</t>
  </si>
  <si>
    <t>furens</t>
  </si>
  <si>
    <t>hilli</t>
  </si>
  <si>
    <t>Hyposodontidae</t>
  </si>
  <si>
    <t>Bubogonia</t>
  </si>
  <si>
    <t>bombadili</t>
  </si>
  <si>
    <t>saskia</t>
  </si>
  <si>
    <t>Chacomylus</t>
  </si>
  <si>
    <t>sladei</t>
  </si>
  <si>
    <t>Choercoclaenus</t>
  </si>
  <si>
    <t>turgidunculus</t>
  </si>
  <si>
    <t>Hyopsodus</t>
  </si>
  <si>
    <t>fastigatus</t>
  </si>
  <si>
    <t>latidens</t>
  </si>
  <si>
    <t>lepidus</t>
  </si>
  <si>
    <t>loomisi</t>
  </si>
  <si>
    <t>lysitensis</t>
  </si>
  <si>
    <t>markmani</t>
  </si>
  <si>
    <t>no distribution in Pbdb</t>
  </si>
  <si>
    <t>mentalis</t>
  </si>
  <si>
    <t>minor</t>
  </si>
  <si>
    <t>minusculus</t>
  </si>
  <si>
    <t>miticulus</t>
  </si>
  <si>
    <t>paulus</t>
  </si>
  <si>
    <t>pauxillus</t>
  </si>
  <si>
    <t>powellianus</t>
  </si>
  <si>
    <t>pygmaeus</t>
  </si>
  <si>
    <t>sholemi</t>
  </si>
  <si>
    <t>simplex</t>
  </si>
  <si>
    <t>tonksi</t>
  </si>
  <si>
    <t>uintensis</t>
  </si>
  <si>
    <t>walcottianus</t>
  </si>
  <si>
    <t>wortmani</t>
  </si>
  <si>
    <t>Litaletes</t>
  </si>
  <si>
    <t>disjunctus</t>
  </si>
  <si>
    <t>gazani</t>
  </si>
  <si>
    <t>ondolinde</t>
  </si>
  <si>
    <t>Mioclaeninae</t>
  </si>
  <si>
    <t>Ellipsodon</t>
  </si>
  <si>
    <t>grangeri</t>
  </si>
  <si>
    <t>inaequidens</t>
  </si>
  <si>
    <t>lemuroides</t>
  </si>
  <si>
    <t>sternbergi</t>
  </si>
  <si>
    <t>yotankae</t>
  </si>
  <si>
    <t>Palaisodon</t>
  </si>
  <si>
    <t>sp.</t>
  </si>
  <si>
    <t>Bomburia</t>
  </si>
  <si>
    <t>type Ellipsodon priscus or Plarymastus palantir</t>
  </si>
  <si>
    <t>Mioclaenus</t>
  </si>
  <si>
    <t>baldwini</t>
  </si>
  <si>
    <t>mandibularis</t>
  </si>
  <si>
    <t>opisthacus</t>
  </si>
  <si>
    <t>turgidus</t>
  </si>
  <si>
    <t>zittelianus</t>
  </si>
  <si>
    <t>Pleuraspidotheriinae</t>
  </si>
  <si>
    <t>Promioclaenus</t>
  </si>
  <si>
    <t>acolytus</t>
  </si>
  <si>
    <t>pipiringosi</t>
  </si>
  <si>
    <t>thnetus</t>
  </si>
  <si>
    <t>Protoselene</t>
  </si>
  <si>
    <t>griphus</t>
  </si>
  <si>
    <t>novissimus</t>
  </si>
  <si>
    <t>Tiznatzinia</t>
  </si>
  <si>
    <t>vanderhoofi</t>
  </si>
  <si>
    <t>Valenia</t>
  </si>
  <si>
    <t>wilsoni</t>
  </si>
  <si>
    <t>Bomburodon</t>
  </si>
  <si>
    <t>priscus</t>
  </si>
  <si>
    <t>no higher taxon assignment</t>
  </si>
  <si>
    <t>valid</t>
  </si>
  <si>
    <t>Oxyprimus</t>
  </si>
  <si>
    <t>alternative</t>
  </si>
  <si>
    <t>Pantinomia</t>
  </si>
  <si>
    <t>ambigua</t>
  </si>
  <si>
    <t>Oxyacodon</t>
  </si>
  <si>
    <t>Antiocodon</t>
  </si>
  <si>
    <t>Sarcolemur</t>
  </si>
  <si>
    <t>lemoinianus</t>
  </si>
  <si>
    <t>synonym</t>
  </si>
  <si>
    <t>Esthonyx</t>
  </si>
  <si>
    <t>despiciens</t>
  </si>
  <si>
    <t>marshi</t>
  </si>
  <si>
    <t>rarus</t>
  </si>
  <si>
    <t>Lemuravus</t>
  </si>
  <si>
    <t>distans</t>
  </si>
  <si>
    <t>Stenacodon</t>
  </si>
  <si>
    <t>browni</t>
  </si>
  <si>
    <t>jacksoni</t>
  </si>
  <si>
    <t>lawsoni</t>
  </si>
  <si>
    <t>witkoi</t>
  </si>
  <si>
    <t>Tricentes</t>
  </si>
  <si>
    <t>shepherdi</t>
  </si>
  <si>
    <t>Jepsenia</t>
  </si>
  <si>
    <t>mantiensis</t>
  </si>
  <si>
    <t>prisca</t>
  </si>
  <si>
    <t>Platymastus</t>
  </si>
  <si>
    <t>palantir</t>
  </si>
  <si>
    <t>Hemithlaeus</t>
  </si>
  <si>
    <t>opisthaca</t>
  </si>
  <si>
    <t>lydekkerianus</t>
  </si>
  <si>
    <t>Protogonodon</t>
  </si>
  <si>
    <t>aquilonius</t>
  </si>
  <si>
    <t>minimus</t>
  </si>
  <si>
    <t>Dracoclaenus</t>
  </si>
  <si>
    <t>Specimen #</t>
  </si>
  <si>
    <t>Verbatim Genus</t>
  </si>
  <si>
    <t xml:space="preserve"> Verbatim Species</t>
  </si>
  <si>
    <t>NALMA</t>
  </si>
  <si>
    <t>State</t>
  </si>
  <si>
    <t>Locality</t>
  </si>
  <si>
    <t>P2_L</t>
  </si>
  <si>
    <t>P2_W</t>
  </si>
  <si>
    <t>P3_L</t>
  </si>
  <si>
    <t>P3_W</t>
  </si>
  <si>
    <t>P4_L</t>
  </si>
  <si>
    <t>P4_W</t>
  </si>
  <si>
    <t>M1_L</t>
  </si>
  <si>
    <t>M1_W</t>
  </si>
  <si>
    <t>M2_L</t>
  </si>
  <si>
    <t>M2_W</t>
  </si>
  <si>
    <t>M3_L</t>
  </si>
  <si>
    <t>M3_W</t>
  </si>
  <si>
    <t>p2_l</t>
  </si>
  <si>
    <t>p2_w</t>
  </si>
  <si>
    <t>p3_l</t>
  </si>
  <si>
    <t>p3_w</t>
  </si>
  <si>
    <t>p4_l</t>
  </si>
  <si>
    <t>p4_w</t>
  </si>
  <si>
    <t>m1_l</t>
  </si>
  <si>
    <t>m1_w</t>
  </si>
  <si>
    <t>m2_l</t>
  </si>
  <si>
    <t>m2_w</t>
  </si>
  <si>
    <t>m3_l</t>
  </si>
  <si>
    <t>m3_w</t>
  </si>
  <si>
    <t>Comments</t>
  </si>
  <si>
    <t>Recorded by</t>
  </si>
  <si>
    <t>Source</t>
  </si>
  <si>
    <t>Image from paper</t>
  </si>
  <si>
    <t>Image Source</t>
  </si>
  <si>
    <t>Image from Coll. Website</t>
  </si>
  <si>
    <t>Coll. Image Source</t>
  </si>
  <si>
    <t>UALVP 44169</t>
  </si>
  <si>
    <t>Oxyclaeninae</t>
  </si>
  <si>
    <t>Alberta</t>
  </si>
  <si>
    <t>Evan</t>
  </si>
  <si>
    <t>Scott 2003</t>
  </si>
  <si>
    <t>UALVP 44170</t>
  </si>
  <si>
    <t>UALVP 44171</t>
  </si>
  <si>
    <t>UALVP 44172</t>
  </si>
  <si>
    <t>UALVP 44168</t>
  </si>
  <si>
    <t>Arctocyonidae</t>
  </si>
  <si>
    <t>Chriacus</t>
  </si>
  <si>
    <t>"Chriacus"</t>
  </si>
  <si>
    <t>UALVP 44173</t>
  </si>
  <si>
    <t>Arctocyoninae</t>
  </si>
  <si>
    <t>Colpoclaenus</t>
  </si>
  <si>
    <t>procyonoides</t>
  </si>
  <si>
    <t>UALVP 44176</t>
  </si>
  <si>
    <t>cf. acolytus</t>
  </si>
  <si>
    <t>Y</t>
  </si>
  <si>
    <t>UALVP 44177</t>
  </si>
  <si>
    <t>no distinct measurement; in the average</t>
  </si>
  <si>
    <t>UALVP 44178</t>
  </si>
  <si>
    <t>UALVP 44179</t>
  </si>
  <si>
    <t>UALVP 44180</t>
  </si>
  <si>
    <t>UALVP 44181</t>
  </si>
  <si>
    <t>UALVP 44182</t>
  </si>
  <si>
    <t>averages of  UALVP 44177-44183</t>
  </si>
  <si>
    <t>UALVP 44174</t>
  </si>
  <si>
    <t>Litomylus</t>
  </si>
  <si>
    <t>Scott 2002</t>
  </si>
  <si>
    <t>UALVP 44183</t>
  </si>
  <si>
    <t>AMNH 35987</t>
  </si>
  <si>
    <t>gorgun</t>
  </si>
  <si>
    <t>Van Valen 1978</t>
  </si>
  <si>
    <t>UM VP1456</t>
  </si>
  <si>
    <t>sloani</t>
  </si>
  <si>
    <t>jaw has m1-m3 but only m2 measurments provided</t>
  </si>
  <si>
    <t>UM VP1561</t>
  </si>
  <si>
    <t>erikseni</t>
  </si>
  <si>
    <t>PU 16866</t>
  </si>
  <si>
    <t>galadrielae</t>
  </si>
  <si>
    <t>PU 16704</t>
  </si>
  <si>
    <t>putorius</t>
  </si>
  <si>
    <t>have some error on measurement</t>
  </si>
  <si>
    <t>type</t>
  </si>
  <si>
    <t>concise taxon reassignment</t>
  </si>
  <si>
    <t>AMNH 102161</t>
  </si>
  <si>
    <t>Deltatherium</t>
  </si>
  <si>
    <t>durini</t>
  </si>
  <si>
    <t>UM VP1472</t>
  </si>
  <si>
    <t>calenancus</t>
  </si>
  <si>
    <t>PU 13949</t>
  </si>
  <si>
    <t>katrinae</t>
  </si>
  <si>
    <t>Van Valen 1978/Jepson 1930</t>
  </si>
  <si>
    <t>oconostotae</t>
  </si>
  <si>
    <t>AMNH 17194</t>
  </si>
  <si>
    <t>metocometi</t>
  </si>
  <si>
    <t>UM VP1473</t>
  </si>
  <si>
    <t>Thangorodrim</t>
  </si>
  <si>
    <t>thalion</t>
  </si>
  <si>
    <t>PU 17406</t>
  </si>
  <si>
    <t>Arctocyonides</t>
  </si>
  <si>
    <t>montanensis</t>
  </si>
  <si>
    <t>AMNH 35983</t>
  </si>
  <si>
    <t>Ragnarok</t>
  </si>
  <si>
    <t>harbichti</t>
  </si>
  <si>
    <t>PU 17304</t>
  </si>
  <si>
    <t>nordicum</t>
  </si>
  <si>
    <t>AMNH 58034</t>
  </si>
  <si>
    <t>AMNH 56293</t>
  </si>
  <si>
    <t>mellon</t>
  </si>
  <si>
    <t>M1 or M2</t>
  </si>
  <si>
    <t>AMNH 58219</t>
  </si>
  <si>
    <t>Mimotricentes</t>
  </si>
  <si>
    <t>mirielae</t>
  </si>
  <si>
    <t>AMNH 23177</t>
  </si>
  <si>
    <t>Desmatoclaenus</t>
  </si>
  <si>
    <t>dianae</t>
  </si>
  <si>
    <t>UCMP 114308</t>
  </si>
  <si>
    <t>mearae</t>
  </si>
  <si>
    <t>AMNH 17078</t>
  </si>
  <si>
    <t>Deuterogonodon</t>
  </si>
  <si>
    <t>PU 13290</t>
  </si>
  <si>
    <t>Triisodontinae</t>
  </si>
  <si>
    <t>Eoconodon</t>
  </si>
  <si>
    <t>copanus</t>
  </si>
  <si>
    <t>UM VP1471</t>
  </si>
  <si>
    <t>nidhoggi</t>
  </si>
  <si>
    <t>UCMP 47254</t>
  </si>
  <si>
    <t>Goniacodon</t>
  </si>
  <si>
    <t>hiawathae</t>
  </si>
  <si>
    <t>Utah</t>
  </si>
  <si>
    <t>KU 9446</t>
  </si>
  <si>
    <t>PU 17479</t>
  </si>
  <si>
    <t>ACM 6359</t>
  </si>
  <si>
    <t>AMNH 811a</t>
  </si>
  <si>
    <t>NMNH 23285</t>
  </si>
  <si>
    <t>UM 2050</t>
  </si>
  <si>
    <t>Haplaletes</t>
  </si>
  <si>
    <t>andakupensis</t>
  </si>
  <si>
    <t>AMNH 16039</t>
  </si>
  <si>
    <t>osceolae</t>
  </si>
  <si>
    <t>AMNH 16720</t>
  </si>
  <si>
    <t>aequidens</t>
  </si>
  <si>
    <t>ROM 05631</t>
  </si>
  <si>
    <t>?Litomylus</t>
  </si>
  <si>
    <t>alphamon</t>
  </si>
  <si>
    <t>AMNH 56326</t>
  </si>
  <si>
    <t>gallinae</t>
  </si>
  <si>
    <t>Delson 1971</t>
  </si>
  <si>
    <t>AMNH 56327</t>
  </si>
  <si>
    <t>AMNH 48006</t>
  </si>
  <si>
    <t>Hyopsodontinae</t>
  </si>
  <si>
    <t>Haplomylus</t>
  </si>
  <si>
    <t>speirianus</t>
  </si>
  <si>
    <t>Powder River Basin</t>
  </si>
  <si>
    <t>average for multiple specimens</t>
  </si>
  <si>
    <t>ED</t>
  </si>
  <si>
    <t>Bighorn and Clark Fork Basin</t>
  </si>
  <si>
    <t>Four Mile</t>
  </si>
  <si>
    <t>some specimens in McKenna 1960l p 105</t>
  </si>
  <si>
    <t>AMNH 80034</t>
  </si>
  <si>
    <t>cf. miticulus</t>
  </si>
  <si>
    <t>only provides P4-M3=13.65; P4-M2=11; M1-3=10.1; M1-2 8mm; M2-M3=6.75mm</t>
  </si>
  <si>
    <t>AMNH 15849</t>
  </si>
  <si>
    <t>Apheliscinae</t>
  </si>
  <si>
    <t>Apheliscus</t>
  </si>
  <si>
    <t>nitidus</t>
  </si>
  <si>
    <t>AMNH 16935</t>
  </si>
  <si>
    <t>AMNH 56329</t>
  </si>
  <si>
    <t>Tillodontia</t>
  </si>
  <si>
    <t>Esthonychinae</t>
  </si>
  <si>
    <t>bisulcatus</t>
  </si>
  <si>
    <t>Clark fork Basin</t>
  </si>
  <si>
    <t>Gray Bull of Elk Creek</t>
  </si>
  <si>
    <t>Zonnevelf etal 2000</t>
  </si>
  <si>
    <t>UM 98665</t>
  </si>
  <si>
    <t>Hyopsodontidae</t>
  </si>
  <si>
    <t>UM 100020</t>
  </si>
  <si>
    <t>UM 100030</t>
  </si>
  <si>
    <t>UM 101156</t>
  </si>
  <si>
    <t>UM 101157</t>
  </si>
  <si>
    <t>UM 103913</t>
  </si>
  <si>
    <t>reported as penultimate molar</t>
  </si>
  <si>
    <t>Cope 1871 Descriptions of Some New Vertebrata</t>
  </si>
  <si>
    <t>meridionalis</t>
  </si>
  <si>
    <t>CM 70403</t>
  </si>
  <si>
    <t>CM 67871</t>
  </si>
  <si>
    <t>Beard and Dawson 2009</t>
  </si>
  <si>
    <t>UM 87354</t>
  </si>
  <si>
    <t>spatularius</t>
  </si>
  <si>
    <t>Gingerich 1989</t>
  </si>
  <si>
    <t>UM 83874</t>
  </si>
  <si>
    <t>Azygonyx</t>
  </si>
  <si>
    <t>gunnelli</t>
  </si>
  <si>
    <t>species average</t>
  </si>
  <si>
    <t>donnae</t>
  </si>
  <si>
    <t>de Muizon and Cifelli 2000</t>
  </si>
  <si>
    <t>UC 100894</t>
  </si>
  <si>
    <t>P2_TrigW</t>
  </si>
  <si>
    <t>P2_TalW</t>
  </si>
  <si>
    <t>P3_TrigW</t>
  </si>
  <si>
    <t>P3_TalW</t>
  </si>
  <si>
    <t>P4_TrigW</t>
  </si>
  <si>
    <t>P4_TalW</t>
  </si>
  <si>
    <t>M1_TrigW</t>
  </si>
  <si>
    <t>M1_TalW</t>
  </si>
  <si>
    <t>M2_TrigW</t>
  </si>
  <si>
    <t>M2_TalW</t>
  </si>
  <si>
    <t>M3_TrigW</t>
  </si>
  <si>
    <t>M3_TalW</t>
  </si>
  <si>
    <t>p2_Trigw</t>
  </si>
  <si>
    <t>p2_Talw</t>
  </si>
  <si>
    <t>p3_Trigw</t>
  </si>
  <si>
    <t>p3_Talw</t>
  </si>
  <si>
    <t>p4_Trigw</t>
  </si>
  <si>
    <t>p4_Talw</t>
  </si>
  <si>
    <t>m1_Trigw</t>
  </si>
  <si>
    <t>m1_Talw</t>
  </si>
  <si>
    <t>m2_Trigw</t>
  </si>
  <si>
    <t>m2_Talw</t>
  </si>
  <si>
    <t>m3_Trigw</t>
  </si>
  <si>
    <t>m3_Talw</t>
  </si>
  <si>
    <t>PU 16720</t>
  </si>
  <si>
    <t>PU 14475</t>
  </si>
  <si>
    <t>PU 16863</t>
  </si>
  <si>
    <t>PU 16712</t>
  </si>
  <si>
    <t>PU 14453</t>
  </si>
  <si>
    <t>minuial</t>
  </si>
  <si>
    <t>species mean</t>
  </si>
  <si>
    <t>AMNH 35874</t>
  </si>
  <si>
    <t>disceptatrix</t>
  </si>
  <si>
    <t>USNM 9500</t>
  </si>
  <si>
    <t>USNM 15465</t>
  </si>
  <si>
    <t>AMNH 16402</t>
  </si>
  <si>
    <t>USNM 21008</t>
  </si>
  <si>
    <t>KU 7852</t>
  </si>
  <si>
    <t>AMNH 16614</t>
  </si>
  <si>
    <t>PU 14172</t>
  </si>
  <si>
    <t>Mimatuta</t>
  </si>
  <si>
    <t>UA 15105</t>
  </si>
  <si>
    <t>need tp check m3 measures since lines are not aligned right in table 12</t>
  </si>
  <si>
    <t>Thryptacodon</t>
  </si>
  <si>
    <t>olseni</t>
  </si>
  <si>
    <t>antiquus</t>
  </si>
  <si>
    <t>Matthew and Granger 1915</t>
  </si>
  <si>
    <t>Yes</t>
  </si>
  <si>
    <t>AMNH 15252</t>
  </si>
  <si>
    <t>AMNH 16162</t>
  </si>
  <si>
    <t>AMNH 16223</t>
  </si>
  <si>
    <t>AMNH 16781</t>
  </si>
  <si>
    <t>ursidens</t>
  </si>
  <si>
    <t>AMNH 15638</t>
  </si>
  <si>
    <t>cultridens</t>
  </si>
  <si>
    <t>UM 83461</t>
  </si>
  <si>
    <t>barae</t>
  </si>
  <si>
    <t>UM 83572</t>
  </si>
  <si>
    <t>badgleyi</t>
  </si>
  <si>
    <t>UM 88160</t>
  </si>
  <si>
    <t>UM 85669</t>
  </si>
  <si>
    <t>Princetonia</t>
  </si>
  <si>
    <t>yalensis</t>
  </si>
  <si>
    <t>p4 iws approximate</t>
  </si>
  <si>
    <t>YPM-PU 23629</t>
  </si>
  <si>
    <t>Scott 2013</t>
  </si>
  <si>
    <t>TMP 2010.095.0020</t>
  </si>
  <si>
    <t>TMP 2010.095.0019</t>
  </si>
  <si>
    <t>TMP 2011.091.0001</t>
  </si>
  <si>
    <t>TMP 2010.095.0018</t>
  </si>
  <si>
    <t>TMP 2010.097.0152</t>
  </si>
  <si>
    <t>TMP 2011.090.0246</t>
  </si>
  <si>
    <t>TMP 2011.090.0131</t>
  </si>
  <si>
    <t>TMP 2011.090.0309</t>
  </si>
  <si>
    <t>TMP 2011.090.0219</t>
  </si>
  <si>
    <t>approx width on M2</t>
  </si>
  <si>
    <t>TMP 2011.090.0310</t>
  </si>
  <si>
    <t>TMP 2011.090.0019</t>
  </si>
  <si>
    <t>TMP 2011.090.0049</t>
  </si>
  <si>
    <t>incomplete p3 but nio measures given</t>
  </si>
  <si>
    <t>TMP 2011.090.0238</t>
  </si>
  <si>
    <t>TMP 2011.090.0258</t>
  </si>
  <si>
    <t>incomplete tooth</t>
  </si>
  <si>
    <t>TMP 2010.096.0012</t>
  </si>
  <si>
    <t>holotype</t>
  </si>
  <si>
    <t>AMNH 3268</t>
  </si>
  <si>
    <t>Claenodon</t>
  </si>
  <si>
    <t>ferox</t>
  </si>
  <si>
    <t>Simpson 1937</t>
  </si>
  <si>
    <t>AMNH 2456</t>
  </si>
  <si>
    <t>corrugatus</t>
  </si>
  <si>
    <t>neotype</t>
  </si>
  <si>
    <t>AMNH 16545</t>
  </si>
  <si>
    <t>AMNH 16001</t>
  </si>
  <si>
    <t>AMNH 3271</t>
  </si>
  <si>
    <t>AMNH 3266</t>
  </si>
  <si>
    <t>USNM 6156</t>
  </si>
  <si>
    <t>YPM 13755</t>
  </si>
  <si>
    <t>YPM 13756</t>
  </si>
  <si>
    <t>USNM 8362</t>
  </si>
  <si>
    <t>P3 and M2 measures not given despite being present; m1 width not given</t>
  </si>
  <si>
    <t>silberlingi</t>
  </si>
  <si>
    <t>USNM 8363</t>
  </si>
  <si>
    <t>P3-P4 present but not directly stated</t>
  </si>
  <si>
    <t>USNM 8388</t>
  </si>
  <si>
    <t>partial m1 present but intact m2 and m3</t>
  </si>
  <si>
    <t>USNM 13781</t>
  </si>
  <si>
    <t>vecordensis</t>
  </si>
  <si>
    <t>USNM 6160</t>
  </si>
  <si>
    <t>montanus</t>
  </si>
  <si>
    <t>M2 is partial</t>
  </si>
  <si>
    <t>paratype</t>
  </si>
  <si>
    <t>USNM 6161</t>
  </si>
  <si>
    <t>?Chriacus</t>
  </si>
  <si>
    <t>Metachriacus</t>
  </si>
  <si>
    <t>punitor</t>
  </si>
  <si>
    <t>provocator</t>
  </si>
  <si>
    <t>latrunculus</t>
  </si>
  <si>
    <t>angustidens</t>
  </si>
  <si>
    <t>USNM 9260</t>
  </si>
  <si>
    <t>USNM 9262</t>
  </si>
  <si>
    <t>USNM 13782</t>
  </si>
  <si>
    <t>pugnax</t>
  </si>
  <si>
    <t>m2 present but not measured</t>
  </si>
  <si>
    <t>USNM 9288</t>
  </si>
  <si>
    <t>USNM 9286</t>
  </si>
  <si>
    <t>USNM 9270</t>
  </si>
  <si>
    <t>USNM 9287</t>
  </si>
  <si>
    <t>USNM 9269</t>
  </si>
  <si>
    <t>USNM 9276</t>
  </si>
  <si>
    <t>USNM 9277</t>
  </si>
  <si>
    <t>USNM 9706</t>
  </si>
  <si>
    <t>USNM 9695</t>
  </si>
  <si>
    <t>YPM 13758</t>
  </si>
  <si>
    <t>USNM 9662</t>
  </si>
  <si>
    <t>USNM 6179</t>
  </si>
  <si>
    <t>USNM 9324</t>
  </si>
  <si>
    <t>USNM 9582</t>
  </si>
  <si>
    <t>USNM 9660</t>
  </si>
  <si>
    <t>dissentaneus</t>
  </si>
  <si>
    <t>USNM 9425</t>
  </si>
  <si>
    <t>USNM 9318</t>
  </si>
  <si>
    <t>USNM 9536</t>
  </si>
  <si>
    <t>USNM 9557</t>
  </si>
  <si>
    <t>USNM 9580</t>
  </si>
  <si>
    <t>USNM 9555</t>
  </si>
  <si>
    <t>USNM 9556</t>
  </si>
  <si>
    <t>Coriphagus</t>
  </si>
  <si>
    <t>TMP 2010.097.0004</t>
  </si>
  <si>
    <t>Arctocyon</t>
  </si>
  <si>
    <t>cf. furens</t>
  </si>
  <si>
    <t>TMP 2010.097.0115</t>
  </si>
  <si>
    <t>TMP 2011.090.0002</t>
  </si>
  <si>
    <t>TMP 2011.090.0008</t>
  </si>
  <si>
    <t>incomplete m1</t>
  </si>
  <si>
    <t>TMP 2010.097.0103</t>
  </si>
  <si>
    <t>Anisonchus</t>
  </si>
  <si>
    <t>sectorius</t>
  </si>
  <si>
    <t>Periptychidae</t>
  </si>
  <si>
    <t>Oxyclaenus</t>
  </si>
  <si>
    <t>lacunatus</t>
  </si>
  <si>
    <t>Anacodon</t>
  </si>
  <si>
    <t>Esthonychidae</t>
  </si>
  <si>
    <t>Choeroclaenus</t>
  </si>
  <si>
    <t>Viverravidae</t>
  </si>
  <si>
    <t>Carnivora</t>
  </si>
  <si>
    <t>noletil</t>
  </si>
  <si>
    <t>Triisodontidae</t>
  </si>
  <si>
    <t>Acreodi</t>
  </si>
  <si>
    <t>Macroscelidea</t>
  </si>
  <si>
    <t>Apheliscidae</t>
  </si>
  <si>
    <t>subtrigonus</t>
  </si>
  <si>
    <t>Loxolophus</t>
  </si>
  <si>
    <t>hyattianus</t>
  </si>
  <si>
    <t>Aletodon</t>
  </si>
  <si>
    <t>Baioconodon</t>
  </si>
  <si>
    <t>nordicus</t>
  </si>
  <si>
    <t>encinensis</t>
  </si>
  <si>
    <t>Pentacodontida</t>
  </si>
  <si>
    <t>Simpson 1935</t>
  </si>
  <si>
    <t>pusillus</t>
  </si>
  <si>
    <t>USNM 9278</t>
  </si>
  <si>
    <t>USNM 9280</t>
  </si>
  <si>
    <t>USNM 9323</t>
  </si>
  <si>
    <t>DMNH 44371</t>
  </si>
  <si>
    <t>Protungulatum</t>
  </si>
  <si>
    <t>Eberle 2003</t>
  </si>
  <si>
    <t>Protochriacus</t>
  </si>
  <si>
    <t>DMNH 2731</t>
  </si>
  <si>
    <t>DMNH 43197</t>
  </si>
  <si>
    <t>Loxophinae</t>
  </si>
  <si>
    <t>jeffersonensis</t>
  </si>
  <si>
    <t>DMNH 43208</t>
  </si>
  <si>
    <t>DMNH 43193</t>
  </si>
  <si>
    <t>DMNH 2501</t>
  </si>
  <si>
    <t>DMNH 43196</t>
  </si>
  <si>
    <t>denverensis</t>
  </si>
  <si>
    <t>DMNH 44362</t>
  </si>
  <si>
    <t>faulkneri</t>
  </si>
  <si>
    <t>USNM 16626</t>
  </si>
  <si>
    <t>Conacodon</t>
  </si>
  <si>
    <t>entoconus</t>
  </si>
  <si>
    <t>Haploconus</t>
  </si>
  <si>
    <t>DMNH 44369</t>
  </si>
  <si>
    <t>DMNH 44394</t>
  </si>
  <si>
    <t>UCM 87605</t>
  </si>
  <si>
    <t>DMNH 44393</t>
  </si>
  <si>
    <t>Ectoconus</t>
  </si>
  <si>
    <t>ditrigonus</t>
  </si>
  <si>
    <t>DMNH 44374</t>
  </si>
  <si>
    <t>Periptychus</t>
  </si>
  <si>
    <t>coarctatus</t>
  </si>
  <si>
    <t>DMNH 44372</t>
  </si>
  <si>
    <t>DMNH 44368</t>
  </si>
  <si>
    <t>DMNH 44395</t>
  </si>
  <si>
    <t>trigonid only</t>
  </si>
  <si>
    <t>UCM 95666</t>
  </si>
  <si>
    <t>UCM 87609</t>
  </si>
  <si>
    <t>OMNH 27682</t>
  </si>
  <si>
    <t>hermaeus</t>
  </si>
  <si>
    <t>Cifelli etal 1995</t>
  </si>
  <si>
    <t>OMNH 27679</t>
  </si>
  <si>
    <t>oligistus</t>
  </si>
  <si>
    <t>?oligistus</t>
  </si>
  <si>
    <t>estimated lengfht</t>
  </si>
  <si>
    <t>OMNH 27670</t>
  </si>
  <si>
    <t>elachistus</t>
  </si>
  <si>
    <t>OMNH 27713</t>
  </si>
  <si>
    <t>encrusted molar</t>
  </si>
  <si>
    <t>OMNH 27680</t>
  </si>
  <si>
    <t>OMNH 28111</t>
  </si>
  <si>
    <t>deciduosu P3 and P4 present but not added to this dataset</t>
  </si>
  <si>
    <t>NMMNH P-34804</t>
  </si>
  <si>
    <t>Williamson and Weil 2011</t>
  </si>
  <si>
    <t>widths are given as mesial and distal.  Will input as trigonid and talonid</t>
  </si>
  <si>
    <t>NMMNH P-34461</t>
  </si>
  <si>
    <t>NMMNH P-41208</t>
  </si>
  <si>
    <t>NMMNH P-51537</t>
  </si>
  <si>
    <t>NMMNH P-44353</t>
  </si>
  <si>
    <t>NMMNH P-34838</t>
  </si>
  <si>
    <t>reported as p3?</t>
  </si>
  <si>
    <t>NMMNH P-44345</t>
  </si>
  <si>
    <t>NMMNH P-55397</t>
  </si>
  <si>
    <t>Gingerichia</t>
  </si>
  <si>
    <t>geoteretes</t>
  </si>
  <si>
    <t>UM 83932</t>
  </si>
  <si>
    <t>Zack etal 2005</t>
  </si>
  <si>
    <t>UM 54888</t>
  </si>
  <si>
    <t>UM 83933</t>
  </si>
  <si>
    <t>UM 83934</t>
  </si>
  <si>
    <t>UM 83935</t>
  </si>
  <si>
    <t>UM 83936</t>
  </si>
  <si>
    <t>UM 83937</t>
  </si>
  <si>
    <t>UM 83938</t>
  </si>
  <si>
    <t>UM 83939</t>
  </si>
  <si>
    <t>p2 or p3</t>
  </si>
  <si>
    <t>UM 54890</t>
  </si>
  <si>
    <t>Glennie Quarry</t>
  </si>
  <si>
    <t>Douglass Quarry</t>
  </si>
  <si>
    <t>UALVP 43082</t>
  </si>
  <si>
    <t>hystrix</t>
  </si>
  <si>
    <t>Cochrane 2</t>
  </si>
  <si>
    <t>UALVP 25053</t>
  </si>
  <si>
    <t>UALVP 25057</t>
  </si>
  <si>
    <t>UALVP 25061</t>
  </si>
  <si>
    <t>UALVP 25062</t>
  </si>
  <si>
    <t>UALVP 25065</t>
  </si>
  <si>
    <t>UALVP 25066</t>
  </si>
  <si>
    <t>UALVP 25067</t>
  </si>
  <si>
    <t>UALVP 25068</t>
  </si>
  <si>
    <t>UALVP 25071</t>
  </si>
  <si>
    <t>UALVP 40796</t>
  </si>
  <si>
    <t>UALVP 42406</t>
  </si>
  <si>
    <t>UALVP 42544</t>
  </si>
  <si>
    <t>UALVP 42634</t>
  </si>
  <si>
    <t>UALVP 42642</t>
  </si>
  <si>
    <t>UALVP 43083</t>
  </si>
  <si>
    <t>UALVP 43086</t>
  </si>
  <si>
    <t>UALVP 43087</t>
  </si>
  <si>
    <t>UALVP 54895</t>
  </si>
  <si>
    <t>Bingo Quarry</t>
  </si>
  <si>
    <t>UM 54889</t>
  </si>
  <si>
    <t>UM 84539</t>
  </si>
  <si>
    <t>UM 54891</t>
  </si>
  <si>
    <t>UM 54892</t>
  </si>
  <si>
    <t>appromitate with &gt; indicated on given values; M1 or M2</t>
  </si>
  <si>
    <t>UM 54893</t>
  </si>
  <si>
    <t>UM 54894</t>
  </si>
  <si>
    <t>UALVP 25050</t>
  </si>
  <si>
    <t>UALVP 25058</t>
  </si>
  <si>
    <t>UALVP 25060</t>
  </si>
  <si>
    <t>UALVP 25063</t>
  </si>
  <si>
    <t>UALVP 25069</t>
  </si>
  <si>
    <t>UALVP 42546</t>
  </si>
  <si>
    <t>UALVP 43084</t>
  </si>
  <si>
    <t>UALVP 43088</t>
  </si>
  <si>
    <t>sp 1</t>
  </si>
  <si>
    <t>protogonioides</t>
  </si>
  <si>
    <t>Matthew 1937</t>
  </si>
  <si>
    <t>AMNH 3108</t>
  </si>
  <si>
    <t>AMNH 16356</t>
  </si>
  <si>
    <t>AMNH 3109</t>
  </si>
  <si>
    <t>AMNH 786A</t>
  </si>
  <si>
    <t>AMNH 3113</t>
  </si>
  <si>
    <t>AMNH 16358</t>
  </si>
  <si>
    <t>AMNH 16361</t>
  </si>
  <si>
    <t>AMNH 16359</t>
  </si>
  <si>
    <t>AMNH 3111</t>
  </si>
  <si>
    <t>AMNH 802</t>
  </si>
  <si>
    <t>AMNH 811</t>
  </si>
  <si>
    <t>AMNH 3205</t>
  </si>
  <si>
    <t>Carcinodon</t>
  </si>
  <si>
    <t>filholianus</t>
  </si>
  <si>
    <t>p4 present in drawing but no measure given</t>
  </si>
  <si>
    <t>AMNH 16346</t>
  </si>
  <si>
    <t>cuspidatus</t>
  </si>
  <si>
    <t>AMNH 16352</t>
  </si>
  <si>
    <t>AMNH 3252</t>
  </si>
  <si>
    <t>AMNH 3315</t>
  </si>
  <si>
    <t>fundaminis</t>
  </si>
  <si>
    <t>In text</t>
  </si>
  <si>
    <t>rhabdodon</t>
  </si>
  <si>
    <t>pg 121</t>
  </si>
  <si>
    <t>AMNH 3627</t>
  </si>
  <si>
    <t>AMNH 3462</t>
  </si>
  <si>
    <t>AMNH 3467</t>
  </si>
  <si>
    <t>AMNH 3551</t>
  </si>
  <si>
    <t>AMNH 16420</t>
  </si>
  <si>
    <t>AMNH 16418</t>
  </si>
  <si>
    <t>AMNH 16422</t>
  </si>
  <si>
    <t>AMNH 3473</t>
  </si>
  <si>
    <t>AMNH 3476</t>
  </si>
  <si>
    <t>AMNH 16433</t>
  </si>
  <si>
    <t>AMNH 16425</t>
  </si>
  <si>
    <t>AMNH 16431</t>
  </si>
  <si>
    <t>AMNH 16424</t>
  </si>
  <si>
    <t>AMNH 3135</t>
  </si>
  <si>
    <t>AMNH 3163 16628</t>
  </si>
  <si>
    <t>AMNH 3153</t>
  </si>
  <si>
    <t>AMNH 3154</t>
  </si>
  <si>
    <t>AMNH 15965</t>
  </si>
  <si>
    <t>AMNH 16620</t>
  </si>
  <si>
    <t>AMNH 3136</t>
  </si>
  <si>
    <t>carinidens</t>
  </si>
  <si>
    <t>AMNH 31270</t>
  </si>
  <si>
    <t>Simpson 1936</t>
  </si>
  <si>
    <t>AMNH 3107</t>
  </si>
  <si>
    <t>AMNH 27714</t>
  </si>
  <si>
    <t>thinking the P4 is missing or "p4 is p3 but poorly reconstructed</t>
  </si>
  <si>
    <t>AMNH 27713</t>
  </si>
  <si>
    <t>AMNH 31264</t>
  </si>
  <si>
    <t>AMNH 27712</t>
  </si>
  <si>
    <t>Plagioptychus</t>
  </si>
  <si>
    <t>matthewi</t>
  </si>
  <si>
    <t>UCMP 189541</t>
  </si>
  <si>
    <t>cf. calenancus</t>
  </si>
  <si>
    <t>UCMP 152405</t>
  </si>
  <si>
    <t>UCMP 189547</t>
  </si>
  <si>
    <t>cf. punitor</t>
  </si>
  <si>
    <t>UCMP 189545</t>
  </si>
  <si>
    <t>UCMP 192150</t>
  </si>
  <si>
    <t>UCMP 148325</t>
  </si>
  <si>
    <t>cf. simplex</t>
  </si>
  <si>
    <t>UCMP 148324</t>
  </si>
  <si>
    <t>cf. subbituminus</t>
  </si>
  <si>
    <t>UCMP 148328</t>
  </si>
  <si>
    <t>Loxolophinae</t>
  </si>
  <si>
    <t>UCMP 189543</t>
  </si>
  <si>
    <t>UCMP 148327</t>
  </si>
  <si>
    <t>m1 or m2</t>
  </si>
  <si>
    <t>UCMP 189550</t>
  </si>
  <si>
    <t>UCMP 189551</t>
  </si>
  <si>
    <t>UCMP 189589</t>
  </si>
  <si>
    <t>UCMP 189549</t>
  </si>
  <si>
    <t>UCMP 189588</t>
  </si>
  <si>
    <t>UCMP 148319</t>
  </si>
  <si>
    <t>Oxytomodon</t>
  </si>
  <si>
    <t>cf. perissum</t>
  </si>
  <si>
    <t>USNM 16183</t>
  </si>
  <si>
    <t>perissum</t>
  </si>
  <si>
    <t>type m2-m3 but m2 only discussed in text</t>
  </si>
  <si>
    <t>cf. sternbergi</t>
  </si>
  <si>
    <t>UCMP 189581</t>
  </si>
  <si>
    <t>UCMP 189542</t>
  </si>
  <si>
    <t>UCMP 189565</t>
  </si>
  <si>
    <t>cf. disjunctus</t>
  </si>
  <si>
    <t>UCMP 189548</t>
  </si>
  <si>
    <t>?Promioclaenus</t>
  </si>
  <si>
    <t>UCMP 120413</t>
  </si>
  <si>
    <t>UCMP 189564</t>
  </si>
  <si>
    <t>cf. athelas</t>
  </si>
  <si>
    <t>USNM 23279</t>
  </si>
  <si>
    <t>UCMP 69260</t>
  </si>
  <si>
    <t>listed as in Van Valen 1978</t>
  </si>
  <si>
    <t xml:space="preserve"> ED</t>
  </si>
  <si>
    <t>BYU 3770</t>
  </si>
  <si>
    <t>BYU 3839</t>
  </si>
  <si>
    <t>BYU 4920</t>
  </si>
  <si>
    <t>athelas</t>
  </si>
  <si>
    <t>subbituminus</t>
  </si>
  <si>
    <t>Hyaenodonta</t>
  </si>
  <si>
    <t>not sure if its a M1; nomen dubium</t>
  </si>
  <si>
    <t>AMNH 16530</t>
  </si>
  <si>
    <t>Williamson and Carr 2007</t>
  </si>
  <si>
    <t>AMNH 16401</t>
  </si>
  <si>
    <t>AMNH 16403</t>
  </si>
  <si>
    <t>AMNH 58377</t>
  </si>
  <si>
    <t>AMNH 102157</t>
  </si>
  <si>
    <t>AMNH 12911</t>
  </si>
  <si>
    <t>AMNH 3095</t>
  </si>
  <si>
    <t>AMNH 3096</t>
  </si>
  <si>
    <t>AMNH 3298</t>
  </si>
  <si>
    <t>AMNH 17043</t>
  </si>
  <si>
    <t>M2 widths are approximate</t>
  </si>
  <si>
    <t>AMNH 3296</t>
  </si>
  <si>
    <t>AMNH 3299</t>
  </si>
  <si>
    <t>UCMP 36636</t>
  </si>
  <si>
    <t>KU 9618</t>
  </si>
  <si>
    <t>KU 9616</t>
  </si>
  <si>
    <t>NMMNH P-12152</t>
  </si>
  <si>
    <t>NMMNH P-18820</t>
  </si>
  <si>
    <t>NMMNH P-18825</t>
  </si>
  <si>
    <t>NMMNH P-19733</t>
  </si>
  <si>
    <t>NMMNH P-20680</t>
  </si>
  <si>
    <t>NMMNH P-2797</t>
  </si>
  <si>
    <t>NMMNH P-12340</t>
  </si>
  <si>
    <t>NMMNH P-18862</t>
  </si>
  <si>
    <t>NMMNH P-19809</t>
  </si>
  <si>
    <t>NMMNH P-20991</t>
  </si>
  <si>
    <t>NMMNH P-46323</t>
  </si>
  <si>
    <t>NMMNH P-21931</t>
  </si>
  <si>
    <t>NMMNH P-42969</t>
  </si>
  <si>
    <t>NMMNH P-20944</t>
  </si>
  <si>
    <t>NMMNH P-20941</t>
  </si>
  <si>
    <t>KU 9617</t>
  </si>
  <si>
    <t>approx measures</t>
  </si>
  <si>
    <t>KU 7833a</t>
  </si>
  <si>
    <t>KU 7834</t>
  </si>
  <si>
    <t>KU 7835</t>
  </si>
  <si>
    <t>NMMNH P-21465</t>
  </si>
  <si>
    <t>NMMNH P-15852a</t>
  </si>
  <si>
    <t>NMMNH P-15852b</t>
  </si>
  <si>
    <t>NMMNH P-15852c</t>
  </si>
  <si>
    <t>NMMNH P-20739</t>
  </si>
  <si>
    <t>NMMNH P-21609</t>
  </si>
  <si>
    <t>NMMNH P-27822</t>
  </si>
  <si>
    <t>NMMNH P-30646</t>
  </si>
  <si>
    <t>NMMNH P-35150</t>
  </si>
  <si>
    <t>NMMNH P-48444</t>
  </si>
  <si>
    <t>Mentoclaenodon</t>
  </si>
  <si>
    <t>Auraria</t>
  </si>
  <si>
    <t>mumak</t>
  </si>
  <si>
    <t>wovokae</t>
  </si>
  <si>
    <t>pelvidens</t>
  </si>
  <si>
    <t>acrogenius</t>
  </si>
  <si>
    <t>fremontensis</t>
  </si>
  <si>
    <t>australis</t>
  </si>
  <si>
    <t>orthogonius</t>
  </si>
  <si>
    <t>pseudarctos</t>
  </si>
  <si>
    <t>urbana</t>
  </si>
  <si>
    <t>agapetillus</t>
  </si>
  <si>
    <t>apiculatus</t>
  </si>
  <si>
    <t>archibaldi</t>
  </si>
  <si>
    <t>ferronensis</t>
  </si>
  <si>
    <t>priscilla</t>
  </si>
  <si>
    <t>Secord 1998</t>
  </si>
  <si>
    <t>m1-3 present but only given measures for m2</t>
  </si>
  <si>
    <t>UW 26344</t>
  </si>
  <si>
    <t>UW 26382</t>
  </si>
  <si>
    <t>cf. carinidens</t>
  </si>
  <si>
    <t>UW 26381</t>
  </si>
  <si>
    <t>UW 26490</t>
  </si>
  <si>
    <t>UW 26380</t>
  </si>
  <si>
    <t>approx length</t>
  </si>
  <si>
    <t>Shotgun Fauna</t>
  </si>
  <si>
    <t>UW 26328</t>
  </si>
  <si>
    <t>UW 26329</t>
  </si>
  <si>
    <t>AMNH 16636</t>
  </si>
  <si>
    <t>UW 2263</t>
  </si>
  <si>
    <t>cf. lemuroides</t>
  </si>
  <si>
    <t>M1?</t>
  </si>
  <si>
    <t>UW 26376</t>
  </si>
  <si>
    <t>UW 26375</t>
  </si>
  <si>
    <t>m2?</t>
  </si>
  <si>
    <t>UW 2254</t>
  </si>
  <si>
    <t>USNM 21013</t>
  </si>
  <si>
    <t>Bison Basin Ledge</t>
  </si>
  <si>
    <t>Bison Basin Saddle</t>
  </si>
  <si>
    <t>USNM 20582</t>
  </si>
  <si>
    <t>USNM 20584</t>
  </si>
  <si>
    <t>Gazin 1956</t>
  </si>
  <si>
    <t>cf. pelvidens</t>
  </si>
  <si>
    <t>USNM 20983</t>
  </si>
  <si>
    <t>USNM 21003</t>
  </si>
  <si>
    <t>USNM 21019</t>
  </si>
  <si>
    <t>M2?</t>
  </si>
  <si>
    <t>cf. australis</t>
  </si>
  <si>
    <t>UW 1076</t>
  </si>
  <si>
    <t>demari</t>
  </si>
  <si>
    <t>USNM 20985</t>
  </si>
  <si>
    <t>USNM 20984</t>
  </si>
  <si>
    <t>approx M2 length</t>
  </si>
  <si>
    <t>belli</t>
  </si>
  <si>
    <t>UW 1045</t>
  </si>
  <si>
    <t>USNM 20986</t>
  </si>
  <si>
    <t>USNM 20630</t>
  </si>
  <si>
    <t>cf. procyonoides</t>
  </si>
  <si>
    <t>USNM 20574</t>
  </si>
  <si>
    <t>cf. montanensis</t>
  </si>
  <si>
    <t>approx m2 length</t>
  </si>
  <si>
    <t>cf. ferox</t>
  </si>
  <si>
    <t>USNM 20797</t>
  </si>
  <si>
    <t>USNM 20633</t>
  </si>
  <si>
    <t>USNM 20634</t>
  </si>
  <si>
    <t>lengths are mostlt approx and estimates</t>
  </si>
  <si>
    <t>USNM 20571</t>
  </si>
  <si>
    <t>USNM 21021</t>
  </si>
  <si>
    <t>USNM 21010</t>
  </si>
  <si>
    <t>scaphiscus</t>
  </si>
  <si>
    <t>USNM 21014</t>
  </si>
  <si>
    <t>pelicatus</t>
  </si>
  <si>
    <t>p3 ar approx</t>
  </si>
  <si>
    <t>UW 1078</t>
  </si>
  <si>
    <t>serior</t>
  </si>
  <si>
    <t>USNM 20572</t>
  </si>
  <si>
    <t>Protoselene?</t>
  </si>
  <si>
    <t>USNM 21023</t>
  </si>
  <si>
    <t>Litolestes</t>
  </si>
  <si>
    <t>USNM 21016</t>
  </si>
  <si>
    <t>UW 1079</t>
  </si>
  <si>
    <t>YPM PU 20782</t>
  </si>
  <si>
    <t>Utemylus</t>
  </si>
  <si>
    <t>Litocherus</t>
  </si>
  <si>
    <t>Archibald etal 1983</t>
  </si>
  <si>
    <t>BYU 3856</t>
  </si>
  <si>
    <t>m1?</t>
  </si>
  <si>
    <t>BYU 3798</t>
  </si>
  <si>
    <t>UCMP 89690</t>
  </si>
  <si>
    <t>AMNH 3550</t>
  </si>
  <si>
    <t>UCMP 36640</t>
  </si>
  <si>
    <t>UNM NP-319</t>
  </si>
  <si>
    <t>UCMP 120412</t>
  </si>
  <si>
    <t>UCMP 120380</t>
  </si>
  <si>
    <t>BYU 3825</t>
  </si>
  <si>
    <t>trigonid length of 1.6</t>
  </si>
  <si>
    <t>BYU 3843</t>
  </si>
  <si>
    <t>talonid width approx</t>
  </si>
  <si>
    <t>UCMP 120428</t>
  </si>
  <si>
    <t>UCMP 120381</t>
  </si>
  <si>
    <t>LACM 32923</t>
  </si>
  <si>
    <t>UCMP 120421</t>
  </si>
  <si>
    <t>BYU 3793</t>
  </si>
  <si>
    <t>BYU 3852</t>
  </si>
  <si>
    <t>UCMP 120382</t>
  </si>
  <si>
    <t>UCM 34325</t>
  </si>
  <si>
    <t>Middleton and Dewar 2004</t>
  </si>
  <si>
    <t>UCM 34571</t>
  </si>
  <si>
    <t>UCM 38867</t>
  </si>
  <si>
    <t>estimated posterior width</t>
  </si>
  <si>
    <t>UCM 43149</t>
  </si>
  <si>
    <t>UCM 45586</t>
  </si>
  <si>
    <t>UCM 34569</t>
  </si>
  <si>
    <t>UCM 34576</t>
  </si>
  <si>
    <t>UCM 34577</t>
  </si>
  <si>
    <t>UCM 34602</t>
  </si>
  <si>
    <t>UCM 34605</t>
  </si>
  <si>
    <t>prosterior m1 estiamted</t>
  </si>
  <si>
    <t>UCM 34606</t>
  </si>
  <si>
    <t>UCM 34628</t>
  </si>
  <si>
    <t>UCM 34632</t>
  </si>
  <si>
    <t>UCM 34636</t>
  </si>
  <si>
    <t>length of p4 estimated</t>
  </si>
  <si>
    <t>UCM 34639</t>
  </si>
  <si>
    <t>UCM 34651</t>
  </si>
  <si>
    <t>UCM 34652</t>
  </si>
  <si>
    <t>UCM 34687</t>
  </si>
  <si>
    <t>UCM 35081</t>
  </si>
  <si>
    <t>UCM 35091</t>
  </si>
  <si>
    <t>UCM 35092</t>
  </si>
  <si>
    <t>m1 width estimated</t>
  </si>
  <si>
    <t>UCM 38863</t>
  </si>
  <si>
    <t>UCM 39550</t>
  </si>
  <si>
    <t>UCM 40060</t>
  </si>
  <si>
    <t>UCM 43134</t>
  </si>
  <si>
    <t>posterior p4 estimated</t>
  </si>
  <si>
    <t>UCM 47289</t>
  </si>
  <si>
    <t>UCM 47727</t>
  </si>
  <si>
    <t>UCM 34173</t>
  </si>
  <si>
    <t>cannoni</t>
  </si>
  <si>
    <t>UCM 33882</t>
  </si>
  <si>
    <t>UCM 34607</t>
  </si>
  <si>
    <t>UCM 34610</t>
  </si>
  <si>
    <t>width of P3 estimated</t>
  </si>
  <si>
    <t>UCM 34953</t>
  </si>
  <si>
    <t>UCM 34958</t>
  </si>
  <si>
    <t>UCM 34942</t>
  </si>
  <si>
    <t>length and wifth of p3 and m1 estimated</t>
  </si>
  <si>
    <t>UCM 35087</t>
  </si>
  <si>
    <t>m2 widths estimated</t>
  </si>
  <si>
    <t>UCM 33880</t>
  </si>
  <si>
    <t>many meases estimated</t>
  </si>
  <si>
    <t>UCM 33881</t>
  </si>
  <si>
    <t>UCM 35075</t>
  </si>
  <si>
    <t>UCM 34935</t>
  </si>
  <si>
    <t>UCM 34189</t>
  </si>
  <si>
    <t>UCM 34614</t>
  </si>
  <si>
    <t>UCM 34941</t>
  </si>
  <si>
    <t>UCM 34968</t>
  </si>
  <si>
    <t>AMNH 772</t>
  </si>
  <si>
    <t>Kondrashov and Lucas 2004</t>
  </si>
  <si>
    <t>AMNH 2457</t>
  </si>
  <si>
    <t>AMNH 2459</t>
  </si>
  <si>
    <t>AMNH 2460</t>
  </si>
  <si>
    <t>AMNH 2466</t>
  </si>
  <si>
    <t>AMNH 3260</t>
  </si>
  <si>
    <t>AMNH 3261</t>
  </si>
  <si>
    <t>AMNH 3262</t>
  </si>
  <si>
    <t>AMNH 3269</t>
  </si>
  <si>
    <t>AMNH 3854</t>
  </si>
  <si>
    <t>AMNH 3857</t>
  </si>
  <si>
    <t>AMNH 3862</t>
  </si>
  <si>
    <t>AMNH 3940</t>
  </si>
  <si>
    <t>AMNH 4405</t>
  </si>
  <si>
    <t>AMNH 16002</t>
  </si>
  <si>
    <t>AMNH 16003</t>
  </si>
  <si>
    <t>AMNH 16004</t>
  </si>
  <si>
    <t>p4 length typo?</t>
  </si>
  <si>
    <t>AMNH 16005</t>
  </si>
  <si>
    <t>AMNH 16009</t>
  </si>
  <si>
    <t>AMNH 16010</t>
  </si>
  <si>
    <t>AMNH 16541</t>
  </si>
  <si>
    <t>NMMNH 803</t>
  </si>
  <si>
    <t>NMMNH 964</t>
  </si>
  <si>
    <t>NMMNH 1030</t>
  </si>
  <si>
    <t>NMMNH 1116</t>
  </si>
  <si>
    <t>NMMNH 2169</t>
  </si>
  <si>
    <t>NMMNH 2179</t>
  </si>
  <si>
    <t>NMMNH 12281</t>
  </si>
  <si>
    <t>NMMNH 15785</t>
  </si>
  <si>
    <t>NMMNH 15939</t>
  </si>
  <si>
    <t>NMMNH 16169</t>
  </si>
  <si>
    <t>NMMNH 16248</t>
  </si>
  <si>
    <t>NMMNH 16352</t>
  </si>
  <si>
    <t>NMMNH 21067</t>
  </si>
  <si>
    <t>NMMNH 21258</t>
  </si>
  <si>
    <t>NMMNH 21577</t>
  </si>
  <si>
    <t>NMMNH 21763</t>
  </si>
  <si>
    <t>NMMNH 22038</t>
  </si>
  <si>
    <t>NMMNH 27836</t>
  </si>
  <si>
    <t>NMMNH 29412</t>
  </si>
  <si>
    <t>NMMNH 30539</t>
  </si>
  <si>
    <t>USNM 5905</t>
  </si>
  <si>
    <t>USNM 15335</t>
  </si>
  <si>
    <t>USNM 15337</t>
  </si>
  <si>
    <t>USNM 15338</t>
  </si>
  <si>
    <t>USNM 15339</t>
  </si>
  <si>
    <t>USNM 20576</t>
  </si>
  <si>
    <t>USNM 21006</t>
  </si>
  <si>
    <t>USNM 407538</t>
  </si>
  <si>
    <t>USNM 407540</t>
  </si>
  <si>
    <t>USNM 407541</t>
  </si>
  <si>
    <t>USNM 407543</t>
  </si>
  <si>
    <t>USNM 407545</t>
  </si>
  <si>
    <t>YPM-PU 13755b</t>
  </si>
  <si>
    <t>YPM-PU 13755c</t>
  </si>
  <si>
    <t>YPM-PU 14258</t>
  </si>
  <si>
    <t>YPM-PU 17527</t>
  </si>
  <si>
    <t>PU-1704</t>
  </si>
  <si>
    <t>YPM-PU 13215</t>
  </si>
  <si>
    <t>AMNH 3259</t>
  </si>
  <si>
    <t>AMNH 3270</t>
  </si>
  <si>
    <t>AMNH 3272</t>
  </si>
  <si>
    <t>AMNH 3852a</t>
  </si>
  <si>
    <t>AMNH 16006</t>
  </si>
  <si>
    <t>AMNH 16007</t>
  </si>
  <si>
    <t>NMMNH 817</t>
  </si>
  <si>
    <t>NMMNH 1566</t>
  </si>
  <si>
    <t>NMMNH 2129</t>
  </si>
  <si>
    <t>NMMNH 2230</t>
  </si>
  <si>
    <t>NMMNH 2239</t>
  </si>
  <si>
    <t>NMMNH 2622</t>
  </si>
  <si>
    <t>NMMNH 8627</t>
  </si>
  <si>
    <t>NMMNH 15368</t>
  </si>
  <si>
    <t>NMMNH 15943</t>
  </si>
  <si>
    <t>NMMNH 16153</t>
  </si>
  <si>
    <t>NMMNH 16293</t>
  </si>
  <si>
    <t>NMMNH 21589</t>
  </si>
  <si>
    <t>NMMNH 30700</t>
  </si>
  <si>
    <t>USNM 20796</t>
  </si>
  <si>
    <t>USNM 407533</t>
  </si>
  <si>
    <t>USNM 407536</t>
  </si>
  <si>
    <t>USNM 407537</t>
  </si>
  <si>
    <t>USNM 407539</t>
  </si>
  <si>
    <t>YPM PU 13755</t>
  </si>
  <si>
    <t>YPM PU 13755d</t>
  </si>
  <si>
    <t>YPM PU 14194</t>
  </si>
  <si>
    <t>YPM PU 18530</t>
  </si>
  <si>
    <t>NMMNH 21025</t>
  </si>
  <si>
    <t>USNM 8386</t>
  </si>
  <si>
    <t>USNM 20573</t>
  </si>
  <si>
    <t>USNM 405046</t>
  </si>
  <si>
    <t>YPM-PU 14020</t>
  </si>
  <si>
    <t>YPM-PU 14257</t>
  </si>
  <si>
    <t>YPM-PU 18440</t>
  </si>
  <si>
    <t>YPM-PU 18771</t>
  </si>
  <si>
    <t>YPM-PU 18925</t>
  </si>
  <si>
    <t>YPM-PU 18996</t>
  </si>
  <si>
    <t>YPM-PU 20280</t>
  </si>
  <si>
    <t>YPM-PU 20394</t>
  </si>
  <si>
    <t>USNM 8368</t>
  </si>
  <si>
    <t>AMNH 3258</t>
  </si>
  <si>
    <t>YPM-PU 13204</t>
  </si>
  <si>
    <t>YPM-PU 13756e</t>
  </si>
  <si>
    <t>YPM-PU 14857</t>
  </si>
  <si>
    <t>YPM-PU 17730</t>
  </si>
  <si>
    <t>YPM-PU 16593</t>
  </si>
  <si>
    <t>YPM-PU 18918</t>
  </si>
  <si>
    <t>YPM-PU 1704</t>
  </si>
  <si>
    <t>taxonomic issues as its not in PBDB</t>
  </si>
  <si>
    <t>taxonomic issues as its not in PBDB; same # as A. ferox</t>
  </si>
  <si>
    <t>Neoclaenodon</t>
  </si>
  <si>
    <t>Gidley 1919</t>
  </si>
  <si>
    <t>P3 and P4 measures not given despite being present</t>
  </si>
  <si>
    <t>species average?</t>
  </si>
  <si>
    <t>Phenacodonta</t>
  </si>
  <si>
    <t>Phenacodontidae</t>
  </si>
  <si>
    <t>Meniscotheriinae</t>
  </si>
  <si>
    <t>Ectocion</t>
  </si>
  <si>
    <t>cedrus</t>
  </si>
  <si>
    <t>Plesiadapis rex zone, Cedar Point Quarry</t>
  </si>
  <si>
    <t>locality average</t>
  </si>
  <si>
    <t>Thewissen 1990</t>
  </si>
  <si>
    <t>collinus</t>
  </si>
  <si>
    <t>Plesiadapis praecursor zone, Douglass Quarry</t>
  </si>
  <si>
    <t>IGM 3675</t>
  </si>
  <si>
    <t>ignotum</t>
  </si>
  <si>
    <t>Baja</t>
  </si>
  <si>
    <t>Lomas Las Tetas De Cabra Fauna</t>
  </si>
  <si>
    <t>Novacek etal 1991</t>
  </si>
  <si>
    <t>major</t>
  </si>
  <si>
    <t>Clarkforkian</t>
  </si>
  <si>
    <t>Piceance Basin</t>
  </si>
  <si>
    <t>mediotuber</t>
  </si>
  <si>
    <t>Plesiadapis simonsi zone, Clarks Forks Basin</t>
  </si>
  <si>
    <t>nanabeensis</t>
  </si>
  <si>
    <t>AMNH 56159</t>
  </si>
  <si>
    <t>osbornianus</t>
  </si>
  <si>
    <t>text</t>
  </si>
  <si>
    <t>AMNH 56160</t>
  </si>
  <si>
    <t>AMNH 56161</t>
  </si>
  <si>
    <t>ralstonensis</t>
  </si>
  <si>
    <t>based on mean values from Thewissen 1990</t>
  </si>
  <si>
    <t>Bai etal 2019</t>
  </si>
  <si>
    <t>Plesiadapis gingerichi zone, Bighorn Basin</t>
  </si>
  <si>
    <t>Plesiadapis cookei zone, Bighorn Basin</t>
  </si>
  <si>
    <t>Phenacodus-ectocion zone, Bighorn basin</t>
  </si>
  <si>
    <t>Lower Haplomylus-Ectocion zone, Bighorn Basin</t>
  </si>
  <si>
    <t>Upper Haplomylus-Ectocion zone, Bighorn Basin</t>
  </si>
  <si>
    <t>UCMP 44799</t>
  </si>
  <si>
    <t>USNM 20645</t>
  </si>
  <si>
    <t>cf. osbornianum</t>
  </si>
  <si>
    <t>USNM 20736</t>
  </si>
  <si>
    <t>parvus</t>
  </si>
  <si>
    <t>Cantius torresi zone, Bighorn Basin</t>
  </si>
  <si>
    <t>superstes</t>
  </si>
  <si>
    <t>Palaeosynops zone, Wind River basin</t>
  </si>
  <si>
    <t>UM 100027</t>
  </si>
  <si>
    <t>Meniscotherium</t>
  </si>
  <si>
    <t>chamense</t>
  </si>
  <si>
    <t>UM 102838</t>
  </si>
  <si>
    <t>IGM 3676</t>
  </si>
  <si>
    <t>priscum</t>
  </si>
  <si>
    <t>cf. priscum</t>
  </si>
  <si>
    <t>IGM 3677</t>
  </si>
  <si>
    <t>M2 length is estimate</t>
  </si>
  <si>
    <t>IGM 3678</t>
  </si>
  <si>
    <t>IGM 3679</t>
  </si>
  <si>
    <t>IGM 3680</t>
  </si>
  <si>
    <t>IGM 4035</t>
  </si>
  <si>
    <t>AMNH 56187</t>
  </si>
  <si>
    <t>Copecion</t>
  </si>
  <si>
    <t>brachypternus</t>
  </si>
  <si>
    <t>Phenacodus</t>
  </si>
  <si>
    <t>AMNH 56188</t>
  </si>
  <si>
    <t>AMNH 56189</t>
  </si>
  <si>
    <t>AMNH 56190</t>
  </si>
  <si>
    <t>AMNH 56191</t>
  </si>
  <si>
    <t>Bunophorus zone, Bighorn Basin</t>
  </si>
  <si>
    <t>Heptodon Zone, Bighorn Basin</t>
  </si>
  <si>
    <t>UM 74602</t>
  </si>
  <si>
    <t>UM 75723</t>
  </si>
  <si>
    <t>AMNH 16060</t>
  </si>
  <si>
    <t>Lophocion</t>
  </si>
  <si>
    <t>Opisthotomus</t>
  </si>
  <si>
    <t>astutus</t>
  </si>
  <si>
    <t>Cope 1874</t>
  </si>
  <si>
    <t>flagrans</t>
  </si>
  <si>
    <t>length listed as 0.12 M but that seems to be a typo</t>
  </si>
  <si>
    <t>bisonensis</t>
  </si>
  <si>
    <t>Plesiadapis anceps zone, Bighorn Basin</t>
  </si>
  <si>
    <t>Plesiadapis rex zone, Bison Basin</t>
  </si>
  <si>
    <t>Plesiadapis simonsi zone,Bighorn Basin</t>
  </si>
  <si>
    <t>intermedius</t>
  </si>
  <si>
    <t>Plesiadapis gingerichi zone, Clarks Form Basin</t>
  </si>
  <si>
    <t>USNM 20644</t>
  </si>
  <si>
    <t>magnus</t>
  </si>
  <si>
    <t>AMNH 17191</t>
  </si>
  <si>
    <t>from table</t>
  </si>
  <si>
    <t>AMNH 17193</t>
  </si>
  <si>
    <t>UCMP 4034</t>
  </si>
  <si>
    <t>"matthewi"</t>
  </si>
  <si>
    <t>Mckenna 1960; pg 98 fig 52</t>
  </si>
  <si>
    <t>UCMP 46168</t>
  </si>
  <si>
    <t>AMNH 56053</t>
  </si>
  <si>
    <t>primaevus</t>
  </si>
  <si>
    <t>estimated from graph; graph also has many M2 measures but no data for specimens associated</t>
  </si>
  <si>
    <t>West and Atkins 1970</t>
  </si>
  <si>
    <t>AMNH 56192</t>
  </si>
  <si>
    <t>AMNH 56193</t>
  </si>
  <si>
    <t>AMNH 56194</t>
  </si>
  <si>
    <t>AMNH 56195</t>
  </si>
  <si>
    <t>Tiffany Tooth?</t>
  </si>
  <si>
    <t>Should be fixed as of 11:12am 1/21/2021.  Might be specimen AMNH 17192 refrred to as P. grangeri but not mentione dby Simpson 1935.  Paper says it "serves to tie Powder River anmila, if not primaevus complex to Paleocene forms.</t>
  </si>
  <si>
    <t>USNM 21287</t>
  </si>
  <si>
    <t>m2 is approximate</t>
  </si>
  <si>
    <t>primaeous</t>
  </si>
  <si>
    <t>described as a posterior superior molar tooth (M2 or M3?)</t>
  </si>
  <si>
    <t>Cope 1873 Fourth Notice of Extinct Vertebrata</t>
  </si>
  <si>
    <t>UM 761274</t>
  </si>
  <si>
    <t>UM 76176</t>
  </si>
  <si>
    <t>UM 76269</t>
  </si>
  <si>
    <t>UM 76945</t>
  </si>
  <si>
    <t>trilobatus</t>
  </si>
  <si>
    <t>AMNH 16125</t>
  </si>
  <si>
    <t>vortmani</t>
  </si>
  <si>
    <t>might be only set so far that is in correct Lxw order.  for some reason the tables are set as W then L so the measures written in text may be the same.  All measures form this paper not from tables might need to be swapped to be correct</t>
  </si>
  <si>
    <t>AMNH 56186</t>
  </si>
  <si>
    <t>p3 in paper are from other side of AMNH 56328 so only included measures identifyable to this specimen only</t>
  </si>
  <si>
    <t>AMNH 56328</t>
  </si>
  <si>
    <t>IGM 4034</t>
  </si>
  <si>
    <t>cf. vortmani</t>
  </si>
  <si>
    <t>Plesiadapis simonsi zone</t>
  </si>
  <si>
    <t>Phenacodus-ectocion zone, Clark Fork Basin</t>
  </si>
  <si>
    <t>USM 16691</t>
  </si>
  <si>
    <t>almiensis</t>
  </si>
  <si>
    <t>Gazin 1942</t>
  </si>
  <si>
    <t>USNM 16691</t>
  </si>
  <si>
    <t>USNM 20643</t>
  </si>
  <si>
    <t>USNM 21286</t>
  </si>
  <si>
    <t>measures are estimates</t>
  </si>
  <si>
    <t>Tetraclaenodon</t>
  </si>
  <si>
    <t>puercensis</t>
  </si>
  <si>
    <t>Pantolambda Zone, Rock Bench Quarry</t>
  </si>
  <si>
    <t>Tetraclaenodon zone, Big Pocket</t>
  </si>
  <si>
    <t>Pantolambda Zone, Crazy Mountain Basin</t>
  </si>
  <si>
    <t>lists m3 twice with different N counts, locality average</t>
  </si>
  <si>
    <t>CM 67866</t>
  </si>
  <si>
    <t>YPM PU 23985</t>
  </si>
  <si>
    <t>AMNH 3866</t>
  </si>
  <si>
    <t>AMNH 3832</t>
  </si>
  <si>
    <t>symbolicus</t>
  </si>
  <si>
    <t>USNM 6169</t>
  </si>
  <si>
    <t>USNM 9925</t>
  </si>
  <si>
    <t>AMNH 3897</t>
  </si>
  <si>
    <t>pliciferus</t>
  </si>
  <si>
    <t>YPM 12048</t>
  </si>
  <si>
    <t>Gidleyina</t>
  </si>
  <si>
    <t>YPM 14190</t>
  </si>
  <si>
    <t>montanensis?</t>
  </si>
  <si>
    <t>USNM 6166</t>
  </si>
  <si>
    <t>?Gidleyina</t>
  </si>
  <si>
    <t>USNM 11913</t>
  </si>
  <si>
    <t>superior</t>
  </si>
  <si>
    <t>TMP 2010.097.0093</t>
  </si>
  <si>
    <t>OMNH 27667</t>
  </si>
  <si>
    <t>Aphronorus</t>
  </si>
  <si>
    <t>simpsoni</t>
  </si>
  <si>
    <t>NMMNH P-20494</t>
  </si>
  <si>
    <t>puercensis "pliciferus"</t>
  </si>
  <si>
    <t>listed as the smaller subspecies "pliciferus";p4 mostly in crypt so not measures given; have postcrania and body mass estimates</t>
  </si>
  <si>
    <t>Kondrashov and Lucas 2012</t>
  </si>
  <si>
    <t>UW 14151</t>
  </si>
  <si>
    <t>UW 26361</t>
  </si>
  <si>
    <t>approx M1 length</t>
  </si>
  <si>
    <t>UW 26362</t>
  </si>
  <si>
    <t>USNM 20795</t>
  </si>
  <si>
    <t>wyomingensis</t>
  </si>
  <si>
    <t>approx M1 width</t>
  </si>
  <si>
    <t>USNM 20790</t>
  </si>
  <si>
    <t>USNM 20793</t>
  </si>
  <si>
    <t>USNM 20564</t>
  </si>
  <si>
    <t>Phenacodus?</t>
  </si>
  <si>
    <t>USNM 20566</t>
  </si>
  <si>
    <t>USNM 20567</t>
  </si>
  <si>
    <t>approx m3 length</t>
  </si>
  <si>
    <t>USNM 20569</t>
  </si>
  <si>
    <t>USNM 21025</t>
  </si>
  <si>
    <t>might not be proper mentions; just mention the M3</t>
  </si>
  <si>
    <t>AMNH 16163</t>
  </si>
  <si>
    <t>AMNH 15952</t>
  </si>
  <si>
    <t>septentrionalis</t>
  </si>
  <si>
    <t>Spanoxyodon</t>
  </si>
  <si>
    <t>PBDB Paper ID</t>
  </si>
  <si>
    <t>says these measurements are from Thewissen 1990</t>
  </si>
  <si>
    <t>M1 and M2 measured by plates; taken from Patterson and West 1973</t>
  </si>
  <si>
    <t>Date Recorded</t>
  </si>
  <si>
    <t>says these measurements are from Beard and Dawson 2009</t>
  </si>
  <si>
    <t>asiaticus</t>
  </si>
  <si>
    <t>says these measurements are from Novacek 1991</t>
  </si>
  <si>
    <t>SPSM 62-2028</t>
  </si>
  <si>
    <t>Titanoides</t>
  </si>
  <si>
    <t>Pantodonta</t>
  </si>
  <si>
    <t>Coryphodontidae</t>
  </si>
  <si>
    <t>measures differ slightly as indicated by asterisk</t>
  </si>
  <si>
    <t>UW 1093</t>
  </si>
  <si>
    <t>Caenolambda</t>
  </si>
  <si>
    <t>pattersoni</t>
  </si>
  <si>
    <t>USNM 21036</t>
  </si>
  <si>
    <t>USNM 21282</t>
  </si>
  <si>
    <t>Anacodon?</t>
  </si>
  <si>
    <t>nexus</t>
  </si>
  <si>
    <t>Probobathyopsis?</t>
  </si>
  <si>
    <t>Uintatheriidae</t>
  </si>
  <si>
    <t>Dinocerata</t>
  </si>
  <si>
    <t>USNM 21283</t>
  </si>
  <si>
    <t>Probobathyopsis</t>
  </si>
  <si>
    <t>UM 83740</t>
  </si>
  <si>
    <t>cf. brachypternus</t>
  </si>
  <si>
    <t>AMNH 3587</t>
  </si>
  <si>
    <t>kowalevskianus</t>
  </si>
  <si>
    <t>listed as P-m IV but based on prior sentence I tink it is the lowers.  This is under auhor description section so I think it is the type being measured.</t>
  </si>
  <si>
    <t>AMNH 15711</t>
  </si>
  <si>
    <t>Type</t>
  </si>
  <si>
    <t>T</t>
  </si>
  <si>
    <t>grandaletes</t>
  </si>
  <si>
    <t>UALVP 45099</t>
  </si>
  <si>
    <t>UALVP 124</t>
  </si>
  <si>
    <t>UALVP 24993</t>
  </si>
  <si>
    <t>UALVP 42872</t>
  </si>
  <si>
    <t>UW 26343</t>
  </si>
  <si>
    <t>USNM 6158</t>
  </si>
  <si>
    <t>?Claenodon</t>
  </si>
  <si>
    <t>USNM 9567</t>
  </si>
  <si>
    <t>gives both gidley and his own measurements on the same specimen</t>
  </si>
  <si>
    <t>AMNH 17074</t>
  </si>
  <si>
    <t>CM 12476</t>
  </si>
  <si>
    <t>UM 84535</t>
  </si>
  <si>
    <t>UM 84536</t>
  </si>
  <si>
    <t>YPM PU 17591</t>
  </si>
  <si>
    <t>YPM PU 14398</t>
  </si>
  <si>
    <t>Phenacodaptes</t>
  </si>
  <si>
    <t>sabulosus</t>
  </si>
  <si>
    <t>Clemens and Wilson 2009</t>
  </si>
  <si>
    <t>No #</t>
  </si>
  <si>
    <t>Nomen</t>
  </si>
  <si>
    <t>dubium</t>
  </si>
  <si>
    <t>Cope 1873</t>
  </si>
  <si>
    <t>Condylarthra</t>
  </si>
  <si>
    <t>Coryphodon</t>
  </si>
  <si>
    <t>armatus</t>
  </si>
  <si>
    <t>Bathmodon</t>
  </si>
  <si>
    <t>elephantopus</t>
  </si>
  <si>
    <t>lomas</t>
  </si>
  <si>
    <t>crow of last inferior molar</t>
  </si>
  <si>
    <t>molestus</t>
  </si>
  <si>
    <t>superior molar likely relate to last superior moalr mentioned in text</t>
  </si>
  <si>
    <t>simus</t>
  </si>
  <si>
    <t>listed m2 as lower penultimate molar</t>
  </si>
  <si>
    <t>acer</t>
  </si>
  <si>
    <t>refers to teeth as last 4 premolars and last 3 molars?...4th premolar and 3 molars?.  Treated is as 4th premolar and m1-m3</t>
  </si>
  <si>
    <t>gives measures for the penultimate and last molars.  Might be able to get lenght of middle molar (m2) using the lenght of all 3 or last 2.</t>
  </si>
  <si>
    <t>burmeisterii</t>
  </si>
  <si>
    <t>measurement for last molar</t>
  </si>
  <si>
    <t>Species average</t>
  </si>
  <si>
    <t>comprised of multiple specimens; only provide distinct measurement for 1st true molar (m1);  other measures are m1-m3 and 2 last premolars</t>
  </si>
  <si>
    <t>does not indicate if upper or lowers; mentions premolars but only provides measures for penultimate molar (assumed M2 but may be wrong);  otherwise measures for last 4 and true molars present; length last 4 molars=0.029m and true molars=0.022m</t>
  </si>
  <si>
    <t>omnivorus</t>
  </si>
  <si>
    <t>listed as superior molar?</t>
  </si>
  <si>
    <t>describe a dentiton but only lists last molar for measurement; not sure if this opper or lower but if type its upper M3.</t>
  </si>
  <si>
    <t xml:space="preserve">Nomen </t>
  </si>
  <si>
    <t>sulcatus</t>
  </si>
  <si>
    <t>superior molar?; reproted as corresponding to tooth in Phenacodus omnivorus of same volume</t>
  </si>
  <si>
    <t>Cope 1875</t>
  </si>
  <si>
    <t>Gazin 1962</t>
  </si>
  <si>
    <t>Plate 9, figures 5-7</t>
  </si>
  <si>
    <t>average</t>
  </si>
  <si>
    <t>Mantua Lentil</t>
  </si>
  <si>
    <t>Lofgren 1995</t>
  </si>
  <si>
    <t>UCMP 132308</t>
  </si>
  <si>
    <t>V87091</t>
  </si>
  <si>
    <t>anterior width approx</t>
  </si>
  <si>
    <t>UCMP 134695</t>
  </si>
  <si>
    <t>V87072</t>
  </si>
  <si>
    <t>morgoth</t>
  </si>
  <si>
    <t>McGuire Creek</t>
  </si>
  <si>
    <t>UCMP 132227</t>
  </si>
  <si>
    <t>V87151</t>
  </si>
  <si>
    <t>UCMP 132340</t>
  </si>
  <si>
    <t>V87029</t>
  </si>
  <si>
    <t>UCMP 132454</t>
  </si>
  <si>
    <t>V86031</t>
  </si>
  <si>
    <t>UCMP 132620</t>
  </si>
  <si>
    <t>V87037</t>
  </si>
  <si>
    <t>UCMP 133148</t>
  </si>
  <si>
    <t>V87049</t>
  </si>
  <si>
    <t>UCMP 133446</t>
  </si>
  <si>
    <t>UCMP 133853</t>
  </si>
  <si>
    <t>V87098</t>
  </si>
  <si>
    <t>UCMP 134574</t>
  </si>
  <si>
    <t>V87101</t>
  </si>
  <si>
    <t>UCMP 134589</t>
  </si>
  <si>
    <t>V87123</t>
  </si>
  <si>
    <t>UCMP 134590</t>
  </si>
  <si>
    <t>V87088</t>
  </si>
  <si>
    <t>UCMP 134634</t>
  </si>
  <si>
    <t>UCMP 134639</t>
  </si>
  <si>
    <t>UCMP 134640</t>
  </si>
  <si>
    <t>UMVP 1560</t>
  </si>
  <si>
    <t>V71203</t>
  </si>
  <si>
    <t>Harbicht Hill</t>
  </si>
  <si>
    <t>M2 approximate</t>
  </si>
  <si>
    <t>UCMP 132348</t>
  </si>
  <si>
    <t>UCMP 132350</t>
  </si>
  <si>
    <t>V87052</t>
  </si>
  <si>
    <t>UCMP 133068</t>
  </si>
  <si>
    <t>V87038</t>
  </si>
  <si>
    <t>UMVP 1561</t>
  </si>
  <si>
    <t>UCMP 132341</t>
  </si>
  <si>
    <t>UCMP 132461</t>
  </si>
  <si>
    <t>UCMP 132471</t>
  </si>
  <si>
    <t>V87034</t>
  </si>
  <si>
    <t>UCMP 132495</t>
  </si>
  <si>
    <t>V87036</t>
  </si>
  <si>
    <t>length of M1 is approximate</t>
  </si>
  <si>
    <t>UCMP 132498</t>
  </si>
  <si>
    <t>V87035</t>
  </si>
  <si>
    <t>UCMP 132499</t>
  </si>
  <si>
    <t>UCMP 132595</t>
  </si>
  <si>
    <t>UCMP 132614</t>
  </si>
  <si>
    <t>UCMP 132811</t>
  </si>
  <si>
    <t>V87084</t>
  </si>
  <si>
    <t>UCMP 133063</t>
  </si>
  <si>
    <t>widths of M1 is approximate</t>
  </si>
  <si>
    <t>UCMP 133517</t>
  </si>
  <si>
    <t>UCMP 133820</t>
  </si>
  <si>
    <t>UCMP 133838</t>
  </si>
  <si>
    <t>UCMP 134696</t>
  </si>
  <si>
    <t>UCMP 134772</t>
  </si>
  <si>
    <t>gorgon</t>
  </si>
  <si>
    <t>UCMP 132117</t>
  </si>
  <si>
    <t>UCMP 132145</t>
  </si>
  <si>
    <t>UCMP 132345</t>
  </si>
  <si>
    <t>UCMP 132436</t>
  </si>
  <si>
    <t>V87124</t>
  </si>
  <si>
    <t>UCMP 132439</t>
  </si>
  <si>
    <t>V87119</t>
  </si>
  <si>
    <t>UCMP 132502</t>
  </si>
  <si>
    <t>anterior width is approximate</t>
  </si>
  <si>
    <t>UCMP 132505</t>
  </si>
  <si>
    <t>UCMP 132507</t>
  </si>
  <si>
    <t>UCMP 132525</t>
  </si>
  <si>
    <t>V87077</t>
  </si>
  <si>
    <t>lenght and anterior width are approximate</t>
  </si>
  <si>
    <t>UCMP 133247</t>
  </si>
  <si>
    <t>V87071</t>
  </si>
  <si>
    <t>UCMP 133817</t>
  </si>
  <si>
    <t>V87107</t>
  </si>
  <si>
    <t>UCMP 133837</t>
  </si>
  <si>
    <t>V87115</t>
  </si>
  <si>
    <t>UCMP 134558</t>
  </si>
  <si>
    <t>y</t>
  </si>
  <si>
    <t>approximate length</t>
  </si>
  <si>
    <t>UCMP 134622</t>
  </si>
  <si>
    <t>V87028</t>
  </si>
  <si>
    <t>UCMP 121782</t>
  </si>
  <si>
    <t>mckeeveri</t>
  </si>
  <si>
    <t>V72210</t>
  </si>
  <si>
    <t>No specimen # justcalled the type in table 41.</t>
  </si>
  <si>
    <t>UCMP 132307</t>
  </si>
  <si>
    <t>V87050</t>
  </si>
  <si>
    <t>UCMP 132435</t>
  </si>
  <si>
    <t>V87033</t>
  </si>
  <si>
    <t>UCMP 132444</t>
  </si>
  <si>
    <t>UCMP 132458</t>
  </si>
  <si>
    <t>m2 anterior width is approx</t>
  </si>
  <si>
    <t>UCMP 134591</t>
  </si>
  <si>
    <t>V88044</t>
  </si>
  <si>
    <t>UCMP 134592</t>
  </si>
  <si>
    <t>UCMP 134693</t>
  </si>
  <si>
    <t>UCMP 134694</t>
  </si>
  <si>
    <t>UCMP 134797</t>
  </si>
  <si>
    <t>Rachel</t>
  </si>
  <si>
    <t>Need to Crop</t>
  </si>
  <si>
    <t>AMNH 4261</t>
  </si>
  <si>
    <t>AMNH 15732</t>
  </si>
  <si>
    <t>Mesonycidae</t>
  </si>
  <si>
    <t>Dissacus</t>
  </si>
  <si>
    <t>navajovius</t>
  </si>
  <si>
    <t>longeovus</t>
  </si>
  <si>
    <t>No</t>
  </si>
  <si>
    <t>No # given</t>
  </si>
  <si>
    <t>Ankalagon</t>
  </si>
  <si>
    <t>saurognathus</t>
  </si>
  <si>
    <t>AMNH 12781</t>
  </si>
  <si>
    <t>Hapalodectes</t>
  </si>
  <si>
    <t>leptognathus</t>
  </si>
  <si>
    <t>compressus</t>
  </si>
  <si>
    <t>??</t>
  </si>
  <si>
    <t>AMNH 14748</t>
  </si>
  <si>
    <t>Does nto state where depth was taken but context suggests at m3</t>
  </si>
  <si>
    <t>AMNH 78</t>
  </si>
  <si>
    <t>AMNH 15227</t>
  </si>
  <si>
    <t>Pachyaena</t>
  </si>
  <si>
    <t>gigantea</t>
  </si>
  <si>
    <t>AMNH 15228</t>
  </si>
  <si>
    <t>ponderosa</t>
  </si>
  <si>
    <t>Is m3 meausre l or w</t>
  </si>
  <si>
    <t>AMNH 15259</t>
  </si>
  <si>
    <t>AMNH 2959</t>
  </si>
  <si>
    <t>AMNH 72</t>
  </si>
  <si>
    <t>AMNH 15728</t>
  </si>
  <si>
    <t>gracilis</t>
  </si>
  <si>
    <t>AMNH 15730</t>
  </si>
  <si>
    <t>ossifraga</t>
  </si>
  <si>
    <t>Are the aggregate measures for the lower or upper dentition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</si>
</sst>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i/>
      <sz val="12"/>
      <color rgb="FF333333"/>
      <name val="Open-Sans"/>
      <family val="2"/>
      <charset val="1"/>
    </font>
    <font>
      <sz val="11"/>
      <color rgb="FF444444"/>
      <name val="Calibri"/>
      <family val="2"/>
      <charset val="1"/>
    </font>
    <font>
      <sz val="12"/>
      <color rgb="FF000000"/>
      <name val="Calibri"/>
      <family val="2"/>
    </font>
    <font>
      <i/>
      <sz val="11"/>
      <color theme="1"/>
      <name val="Calibri"/>
      <family val="2"/>
      <scheme val="minor"/>
    </font>
    <font>
      <sz val="11"/>
      <name val="Calibri"/>
      <family val="2"/>
      <scheme val="minor"/>
    </font>
    <font>
      <sz val="8"/>
      <name val="Calibri"/>
      <family val="2"/>
      <scheme val="minor"/>
    </font>
    <font>
      <sz val="11"/>
      <color rgb="FF000000"/>
      <name val="Calibri"/>
      <family val="2"/>
      <scheme val="minor"/>
    </font>
    <font>
      <b/>
      <sz val="11"/>
      <color theme="1"/>
      <name val="Calibri"/>
      <family val="2"/>
      <scheme val="minor"/>
    </font>
    <font>
      <i/>
      <sz val="14"/>
      <color rgb="FF333333"/>
      <name val="Arial"/>
      <family val="2"/>
    </font>
    <font>
      <i/>
      <sz val="11"/>
      <color rgb="FF333333"/>
      <name val="Arial"/>
      <family val="2"/>
    </font>
    <font>
      <sz val="11"/>
      <color theme="1"/>
      <name val="Calibri"/>
      <family val="2"/>
      <scheme val="minor"/>
    </font>
    <font>
      <sz val="14"/>
      <color rgb="FF333333"/>
      <name val="Arial"/>
      <family val="2"/>
    </font>
    <font>
      <sz val="10"/>
      <color theme="1"/>
      <name val="Calibri"/>
      <family val="2"/>
      <scheme val="minor"/>
    </font>
    <font>
      <sz val="12"/>
      <color rgb="FF000000"/>
      <name val="Calibri"/>
      <family val="2"/>
      <scheme val="minor"/>
    </font>
    <font>
      <sz val="11"/>
      <color theme="1"/>
      <name val="Arial"/>
      <family val="2"/>
    </font>
    <font>
      <i/>
      <sz val="12"/>
      <color rgb="FF333333"/>
      <name val="Arial"/>
      <family val="2"/>
    </font>
    <font>
      <sz val="11"/>
      <color rgb="FF000000"/>
      <name val="Inconsolata"/>
    </font>
    <font>
      <i/>
      <sz val="12"/>
      <color rgb="FF333333"/>
      <name val="Open-Sans"/>
    </font>
  </fonts>
  <fills count="21">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5" tint="-0.249977111117893"/>
        <bgColor indexed="64"/>
      </patternFill>
    </fill>
    <fill>
      <patternFill patternType="solid">
        <fgColor theme="6" tint="0.39997558519241921"/>
        <bgColor indexed="64"/>
      </patternFill>
    </fill>
    <fill>
      <patternFill patternType="solid">
        <fgColor rgb="FFFF0000"/>
        <bgColor indexed="64"/>
      </patternFill>
    </fill>
    <fill>
      <patternFill patternType="solid">
        <fgColor rgb="FFFFC000"/>
        <bgColor indexed="64"/>
      </patternFill>
    </fill>
    <fill>
      <patternFill patternType="solid">
        <fgColor theme="0" tint="-0.249977111117893"/>
        <bgColor indexed="64"/>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
      <patternFill patternType="solid">
        <fgColor rgb="FFFFF2CC"/>
        <bgColor rgb="FFFFF2CC"/>
      </patternFill>
    </fill>
    <fill>
      <patternFill patternType="solid">
        <fgColor theme="8" tint="0.59999389629810485"/>
        <bgColor rgb="FFC9DAF8"/>
      </patternFill>
    </fill>
    <fill>
      <patternFill patternType="solid">
        <fgColor rgb="FFBDD6EE"/>
        <bgColor rgb="FFBDD6EE"/>
      </patternFill>
    </fill>
    <fill>
      <patternFill patternType="solid">
        <fgColor rgb="FFFFFF00"/>
        <bgColor rgb="FFFFFF00"/>
      </patternFill>
    </fill>
  </fills>
  <borders count="1">
    <border>
      <left/>
      <right/>
      <top/>
      <bottom/>
      <diagonal/>
    </border>
  </borders>
  <cellStyleXfs count="1">
    <xf numFmtId="0" fontId="0" fillId="0" borderId="0"/>
  </cellStyleXfs>
  <cellXfs count="84">
    <xf numFmtId="0" fontId="0" fillId="0" borderId="0" xfId="0"/>
    <xf numFmtId="0" fontId="1" fillId="0" borderId="0" xfId="0" applyFont="1"/>
    <xf numFmtId="0" fontId="2" fillId="0" borderId="0" xfId="0" applyFont="1"/>
    <xf numFmtId="0" fontId="0" fillId="0" borderId="0" xfId="0" quotePrefix="1"/>
    <xf numFmtId="0" fontId="0" fillId="2" borderId="0" xfId="0" applyFill="1"/>
    <xf numFmtId="0" fontId="4" fillId="0" borderId="0" xfId="0" applyFont="1"/>
    <xf numFmtId="2" fontId="0" fillId="0" borderId="0" xfId="0" applyNumberFormat="1"/>
    <xf numFmtId="18" fontId="0" fillId="0" borderId="0" xfId="0" applyNumberFormat="1"/>
    <xf numFmtId="0" fontId="0" fillId="3" borderId="0" xfId="0" applyFill="1"/>
    <xf numFmtId="0" fontId="0" fillId="4" borderId="0" xfId="0" applyFill="1"/>
    <xf numFmtId="0" fontId="0" fillId="5" borderId="0" xfId="0" applyFill="1"/>
    <xf numFmtId="0" fontId="0" fillId="6" borderId="0" xfId="0" applyFill="1"/>
    <xf numFmtId="0" fontId="7" fillId="0" borderId="0" xfId="0" applyFont="1"/>
    <xf numFmtId="0" fontId="0" fillId="7" borderId="0" xfId="0" applyFill="1"/>
    <xf numFmtId="0" fontId="0" fillId="8" borderId="0" xfId="0" applyFill="1"/>
    <xf numFmtId="0" fontId="5" fillId="8" borderId="0" xfId="0" applyFont="1" applyFill="1"/>
    <xf numFmtId="0" fontId="1" fillId="8" borderId="0" xfId="0" applyFont="1" applyFill="1"/>
    <xf numFmtId="0" fontId="0" fillId="9" borderId="0" xfId="0" applyFill="1"/>
    <xf numFmtId="0" fontId="0" fillId="0" borderId="0" xfId="0" applyAlignment="1">
      <alignment wrapText="1"/>
    </xf>
    <xf numFmtId="0" fontId="5" fillId="8" borderId="0" xfId="0" applyFont="1" applyFill="1" applyAlignment="1">
      <alignment wrapText="1"/>
    </xf>
    <xf numFmtId="0" fontId="3" fillId="0" borderId="0" xfId="0" applyFont="1"/>
    <xf numFmtId="0" fontId="9" fillId="0" borderId="0" xfId="0" applyFont="1"/>
    <xf numFmtId="0" fontId="0" fillId="0" borderId="0" xfId="0" applyFill="1"/>
    <xf numFmtId="0" fontId="10" fillId="0" borderId="0" xfId="0" applyFont="1"/>
    <xf numFmtId="0" fontId="0" fillId="0" borderId="0" xfId="0" applyFont="1"/>
    <xf numFmtId="0" fontId="0" fillId="5" borderId="0" xfId="0" quotePrefix="1" applyFill="1"/>
    <xf numFmtId="14" fontId="0" fillId="0" borderId="0" xfId="0" applyNumberFormat="1"/>
    <xf numFmtId="0" fontId="0" fillId="10" borderId="0" xfId="0" applyFill="1"/>
    <xf numFmtId="0" fontId="0" fillId="10" borderId="0" xfId="0" applyFill="1" applyAlignment="1">
      <alignment wrapText="1"/>
    </xf>
    <xf numFmtId="14" fontId="0" fillId="10" borderId="0" xfId="0" applyNumberFormat="1" applyFill="1"/>
    <xf numFmtId="18" fontId="0" fillId="0" borderId="0" xfId="0" applyNumberFormat="1" applyFill="1"/>
    <xf numFmtId="0" fontId="12" fillId="0" borderId="0" xfId="0" applyFont="1" applyFill="1"/>
    <xf numFmtId="0" fontId="8" fillId="0" borderId="0" xfId="0" applyFont="1" applyFill="1"/>
    <xf numFmtId="0" fontId="0" fillId="0" borderId="0" xfId="0" applyNumberFormat="1"/>
    <xf numFmtId="0" fontId="0" fillId="8" borderId="0" xfId="0" applyNumberFormat="1" applyFill="1"/>
    <xf numFmtId="0" fontId="0" fillId="10" borderId="0" xfId="0" applyNumberFormat="1" applyFill="1"/>
    <xf numFmtId="0" fontId="0" fillId="0" borderId="0" xfId="0" applyNumberFormat="1" applyFill="1"/>
    <xf numFmtId="0" fontId="7" fillId="0" borderId="0" xfId="0" applyNumberFormat="1" applyFont="1"/>
    <xf numFmtId="0" fontId="12" fillId="0" borderId="0" xfId="0" applyNumberFormat="1" applyFont="1" applyFill="1"/>
    <xf numFmtId="0" fontId="13" fillId="0" borderId="0" xfId="0" applyNumberFormat="1" applyFont="1" applyFill="1"/>
    <xf numFmtId="0" fontId="14" fillId="0" borderId="0" xfId="0" applyNumberFormat="1" applyFont="1" applyFill="1"/>
    <xf numFmtId="0" fontId="0" fillId="5" borderId="0" xfId="0" applyNumberFormat="1" applyFill="1"/>
    <xf numFmtId="0" fontId="0" fillId="7" borderId="0" xfId="0" applyNumberFormat="1" applyFill="1"/>
    <xf numFmtId="0" fontId="5" fillId="8" borderId="0" xfId="0" applyNumberFormat="1" applyFont="1" applyFill="1"/>
    <xf numFmtId="14" fontId="0" fillId="0" borderId="0" xfId="0" applyNumberFormat="1" applyFill="1"/>
    <xf numFmtId="0" fontId="0" fillId="11" borderId="0" xfId="0" applyFill="1"/>
    <xf numFmtId="0" fontId="0" fillId="12" borderId="0" xfId="0" applyFill="1"/>
    <xf numFmtId="0" fontId="0" fillId="0" borderId="0" xfId="0" applyFill="1" applyAlignment="1">
      <alignment wrapText="1"/>
    </xf>
    <xf numFmtId="14" fontId="0" fillId="8" borderId="0" xfId="0" applyNumberFormat="1" applyFill="1"/>
    <xf numFmtId="0" fontId="0" fillId="8" borderId="0" xfId="0" applyFill="1" applyAlignment="1">
      <alignment wrapText="1"/>
    </xf>
    <xf numFmtId="0" fontId="7" fillId="8" borderId="0" xfId="0" applyFont="1" applyFill="1"/>
    <xf numFmtId="0" fontId="7" fillId="8" borderId="0" xfId="0" applyFont="1" applyFill="1" applyAlignment="1">
      <alignment wrapText="1"/>
    </xf>
    <xf numFmtId="14" fontId="7" fillId="8" borderId="0" xfId="0" applyNumberFormat="1" applyFont="1" applyFill="1"/>
    <xf numFmtId="0" fontId="0" fillId="0" borderId="0" xfId="0" quotePrefix="1" applyNumberFormat="1" applyFill="1"/>
    <xf numFmtId="0" fontId="5" fillId="0" borderId="0" xfId="0" applyFont="1" applyFill="1"/>
    <xf numFmtId="0" fontId="0" fillId="13" borderId="0" xfId="0" applyFill="1"/>
    <xf numFmtId="0" fontId="0" fillId="13" borderId="0" xfId="0" applyNumberFormat="1" applyFill="1"/>
    <xf numFmtId="0" fontId="0" fillId="13" borderId="0" xfId="0" quotePrefix="1" applyFill="1"/>
    <xf numFmtId="0" fontId="5" fillId="13" borderId="0" xfId="0" applyFont="1" applyFill="1"/>
    <xf numFmtId="14" fontId="0" fillId="13" borderId="0" xfId="0" applyNumberFormat="1" applyFill="1"/>
    <xf numFmtId="0" fontId="0" fillId="13" borderId="0" xfId="0" applyFill="1" applyAlignment="1">
      <alignment wrapText="1"/>
    </xf>
    <xf numFmtId="0" fontId="10" fillId="13" borderId="0" xfId="0" applyFont="1" applyFill="1"/>
    <xf numFmtId="0" fontId="15" fillId="0" borderId="0" xfId="0" applyFont="1"/>
    <xf numFmtId="0" fontId="11" fillId="0" borderId="0" xfId="0" applyFont="1"/>
    <xf numFmtId="0" fontId="15" fillId="14" borderId="0" xfId="0" applyFont="1" applyFill="1"/>
    <xf numFmtId="0" fontId="16" fillId="0" borderId="0" xfId="0" applyFont="1" applyAlignment="1">
      <alignment horizontal="left"/>
    </xf>
    <xf numFmtId="0" fontId="17" fillId="15" borderId="0" xfId="0" applyFont="1" applyFill="1"/>
    <xf numFmtId="0" fontId="15" fillId="16" borderId="0" xfId="0" applyFont="1" applyFill="1"/>
    <xf numFmtId="0" fontId="0" fillId="16" borderId="0" xfId="0" applyFill="1"/>
    <xf numFmtId="0" fontId="11" fillId="16" borderId="0" xfId="0" applyFont="1" applyFill="1"/>
    <xf numFmtId="0" fontId="0" fillId="16" borderId="0" xfId="0" applyFill="1" applyAlignment="1">
      <alignment wrapText="1"/>
    </xf>
    <xf numFmtId="0" fontId="18" fillId="0" borderId="0" xfId="0" applyFont="1" applyAlignment="1">
      <alignment horizontal="left"/>
    </xf>
    <xf numFmtId="0" fontId="15" fillId="17" borderId="0" xfId="0" applyFont="1" applyFill="1"/>
    <xf numFmtId="0" fontId="0" fillId="17" borderId="0" xfId="0" applyFill="1"/>
    <xf numFmtId="0" fontId="11" fillId="17" borderId="0" xfId="0" applyFont="1" applyFill="1"/>
    <xf numFmtId="0" fontId="0" fillId="17" borderId="0" xfId="0" applyFill="1" applyAlignment="1">
      <alignment wrapText="1"/>
    </xf>
    <xf numFmtId="0" fontId="15" fillId="0" borderId="0" xfId="0" applyFont="1" applyFill="1"/>
    <xf numFmtId="0" fontId="15" fillId="18" borderId="0" xfId="0" applyFont="1" applyFill="1"/>
    <xf numFmtId="0" fontId="11" fillId="18" borderId="0" xfId="0" applyFont="1" applyFill="1"/>
    <xf numFmtId="0" fontId="0" fillId="18" borderId="0" xfId="0" applyFill="1" applyAlignment="1">
      <alignment wrapText="1"/>
    </xf>
    <xf numFmtId="0" fontId="15" fillId="0" borderId="0" xfId="0" applyFont="1" applyAlignment="1">
      <alignment wrapText="1"/>
    </xf>
    <xf numFmtId="0" fontId="0" fillId="19" borderId="0" xfId="0" applyFill="1"/>
    <xf numFmtId="0" fontId="15" fillId="20" borderId="0" xfId="0" applyFont="1" applyFill="1"/>
    <xf numFmtId="0" fontId="11" fillId="2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topLeftCell="A28" workbookViewId="0"/>
  </sheetViews>
  <sheetFormatPr baseColWidth="10" defaultColWidth="8.83203125" defaultRowHeight="15"/>
  <cols>
    <col min="1" max="1" width="11.83203125" bestFit="1" customWidth="1"/>
    <col min="2" max="2" width="14.33203125" bestFit="1" customWidth="1"/>
    <col min="3" max="3" width="15.83203125" bestFit="1" customWidth="1"/>
    <col min="4" max="4" width="15.83203125" customWidth="1"/>
    <col min="5" max="5" width="18.33203125" bestFit="1" customWidth="1"/>
    <col min="6" max="6" width="16.6640625" bestFit="1" customWidth="1"/>
    <col min="7" max="7" width="10.33203125" bestFit="1" customWidth="1"/>
    <col min="8" max="8" width="11.5" bestFit="1" customWidth="1"/>
    <col min="9" max="9" width="12.5" bestFit="1" customWidth="1"/>
    <col min="10" max="10" width="30.33203125" bestFit="1" customWidth="1"/>
  </cols>
  <sheetData>
    <row r="1" spans="1:10">
      <c r="A1" t="s">
        <v>0</v>
      </c>
      <c r="B1" t="s">
        <v>1</v>
      </c>
      <c r="C1" t="s">
        <v>2</v>
      </c>
      <c r="D1" t="s">
        <v>3</v>
      </c>
      <c r="E1" t="s">
        <v>4</v>
      </c>
      <c r="F1" t="s">
        <v>5</v>
      </c>
      <c r="G1" t="s">
        <v>6</v>
      </c>
      <c r="H1" t="s">
        <v>7</v>
      </c>
      <c r="I1" t="s">
        <v>8</v>
      </c>
      <c r="J1" t="s">
        <v>9</v>
      </c>
    </row>
    <row r="2" spans="1:10" ht="16">
      <c r="A2" t="s">
        <v>10</v>
      </c>
      <c r="B2" t="s">
        <v>11</v>
      </c>
      <c r="C2" t="s">
        <v>12</v>
      </c>
      <c r="E2" s="1" t="s">
        <v>13</v>
      </c>
      <c r="F2" s="2" t="s">
        <v>14</v>
      </c>
    </row>
    <row r="3" spans="1:10">
      <c r="A3" t="s">
        <v>10</v>
      </c>
      <c r="B3" t="s">
        <v>11</v>
      </c>
      <c r="C3" t="s">
        <v>12</v>
      </c>
      <c r="E3" s="3" t="s">
        <v>13</v>
      </c>
      <c r="F3" t="s">
        <v>15</v>
      </c>
    </row>
    <row r="4" spans="1:10">
      <c r="A4" t="s">
        <v>10</v>
      </c>
      <c r="B4" t="s">
        <v>11</v>
      </c>
      <c r="C4" t="s">
        <v>12</v>
      </c>
      <c r="E4" t="s">
        <v>13</v>
      </c>
      <c r="F4" t="s">
        <v>16</v>
      </c>
    </row>
    <row r="5" spans="1:10">
      <c r="A5" t="s">
        <v>10</v>
      </c>
      <c r="B5" t="s">
        <v>11</v>
      </c>
      <c r="C5" t="s">
        <v>12</v>
      </c>
      <c r="E5" t="s">
        <v>13</v>
      </c>
      <c r="F5" t="s">
        <v>17</v>
      </c>
    </row>
    <row r="6" spans="1:10">
      <c r="A6" t="s">
        <v>10</v>
      </c>
      <c r="B6" t="s">
        <v>11</v>
      </c>
      <c r="C6" t="s">
        <v>18</v>
      </c>
      <c r="E6" t="s">
        <v>19</v>
      </c>
      <c r="F6" t="s">
        <v>20</v>
      </c>
    </row>
    <row r="7" spans="1:10">
      <c r="A7" t="s">
        <v>10</v>
      </c>
      <c r="B7" t="s">
        <v>11</v>
      </c>
      <c r="C7" t="s">
        <v>18</v>
      </c>
      <c r="E7" t="s">
        <v>19</v>
      </c>
      <c r="F7" t="s">
        <v>21</v>
      </c>
    </row>
    <row r="8" spans="1:10">
      <c r="A8" t="s">
        <v>10</v>
      </c>
      <c r="B8" t="s">
        <v>11</v>
      </c>
      <c r="C8" t="s">
        <v>18</v>
      </c>
      <c r="E8" t="s">
        <v>22</v>
      </c>
      <c r="F8" t="s">
        <v>23</v>
      </c>
    </row>
    <row r="9" spans="1:10">
      <c r="A9" t="s">
        <v>10</v>
      </c>
      <c r="B9" t="s">
        <v>11</v>
      </c>
      <c r="C9" t="s">
        <v>18</v>
      </c>
      <c r="E9" t="s">
        <v>24</v>
      </c>
      <c r="F9" t="s">
        <v>25</v>
      </c>
    </row>
    <row r="10" spans="1:10">
      <c r="A10" t="s">
        <v>10</v>
      </c>
      <c r="B10" t="s">
        <v>11</v>
      </c>
      <c r="C10" t="s">
        <v>18</v>
      </c>
      <c r="E10" t="s">
        <v>26</v>
      </c>
      <c r="F10" t="s">
        <v>27</v>
      </c>
    </row>
    <row r="11" spans="1:10">
      <c r="A11" t="s">
        <v>10</v>
      </c>
      <c r="B11" t="s">
        <v>11</v>
      </c>
      <c r="C11" t="s">
        <v>18</v>
      </c>
      <c r="E11" t="s">
        <v>26</v>
      </c>
      <c r="F11" t="s">
        <v>28</v>
      </c>
    </row>
    <row r="12" spans="1:10">
      <c r="A12" t="s">
        <v>10</v>
      </c>
      <c r="B12" t="s">
        <v>11</v>
      </c>
      <c r="C12" t="s">
        <v>18</v>
      </c>
      <c r="E12" t="s">
        <v>26</v>
      </c>
      <c r="F12" t="s">
        <v>29</v>
      </c>
    </row>
    <row r="13" spans="1:10">
      <c r="A13" t="s">
        <v>10</v>
      </c>
      <c r="B13" t="s">
        <v>11</v>
      </c>
      <c r="C13" t="s">
        <v>18</v>
      </c>
      <c r="E13" t="s">
        <v>26</v>
      </c>
      <c r="F13" t="s">
        <v>30</v>
      </c>
    </row>
    <row r="14" spans="1:10">
      <c r="A14" t="s">
        <v>10</v>
      </c>
      <c r="B14" t="s">
        <v>11</v>
      </c>
      <c r="C14" t="s">
        <v>18</v>
      </c>
      <c r="E14" t="s">
        <v>26</v>
      </c>
      <c r="F14" t="s">
        <v>31</v>
      </c>
    </row>
    <row r="15" spans="1:10">
      <c r="A15" t="s">
        <v>10</v>
      </c>
      <c r="B15" t="s">
        <v>11</v>
      </c>
      <c r="C15" t="s">
        <v>18</v>
      </c>
      <c r="E15" t="s">
        <v>26</v>
      </c>
      <c r="F15" t="s">
        <v>32</v>
      </c>
      <c r="J15" t="s">
        <v>33</v>
      </c>
    </row>
    <row r="16" spans="1:10">
      <c r="A16" t="s">
        <v>10</v>
      </c>
      <c r="B16" t="s">
        <v>11</v>
      </c>
      <c r="C16" t="s">
        <v>18</v>
      </c>
      <c r="E16" t="s">
        <v>26</v>
      </c>
      <c r="F16" t="s">
        <v>34</v>
      </c>
    </row>
    <row r="17" spans="1:10">
      <c r="A17" t="s">
        <v>10</v>
      </c>
      <c r="B17" t="s">
        <v>11</v>
      </c>
      <c r="C17" t="s">
        <v>18</v>
      </c>
      <c r="E17" t="s">
        <v>26</v>
      </c>
      <c r="F17" t="s">
        <v>35</v>
      </c>
    </row>
    <row r="18" spans="1:10">
      <c r="A18" t="s">
        <v>10</v>
      </c>
      <c r="B18" t="s">
        <v>11</v>
      </c>
      <c r="C18" t="s">
        <v>18</v>
      </c>
      <c r="E18" t="s">
        <v>26</v>
      </c>
      <c r="F18" t="s">
        <v>36</v>
      </c>
    </row>
    <row r="19" spans="1:10">
      <c r="A19" t="s">
        <v>10</v>
      </c>
      <c r="B19" t="s">
        <v>11</v>
      </c>
      <c r="C19" t="s">
        <v>18</v>
      </c>
      <c r="E19" t="s">
        <v>26</v>
      </c>
      <c r="F19" t="s">
        <v>37</v>
      </c>
    </row>
    <row r="20" spans="1:10">
      <c r="A20" t="s">
        <v>10</v>
      </c>
      <c r="B20" t="s">
        <v>11</v>
      </c>
      <c r="C20" t="s">
        <v>18</v>
      </c>
      <c r="E20" t="s">
        <v>26</v>
      </c>
      <c r="F20" t="s">
        <v>38</v>
      </c>
    </row>
    <row r="21" spans="1:10">
      <c r="A21" t="s">
        <v>10</v>
      </c>
      <c r="B21" t="s">
        <v>11</v>
      </c>
      <c r="C21" t="s">
        <v>18</v>
      </c>
      <c r="E21" t="s">
        <v>26</v>
      </c>
      <c r="F21" t="s">
        <v>39</v>
      </c>
    </row>
    <row r="22" spans="1:10">
      <c r="A22" t="s">
        <v>10</v>
      </c>
      <c r="B22" t="s">
        <v>11</v>
      </c>
      <c r="C22" t="s">
        <v>18</v>
      </c>
      <c r="E22" t="s">
        <v>26</v>
      </c>
      <c r="F22" t="s">
        <v>40</v>
      </c>
    </row>
    <row r="23" spans="1:10">
      <c r="A23" t="s">
        <v>10</v>
      </c>
      <c r="B23" t="s">
        <v>11</v>
      </c>
      <c r="C23" t="s">
        <v>18</v>
      </c>
      <c r="E23" t="s">
        <v>26</v>
      </c>
      <c r="F23" t="s">
        <v>41</v>
      </c>
      <c r="J23" t="s">
        <v>33</v>
      </c>
    </row>
    <row r="24" spans="1:10">
      <c r="A24" t="s">
        <v>10</v>
      </c>
      <c r="B24" t="s">
        <v>11</v>
      </c>
      <c r="C24" t="s">
        <v>18</v>
      </c>
      <c r="E24" t="s">
        <v>26</v>
      </c>
      <c r="F24" t="s">
        <v>42</v>
      </c>
    </row>
    <row r="25" spans="1:10">
      <c r="A25" t="s">
        <v>10</v>
      </c>
      <c r="B25" t="s">
        <v>11</v>
      </c>
      <c r="C25" t="s">
        <v>18</v>
      </c>
      <c r="E25" t="s">
        <v>26</v>
      </c>
      <c r="F25" t="s">
        <v>43</v>
      </c>
    </row>
    <row r="26" spans="1:10">
      <c r="A26" t="s">
        <v>10</v>
      </c>
      <c r="B26" t="s">
        <v>11</v>
      </c>
      <c r="C26" t="s">
        <v>18</v>
      </c>
      <c r="E26" t="s">
        <v>26</v>
      </c>
      <c r="F26" t="s">
        <v>44</v>
      </c>
    </row>
    <row r="27" spans="1:10">
      <c r="A27" t="s">
        <v>10</v>
      </c>
      <c r="B27" t="s">
        <v>11</v>
      </c>
      <c r="C27" t="s">
        <v>18</v>
      </c>
      <c r="E27" t="s">
        <v>26</v>
      </c>
      <c r="F27" t="s">
        <v>45</v>
      </c>
    </row>
    <row r="28" spans="1:10">
      <c r="A28" t="s">
        <v>10</v>
      </c>
      <c r="B28" t="s">
        <v>11</v>
      </c>
      <c r="C28" t="s">
        <v>18</v>
      </c>
      <c r="E28" t="s">
        <v>26</v>
      </c>
      <c r="F28" t="s">
        <v>46</v>
      </c>
    </row>
    <row r="29" spans="1:10">
      <c r="A29" t="s">
        <v>10</v>
      </c>
      <c r="B29" t="s">
        <v>11</v>
      </c>
      <c r="C29" t="s">
        <v>18</v>
      </c>
      <c r="E29" t="s">
        <v>26</v>
      </c>
      <c r="F29" t="s">
        <v>47</v>
      </c>
    </row>
    <row r="30" spans="1:10">
      <c r="A30" t="s">
        <v>10</v>
      </c>
      <c r="B30" t="s">
        <v>11</v>
      </c>
      <c r="C30" t="s">
        <v>18</v>
      </c>
      <c r="E30" t="s">
        <v>48</v>
      </c>
      <c r="F30" t="s">
        <v>49</v>
      </c>
    </row>
    <row r="31" spans="1:10">
      <c r="A31" t="s">
        <v>10</v>
      </c>
      <c r="B31" t="s">
        <v>11</v>
      </c>
      <c r="C31" t="s">
        <v>18</v>
      </c>
      <c r="E31" t="s">
        <v>48</v>
      </c>
      <c r="F31" t="s">
        <v>50</v>
      </c>
    </row>
    <row r="32" spans="1:10">
      <c r="A32" t="s">
        <v>10</v>
      </c>
      <c r="B32" t="s">
        <v>11</v>
      </c>
      <c r="C32" t="s">
        <v>18</v>
      </c>
      <c r="E32" t="s">
        <v>48</v>
      </c>
      <c r="F32" t="s">
        <v>51</v>
      </c>
    </row>
    <row r="33" spans="1:13">
      <c r="A33" t="s">
        <v>10</v>
      </c>
      <c r="B33" t="s">
        <v>11</v>
      </c>
      <c r="C33" t="s">
        <v>18</v>
      </c>
      <c r="D33" t="s">
        <v>52</v>
      </c>
      <c r="E33" t="s">
        <v>53</v>
      </c>
      <c r="F33" t="s">
        <v>54</v>
      </c>
    </row>
    <row r="34" spans="1:13">
      <c r="A34" t="s">
        <v>10</v>
      </c>
      <c r="B34" t="s">
        <v>11</v>
      </c>
      <c r="C34" t="s">
        <v>18</v>
      </c>
      <c r="D34" t="s">
        <v>52</v>
      </c>
      <c r="E34" t="s">
        <v>53</v>
      </c>
      <c r="F34" t="s">
        <v>55</v>
      </c>
    </row>
    <row r="35" spans="1:13">
      <c r="A35" t="s">
        <v>10</v>
      </c>
      <c r="B35" t="s">
        <v>11</v>
      </c>
      <c r="C35" t="s">
        <v>18</v>
      </c>
      <c r="D35" t="s">
        <v>52</v>
      </c>
      <c r="E35" t="s">
        <v>53</v>
      </c>
      <c r="F35" t="s">
        <v>56</v>
      </c>
    </row>
    <row r="36" spans="1:13">
      <c r="A36" t="s">
        <v>10</v>
      </c>
      <c r="B36" t="s">
        <v>11</v>
      </c>
      <c r="C36" t="s">
        <v>18</v>
      </c>
      <c r="D36" t="s">
        <v>52</v>
      </c>
      <c r="E36" t="s">
        <v>53</v>
      </c>
      <c r="F36" t="s">
        <v>57</v>
      </c>
    </row>
    <row r="37" spans="1:13">
      <c r="A37" t="s">
        <v>10</v>
      </c>
      <c r="B37" t="s">
        <v>11</v>
      </c>
      <c r="C37" t="s">
        <v>18</v>
      </c>
      <c r="D37" t="s">
        <v>52</v>
      </c>
      <c r="E37" t="s">
        <v>53</v>
      </c>
      <c r="F37" t="s">
        <v>58</v>
      </c>
    </row>
    <row r="38" spans="1:13">
      <c r="A38" t="s">
        <v>10</v>
      </c>
      <c r="B38" t="s">
        <v>11</v>
      </c>
      <c r="C38" t="s">
        <v>18</v>
      </c>
      <c r="D38" t="s">
        <v>52</v>
      </c>
      <c r="E38" t="s">
        <v>59</v>
      </c>
      <c r="F38" t="s">
        <v>60</v>
      </c>
      <c r="J38" t="s">
        <v>33</v>
      </c>
    </row>
    <row r="39" spans="1:13">
      <c r="A39" t="s">
        <v>10</v>
      </c>
      <c r="B39" t="s">
        <v>11</v>
      </c>
      <c r="C39" t="s">
        <v>18</v>
      </c>
      <c r="D39" t="s">
        <v>52</v>
      </c>
      <c r="E39" t="s">
        <v>61</v>
      </c>
      <c r="F39" t="s">
        <v>60</v>
      </c>
      <c r="J39" t="s">
        <v>33</v>
      </c>
      <c r="M39" t="s">
        <v>62</v>
      </c>
    </row>
    <row r="40" spans="1:13">
      <c r="A40" t="s">
        <v>10</v>
      </c>
      <c r="B40" t="s">
        <v>11</v>
      </c>
      <c r="C40" t="s">
        <v>18</v>
      </c>
      <c r="E40" t="s">
        <v>63</v>
      </c>
      <c r="F40" t="s">
        <v>64</v>
      </c>
      <c r="J40" t="s">
        <v>33</v>
      </c>
    </row>
    <row r="41" spans="1:13">
      <c r="A41" t="s">
        <v>10</v>
      </c>
      <c r="B41" t="s">
        <v>11</v>
      </c>
      <c r="C41" t="s">
        <v>18</v>
      </c>
      <c r="E41" t="s">
        <v>63</v>
      </c>
      <c r="F41" t="s">
        <v>65</v>
      </c>
      <c r="J41" t="s">
        <v>33</v>
      </c>
    </row>
    <row r="42" spans="1:13">
      <c r="A42" t="s">
        <v>10</v>
      </c>
      <c r="B42" t="s">
        <v>11</v>
      </c>
      <c r="C42" t="s">
        <v>18</v>
      </c>
      <c r="E42" t="s">
        <v>63</v>
      </c>
      <c r="F42" t="s">
        <v>66</v>
      </c>
    </row>
    <row r="43" spans="1:13">
      <c r="A43" t="s">
        <v>10</v>
      </c>
      <c r="B43" t="s">
        <v>11</v>
      </c>
      <c r="C43" t="s">
        <v>18</v>
      </c>
      <c r="E43" t="s">
        <v>63</v>
      </c>
      <c r="F43" t="s">
        <v>67</v>
      </c>
    </row>
    <row r="44" spans="1:13">
      <c r="A44" t="s">
        <v>10</v>
      </c>
      <c r="B44" t="s">
        <v>11</v>
      </c>
      <c r="C44" t="s">
        <v>18</v>
      </c>
      <c r="E44" t="s">
        <v>63</v>
      </c>
      <c r="F44" t="s">
        <v>68</v>
      </c>
    </row>
    <row r="45" spans="1:13">
      <c r="A45" t="s">
        <v>10</v>
      </c>
      <c r="B45" t="s">
        <v>11</v>
      </c>
      <c r="C45" t="s">
        <v>18</v>
      </c>
      <c r="D45" t="s">
        <v>69</v>
      </c>
      <c r="J45" t="s">
        <v>33</v>
      </c>
    </row>
    <row r="46" spans="1:13">
      <c r="A46" t="s">
        <v>10</v>
      </c>
      <c r="B46" t="s">
        <v>11</v>
      </c>
      <c r="C46" t="s">
        <v>18</v>
      </c>
      <c r="E46" t="s">
        <v>70</v>
      </c>
      <c r="F46" t="s">
        <v>71</v>
      </c>
    </row>
    <row r="47" spans="1:13">
      <c r="A47" t="s">
        <v>10</v>
      </c>
      <c r="B47" t="s">
        <v>11</v>
      </c>
      <c r="C47" t="s">
        <v>18</v>
      </c>
      <c r="E47" t="s">
        <v>70</v>
      </c>
      <c r="F47" t="s">
        <v>72</v>
      </c>
    </row>
    <row r="48" spans="1:13">
      <c r="A48" t="s">
        <v>10</v>
      </c>
      <c r="B48" t="s">
        <v>11</v>
      </c>
      <c r="C48" t="s">
        <v>18</v>
      </c>
      <c r="E48" t="s">
        <v>70</v>
      </c>
      <c r="F48" t="s">
        <v>73</v>
      </c>
    </row>
    <row r="49" spans="1:10">
      <c r="A49" t="s">
        <v>10</v>
      </c>
      <c r="B49" t="s">
        <v>11</v>
      </c>
      <c r="C49" t="s">
        <v>18</v>
      </c>
      <c r="E49" t="s">
        <v>74</v>
      </c>
      <c r="F49" t="s">
        <v>75</v>
      </c>
    </row>
    <row r="50" spans="1:10">
      <c r="A50" t="s">
        <v>10</v>
      </c>
      <c r="B50" t="s">
        <v>11</v>
      </c>
      <c r="C50" t="s">
        <v>18</v>
      </c>
      <c r="E50" t="s">
        <v>74</v>
      </c>
      <c r="F50" t="s">
        <v>76</v>
      </c>
    </row>
    <row r="51" spans="1:10">
      <c r="A51" t="s">
        <v>10</v>
      </c>
      <c r="B51" t="s">
        <v>11</v>
      </c>
      <c r="C51" t="s">
        <v>18</v>
      </c>
      <c r="E51" t="s">
        <v>77</v>
      </c>
      <c r="F51" t="s">
        <v>78</v>
      </c>
    </row>
    <row r="52" spans="1:10">
      <c r="A52" t="s">
        <v>10</v>
      </c>
      <c r="B52" t="s">
        <v>11</v>
      </c>
      <c r="C52" t="s">
        <v>18</v>
      </c>
      <c r="E52" t="s">
        <v>79</v>
      </c>
      <c r="F52" t="s">
        <v>80</v>
      </c>
    </row>
    <row r="53" spans="1:10">
      <c r="E53" t="s">
        <v>81</v>
      </c>
      <c r="F53" t="s">
        <v>82</v>
      </c>
      <c r="J53"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E29FD-449F-499F-867F-F645CD095B40}">
  <dimension ref="A1:J101"/>
  <sheetViews>
    <sheetView topLeftCell="A76" workbookViewId="0">
      <selection activeCell="H11" sqref="H11"/>
    </sheetView>
  </sheetViews>
  <sheetFormatPr baseColWidth="10" defaultColWidth="8.83203125" defaultRowHeight="15"/>
  <cols>
    <col min="1" max="1" width="9" bestFit="1" customWidth="1"/>
    <col min="2" max="2" width="11.83203125" bestFit="1" customWidth="1"/>
    <col min="3" max="3" width="15.83203125" bestFit="1" customWidth="1"/>
    <col min="4" max="4" width="20.1640625" bestFit="1" customWidth="1"/>
    <col min="5" max="5" width="18.33203125" bestFit="1" customWidth="1"/>
    <col min="6" max="6" width="16.6640625" bestFit="1" customWidth="1"/>
    <col min="7" max="7" width="18.33203125" bestFit="1" customWidth="1"/>
    <col min="8" max="8" width="13.6640625" bestFit="1" customWidth="1"/>
    <col min="9" max="9" width="12.5" bestFit="1" customWidth="1"/>
    <col min="10" max="10" width="30.33203125" bestFit="1" customWidth="1"/>
  </cols>
  <sheetData>
    <row r="1" spans="1:10">
      <c r="A1" t="s">
        <v>0</v>
      </c>
      <c r="B1" t="s">
        <v>1</v>
      </c>
      <c r="C1" t="s">
        <v>2</v>
      </c>
      <c r="D1" t="s">
        <v>3</v>
      </c>
      <c r="E1" t="s">
        <v>4</v>
      </c>
      <c r="F1" t="s">
        <v>5</v>
      </c>
      <c r="G1" t="s">
        <v>6</v>
      </c>
      <c r="H1" t="s">
        <v>7</v>
      </c>
      <c r="I1" t="s">
        <v>8</v>
      </c>
      <c r="J1" t="s">
        <v>9</v>
      </c>
    </row>
    <row r="2" spans="1:10" ht="16">
      <c r="A2" t="s">
        <v>10</v>
      </c>
      <c r="B2" t="s">
        <v>11</v>
      </c>
      <c r="C2" t="s">
        <v>12</v>
      </c>
      <c r="E2" s="1" t="s">
        <v>13</v>
      </c>
      <c r="F2" s="2" t="s">
        <v>14</v>
      </c>
      <c r="G2" s="1" t="s">
        <v>13</v>
      </c>
      <c r="H2" s="2" t="s">
        <v>14</v>
      </c>
      <c r="I2" t="s">
        <v>84</v>
      </c>
    </row>
    <row r="3" spans="1:10" ht="16">
      <c r="A3" t="s">
        <v>10</v>
      </c>
      <c r="B3" t="s">
        <v>11</v>
      </c>
      <c r="C3" t="s">
        <v>12</v>
      </c>
      <c r="E3" s="1" t="s">
        <v>13</v>
      </c>
      <c r="F3" s="2" t="s">
        <v>14</v>
      </c>
      <c r="G3" t="s">
        <v>85</v>
      </c>
      <c r="H3" t="s">
        <v>14</v>
      </c>
      <c r="I3" t="s">
        <v>86</v>
      </c>
    </row>
    <row r="4" spans="1:10">
      <c r="A4" t="s">
        <v>10</v>
      </c>
      <c r="B4" t="s">
        <v>11</v>
      </c>
      <c r="C4" t="s">
        <v>12</v>
      </c>
      <c r="E4" s="3" t="s">
        <v>13</v>
      </c>
      <c r="F4" t="s">
        <v>15</v>
      </c>
      <c r="G4" s="3" t="s">
        <v>13</v>
      </c>
      <c r="H4" t="s">
        <v>15</v>
      </c>
      <c r="I4" t="s">
        <v>84</v>
      </c>
    </row>
    <row r="5" spans="1:10">
      <c r="A5" t="s">
        <v>10</v>
      </c>
      <c r="B5" t="s">
        <v>11</v>
      </c>
      <c r="C5" t="s">
        <v>12</v>
      </c>
      <c r="E5" s="3" t="s">
        <v>13</v>
      </c>
      <c r="F5" t="s">
        <v>15</v>
      </c>
      <c r="G5" t="s">
        <v>87</v>
      </c>
      <c r="H5" t="s">
        <v>88</v>
      </c>
      <c r="I5" t="s">
        <v>86</v>
      </c>
    </row>
    <row r="6" spans="1:10">
      <c r="A6" t="s">
        <v>10</v>
      </c>
      <c r="B6" t="s">
        <v>11</v>
      </c>
      <c r="C6" t="s">
        <v>12</v>
      </c>
      <c r="E6" t="s">
        <v>13</v>
      </c>
      <c r="F6" t="s">
        <v>16</v>
      </c>
      <c r="G6" t="s">
        <v>13</v>
      </c>
      <c r="H6" t="s">
        <v>16</v>
      </c>
      <c r="I6" t="s">
        <v>84</v>
      </c>
    </row>
    <row r="7" spans="1:10">
      <c r="A7" t="s">
        <v>10</v>
      </c>
      <c r="B7" t="s">
        <v>11</v>
      </c>
      <c r="C7" t="s">
        <v>12</v>
      </c>
      <c r="E7" t="s">
        <v>13</v>
      </c>
      <c r="F7" t="s">
        <v>17</v>
      </c>
      <c r="G7" t="s">
        <v>13</v>
      </c>
      <c r="H7" t="s">
        <v>17</v>
      </c>
      <c r="I7" t="s">
        <v>84</v>
      </c>
    </row>
    <row r="8" spans="1:10">
      <c r="A8" t="s">
        <v>10</v>
      </c>
      <c r="B8" t="s">
        <v>11</v>
      </c>
      <c r="C8" t="s">
        <v>12</v>
      </c>
      <c r="E8" t="s">
        <v>13</v>
      </c>
      <c r="F8" t="s">
        <v>17</v>
      </c>
      <c r="G8" t="s">
        <v>87</v>
      </c>
      <c r="H8" t="s">
        <v>17</v>
      </c>
      <c r="I8" t="s">
        <v>86</v>
      </c>
    </row>
    <row r="9" spans="1:10">
      <c r="A9" t="s">
        <v>10</v>
      </c>
      <c r="B9" t="s">
        <v>11</v>
      </c>
      <c r="C9" t="s">
        <v>18</v>
      </c>
      <c r="E9" t="s">
        <v>19</v>
      </c>
      <c r="F9" t="s">
        <v>20</v>
      </c>
      <c r="G9" t="s">
        <v>19</v>
      </c>
      <c r="H9" t="s">
        <v>20</v>
      </c>
      <c r="I9" t="s">
        <v>84</v>
      </c>
    </row>
    <row r="10" spans="1:10">
      <c r="A10" t="s">
        <v>10</v>
      </c>
      <c r="B10" t="s">
        <v>11</v>
      </c>
      <c r="C10" t="s">
        <v>18</v>
      </c>
      <c r="E10" t="s">
        <v>19</v>
      </c>
      <c r="F10" t="s">
        <v>20</v>
      </c>
      <c r="G10" t="s">
        <v>74</v>
      </c>
      <c r="H10" t="s">
        <v>20</v>
      </c>
      <c r="I10" t="s">
        <v>86</v>
      </c>
    </row>
    <row r="11" spans="1:10">
      <c r="A11" t="s">
        <v>10</v>
      </c>
      <c r="B11" t="s">
        <v>11</v>
      </c>
      <c r="C11" t="s">
        <v>18</v>
      </c>
      <c r="E11" t="s">
        <v>19</v>
      </c>
      <c r="F11" t="s">
        <v>21</v>
      </c>
      <c r="G11" t="s">
        <v>19</v>
      </c>
      <c r="H11" t="s">
        <v>21</v>
      </c>
      <c r="I11" t="s">
        <v>84</v>
      </c>
    </row>
    <row r="12" spans="1:10">
      <c r="A12" t="s">
        <v>10</v>
      </c>
      <c r="B12" t="s">
        <v>11</v>
      </c>
      <c r="C12" t="s">
        <v>18</v>
      </c>
      <c r="E12" t="s">
        <v>22</v>
      </c>
      <c r="F12" t="s">
        <v>23</v>
      </c>
      <c r="G12" t="s">
        <v>22</v>
      </c>
      <c r="H12" t="s">
        <v>23</v>
      </c>
      <c r="I12" t="s">
        <v>84</v>
      </c>
    </row>
    <row r="13" spans="1:10">
      <c r="A13" t="s">
        <v>10</v>
      </c>
      <c r="B13" t="s">
        <v>11</v>
      </c>
      <c r="C13" t="s">
        <v>18</v>
      </c>
      <c r="E13" t="s">
        <v>24</v>
      </c>
      <c r="F13" t="s">
        <v>25</v>
      </c>
      <c r="G13" t="s">
        <v>24</v>
      </c>
      <c r="H13" t="s">
        <v>25</v>
      </c>
      <c r="I13" t="s">
        <v>84</v>
      </c>
    </row>
    <row r="14" spans="1:10">
      <c r="A14" t="s">
        <v>10</v>
      </c>
      <c r="B14" t="s">
        <v>11</v>
      </c>
      <c r="C14" t="s">
        <v>18</v>
      </c>
      <c r="E14" t="s">
        <v>24</v>
      </c>
      <c r="F14" t="s">
        <v>25</v>
      </c>
      <c r="G14" t="s">
        <v>63</v>
      </c>
      <c r="H14" t="s">
        <v>25</v>
      </c>
      <c r="I14" t="s">
        <v>86</v>
      </c>
    </row>
    <row r="15" spans="1:10">
      <c r="A15" t="s">
        <v>10</v>
      </c>
      <c r="B15" t="s">
        <v>11</v>
      </c>
      <c r="C15" t="s">
        <v>18</v>
      </c>
      <c r="E15" t="s">
        <v>24</v>
      </c>
      <c r="F15" t="s">
        <v>25</v>
      </c>
      <c r="G15" t="s">
        <v>89</v>
      </c>
      <c r="H15" t="s">
        <v>25</v>
      </c>
      <c r="I15" t="s">
        <v>86</v>
      </c>
    </row>
    <row r="16" spans="1:10">
      <c r="A16" t="s">
        <v>10</v>
      </c>
      <c r="B16" t="s">
        <v>11</v>
      </c>
      <c r="C16" t="s">
        <v>18</v>
      </c>
      <c r="E16" t="s">
        <v>24</v>
      </c>
      <c r="F16" t="s">
        <v>25</v>
      </c>
      <c r="G16" t="s">
        <v>70</v>
      </c>
      <c r="H16" t="s">
        <v>25</v>
      </c>
      <c r="I16" t="s">
        <v>86</v>
      </c>
    </row>
    <row r="17" spans="1:10">
      <c r="A17" t="s">
        <v>10</v>
      </c>
      <c r="B17" t="s">
        <v>11</v>
      </c>
      <c r="C17" t="s">
        <v>18</v>
      </c>
      <c r="E17" t="s">
        <v>24</v>
      </c>
      <c r="F17" t="s">
        <v>25</v>
      </c>
      <c r="G17" t="s">
        <v>77</v>
      </c>
      <c r="H17" t="s">
        <v>25</v>
      </c>
      <c r="I17" t="s">
        <v>86</v>
      </c>
    </row>
    <row r="18" spans="1:10">
      <c r="A18" t="s">
        <v>10</v>
      </c>
      <c r="B18" t="s">
        <v>11</v>
      </c>
      <c r="C18" t="s">
        <v>18</v>
      </c>
      <c r="E18" t="s">
        <v>26</v>
      </c>
      <c r="F18" t="s">
        <v>27</v>
      </c>
      <c r="G18" t="s">
        <v>26</v>
      </c>
      <c r="H18" t="s">
        <v>27</v>
      </c>
      <c r="I18" t="s">
        <v>84</v>
      </c>
    </row>
    <row r="19" spans="1:10">
      <c r="A19" t="s">
        <v>10</v>
      </c>
      <c r="B19" t="s">
        <v>11</v>
      </c>
      <c r="C19" t="s">
        <v>18</v>
      </c>
      <c r="E19" t="s">
        <v>26</v>
      </c>
      <c r="F19" t="s">
        <v>28</v>
      </c>
      <c r="G19" t="s">
        <v>26</v>
      </c>
      <c r="H19" t="s">
        <v>28</v>
      </c>
      <c r="I19" t="s">
        <v>84</v>
      </c>
    </row>
    <row r="20" spans="1:10">
      <c r="A20" t="s">
        <v>10</v>
      </c>
      <c r="B20" t="s">
        <v>11</v>
      </c>
      <c r="C20" t="s">
        <v>18</v>
      </c>
      <c r="E20" t="s">
        <v>26</v>
      </c>
      <c r="F20" t="s">
        <v>29</v>
      </c>
      <c r="G20" t="s">
        <v>26</v>
      </c>
      <c r="H20" t="s">
        <v>29</v>
      </c>
      <c r="I20" t="s">
        <v>84</v>
      </c>
    </row>
    <row r="21" spans="1:10">
      <c r="A21" t="s">
        <v>10</v>
      </c>
      <c r="B21" t="s">
        <v>11</v>
      </c>
      <c r="C21" t="s">
        <v>18</v>
      </c>
      <c r="E21" t="s">
        <v>26</v>
      </c>
      <c r="F21" t="s">
        <v>30</v>
      </c>
      <c r="G21" t="s">
        <v>26</v>
      </c>
      <c r="H21" t="s">
        <v>30</v>
      </c>
      <c r="I21" t="s">
        <v>84</v>
      </c>
    </row>
    <row r="22" spans="1:10">
      <c r="A22" t="s">
        <v>10</v>
      </c>
      <c r="B22" t="s">
        <v>11</v>
      </c>
      <c r="C22" t="s">
        <v>18</v>
      </c>
      <c r="E22" t="s">
        <v>26</v>
      </c>
      <c r="F22" t="s">
        <v>31</v>
      </c>
      <c r="G22" t="s">
        <v>26</v>
      </c>
      <c r="H22" t="s">
        <v>31</v>
      </c>
      <c r="I22" t="s">
        <v>84</v>
      </c>
    </row>
    <row r="23" spans="1:10">
      <c r="A23" t="s">
        <v>10</v>
      </c>
      <c r="B23" t="s">
        <v>11</v>
      </c>
      <c r="C23" t="s">
        <v>18</v>
      </c>
      <c r="E23" t="s">
        <v>26</v>
      </c>
      <c r="F23" t="s">
        <v>32</v>
      </c>
      <c r="G23" t="s">
        <v>26</v>
      </c>
      <c r="H23" t="s">
        <v>32</v>
      </c>
      <c r="I23" t="s">
        <v>84</v>
      </c>
      <c r="J23" t="s">
        <v>33</v>
      </c>
    </row>
    <row r="24" spans="1:10">
      <c r="A24" t="s">
        <v>10</v>
      </c>
      <c r="B24" t="s">
        <v>11</v>
      </c>
      <c r="C24" t="s">
        <v>18</v>
      </c>
      <c r="E24" t="s">
        <v>26</v>
      </c>
      <c r="F24" t="s">
        <v>34</v>
      </c>
      <c r="G24" t="s">
        <v>26</v>
      </c>
      <c r="H24" t="s">
        <v>34</v>
      </c>
      <c r="I24" t="s">
        <v>84</v>
      </c>
    </row>
    <row r="25" spans="1:10">
      <c r="A25" t="s">
        <v>10</v>
      </c>
      <c r="B25" t="s">
        <v>11</v>
      </c>
      <c r="C25" t="s">
        <v>18</v>
      </c>
      <c r="E25" t="s">
        <v>26</v>
      </c>
      <c r="F25" t="s">
        <v>34</v>
      </c>
      <c r="G25" t="s">
        <v>90</v>
      </c>
      <c r="H25" t="s">
        <v>34</v>
      </c>
      <c r="I25" t="s">
        <v>86</v>
      </c>
    </row>
    <row r="26" spans="1:10">
      <c r="A26" t="s">
        <v>10</v>
      </c>
      <c r="B26" t="s">
        <v>11</v>
      </c>
      <c r="C26" t="s">
        <v>18</v>
      </c>
      <c r="E26" t="s">
        <v>26</v>
      </c>
      <c r="F26" t="s">
        <v>34</v>
      </c>
      <c r="G26" t="s">
        <v>91</v>
      </c>
      <c r="H26" t="s">
        <v>34</v>
      </c>
      <c r="I26" t="s">
        <v>86</v>
      </c>
    </row>
    <row r="27" spans="1:10">
      <c r="A27" t="s">
        <v>10</v>
      </c>
      <c r="B27" t="s">
        <v>11</v>
      </c>
      <c r="C27" t="s">
        <v>18</v>
      </c>
      <c r="E27" t="s">
        <v>26</v>
      </c>
      <c r="F27" t="s">
        <v>34</v>
      </c>
      <c r="G27" t="s">
        <v>26</v>
      </c>
      <c r="H27" t="s">
        <v>92</v>
      </c>
      <c r="I27" t="s">
        <v>93</v>
      </c>
    </row>
    <row r="28" spans="1:10">
      <c r="A28" t="s">
        <v>10</v>
      </c>
      <c r="B28" t="s">
        <v>11</v>
      </c>
      <c r="C28" t="s">
        <v>18</v>
      </c>
      <c r="E28" t="s">
        <v>26</v>
      </c>
      <c r="F28" t="s">
        <v>35</v>
      </c>
      <c r="G28" t="s">
        <v>26</v>
      </c>
      <c r="H28" t="s">
        <v>35</v>
      </c>
      <c r="I28" t="s">
        <v>84</v>
      </c>
    </row>
    <row r="29" spans="1:10">
      <c r="A29" t="s">
        <v>10</v>
      </c>
      <c r="B29" t="s">
        <v>11</v>
      </c>
      <c r="C29" t="s">
        <v>18</v>
      </c>
      <c r="E29" t="s">
        <v>26</v>
      </c>
      <c r="F29" t="s">
        <v>36</v>
      </c>
      <c r="G29" t="s">
        <v>26</v>
      </c>
      <c r="H29" t="s">
        <v>36</v>
      </c>
      <c r="I29" t="s">
        <v>84</v>
      </c>
    </row>
    <row r="30" spans="1:10">
      <c r="A30" t="s">
        <v>10</v>
      </c>
      <c r="B30" t="s">
        <v>11</v>
      </c>
      <c r="C30" t="s">
        <v>18</v>
      </c>
      <c r="E30" t="s">
        <v>26</v>
      </c>
      <c r="F30" t="s">
        <v>37</v>
      </c>
      <c r="G30" t="s">
        <v>26</v>
      </c>
      <c r="H30" t="s">
        <v>37</v>
      </c>
      <c r="I30" t="s">
        <v>84</v>
      </c>
    </row>
    <row r="31" spans="1:10">
      <c r="A31" t="s">
        <v>10</v>
      </c>
      <c r="B31" t="s">
        <v>11</v>
      </c>
      <c r="C31" t="s">
        <v>18</v>
      </c>
      <c r="E31" t="s">
        <v>26</v>
      </c>
      <c r="F31" t="s">
        <v>37</v>
      </c>
      <c r="G31" t="s">
        <v>94</v>
      </c>
      <c r="H31" t="s">
        <v>37</v>
      </c>
      <c r="I31" t="s">
        <v>86</v>
      </c>
    </row>
    <row r="32" spans="1:10">
      <c r="A32" t="s">
        <v>10</v>
      </c>
      <c r="B32" t="s">
        <v>11</v>
      </c>
      <c r="C32" t="s">
        <v>18</v>
      </c>
      <c r="E32" t="s">
        <v>26</v>
      </c>
      <c r="F32" t="s">
        <v>38</v>
      </c>
      <c r="G32" t="s">
        <v>26</v>
      </c>
      <c r="H32" t="s">
        <v>38</v>
      </c>
      <c r="I32" t="s">
        <v>84</v>
      </c>
    </row>
    <row r="33" spans="1:10">
      <c r="A33" t="s">
        <v>10</v>
      </c>
      <c r="B33" t="s">
        <v>11</v>
      </c>
      <c r="C33" t="s">
        <v>18</v>
      </c>
      <c r="E33" t="s">
        <v>26</v>
      </c>
      <c r="F33" t="s">
        <v>38</v>
      </c>
      <c r="G33" t="s">
        <v>26</v>
      </c>
      <c r="H33" t="s">
        <v>95</v>
      </c>
      <c r="I33" t="s">
        <v>93</v>
      </c>
    </row>
    <row r="34" spans="1:10">
      <c r="A34" t="s">
        <v>10</v>
      </c>
      <c r="B34" t="s">
        <v>11</v>
      </c>
      <c r="C34" t="s">
        <v>18</v>
      </c>
      <c r="E34" t="s">
        <v>26</v>
      </c>
      <c r="F34" t="s">
        <v>38</v>
      </c>
      <c r="G34" t="s">
        <v>26</v>
      </c>
      <c r="H34" t="s">
        <v>96</v>
      </c>
      <c r="I34" t="s">
        <v>93</v>
      </c>
    </row>
    <row r="35" spans="1:10">
      <c r="A35" t="s">
        <v>10</v>
      </c>
      <c r="B35" t="s">
        <v>11</v>
      </c>
      <c r="C35" t="s">
        <v>18</v>
      </c>
      <c r="E35" t="s">
        <v>26</v>
      </c>
      <c r="F35" t="s">
        <v>38</v>
      </c>
      <c r="G35" t="s">
        <v>26</v>
      </c>
      <c r="H35" t="s">
        <v>97</v>
      </c>
      <c r="I35" t="s">
        <v>93</v>
      </c>
    </row>
    <row r="36" spans="1:10">
      <c r="A36" t="s">
        <v>10</v>
      </c>
      <c r="B36" t="s">
        <v>11</v>
      </c>
      <c r="C36" t="s">
        <v>18</v>
      </c>
      <c r="E36" t="s">
        <v>26</v>
      </c>
      <c r="F36" t="s">
        <v>38</v>
      </c>
      <c r="G36" t="s">
        <v>98</v>
      </c>
      <c r="H36" t="s">
        <v>99</v>
      </c>
      <c r="I36" t="s">
        <v>93</v>
      </c>
    </row>
    <row r="37" spans="1:10">
      <c r="A37" t="s">
        <v>10</v>
      </c>
      <c r="B37" t="s">
        <v>11</v>
      </c>
      <c r="C37" t="s">
        <v>18</v>
      </c>
      <c r="E37" t="s">
        <v>26</v>
      </c>
      <c r="F37" t="s">
        <v>38</v>
      </c>
      <c r="G37" t="s">
        <v>100</v>
      </c>
      <c r="H37" t="s">
        <v>97</v>
      </c>
      <c r="I37" t="s">
        <v>93</v>
      </c>
    </row>
    <row r="38" spans="1:10">
      <c r="A38" t="s">
        <v>10</v>
      </c>
      <c r="B38" t="s">
        <v>11</v>
      </c>
      <c r="C38" t="s">
        <v>18</v>
      </c>
      <c r="E38" t="s">
        <v>26</v>
      </c>
      <c r="F38" t="s">
        <v>39</v>
      </c>
      <c r="G38" t="s">
        <v>26</v>
      </c>
      <c r="H38" t="s">
        <v>39</v>
      </c>
      <c r="I38" t="s">
        <v>84</v>
      </c>
    </row>
    <row r="39" spans="1:10">
      <c r="A39" t="s">
        <v>10</v>
      </c>
      <c r="B39" t="s">
        <v>11</v>
      </c>
      <c r="C39" t="s">
        <v>18</v>
      </c>
      <c r="E39" t="s">
        <v>26</v>
      </c>
      <c r="F39" t="s">
        <v>40</v>
      </c>
      <c r="G39" t="s">
        <v>26</v>
      </c>
      <c r="H39" t="s">
        <v>40</v>
      </c>
      <c r="I39" t="s">
        <v>84</v>
      </c>
    </row>
    <row r="40" spans="1:10">
      <c r="A40" t="s">
        <v>10</v>
      </c>
      <c r="B40" t="s">
        <v>11</v>
      </c>
      <c r="C40" t="s">
        <v>18</v>
      </c>
      <c r="E40" t="s">
        <v>26</v>
      </c>
      <c r="F40" t="s">
        <v>40</v>
      </c>
      <c r="G40" t="s">
        <v>26</v>
      </c>
      <c r="H40" t="s">
        <v>101</v>
      </c>
      <c r="I40" t="s">
        <v>93</v>
      </c>
    </row>
    <row r="41" spans="1:10">
      <c r="A41" t="s">
        <v>10</v>
      </c>
      <c r="B41" t="s">
        <v>11</v>
      </c>
      <c r="C41" t="s">
        <v>18</v>
      </c>
      <c r="E41" t="s">
        <v>26</v>
      </c>
      <c r="F41" t="s">
        <v>40</v>
      </c>
      <c r="G41" t="s">
        <v>26</v>
      </c>
      <c r="H41" t="s">
        <v>102</v>
      </c>
      <c r="I41" t="s">
        <v>93</v>
      </c>
    </row>
    <row r="42" spans="1:10">
      <c r="A42" t="s">
        <v>10</v>
      </c>
      <c r="B42" t="s">
        <v>11</v>
      </c>
      <c r="C42" t="s">
        <v>18</v>
      </c>
      <c r="E42" t="s">
        <v>26</v>
      </c>
      <c r="F42" t="s">
        <v>40</v>
      </c>
      <c r="G42" t="s">
        <v>26</v>
      </c>
      <c r="H42" t="s">
        <v>103</v>
      </c>
      <c r="I42" t="s">
        <v>93</v>
      </c>
    </row>
    <row r="43" spans="1:10">
      <c r="A43" t="s">
        <v>10</v>
      </c>
      <c r="B43" t="s">
        <v>11</v>
      </c>
      <c r="C43" t="s">
        <v>18</v>
      </c>
      <c r="E43" t="s">
        <v>26</v>
      </c>
      <c r="F43" t="s">
        <v>41</v>
      </c>
      <c r="G43" t="s">
        <v>26</v>
      </c>
      <c r="H43" t="s">
        <v>41</v>
      </c>
      <c r="I43" t="s">
        <v>84</v>
      </c>
      <c r="J43" t="s">
        <v>33</v>
      </c>
    </row>
    <row r="44" spans="1:10">
      <c r="A44" t="s">
        <v>10</v>
      </c>
      <c r="B44" t="s">
        <v>11</v>
      </c>
      <c r="C44" t="s">
        <v>18</v>
      </c>
      <c r="E44" t="s">
        <v>26</v>
      </c>
      <c r="F44" t="s">
        <v>42</v>
      </c>
      <c r="G44" t="s">
        <v>26</v>
      </c>
      <c r="H44" t="s">
        <v>42</v>
      </c>
      <c r="I44" t="s">
        <v>84</v>
      </c>
    </row>
    <row r="45" spans="1:10">
      <c r="A45" t="s">
        <v>10</v>
      </c>
      <c r="B45" t="s">
        <v>11</v>
      </c>
      <c r="C45" t="s">
        <v>18</v>
      </c>
      <c r="E45" t="s">
        <v>26</v>
      </c>
      <c r="F45" t="s">
        <v>43</v>
      </c>
      <c r="G45" t="s">
        <v>26</v>
      </c>
      <c r="H45" t="s">
        <v>43</v>
      </c>
      <c r="I45" t="s">
        <v>84</v>
      </c>
    </row>
    <row r="46" spans="1:10">
      <c r="A46" t="s">
        <v>10</v>
      </c>
      <c r="B46" t="s">
        <v>11</v>
      </c>
      <c r="C46" t="s">
        <v>18</v>
      </c>
      <c r="E46" t="s">
        <v>26</v>
      </c>
      <c r="F46" t="s">
        <v>44</v>
      </c>
      <c r="G46" t="s">
        <v>26</v>
      </c>
      <c r="H46" t="s">
        <v>44</v>
      </c>
      <c r="I46" t="s">
        <v>84</v>
      </c>
    </row>
    <row r="47" spans="1:10">
      <c r="A47" t="s">
        <v>10</v>
      </c>
      <c r="B47" t="s">
        <v>11</v>
      </c>
      <c r="C47" t="s">
        <v>18</v>
      </c>
      <c r="E47" t="s">
        <v>26</v>
      </c>
      <c r="F47" t="s">
        <v>45</v>
      </c>
      <c r="G47" t="s">
        <v>26</v>
      </c>
      <c r="H47" t="s">
        <v>45</v>
      </c>
      <c r="I47" t="s">
        <v>84</v>
      </c>
    </row>
    <row r="48" spans="1:10">
      <c r="A48" t="s">
        <v>10</v>
      </c>
      <c r="B48" t="s">
        <v>11</v>
      </c>
      <c r="C48" t="s">
        <v>18</v>
      </c>
      <c r="E48" t="s">
        <v>26</v>
      </c>
      <c r="F48" t="s">
        <v>46</v>
      </c>
      <c r="G48" t="s">
        <v>26</v>
      </c>
      <c r="H48" t="s">
        <v>46</v>
      </c>
      <c r="I48" t="s">
        <v>84</v>
      </c>
    </row>
    <row r="49" spans="1:9">
      <c r="A49" t="s">
        <v>10</v>
      </c>
      <c r="B49" t="s">
        <v>11</v>
      </c>
      <c r="C49" t="s">
        <v>18</v>
      </c>
      <c r="E49" t="s">
        <v>26</v>
      </c>
      <c r="F49" t="s">
        <v>47</v>
      </c>
      <c r="G49" t="s">
        <v>26</v>
      </c>
      <c r="H49" t="s">
        <v>47</v>
      </c>
      <c r="I49" t="s">
        <v>84</v>
      </c>
    </row>
    <row r="50" spans="1:9">
      <c r="A50" t="s">
        <v>10</v>
      </c>
      <c r="B50" t="s">
        <v>11</v>
      </c>
      <c r="C50" t="s">
        <v>18</v>
      </c>
      <c r="E50" t="s">
        <v>48</v>
      </c>
      <c r="F50" t="s">
        <v>49</v>
      </c>
      <c r="G50" t="s">
        <v>48</v>
      </c>
      <c r="H50" t="s">
        <v>49</v>
      </c>
      <c r="I50" t="s">
        <v>84</v>
      </c>
    </row>
    <row r="51" spans="1:9">
      <c r="A51" t="s">
        <v>10</v>
      </c>
      <c r="B51" t="s">
        <v>11</v>
      </c>
      <c r="C51" t="s">
        <v>18</v>
      </c>
      <c r="E51" t="s">
        <v>48</v>
      </c>
      <c r="F51" t="s">
        <v>50</v>
      </c>
      <c r="G51" t="s">
        <v>48</v>
      </c>
      <c r="H51" t="s">
        <v>50</v>
      </c>
      <c r="I51" t="s">
        <v>84</v>
      </c>
    </row>
    <row r="52" spans="1:9">
      <c r="A52" t="s">
        <v>10</v>
      </c>
      <c r="B52" t="s">
        <v>11</v>
      </c>
      <c r="C52" t="s">
        <v>18</v>
      </c>
      <c r="E52" t="s">
        <v>48</v>
      </c>
      <c r="F52" t="s">
        <v>51</v>
      </c>
      <c r="G52" t="s">
        <v>48</v>
      </c>
      <c r="H52" t="s">
        <v>51</v>
      </c>
      <c r="I52" t="s">
        <v>84</v>
      </c>
    </row>
    <row r="53" spans="1:9">
      <c r="A53" t="s">
        <v>10</v>
      </c>
      <c r="B53" t="s">
        <v>11</v>
      </c>
      <c r="C53" t="s">
        <v>18</v>
      </c>
      <c r="D53" t="s">
        <v>52</v>
      </c>
      <c r="E53" t="s">
        <v>53</v>
      </c>
      <c r="F53" t="s">
        <v>54</v>
      </c>
      <c r="G53" t="s">
        <v>53</v>
      </c>
      <c r="H53" t="s">
        <v>54</v>
      </c>
      <c r="I53" t="s">
        <v>84</v>
      </c>
    </row>
    <row r="54" spans="1:9">
      <c r="A54" t="s">
        <v>10</v>
      </c>
      <c r="B54" t="s">
        <v>11</v>
      </c>
      <c r="C54" t="s">
        <v>18</v>
      </c>
      <c r="D54" t="s">
        <v>52</v>
      </c>
      <c r="E54" t="s">
        <v>53</v>
      </c>
      <c r="F54" t="s">
        <v>54</v>
      </c>
      <c r="G54" t="s">
        <v>53</v>
      </c>
      <c r="H54" t="s">
        <v>104</v>
      </c>
      <c r="I54" t="s">
        <v>93</v>
      </c>
    </row>
    <row r="55" spans="1:9">
      <c r="A55" t="s">
        <v>10</v>
      </c>
      <c r="B55" t="s">
        <v>11</v>
      </c>
      <c r="C55" t="s">
        <v>18</v>
      </c>
      <c r="D55" t="s">
        <v>52</v>
      </c>
      <c r="E55" t="s">
        <v>53</v>
      </c>
      <c r="F55" t="s">
        <v>55</v>
      </c>
      <c r="G55" t="s">
        <v>53</v>
      </c>
      <c r="H55" t="s">
        <v>55</v>
      </c>
      <c r="I55" t="s">
        <v>84</v>
      </c>
    </row>
    <row r="56" spans="1:9">
      <c r="A56" t="s">
        <v>10</v>
      </c>
      <c r="B56" t="s">
        <v>11</v>
      </c>
      <c r="C56" t="s">
        <v>18</v>
      </c>
      <c r="D56" t="s">
        <v>52</v>
      </c>
      <c r="E56" t="s">
        <v>53</v>
      </c>
      <c r="F56" t="s">
        <v>55</v>
      </c>
      <c r="G56" t="s">
        <v>63</v>
      </c>
      <c r="H56" t="s">
        <v>55</v>
      </c>
      <c r="I56" t="s">
        <v>86</v>
      </c>
    </row>
    <row r="57" spans="1:9">
      <c r="A57" t="s">
        <v>10</v>
      </c>
      <c r="B57" t="s">
        <v>11</v>
      </c>
      <c r="C57" t="s">
        <v>18</v>
      </c>
      <c r="D57" t="s">
        <v>52</v>
      </c>
      <c r="E57" t="s">
        <v>53</v>
      </c>
      <c r="F57" t="s">
        <v>55</v>
      </c>
      <c r="G57" t="s">
        <v>105</v>
      </c>
      <c r="H57" t="s">
        <v>55</v>
      </c>
      <c r="I57" t="s">
        <v>86</v>
      </c>
    </row>
    <row r="58" spans="1:9">
      <c r="A58" t="s">
        <v>10</v>
      </c>
      <c r="B58" t="s">
        <v>11</v>
      </c>
      <c r="C58" t="s">
        <v>18</v>
      </c>
      <c r="D58" t="s">
        <v>52</v>
      </c>
      <c r="E58" t="s">
        <v>53</v>
      </c>
      <c r="F58" t="s">
        <v>56</v>
      </c>
      <c r="G58" t="s">
        <v>53</v>
      </c>
      <c r="H58" t="s">
        <v>56</v>
      </c>
      <c r="I58" t="s">
        <v>84</v>
      </c>
    </row>
    <row r="59" spans="1:9">
      <c r="A59" t="s">
        <v>10</v>
      </c>
      <c r="B59" t="s">
        <v>11</v>
      </c>
      <c r="C59" t="s">
        <v>18</v>
      </c>
      <c r="D59" t="s">
        <v>52</v>
      </c>
      <c r="E59" t="s">
        <v>53</v>
      </c>
      <c r="F59" t="s">
        <v>56</v>
      </c>
      <c r="G59" t="s">
        <v>63</v>
      </c>
      <c r="H59" t="s">
        <v>56</v>
      </c>
      <c r="I59" t="s">
        <v>86</v>
      </c>
    </row>
    <row r="60" spans="1:9">
      <c r="A60" t="s">
        <v>10</v>
      </c>
      <c r="B60" t="s">
        <v>11</v>
      </c>
      <c r="C60" t="s">
        <v>18</v>
      </c>
      <c r="D60" t="s">
        <v>52</v>
      </c>
      <c r="E60" t="s">
        <v>53</v>
      </c>
      <c r="F60" t="s">
        <v>56</v>
      </c>
      <c r="G60" t="s">
        <v>70</v>
      </c>
      <c r="H60" t="s">
        <v>56</v>
      </c>
      <c r="I60" t="s">
        <v>86</v>
      </c>
    </row>
    <row r="61" spans="1:9">
      <c r="A61" t="s">
        <v>10</v>
      </c>
      <c r="B61" t="s">
        <v>11</v>
      </c>
      <c r="C61" t="s">
        <v>18</v>
      </c>
      <c r="D61" t="s">
        <v>52</v>
      </c>
      <c r="E61" t="s">
        <v>53</v>
      </c>
      <c r="F61" t="s">
        <v>56</v>
      </c>
      <c r="G61" t="s">
        <v>53</v>
      </c>
      <c r="H61" t="s">
        <v>106</v>
      </c>
      <c r="I61" t="s">
        <v>93</v>
      </c>
    </row>
    <row r="62" spans="1:9">
      <c r="A62" t="s">
        <v>10</v>
      </c>
      <c r="B62" t="s">
        <v>11</v>
      </c>
      <c r="C62" t="s">
        <v>18</v>
      </c>
      <c r="D62" t="s">
        <v>52</v>
      </c>
      <c r="E62" t="s">
        <v>53</v>
      </c>
      <c r="F62" t="s">
        <v>56</v>
      </c>
      <c r="G62" t="s">
        <v>107</v>
      </c>
      <c r="H62" t="s">
        <v>108</v>
      </c>
      <c r="I62" t="s">
        <v>93</v>
      </c>
    </row>
    <row r="63" spans="1:9">
      <c r="A63" t="s">
        <v>10</v>
      </c>
      <c r="B63" t="s">
        <v>11</v>
      </c>
      <c r="C63" t="s">
        <v>18</v>
      </c>
      <c r="D63" t="s">
        <v>52</v>
      </c>
      <c r="E63" t="s">
        <v>53</v>
      </c>
      <c r="F63" t="s">
        <v>56</v>
      </c>
      <c r="G63" t="s">
        <v>48</v>
      </c>
      <c r="H63" t="s">
        <v>108</v>
      </c>
      <c r="I63" t="s">
        <v>93</v>
      </c>
    </row>
    <row r="64" spans="1:9">
      <c r="A64" t="s">
        <v>10</v>
      </c>
      <c r="B64" t="s">
        <v>11</v>
      </c>
      <c r="C64" t="s">
        <v>18</v>
      </c>
      <c r="D64" t="s">
        <v>52</v>
      </c>
      <c r="E64" t="s">
        <v>53</v>
      </c>
      <c r="F64" t="s">
        <v>56</v>
      </c>
      <c r="G64" t="s">
        <v>70</v>
      </c>
      <c r="H64" t="s">
        <v>106</v>
      </c>
      <c r="I64" t="s">
        <v>93</v>
      </c>
    </row>
    <row r="65" spans="1:10">
      <c r="A65" t="s">
        <v>10</v>
      </c>
      <c r="B65" t="s">
        <v>11</v>
      </c>
      <c r="C65" t="s">
        <v>18</v>
      </c>
      <c r="D65" t="s">
        <v>52</v>
      </c>
      <c r="E65" t="s">
        <v>53</v>
      </c>
      <c r="F65" t="s">
        <v>57</v>
      </c>
      <c r="G65" t="s">
        <v>53</v>
      </c>
      <c r="H65" t="s">
        <v>57</v>
      </c>
      <c r="I65" t="s">
        <v>84</v>
      </c>
    </row>
    <row r="66" spans="1:10">
      <c r="A66" t="s">
        <v>10</v>
      </c>
      <c r="B66" t="s">
        <v>11</v>
      </c>
      <c r="C66" t="s">
        <v>18</v>
      </c>
      <c r="D66" t="s">
        <v>52</v>
      </c>
      <c r="E66" t="s">
        <v>53</v>
      </c>
      <c r="F66" t="s">
        <v>57</v>
      </c>
      <c r="G66" t="s">
        <v>48</v>
      </c>
      <c r="H66" t="s">
        <v>57</v>
      </c>
      <c r="I66" t="s">
        <v>86</v>
      </c>
    </row>
    <row r="67" spans="1:10">
      <c r="A67" t="s">
        <v>10</v>
      </c>
      <c r="B67" t="s">
        <v>11</v>
      </c>
      <c r="C67" t="s">
        <v>18</v>
      </c>
      <c r="D67" t="s">
        <v>52</v>
      </c>
      <c r="E67" t="s">
        <v>53</v>
      </c>
      <c r="F67" t="s">
        <v>58</v>
      </c>
      <c r="G67" t="s">
        <v>53</v>
      </c>
      <c r="H67" t="s">
        <v>58</v>
      </c>
      <c r="I67" t="s">
        <v>84</v>
      </c>
    </row>
    <row r="68" spans="1:10">
      <c r="A68" s="4" t="s">
        <v>10</v>
      </c>
      <c r="B68" s="4" t="s">
        <v>11</v>
      </c>
      <c r="C68" s="4" t="s">
        <v>18</v>
      </c>
      <c r="D68" s="4" t="s">
        <v>52</v>
      </c>
      <c r="E68" s="4" t="s">
        <v>59</v>
      </c>
      <c r="F68" s="4" t="s">
        <v>60</v>
      </c>
      <c r="G68" s="4" t="s">
        <v>59</v>
      </c>
      <c r="H68" s="4" t="s">
        <v>60</v>
      </c>
      <c r="I68" s="4" t="s">
        <v>84</v>
      </c>
      <c r="J68" s="4" t="s">
        <v>33</v>
      </c>
    </row>
    <row r="69" spans="1:10">
      <c r="A69" t="s">
        <v>10</v>
      </c>
      <c r="B69" t="s">
        <v>11</v>
      </c>
      <c r="C69" t="s">
        <v>18</v>
      </c>
      <c r="D69" t="s">
        <v>52</v>
      </c>
      <c r="E69" t="s">
        <v>81</v>
      </c>
      <c r="F69" t="s">
        <v>82</v>
      </c>
      <c r="G69" t="s">
        <v>81</v>
      </c>
      <c r="H69" t="s">
        <v>82</v>
      </c>
      <c r="I69" t="s">
        <v>84</v>
      </c>
    </row>
    <row r="70" spans="1:10">
      <c r="A70" t="s">
        <v>10</v>
      </c>
      <c r="B70" t="s">
        <v>11</v>
      </c>
      <c r="C70" t="s">
        <v>18</v>
      </c>
      <c r="D70" t="s">
        <v>52</v>
      </c>
      <c r="E70" t="s">
        <v>81</v>
      </c>
      <c r="F70" t="s">
        <v>82</v>
      </c>
      <c r="G70" t="s">
        <v>61</v>
      </c>
      <c r="H70" t="s">
        <v>82</v>
      </c>
      <c r="I70" t="s">
        <v>86</v>
      </c>
      <c r="J70" t="s">
        <v>33</v>
      </c>
    </row>
    <row r="71" spans="1:10">
      <c r="A71" t="s">
        <v>10</v>
      </c>
      <c r="B71" t="s">
        <v>11</v>
      </c>
      <c r="C71" t="s">
        <v>18</v>
      </c>
      <c r="D71" t="s">
        <v>52</v>
      </c>
      <c r="E71" t="s">
        <v>81</v>
      </c>
      <c r="F71" t="s">
        <v>82</v>
      </c>
      <c r="G71" t="s">
        <v>61</v>
      </c>
      <c r="H71" t="s">
        <v>109</v>
      </c>
      <c r="I71" t="s">
        <v>86</v>
      </c>
    </row>
    <row r="72" spans="1:10">
      <c r="A72" t="s">
        <v>10</v>
      </c>
      <c r="B72" t="s">
        <v>11</v>
      </c>
      <c r="C72" t="s">
        <v>18</v>
      </c>
      <c r="D72" t="s">
        <v>52</v>
      </c>
      <c r="E72" t="s">
        <v>81</v>
      </c>
      <c r="F72" t="s">
        <v>82</v>
      </c>
      <c r="G72" t="s">
        <v>53</v>
      </c>
      <c r="H72" t="s">
        <v>82</v>
      </c>
      <c r="I72" t="s">
        <v>86</v>
      </c>
    </row>
    <row r="73" spans="1:10">
      <c r="A73" t="s">
        <v>10</v>
      </c>
      <c r="B73" t="s">
        <v>11</v>
      </c>
      <c r="C73" t="s">
        <v>18</v>
      </c>
      <c r="D73" t="s">
        <v>52</v>
      </c>
      <c r="E73" t="s">
        <v>81</v>
      </c>
      <c r="F73" t="s">
        <v>82</v>
      </c>
      <c r="G73" t="s">
        <v>77</v>
      </c>
      <c r="H73" t="s">
        <v>82</v>
      </c>
      <c r="I73" t="s">
        <v>86</v>
      </c>
    </row>
    <row r="74" spans="1:10">
      <c r="A74" t="s">
        <v>10</v>
      </c>
      <c r="B74" t="s">
        <v>11</v>
      </c>
      <c r="C74" t="s">
        <v>18</v>
      </c>
      <c r="D74" t="s">
        <v>52</v>
      </c>
      <c r="E74" t="s">
        <v>81</v>
      </c>
      <c r="F74" t="s">
        <v>82</v>
      </c>
      <c r="G74" t="s">
        <v>110</v>
      </c>
      <c r="H74" t="s">
        <v>111</v>
      </c>
      <c r="I74" t="s">
        <v>93</v>
      </c>
    </row>
    <row r="75" spans="1:10">
      <c r="A75" t="s">
        <v>10</v>
      </c>
      <c r="B75" t="s">
        <v>11</v>
      </c>
      <c r="C75" t="s">
        <v>18</v>
      </c>
      <c r="E75" t="s">
        <v>63</v>
      </c>
      <c r="F75" t="s">
        <v>64</v>
      </c>
      <c r="G75" t="s">
        <v>63</v>
      </c>
      <c r="H75" t="s">
        <v>64</v>
      </c>
      <c r="I75" t="s">
        <v>84</v>
      </c>
      <c r="J75" t="s">
        <v>33</v>
      </c>
    </row>
    <row r="76" spans="1:10">
      <c r="A76" t="s">
        <v>10</v>
      </c>
      <c r="B76" t="s">
        <v>11</v>
      </c>
      <c r="C76" t="s">
        <v>18</v>
      </c>
      <c r="E76" t="s">
        <v>63</v>
      </c>
      <c r="F76" t="s">
        <v>65</v>
      </c>
      <c r="G76" t="s">
        <v>63</v>
      </c>
      <c r="H76" t="s">
        <v>65</v>
      </c>
      <c r="I76" t="s">
        <v>84</v>
      </c>
      <c r="J76" t="s">
        <v>33</v>
      </c>
    </row>
    <row r="77" spans="1:10">
      <c r="A77" t="s">
        <v>10</v>
      </c>
      <c r="B77" t="s">
        <v>11</v>
      </c>
      <c r="C77" t="s">
        <v>18</v>
      </c>
      <c r="E77" t="s">
        <v>63</v>
      </c>
      <c r="F77" t="s">
        <v>66</v>
      </c>
      <c r="G77" t="s">
        <v>63</v>
      </c>
      <c r="H77" t="s">
        <v>66</v>
      </c>
      <c r="I77" t="s">
        <v>84</v>
      </c>
    </row>
    <row r="78" spans="1:10">
      <c r="A78" t="s">
        <v>10</v>
      </c>
      <c r="B78" t="s">
        <v>11</v>
      </c>
      <c r="C78" t="s">
        <v>18</v>
      </c>
      <c r="E78" t="s">
        <v>63</v>
      </c>
      <c r="F78" t="s">
        <v>66</v>
      </c>
      <c r="G78" t="s">
        <v>112</v>
      </c>
      <c r="H78" t="s">
        <v>66</v>
      </c>
      <c r="I78" t="s">
        <v>86</v>
      </c>
    </row>
    <row r="79" spans="1:10">
      <c r="A79" t="s">
        <v>10</v>
      </c>
      <c r="B79" t="s">
        <v>11</v>
      </c>
      <c r="C79" t="s">
        <v>18</v>
      </c>
      <c r="E79" t="s">
        <v>63</v>
      </c>
      <c r="F79" t="s">
        <v>66</v>
      </c>
      <c r="G79" t="s">
        <v>74</v>
      </c>
      <c r="H79" t="s">
        <v>66</v>
      </c>
      <c r="I79" t="s">
        <v>86</v>
      </c>
    </row>
    <row r="80" spans="1:10">
      <c r="A80" t="s">
        <v>10</v>
      </c>
      <c r="B80" t="s">
        <v>11</v>
      </c>
      <c r="C80" t="s">
        <v>18</v>
      </c>
      <c r="E80" t="s">
        <v>63</v>
      </c>
      <c r="F80" t="s">
        <v>66</v>
      </c>
      <c r="G80" t="s">
        <v>74</v>
      </c>
      <c r="H80" t="s">
        <v>113</v>
      </c>
      <c r="I80" t="s">
        <v>86</v>
      </c>
    </row>
    <row r="81" spans="1:10">
      <c r="A81" t="s">
        <v>10</v>
      </c>
      <c r="B81" t="s">
        <v>11</v>
      </c>
      <c r="C81" t="s">
        <v>18</v>
      </c>
      <c r="E81" t="s">
        <v>63</v>
      </c>
      <c r="F81" t="s">
        <v>67</v>
      </c>
      <c r="G81" t="s">
        <v>63</v>
      </c>
      <c r="H81" t="s">
        <v>67</v>
      </c>
      <c r="I81" t="s">
        <v>84</v>
      </c>
    </row>
    <row r="82" spans="1:10">
      <c r="A82" t="s">
        <v>10</v>
      </c>
      <c r="B82" t="s">
        <v>11</v>
      </c>
      <c r="C82" t="s">
        <v>18</v>
      </c>
      <c r="E82" t="s">
        <v>63</v>
      </c>
      <c r="F82" t="s">
        <v>67</v>
      </c>
      <c r="G82" t="s">
        <v>63</v>
      </c>
      <c r="H82" t="s">
        <v>114</v>
      </c>
      <c r="I82" t="s">
        <v>93</v>
      </c>
    </row>
    <row r="83" spans="1:10">
      <c r="A83" t="s">
        <v>10</v>
      </c>
      <c r="B83" t="s">
        <v>11</v>
      </c>
      <c r="C83" t="s">
        <v>18</v>
      </c>
      <c r="E83" t="s">
        <v>63</v>
      </c>
      <c r="F83" t="s">
        <v>67</v>
      </c>
      <c r="G83" t="s">
        <v>115</v>
      </c>
      <c r="H83" t="s">
        <v>114</v>
      </c>
      <c r="I83" t="s">
        <v>93</v>
      </c>
    </row>
    <row r="84" spans="1:10">
      <c r="A84" t="s">
        <v>10</v>
      </c>
      <c r="B84" t="s">
        <v>11</v>
      </c>
      <c r="C84" t="s">
        <v>18</v>
      </c>
      <c r="E84" t="s">
        <v>63</v>
      </c>
      <c r="F84" t="s">
        <v>68</v>
      </c>
      <c r="G84" t="s">
        <v>63</v>
      </c>
      <c r="H84" t="s">
        <v>68</v>
      </c>
      <c r="I84" t="s">
        <v>84</v>
      </c>
    </row>
    <row r="85" spans="1:10">
      <c r="A85" s="4" t="s">
        <v>10</v>
      </c>
      <c r="B85" s="4" t="s">
        <v>11</v>
      </c>
      <c r="C85" s="4" t="s">
        <v>18</v>
      </c>
      <c r="D85" s="4" t="s">
        <v>69</v>
      </c>
      <c r="E85" s="4"/>
      <c r="F85" s="4"/>
      <c r="G85" s="4"/>
      <c r="H85" s="4"/>
      <c r="I85" s="4"/>
      <c r="J85" s="4" t="s">
        <v>33</v>
      </c>
    </row>
    <row r="86" spans="1:10">
      <c r="A86" t="s">
        <v>10</v>
      </c>
      <c r="B86" t="s">
        <v>11</v>
      </c>
      <c r="C86" t="s">
        <v>18</v>
      </c>
      <c r="E86" t="s">
        <v>70</v>
      </c>
      <c r="F86" t="s">
        <v>71</v>
      </c>
      <c r="G86" t="s">
        <v>70</v>
      </c>
      <c r="H86" t="s">
        <v>71</v>
      </c>
      <c r="I86" t="s">
        <v>84</v>
      </c>
    </row>
    <row r="87" spans="1:10">
      <c r="A87" t="s">
        <v>10</v>
      </c>
      <c r="B87" t="s">
        <v>11</v>
      </c>
      <c r="C87" t="s">
        <v>18</v>
      </c>
      <c r="E87" t="s">
        <v>70</v>
      </c>
      <c r="F87" t="s">
        <v>71</v>
      </c>
      <c r="G87" t="s">
        <v>53</v>
      </c>
      <c r="H87" t="s">
        <v>71</v>
      </c>
      <c r="I87" t="s">
        <v>86</v>
      </c>
    </row>
    <row r="88" spans="1:10">
      <c r="A88" t="s">
        <v>10</v>
      </c>
      <c r="B88" t="s">
        <v>11</v>
      </c>
      <c r="C88" t="s">
        <v>18</v>
      </c>
      <c r="E88" t="s">
        <v>70</v>
      </c>
      <c r="F88" t="s">
        <v>71</v>
      </c>
      <c r="G88" t="s">
        <v>26</v>
      </c>
      <c r="H88" t="s">
        <v>71</v>
      </c>
      <c r="I88" t="s">
        <v>86</v>
      </c>
    </row>
    <row r="89" spans="1:10">
      <c r="A89" t="s">
        <v>10</v>
      </c>
      <c r="B89" t="s">
        <v>11</v>
      </c>
      <c r="C89" t="s">
        <v>18</v>
      </c>
      <c r="E89" t="s">
        <v>70</v>
      </c>
      <c r="F89" t="s">
        <v>71</v>
      </c>
      <c r="G89" t="s">
        <v>63</v>
      </c>
      <c r="H89" t="s">
        <v>71</v>
      </c>
      <c r="I89" t="s">
        <v>86</v>
      </c>
    </row>
    <row r="90" spans="1:10">
      <c r="A90" t="s">
        <v>10</v>
      </c>
      <c r="B90" t="s">
        <v>11</v>
      </c>
      <c r="C90" t="s">
        <v>18</v>
      </c>
      <c r="E90" t="s">
        <v>70</v>
      </c>
      <c r="F90" t="s">
        <v>71</v>
      </c>
      <c r="G90" t="s">
        <v>53</v>
      </c>
      <c r="H90" t="s">
        <v>116</v>
      </c>
      <c r="I90" t="s">
        <v>93</v>
      </c>
    </row>
    <row r="91" spans="1:10">
      <c r="A91" t="s">
        <v>10</v>
      </c>
      <c r="B91" t="s">
        <v>11</v>
      </c>
      <c r="C91" t="s">
        <v>18</v>
      </c>
      <c r="E91" t="s">
        <v>70</v>
      </c>
      <c r="F91" t="s">
        <v>71</v>
      </c>
      <c r="G91" t="s">
        <v>63</v>
      </c>
      <c r="H91" t="s">
        <v>117</v>
      </c>
      <c r="I91" t="s">
        <v>93</v>
      </c>
    </row>
    <row r="92" spans="1:10">
      <c r="A92" t="s">
        <v>10</v>
      </c>
      <c r="B92" t="s">
        <v>11</v>
      </c>
      <c r="C92" t="s">
        <v>18</v>
      </c>
      <c r="E92" t="s">
        <v>70</v>
      </c>
      <c r="F92" t="s">
        <v>71</v>
      </c>
      <c r="G92" t="s">
        <v>70</v>
      </c>
      <c r="H92" t="s">
        <v>116</v>
      </c>
      <c r="I92" t="s">
        <v>93</v>
      </c>
    </row>
    <row r="93" spans="1:10">
      <c r="A93" t="s">
        <v>10</v>
      </c>
      <c r="B93" t="s">
        <v>11</v>
      </c>
      <c r="C93" t="s">
        <v>18</v>
      </c>
      <c r="E93" t="s">
        <v>70</v>
      </c>
      <c r="F93" t="s">
        <v>72</v>
      </c>
      <c r="G93" t="s">
        <v>70</v>
      </c>
      <c r="H93" t="s">
        <v>72</v>
      </c>
      <c r="I93" t="s">
        <v>84</v>
      </c>
    </row>
    <row r="94" spans="1:10">
      <c r="A94" t="s">
        <v>10</v>
      </c>
      <c r="B94" t="s">
        <v>11</v>
      </c>
      <c r="C94" t="s">
        <v>18</v>
      </c>
      <c r="E94" t="s">
        <v>70</v>
      </c>
      <c r="F94" t="s">
        <v>73</v>
      </c>
      <c r="G94" t="s">
        <v>70</v>
      </c>
      <c r="H94" t="s">
        <v>73</v>
      </c>
      <c r="I94" t="s">
        <v>84</v>
      </c>
    </row>
    <row r="95" spans="1:10">
      <c r="A95" t="s">
        <v>10</v>
      </c>
      <c r="B95" t="s">
        <v>11</v>
      </c>
      <c r="C95" t="s">
        <v>18</v>
      </c>
      <c r="E95" t="s">
        <v>74</v>
      </c>
      <c r="F95" t="s">
        <v>75</v>
      </c>
      <c r="G95" t="s">
        <v>74</v>
      </c>
      <c r="H95" t="s">
        <v>75</v>
      </c>
      <c r="I95" t="s">
        <v>84</v>
      </c>
    </row>
    <row r="96" spans="1:10">
      <c r="A96" t="s">
        <v>10</v>
      </c>
      <c r="B96" t="s">
        <v>11</v>
      </c>
      <c r="C96" t="s">
        <v>18</v>
      </c>
      <c r="E96" t="s">
        <v>74</v>
      </c>
      <c r="F96" t="s">
        <v>75</v>
      </c>
      <c r="G96" t="s">
        <v>118</v>
      </c>
      <c r="H96" t="s">
        <v>75</v>
      </c>
      <c r="I96" t="s">
        <v>86</v>
      </c>
    </row>
    <row r="97" spans="1:9">
      <c r="A97" t="s">
        <v>10</v>
      </c>
      <c r="B97" t="s">
        <v>11</v>
      </c>
      <c r="C97" t="s">
        <v>18</v>
      </c>
      <c r="E97" t="s">
        <v>74</v>
      </c>
      <c r="F97" t="s">
        <v>76</v>
      </c>
      <c r="G97" t="s">
        <v>74</v>
      </c>
      <c r="H97" t="s">
        <v>76</v>
      </c>
      <c r="I97" t="s">
        <v>84</v>
      </c>
    </row>
    <row r="98" spans="1:9">
      <c r="A98" t="s">
        <v>10</v>
      </c>
      <c r="B98" t="s">
        <v>11</v>
      </c>
      <c r="C98" t="s">
        <v>18</v>
      </c>
      <c r="E98" t="s">
        <v>77</v>
      </c>
      <c r="F98" t="s">
        <v>78</v>
      </c>
      <c r="G98" t="s">
        <v>77</v>
      </c>
      <c r="H98" t="s">
        <v>78</v>
      </c>
      <c r="I98" t="s">
        <v>84</v>
      </c>
    </row>
    <row r="99" spans="1:9">
      <c r="A99" t="s">
        <v>10</v>
      </c>
      <c r="B99" t="s">
        <v>11</v>
      </c>
      <c r="C99" t="s">
        <v>18</v>
      </c>
      <c r="E99" t="s">
        <v>77</v>
      </c>
      <c r="F99" t="s">
        <v>78</v>
      </c>
      <c r="G99" t="s">
        <v>70</v>
      </c>
      <c r="H99" t="s">
        <v>78</v>
      </c>
      <c r="I99" t="s">
        <v>86</v>
      </c>
    </row>
    <row r="100" spans="1:9">
      <c r="A100" t="s">
        <v>10</v>
      </c>
      <c r="B100" t="s">
        <v>11</v>
      </c>
      <c r="C100" t="s">
        <v>18</v>
      </c>
      <c r="E100" t="s">
        <v>79</v>
      </c>
      <c r="F100" t="s">
        <v>80</v>
      </c>
      <c r="G100" t="s">
        <v>79</v>
      </c>
      <c r="H100" t="s">
        <v>80</v>
      </c>
      <c r="I100" t="s">
        <v>84</v>
      </c>
    </row>
    <row r="101" spans="1:9">
      <c r="A101" t="s">
        <v>10</v>
      </c>
      <c r="B101" t="s">
        <v>11</v>
      </c>
      <c r="C101" t="s">
        <v>18</v>
      </c>
      <c r="E101" t="s">
        <v>79</v>
      </c>
      <c r="F101" t="s">
        <v>80</v>
      </c>
      <c r="G101" t="s">
        <v>70</v>
      </c>
      <c r="H101" t="s">
        <v>80</v>
      </c>
      <c r="I101"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935A3-E0C1-46C8-98F4-25B0A1C6F1ED}">
  <dimension ref="A1:CP918"/>
  <sheetViews>
    <sheetView tabSelected="1" zoomScale="70" zoomScaleNormal="70" workbookViewId="0">
      <pane ySplit="1" topLeftCell="A763" activePane="bottomLeft" state="frozen"/>
      <selection pane="bottomLeft" activeCell="F794" sqref="F794"/>
    </sheetView>
  </sheetViews>
  <sheetFormatPr baseColWidth="10" defaultColWidth="8.83203125" defaultRowHeight="15"/>
  <cols>
    <col min="1" max="1" width="18.5" customWidth="1"/>
    <col min="2" max="2" width="8" bestFit="1" customWidth="1"/>
    <col min="3" max="3" width="14" bestFit="1" customWidth="1"/>
    <col min="4" max="4" width="14.33203125" bestFit="1" customWidth="1"/>
    <col min="5" max="5" width="17.83203125" bestFit="1" customWidth="1"/>
    <col min="6" max="6" width="20" bestFit="1" customWidth="1"/>
    <col min="7" max="7" width="18.33203125" bestFit="1" customWidth="1"/>
    <col min="8" max="8" width="16.6640625" bestFit="1" customWidth="1"/>
    <col min="9" max="9" width="19.1640625" bestFit="1" customWidth="1"/>
    <col min="10" max="10" width="16.6640625" bestFit="1" customWidth="1"/>
    <col min="11" max="12" width="16.6640625" customWidth="1"/>
    <col min="13" max="13" width="26.5" bestFit="1" customWidth="1"/>
    <col min="31" max="31" width="9.83203125" bestFit="1" customWidth="1"/>
    <col min="62" max="62" width="29.83203125" bestFit="1" customWidth="1"/>
    <col min="65" max="65" width="44.83203125" bestFit="1" customWidth="1"/>
    <col min="66" max="66" width="12" style="33" bestFit="1" customWidth="1"/>
    <col min="67" max="67" width="17" bestFit="1" customWidth="1"/>
    <col min="68" max="68" width="26.5" bestFit="1" customWidth="1"/>
    <col min="69" max="69" width="24" bestFit="1" customWidth="1"/>
    <col min="70" max="70" width="17.6640625" bestFit="1" customWidth="1"/>
  </cols>
  <sheetData>
    <row r="1" spans="1:70" ht="16">
      <c r="A1" t="s">
        <v>119</v>
      </c>
      <c r="B1" t="s">
        <v>1247</v>
      </c>
      <c r="C1" t="s">
        <v>0</v>
      </c>
      <c r="D1" t="s">
        <v>1</v>
      </c>
      <c r="E1" t="s">
        <v>2</v>
      </c>
      <c r="F1" t="s">
        <v>3</v>
      </c>
      <c r="G1" t="s">
        <v>4</v>
      </c>
      <c r="H1" t="s">
        <v>5</v>
      </c>
      <c r="I1" t="s">
        <v>120</v>
      </c>
      <c r="J1" t="s">
        <v>121</v>
      </c>
      <c r="K1" t="s">
        <v>122</v>
      </c>
      <c r="L1" t="s">
        <v>123</v>
      </c>
      <c r="M1" t="s">
        <v>124</v>
      </c>
      <c r="N1" s="20" t="s">
        <v>125</v>
      </c>
      <c r="O1" s="20" t="s">
        <v>315</v>
      </c>
      <c r="P1" s="20" t="s">
        <v>316</v>
      </c>
      <c r="Q1" s="20" t="s">
        <v>126</v>
      </c>
      <c r="R1" s="20" t="s">
        <v>127</v>
      </c>
      <c r="S1" s="20" t="s">
        <v>317</v>
      </c>
      <c r="T1" s="20" t="s">
        <v>318</v>
      </c>
      <c r="U1" s="20" t="s">
        <v>128</v>
      </c>
      <c r="V1" s="20" t="s">
        <v>129</v>
      </c>
      <c r="W1" s="20" t="s">
        <v>319</v>
      </c>
      <c r="X1" s="20" t="s">
        <v>320</v>
      </c>
      <c r="Y1" s="20" t="s">
        <v>130</v>
      </c>
      <c r="Z1" s="20" t="s">
        <v>131</v>
      </c>
      <c r="AA1" s="20" t="s">
        <v>321</v>
      </c>
      <c r="AB1" s="20" t="s">
        <v>322</v>
      </c>
      <c r="AC1" s="20" t="s">
        <v>132</v>
      </c>
      <c r="AD1" s="20" t="s">
        <v>133</v>
      </c>
      <c r="AE1" s="20" t="s">
        <v>323</v>
      </c>
      <c r="AF1" s="20" t="s">
        <v>324</v>
      </c>
      <c r="AG1" s="20" t="s">
        <v>134</v>
      </c>
      <c r="AH1" s="20" t="s">
        <v>135</v>
      </c>
      <c r="AI1" s="20" t="s">
        <v>325</v>
      </c>
      <c r="AJ1" s="20" t="s">
        <v>326</v>
      </c>
      <c r="AK1" s="20" t="s">
        <v>136</v>
      </c>
      <c r="AL1" s="20" t="s">
        <v>137</v>
      </c>
      <c r="AM1" s="20" t="s">
        <v>327</v>
      </c>
      <c r="AN1" s="20" t="s">
        <v>328</v>
      </c>
      <c r="AO1" s="20" t="s">
        <v>138</v>
      </c>
      <c r="AP1" s="20" t="s">
        <v>139</v>
      </c>
      <c r="AQ1" s="20" t="s">
        <v>329</v>
      </c>
      <c r="AR1" s="20" t="s">
        <v>330</v>
      </c>
      <c r="AS1" s="20" t="s">
        <v>140</v>
      </c>
      <c r="AT1" s="20" t="s">
        <v>141</v>
      </c>
      <c r="AU1" s="20" t="s">
        <v>331</v>
      </c>
      <c r="AV1" s="20" t="s">
        <v>332</v>
      </c>
      <c r="AW1" s="20" t="s">
        <v>142</v>
      </c>
      <c r="AX1" s="20" t="s">
        <v>143</v>
      </c>
      <c r="AY1" s="20" t="s">
        <v>333</v>
      </c>
      <c r="AZ1" s="20" t="s">
        <v>334</v>
      </c>
      <c r="BA1" s="20" t="s">
        <v>144</v>
      </c>
      <c r="BB1" s="20" t="s">
        <v>145</v>
      </c>
      <c r="BC1" s="20" t="s">
        <v>335</v>
      </c>
      <c r="BD1" s="20" t="s">
        <v>336</v>
      </c>
      <c r="BE1" s="20" t="s">
        <v>146</v>
      </c>
      <c r="BF1" s="20" t="s">
        <v>147</v>
      </c>
      <c r="BG1" s="20" t="s">
        <v>337</v>
      </c>
      <c r="BH1" s="20" t="s">
        <v>338</v>
      </c>
      <c r="BI1" s="20" t="s">
        <v>148</v>
      </c>
      <c r="BJ1" t="s">
        <v>149</v>
      </c>
      <c r="BK1" t="s">
        <v>150</v>
      </c>
      <c r="BL1" t="s">
        <v>1220</v>
      </c>
      <c r="BM1" t="s">
        <v>151</v>
      </c>
      <c r="BN1" s="33" t="s">
        <v>1217</v>
      </c>
      <c r="BO1" t="s">
        <v>152</v>
      </c>
      <c r="BP1" t="s">
        <v>153</v>
      </c>
      <c r="BQ1" t="s">
        <v>154</v>
      </c>
      <c r="BR1" t="s">
        <v>155</v>
      </c>
    </row>
    <row r="2" spans="1:70">
      <c r="A2" t="s">
        <v>311</v>
      </c>
      <c r="C2" t="s">
        <v>10</v>
      </c>
      <c r="D2" t="s">
        <v>11</v>
      </c>
      <c r="E2" t="s">
        <v>473</v>
      </c>
      <c r="G2" t="s">
        <v>89</v>
      </c>
      <c r="H2" t="s">
        <v>775</v>
      </c>
      <c r="I2" t="s">
        <v>89</v>
      </c>
      <c r="J2" t="s">
        <v>775</v>
      </c>
      <c r="U2">
        <v>2.8</v>
      </c>
      <c r="V2">
        <f>AVERAGE(3,2.8)</f>
        <v>2.9</v>
      </c>
      <c r="Y2">
        <f>AVERAGE(4.1,4.1)</f>
        <v>4.0999999999999996</v>
      </c>
      <c r="Z2">
        <f>AVERAGE(3,3)</f>
        <v>3</v>
      </c>
      <c r="AA2">
        <f>AVERAGE(4.1,4.1)</f>
        <v>4.0999999999999996</v>
      </c>
      <c r="AB2">
        <f>AVERAGE(4.3,4.4)</f>
        <v>4.3499999999999996</v>
      </c>
      <c r="AC2">
        <f>MAX(AA2:AB2)</f>
        <v>4.3499999999999996</v>
      </c>
      <c r="AD2">
        <f>AVERAGE(3.1,3.1)</f>
        <v>3.1</v>
      </c>
      <c r="AE2">
        <f>AVERAGE(4.9,4.9)</f>
        <v>4.9000000000000004</v>
      </c>
      <c r="AF2">
        <f>AVERAGE(5,5)</f>
        <v>5</v>
      </c>
      <c r="AG2">
        <f>MAX(AE2:AF2)</f>
        <v>5</v>
      </c>
      <c r="AH2">
        <v>2.7</v>
      </c>
      <c r="AI2">
        <v>4.4000000000000004</v>
      </c>
      <c r="AJ2">
        <v>4</v>
      </c>
      <c r="AK2">
        <v>4.4000000000000004</v>
      </c>
      <c r="AT2">
        <v>2.9</v>
      </c>
      <c r="AW2">
        <v>2</v>
      </c>
      <c r="AX2">
        <v>2.9</v>
      </c>
      <c r="AY2">
        <v>2.2000000000000002</v>
      </c>
      <c r="AZ2">
        <v>2.2000000000000002</v>
      </c>
      <c r="BA2">
        <v>2.2000000000000002</v>
      </c>
      <c r="BB2">
        <v>2.9</v>
      </c>
      <c r="BC2">
        <v>2.4</v>
      </c>
      <c r="BD2">
        <v>2.4</v>
      </c>
      <c r="BE2">
        <v>2.4</v>
      </c>
      <c r="BF2">
        <v>3.6</v>
      </c>
      <c r="BG2">
        <v>2.2999999999999998</v>
      </c>
      <c r="BH2">
        <v>2.1</v>
      </c>
      <c r="BI2">
        <v>2.2999999999999998</v>
      </c>
      <c r="BK2" t="s">
        <v>159</v>
      </c>
      <c r="BM2" t="s">
        <v>848</v>
      </c>
      <c r="BN2" s="33">
        <v>965</v>
      </c>
    </row>
    <row r="3" spans="1:70">
      <c r="A3" s="14" t="s">
        <v>852</v>
      </c>
      <c r="B3" s="14"/>
      <c r="C3" s="14" t="s">
        <v>10</v>
      </c>
      <c r="D3" s="14" t="s">
        <v>11</v>
      </c>
      <c r="E3" s="14" t="s">
        <v>473</v>
      </c>
      <c r="F3" s="14"/>
      <c r="G3" s="14" t="s">
        <v>89</v>
      </c>
      <c r="H3" s="14" t="s">
        <v>775</v>
      </c>
      <c r="I3" s="14" t="s">
        <v>89</v>
      </c>
      <c r="J3" s="14" t="s">
        <v>775</v>
      </c>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t="s">
        <v>159</v>
      </c>
      <c r="BL3" s="14"/>
      <c r="BM3" s="14" t="s">
        <v>848</v>
      </c>
      <c r="BN3" s="34">
        <v>965</v>
      </c>
      <c r="BO3" s="14" t="s">
        <v>174</v>
      </c>
      <c r="BP3" s="14" t="s">
        <v>848</v>
      </c>
      <c r="BQ3" s="14"/>
      <c r="BR3" s="14"/>
    </row>
    <row r="4" spans="1:70">
      <c r="A4" s="14" t="s">
        <v>853</v>
      </c>
      <c r="B4" s="14"/>
      <c r="C4" s="14" t="s">
        <v>10</v>
      </c>
      <c r="D4" s="14" t="s">
        <v>11</v>
      </c>
      <c r="E4" s="14" t="s">
        <v>473</v>
      </c>
      <c r="F4" s="14"/>
      <c r="G4" s="14" t="s">
        <v>89</v>
      </c>
      <c r="H4" s="14" t="s">
        <v>776</v>
      </c>
      <c r="I4" s="14" t="s">
        <v>89</v>
      </c>
      <c r="J4" s="14" t="s">
        <v>776</v>
      </c>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t="s">
        <v>159</v>
      </c>
      <c r="BL4" s="14"/>
      <c r="BM4" s="14" t="s">
        <v>848</v>
      </c>
      <c r="BN4" s="34">
        <v>965</v>
      </c>
      <c r="BO4" s="14" t="s">
        <v>174</v>
      </c>
      <c r="BP4" s="14" t="s">
        <v>848</v>
      </c>
      <c r="BQ4" s="14"/>
      <c r="BR4" s="14"/>
    </row>
    <row r="5" spans="1:70">
      <c r="A5" t="s">
        <v>851</v>
      </c>
      <c r="C5" t="s">
        <v>10</v>
      </c>
      <c r="D5" t="s">
        <v>11</v>
      </c>
      <c r="E5" t="s">
        <v>473</v>
      </c>
      <c r="G5" t="s">
        <v>89</v>
      </c>
      <c r="H5" t="s">
        <v>776</v>
      </c>
      <c r="I5" t="s">
        <v>89</v>
      </c>
      <c r="J5" t="s">
        <v>776</v>
      </c>
      <c r="Z5">
        <v>4.0999999999999996</v>
      </c>
      <c r="AA5">
        <v>5.3</v>
      </c>
      <c r="AB5">
        <v>5.7</v>
      </c>
      <c r="AC5">
        <v>5.7</v>
      </c>
      <c r="BK5" t="s">
        <v>159</v>
      </c>
      <c r="BM5" t="s">
        <v>848</v>
      </c>
      <c r="BN5" s="33">
        <v>965</v>
      </c>
    </row>
    <row r="6" spans="1:70">
      <c r="A6" t="s">
        <v>849</v>
      </c>
      <c r="C6" t="s">
        <v>10</v>
      </c>
      <c r="D6" t="s">
        <v>11</v>
      </c>
      <c r="E6" t="s">
        <v>473</v>
      </c>
      <c r="G6" t="s">
        <v>89</v>
      </c>
      <c r="H6" t="s">
        <v>776</v>
      </c>
      <c r="I6" t="s">
        <v>89</v>
      </c>
      <c r="J6" t="s">
        <v>776</v>
      </c>
      <c r="AX6">
        <v>4.0999999999999996</v>
      </c>
      <c r="AY6">
        <v>3.1</v>
      </c>
      <c r="AZ6">
        <v>3.2</v>
      </c>
      <c r="BA6">
        <v>3.2</v>
      </c>
      <c r="BJ6" t="s">
        <v>850</v>
      </c>
      <c r="BK6" t="s">
        <v>159</v>
      </c>
      <c r="BM6" t="s">
        <v>848</v>
      </c>
      <c r="BN6" s="33">
        <v>965</v>
      </c>
    </row>
    <row r="7" spans="1:70" s="55" customFormat="1">
      <c r="A7" s="55" t="s">
        <v>311</v>
      </c>
      <c r="C7" s="55" t="s">
        <v>10</v>
      </c>
      <c r="D7" s="55" t="s">
        <v>11</v>
      </c>
      <c r="E7" s="55" t="s">
        <v>473</v>
      </c>
      <c r="G7" s="55" t="s">
        <v>89</v>
      </c>
      <c r="H7" s="55" t="s">
        <v>776</v>
      </c>
      <c r="I7" s="55" t="s">
        <v>89</v>
      </c>
      <c r="J7" s="55" t="s">
        <v>776</v>
      </c>
      <c r="V7" s="55">
        <v>4</v>
      </c>
      <c r="Y7" s="55">
        <v>4.9000000000000004</v>
      </c>
      <c r="Z7" s="55">
        <v>4.0999999999999996</v>
      </c>
      <c r="AA7" s="55">
        <v>5.7</v>
      </c>
      <c r="AB7" s="55">
        <v>6</v>
      </c>
      <c r="AC7" s="55">
        <v>6</v>
      </c>
      <c r="AD7" s="55">
        <v>3.9</v>
      </c>
      <c r="AE7" s="55">
        <v>6.6</v>
      </c>
      <c r="AF7" s="55">
        <v>6.7</v>
      </c>
      <c r="AG7" s="55">
        <v>6.7</v>
      </c>
      <c r="AH7" s="55">
        <v>3.5</v>
      </c>
      <c r="AI7" s="55">
        <v>6.2</v>
      </c>
      <c r="AJ7" s="55">
        <v>5.4</v>
      </c>
      <c r="AK7" s="55">
        <v>6.2</v>
      </c>
      <c r="AL7" s="55">
        <v>3.8</v>
      </c>
      <c r="AO7" s="55">
        <v>2.4</v>
      </c>
      <c r="AP7" s="55">
        <v>4.3</v>
      </c>
      <c r="AS7" s="55">
        <v>2.6</v>
      </c>
      <c r="AT7" s="55">
        <v>4.3</v>
      </c>
      <c r="AW7" s="55">
        <v>2.8</v>
      </c>
      <c r="AX7" s="55">
        <v>4.2</v>
      </c>
      <c r="AY7" s="55">
        <v>3</v>
      </c>
      <c r="AZ7" s="55">
        <v>3.1</v>
      </c>
      <c r="BA7" s="55">
        <v>3.1</v>
      </c>
      <c r="BB7" s="55">
        <v>3.9</v>
      </c>
      <c r="BC7" s="55">
        <v>3.3</v>
      </c>
      <c r="BD7" s="55">
        <v>3.1</v>
      </c>
      <c r="BE7" s="55">
        <v>3.3</v>
      </c>
      <c r="BF7" s="55">
        <v>4.8</v>
      </c>
      <c r="BG7" s="55">
        <v>3.1</v>
      </c>
      <c r="BH7" s="55">
        <v>2.7</v>
      </c>
      <c r="BI7" s="55">
        <v>3.1</v>
      </c>
      <c r="BK7" s="55" t="s">
        <v>159</v>
      </c>
      <c r="BM7" s="55" t="s">
        <v>848</v>
      </c>
      <c r="BN7" s="56">
        <v>965</v>
      </c>
      <c r="BO7" s="55" t="s">
        <v>174</v>
      </c>
      <c r="BP7" s="55" t="s">
        <v>189</v>
      </c>
    </row>
    <row r="8" spans="1:70">
      <c r="A8" t="s">
        <v>866</v>
      </c>
      <c r="C8" t="s">
        <v>10</v>
      </c>
      <c r="D8" t="s">
        <v>11</v>
      </c>
      <c r="E8" t="s">
        <v>473</v>
      </c>
      <c r="G8" t="s">
        <v>89</v>
      </c>
      <c r="H8" t="s">
        <v>778</v>
      </c>
      <c r="I8" t="s">
        <v>89</v>
      </c>
      <c r="J8" t="s">
        <v>778</v>
      </c>
      <c r="Z8">
        <v>3.6</v>
      </c>
      <c r="AA8">
        <v>4.8</v>
      </c>
      <c r="AB8">
        <v>4.9000000000000004</v>
      </c>
      <c r="AC8">
        <v>4.9000000000000004</v>
      </c>
      <c r="BK8" t="s">
        <v>159</v>
      </c>
      <c r="BM8" t="s">
        <v>848</v>
      </c>
      <c r="BN8" s="33">
        <v>965</v>
      </c>
    </row>
    <row r="9" spans="1:70">
      <c r="A9" t="s">
        <v>858</v>
      </c>
      <c r="C9" t="s">
        <v>10</v>
      </c>
      <c r="D9" t="s">
        <v>11</v>
      </c>
      <c r="E9" t="s">
        <v>473</v>
      </c>
      <c r="G9" t="s">
        <v>89</v>
      </c>
      <c r="H9" t="s">
        <v>778</v>
      </c>
      <c r="I9" t="s">
        <v>89</v>
      </c>
      <c r="J9" t="s">
        <v>778</v>
      </c>
      <c r="BC9">
        <v>2.2999999999999998</v>
      </c>
      <c r="BJ9" t="s">
        <v>859</v>
      </c>
      <c r="BK9" t="s">
        <v>159</v>
      </c>
      <c r="BM9" t="s">
        <v>848</v>
      </c>
      <c r="BN9" s="33">
        <v>965</v>
      </c>
    </row>
    <row r="10" spans="1:70">
      <c r="A10" t="s">
        <v>858</v>
      </c>
      <c r="C10" t="s">
        <v>10</v>
      </c>
      <c r="D10" t="s">
        <v>11</v>
      </c>
      <c r="E10" t="s">
        <v>473</v>
      </c>
      <c r="G10" t="s">
        <v>89</v>
      </c>
      <c r="H10" t="s">
        <v>778</v>
      </c>
      <c r="I10" t="s">
        <v>89</v>
      </c>
      <c r="J10" t="s">
        <v>778</v>
      </c>
      <c r="AH10">
        <v>3</v>
      </c>
      <c r="BK10" t="s">
        <v>159</v>
      </c>
      <c r="BM10" t="s">
        <v>848</v>
      </c>
      <c r="BN10" s="33">
        <v>965</v>
      </c>
    </row>
    <row r="11" spans="1:70">
      <c r="A11" t="s">
        <v>860</v>
      </c>
      <c r="C11" t="s">
        <v>10</v>
      </c>
      <c r="D11" t="s">
        <v>11</v>
      </c>
      <c r="E11" t="s">
        <v>473</v>
      </c>
      <c r="G11" t="s">
        <v>89</v>
      </c>
      <c r="H11" t="s">
        <v>778</v>
      </c>
      <c r="I11" t="s">
        <v>89</v>
      </c>
      <c r="J11" t="s">
        <v>778</v>
      </c>
      <c r="BB11">
        <v>3.4</v>
      </c>
      <c r="BC11">
        <v>2.7</v>
      </c>
      <c r="BD11">
        <v>2.6</v>
      </c>
      <c r="BE11">
        <v>2.7</v>
      </c>
      <c r="BJ11" t="s">
        <v>861</v>
      </c>
      <c r="BK11" t="s">
        <v>159</v>
      </c>
      <c r="BM11" t="s">
        <v>848</v>
      </c>
      <c r="BN11" s="33">
        <v>965</v>
      </c>
    </row>
    <row r="12" spans="1:70">
      <c r="A12" t="s">
        <v>867</v>
      </c>
      <c r="C12" t="s">
        <v>10</v>
      </c>
      <c r="D12" t="s">
        <v>11</v>
      </c>
      <c r="E12" t="s">
        <v>473</v>
      </c>
      <c r="G12" t="s">
        <v>89</v>
      </c>
      <c r="H12" t="s">
        <v>778</v>
      </c>
      <c r="I12" t="s">
        <v>89</v>
      </c>
      <c r="J12" t="s">
        <v>778</v>
      </c>
      <c r="Z12">
        <v>3.3</v>
      </c>
      <c r="AA12">
        <v>4.0999999999999996</v>
      </c>
      <c r="AB12">
        <v>4.8</v>
      </c>
      <c r="AC12">
        <v>4.8</v>
      </c>
      <c r="AD12">
        <v>3.5</v>
      </c>
      <c r="AE12">
        <v>6</v>
      </c>
      <c r="AF12">
        <v>6.1</v>
      </c>
      <c r="AG12">
        <v>6.1</v>
      </c>
      <c r="BJ12" t="s">
        <v>200</v>
      </c>
      <c r="BK12" t="s">
        <v>159</v>
      </c>
      <c r="BM12" t="s">
        <v>848</v>
      </c>
      <c r="BN12" s="33">
        <v>965</v>
      </c>
    </row>
    <row r="13" spans="1:70">
      <c r="A13" t="s">
        <v>864</v>
      </c>
      <c r="C13" t="s">
        <v>10</v>
      </c>
      <c r="D13" t="s">
        <v>11</v>
      </c>
      <c r="E13" t="s">
        <v>473</v>
      </c>
      <c r="G13" t="s">
        <v>89</v>
      </c>
      <c r="H13" t="s">
        <v>778</v>
      </c>
      <c r="I13" t="s">
        <v>89</v>
      </c>
      <c r="J13" t="s">
        <v>778</v>
      </c>
      <c r="BB13">
        <v>3.2</v>
      </c>
      <c r="BC13">
        <v>2.7</v>
      </c>
      <c r="BD13">
        <v>2.6</v>
      </c>
      <c r="BE13">
        <v>2.7</v>
      </c>
      <c r="BK13" t="s">
        <v>159</v>
      </c>
      <c r="BM13" t="s">
        <v>848</v>
      </c>
      <c r="BN13" s="33">
        <v>965</v>
      </c>
    </row>
    <row r="14" spans="1:70">
      <c r="A14" t="s">
        <v>857</v>
      </c>
      <c r="C14" t="s">
        <v>10</v>
      </c>
      <c r="D14" t="s">
        <v>11</v>
      </c>
      <c r="E14" t="s">
        <v>473</v>
      </c>
      <c r="G14" t="s">
        <v>89</v>
      </c>
      <c r="H14" t="s">
        <v>778</v>
      </c>
      <c r="I14" t="s">
        <v>89</v>
      </c>
      <c r="J14" t="s">
        <v>778</v>
      </c>
      <c r="AX14">
        <v>3.4</v>
      </c>
      <c r="AZ14">
        <v>2.5</v>
      </c>
      <c r="BA14">
        <v>2.5</v>
      </c>
      <c r="BK14" t="s">
        <v>159</v>
      </c>
      <c r="BM14" t="s">
        <v>848</v>
      </c>
      <c r="BN14" s="33">
        <v>965</v>
      </c>
    </row>
    <row r="15" spans="1:70">
      <c r="A15" t="s">
        <v>863</v>
      </c>
      <c r="C15" t="s">
        <v>10</v>
      </c>
      <c r="D15" t="s">
        <v>11</v>
      </c>
      <c r="E15" t="s">
        <v>473</v>
      </c>
      <c r="G15" t="s">
        <v>89</v>
      </c>
      <c r="H15" t="s">
        <v>778</v>
      </c>
      <c r="I15" t="s">
        <v>89</v>
      </c>
      <c r="J15" t="s">
        <v>778</v>
      </c>
      <c r="BB15">
        <v>3.1</v>
      </c>
      <c r="BC15">
        <v>2.7</v>
      </c>
      <c r="BD15">
        <v>2.5</v>
      </c>
      <c r="BE15">
        <v>2.7</v>
      </c>
      <c r="BK15" t="s">
        <v>159</v>
      </c>
      <c r="BM15" t="s">
        <v>848</v>
      </c>
      <c r="BN15" s="33">
        <v>965</v>
      </c>
    </row>
    <row r="16" spans="1:70">
      <c r="A16" t="s">
        <v>868</v>
      </c>
      <c r="C16" t="s">
        <v>10</v>
      </c>
      <c r="D16" t="s">
        <v>11</v>
      </c>
      <c r="E16" t="s">
        <v>473</v>
      </c>
      <c r="G16" t="s">
        <v>89</v>
      </c>
      <c r="H16" t="s">
        <v>778</v>
      </c>
      <c r="I16" t="s">
        <v>89</v>
      </c>
      <c r="J16" t="s">
        <v>778</v>
      </c>
      <c r="AD16">
        <v>3.1</v>
      </c>
      <c r="AE16">
        <v>5.7</v>
      </c>
      <c r="AF16">
        <v>5.6</v>
      </c>
      <c r="AG16">
        <v>5.7</v>
      </c>
      <c r="BK16" t="s">
        <v>159</v>
      </c>
      <c r="BM16" t="s">
        <v>848</v>
      </c>
      <c r="BN16" s="33">
        <v>965</v>
      </c>
    </row>
    <row r="17" spans="1:70">
      <c r="A17" t="s">
        <v>856</v>
      </c>
      <c r="C17" t="s">
        <v>10</v>
      </c>
      <c r="D17" t="s">
        <v>11</v>
      </c>
      <c r="E17" t="s">
        <v>473</v>
      </c>
      <c r="G17" t="s">
        <v>89</v>
      </c>
      <c r="H17" t="s">
        <v>778</v>
      </c>
      <c r="I17" t="s">
        <v>89</v>
      </c>
      <c r="J17" t="s">
        <v>778</v>
      </c>
      <c r="AX17">
        <v>3.2</v>
      </c>
      <c r="AY17">
        <v>2.2999999999999998</v>
      </c>
      <c r="AZ17">
        <v>2.1</v>
      </c>
      <c r="BA17">
        <v>2.2999999999999998</v>
      </c>
      <c r="BK17" t="s">
        <v>159</v>
      </c>
      <c r="BM17" t="s">
        <v>848</v>
      </c>
      <c r="BN17" s="33">
        <v>965</v>
      </c>
    </row>
    <row r="18" spans="1:70">
      <c r="A18" t="s">
        <v>865</v>
      </c>
      <c r="C18" t="s">
        <v>10</v>
      </c>
      <c r="D18" t="s">
        <v>11</v>
      </c>
      <c r="E18" t="s">
        <v>473</v>
      </c>
      <c r="G18" t="s">
        <v>89</v>
      </c>
      <c r="H18" t="s">
        <v>778</v>
      </c>
      <c r="I18" t="s">
        <v>89</v>
      </c>
      <c r="J18" t="s">
        <v>778</v>
      </c>
      <c r="V18">
        <v>3.4</v>
      </c>
      <c r="Y18">
        <v>4</v>
      </c>
      <c r="BK18" t="s">
        <v>159</v>
      </c>
      <c r="BM18" t="s">
        <v>848</v>
      </c>
      <c r="BN18" s="33">
        <v>965</v>
      </c>
    </row>
    <row r="19" spans="1:70">
      <c r="A19" t="s">
        <v>862</v>
      </c>
      <c r="C19" t="s">
        <v>10</v>
      </c>
      <c r="D19" t="s">
        <v>11</v>
      </c>
      <c r="E19" t="s">
        <v>473</v>
      </c>
      <c r="G19" t="s">
        <v>89</v>
      </c>
      <c r="H19" t="s">
        <v>778</v>
      </c>
      <c r="I19" t="s">
        <v>89</v>
      </c>
      <c r="J19" t="s">
        <v>778</v>
      </c>
      <c r="BB19">
        <v>3.5</v>
      </c>
      <c r="BC19">
        <v>2.9</v>
      </c>
      <c r="BD19">
        <v>2.7</v>
      </c>
      <c r="BE19">
        <v>2.9</v>
      </c>
      <c r="BK19" t="s">
        <v>159</v>
      </c>
      <c r="BM19" t="s">
        <v>848</v>
      </c>
      <c r="BN19" s="33">
        <v>965</v>
      </c>
    </row>
    <row r="20" spans="1:70" s="55" customFormat="1">
      <c r="A20" s="55" t="s">
        <v>311</v>
      </c>
      <c r="C20" s="55" t="s">
        <v>10</v>
      </c>
      <c r="D20" s="55" t="s">
        <v>11</v>
      </c>
      <c r="E20" s="55" t="s">
        <v>473</v>
      </c>
      <c r="G20" s="55" t="s">
        <v>89</v>
      </c>
      <c r="H20" s="55" t="s">
        <v>779</v>
      </c>
      <c r="I20" s="55" t="s">
        <v>89</v>
      </c>
      <c r="J20" s="55" t="s">
        <v>779</v>
      </c>
      <c r="R20" s="55">
        <v>3.3</v>
      </c>
      <c r="U20" s="55">
        <v>3.3</v>
      </c>
      <c r="V20" s="55">
        <v>3.6</v>
      </c>
      <c r="Y20" s="55">
        <v>5</v>
      </c>
      <c r="Z20" s="55">
        <v>3.6</v>
      </c>
      <c r="AA20" s="55">
        <v>5.4</v>
      </c>
      <c r="AB20" s="55">
        <v>5.6</v>
      </c>
      <c r="AC20" s="55">
        <v>5.6</v>
      </c>
      <c r="AD20" s="55">
        <v>3.6</v>
      </c>
      <c r="AE20" s="55">
        <v>6.4</v>
      </c>
      <c r="AF20" s="55">
        <v>6.4</v>
      </c>
      <c r="AG20" s="55">
        <v>6.4</v>
      </c>
      <c r="AH20" s="55">
        <v>3.2</v>
      </c>
      <c r="AI20" s="55">
        <v>6</v>
      </c>
      <c r="AJ20" s="55">
        <v>5.4</v>
      </c>
      <c r="AK20" s="55">
        <v>6</v>
      </c>
      <c r="AL20" s="55">
        <v>3.1</v>
      </c>
      <c r="AO20" s="55">
        <v>1.8</v>
      </c>
      <c r="AP20" s="55">
        <v>3.5</v>
      </c>
      <c r="AS20" s="55">
        <v>2.2000000000000002</v>
      </c>
      <c r="AT20" s="55">
        <v>3.6</v>
      </c>
      <c r="AW20" s="55">
        <v>2.5</v>
      </c>
      <c r="AX20" s="55">
        <v>3.6</v>
      </c>
      <c r="AY20" s="55">
        <v>2.7</v>
      </c>
      <c r="AZ20" s="55">
        <v>2.7</v>
      </c>
      <c r="BA20" s="55">
        <v>2.7</v>
      </c>
      <c r="BB20" s="55">
        <v>3.4</v>
      </c>
      <c r="BC20" s="55">
        <v>2.9</v>
      </c>
      <c r="BD20" s="55">
        <v>2.8</v>
      </c>
      <c r="BE20" s="55">
        <v>2.9</v>
      </c>
      <c r="BF20" s="55">
        <v>4.0999999999999996</v>
      </c>
      <c r="BG20" s="55">
        <v>2.7</v>
      </c>
      <c r="BH20" s="55">
        <v>2.2999999999999998</v>
      </c>
      <c r="BI20" s="55">
        <v>2.7</v>
      </c>
      <c r="BK20" s="55" t="s">
        <v>159</v>
      </c>
      <c r="BM20" s="55" t="s">
        <v>848</v>
      </c>
      <c r="BN20" s="56">
        <v>965</v>
      </c>
    </row>
    <row r="21" spans="1:70">
      <c r="A21" s="14" t="s">
        <v>854</v>
      </c>
      <c r="B21" s="14"/>
      <c r="C21" s="14" t="s">
        <v>10</v>
      </c>
      <c r="D21" s="14" t="s">
        <v>11</v>
      </c>
      <c r="E21" s="14" t="s">
        <v>473</v>
      </c>
      <c r="F21" s="14"/>
      <c r="G21" s="14" t="s">
        <v>89</v>
      </c>
      <c r="H21" s="14" t="s">
        <v>779</v>
      </c>
      <c r="I21" s="14" t="s">
        <v>89</v>
      </c>
      <c r="J21" s="14" t="s">
        <v>779</v>
      </c>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t="s">
        <v>159</v>
      </c>
      <c r="BL21" s="14"/>
      <c r="BM21" s="14" t="s">
        <v>848</v>
      </c>
      <c r="BN21" s="34">
        <v>965</v>
      </c>
      <c r="BO21" s="14" t="s">
        <v>174</v>
      </c>
      <c r="BP21" s="14" t="s">
        <v>848</v>
      </c>
      <c r="BQ21" s="14"/>
      <c r="BR21" s="14"/>
    </row>
    <row r="22" spans="1:70">
      <c r="A22" s="14" t="s">
        <v>855</v>
      </c>
      <c r="B22" s="14"/>
      <c r="C22" s="14" t="s">
        <v>10</v>
      </c>
      <c r="D22" s="14" t="s">
        <v>11</v>
      </c>
      <c r="E22" s="14" t="s">
        <v>473</v>
      </c>
      <c r="F22" s="14"/>
      <c r="G22" s="14" t="s">
        <v>89</v>
      </c>
      <c r="H22" s="14" t="s">
        <v>779</v>
      </c>
      <c r="I22" s="14" t="s">
        <v>89</v>
      </c>
      <c r="J22" s="14" t="s">
        <v>779</v>
      </c>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t="s">
        <v>159</v>
      </c>
      <c r="BL22" s="14"/>
      <c r="BM22" s="14" t="s">
        <v>848</v>
      </c>
      <c r="BN22" s="34">
        <v>965</v>
      </c>
      <c r="BO22" s="14" t="s">
        <v>174</v>
      </c>
      <c r="BP22" s="14" t="s">
        <v>848</v>
      </c>
      <c r="BQ22" s="14"/>
      <c r="BR22" s="14"/>
    </row>
    <row r="23" spans="1:70" s="27" customFormat="1">
      <c r="A23" s="27" t="s">
        <v>311</v>
      </c>
      <c r="C23" s="27" t="s">
        <v>10</v>
      </c>
      <c r="D23" s="27" t="s">
        <v>1039</v>
      </c>
      <c r="E23" s="27" t="s">
        <v>1040</v>
      </c>
      <c r="F23" s="27" t="s">
        <v>1041</v>
      </c>
      <c r="G23" s="27" t="s">
        <v>1042</v>
      </c>
      <c r="H23" s="27" t="s">
        <v>1061</v>
      </c>
      <c r="I23" s="27" t="s">
        <v>1042</v>
      </c>
      <c r="J23" s="27" t="s">
        <v>1061</v>
      </c>
      <c r="M23" s="28"/>
      <c r="V23" s="27">
        <v>6.72</v>
      </c>
      <c r="Y23" s="27">
        <v>8.0500000000000007</v>
      </c>
      <c r="Z23" s="27">
        <v>7.36</v>
      </c>
      <c r="AC23" s="27">
        <v>8.8699999999999992</v>
      </c>
      <c r="AD23" s="27">
        <v>7.66</v>
      </c>
      <c r="AG23" s="27">
        <v>8.86</v>
      </c>
      <c r="AH23" s="27">
        <v>6.36</v>
      </c>
      <c r="AK23" s="27">
        <v>7.33</v>
      </c>
      <c r="BJ23" s="27" t="s">
        <v>1066</v>
      </c>
      <c r="BK23" s="27" t="s">
        <v>273</v>
      </c>
      <c r="BM23" s="27" t="s">
        <v>1067</v>
      </c>
      <c r="BN23" s="35">
        <v>69736</v>
      </c>
      <c r="BO23" s="27" t="s">
        <v>174</v>
      </c>
      <c r="BP23" s="27" t="s">
        <v>1067</v>
      </c>
    </row>
    <row r="24" spans="1:70" s="27" customFormat="1">
      <c r="A24" s="27" t="s">
        <v>311</v>
      </c>
      <c r="C24" s="27" t="s">
        <v>10</v>
      </c>
      <c r="D24" s="27" t="s">
        <v>1039</v>
      </c>
      <c r="E24" s="27" t="s">
        <v>1040</v>
      </c>
      <c r="F24" s="27" t="s">
        <v>1041</v>
      </c>
      <c r="G24" s="27" t="s">
        <v>1042</v>
      </c>
      <c r="H24" s="27" t="s">
        <v>1077</v>
      </c>
      <c r="I24" s="27" t="s">
        <v>1042</v>
      </c>
      <c r="J24" s="27" t="s">
        <v>1077</v>
      </c>
      <c r="M24" s="28"/>
      <c r="V24" s="27">
        <v>5.6</v>
      </c>
      <c r="Y24" s="27">
        <v>6.55</v>
      </c>
      <c r="Z24" s="27">
        <v>5.67</v>
      </c>
      <c r="AC24" s="27">
        <v>7.37</v>
      </c>
      <c r="AD24" s="27">
        <v>6.33</v>
      </c>
      <c r="AG24" s="27">
        <v>7.3</v>
      </c>
      <c r="AH24" s="27">
        <v>5.2</v>
      </c>
      <c r="AK24" s="27">
        <v>6.06</v>
      </c>
      <c r="BJ24" s="27" t="s">
        <v>1066</v>
      </c>
      <c r="BK24" s="27" t="s">
        <v>273</v>
      </c>
      <c r="BM24" s="27" t="s">
        <v>1067</v>
      </c>
      <c r="BN24" s="35">
        <v>69736</v>
      </c>
    </row>
    <row r="25" spans="1:70">
      <c r="A25" t="s">
        <v>1106</v>
      </c>
      <c r="C25" t="s">
        <v>10</v>
      </c>
      <c r="D25" t="s">
        <v>1039</v>
      </c>
      <c r="E25" t="s">
        <v>1040</v>
      </c>
      <c r="G25" t="s">
        <v>1107</v>
      </c>
      <c r="H25" t="s">
        <v>54</v>
      </c>
      <c r="I25" t="s">
        <v>1107</v>
      </c>
      <c r="J25" t="s">
        <v>54</v>
      </c>
      <c r="M25" s="18"/>
      <c r="V25">
        <v>6.8</v>
      </c>
      <c r="Y25">
        <v>8.24</v>
      </c>
      <c r="Z25">
        <v>7.07</v>
      </c>
      <c r="AC25">
        <v>8.76</v>
      </c>
      <c r="AD25">
        <v>7.02</v>
      </c>
      <c r="AG25">
        <v>9.2799999999999994</v>
      </c>
      <c r="BK25" t="s">
        <v>273</v>
      </c>
      <c r="BM25" t="s">
        <v>1067</v>
      </c>
      <c r="BN25" s="36">
        <v>69736</v>
      </c>
      <c r="BO25" t="s">
        <v>174</v>
      </c>
      <c r="BP25" t="s">
        <v>1067</v>
      </c>
    </row>
    <row r="26" spans="1:70" s="27" customFormat="1">
      <c r="A26" s="27" t="s">
        <v>311</v>
      </c>
      <c r="G26" s="27" t="s">
        <v>1042</v>
      </c>
      <c r="H26" s="27" t="s">
        <v>1043</v>
      </c>
      <c r="I26" s="27" t="s">
        <v>1042</v>
      </c>
      <c r="J26" s="27" t="s">
        <v>1043</v>
      </c>
      <c r="M26" s="28"/>
      <c r="V26" s="27">
        <v>5.8</v>
      </c>
      <c r="Y26" s="27">
        <v>6.77</v>
      </c>
      <c r="Z26" s="27">
        <v>6.72</v>
      </c>
      <c r="AC26" s="27">
        <v>7.78</v>
      </c>
      <c r="AD26" s="27">
        <v>7.3</v>
      </c>
      <c r="AG26" s="27">
        <v>8.16</v>
      </c>
      <c r="BJ26" s="27" t="s">
        <v>1218</v>
      </c>
      <c r="BK26" s="27" t="s">
        <v>273</v>
      </c>
      <c r="BL26" s="29">
        <v>44795</v>
      </c>
      <c r="BM26" s="27" t="s">
        <v>1067</v>
      </c>
      <c r="BN26" s="35">
        <v>69736</v>
      </c>
    </row>
    <row r="27" spans="1:70" s="27" customFormat="1">
      <c r="A27" s="27" t="s">
        <v>311</v>
      </c>
      <c r="G27" s="27" t="s">
        <v>1042</v>
      </c>
      <c r="H27" s="27" t="s">
        <v>1047</v>
      </c>
      <c r="I27" s="27" t="s">
        <v>1042</v>
      </c>
      <c r="J27" s="27" t="s">
        <v>1047</v>
      </c>
      <c r="M27" s="28"/>
      <c r="V27" s="27">
        <v>5.83</v>
      </c>
      <c r="Y27" s="27">
        <v>6.76</v>
      </c>
      <c r="Z27" s="27">
        <v>7.21</v>
      </c>
      <c r="AC27" s="27">
        <v>8.39</v>
      </c>
      <c r="AD27" s="27">
        <v>7.4</v>
      </c>
      <c r="AG27" s="27">
        <v>8.36</v>
      </c>
      <c r="BJ27" s="27" t="s">
        <v>1218</v>
      </c>
      <c r="BK27" s="27" t="s">
        <v>273</v>
      </c>
      <c r="BL27" s="29">
        <v>44795</v>
      </c>
      <c r="BM27" s="27" t="s">
        <v>1067</v>
      </c>
      <c r="BN27" s="35">
        <v>69736</v>
      </c>
    </row>
    <row r="28" spans="1:70" s="27" customFormat="1">
      <c r="A28" s="27" t="s">
        <v>311</v>
      </c>
      <c r="G28" s="27" t="s">
        <v>1042</v>
      </c>
      <c r="H28" s="27" t="s">
        <v>1050</v>
      </c>
      <c r="I28" s="27" t="s">
        <v>1042</v>
      </c>
      <c r="J28" s="27" t="s">
        <v>1050</v>
      </c>
      <c r="M28" s="28"/>
      <c r="V28" s="27">
        <v>7.35</v>
      </c>
      <c r="Y28" s="27">
        <v>8.59</v>
      </c>
      <c r="AD28" s="27">
        <v>8.15</v>
      </c>
      <c r="AG28" s="27">
        <v>11.09</v>
      </c>
      <c r="BJ28" s="27" t="s">
        <v>1223</v>
      </c>
      <c r="BK28" s="27" t="s">
        <v>273</v>
      </c>
      <c r="BL28" s="29">
        <v>44795</v>
      </c>
      <c r="BM28" s="27" t="s">
        <v>1067</v>
      </c>
      <c r="BN28" s="35">
        <v>69736</v>
      </c>
    </row>
    <row r="29" spans="1:70" s="27" customFormat="1">
      <c r="A29" s="27" t="s">
        <v>311</v>
      </c>
      <c r="G29" s="27" t="s">
        <v>1042</v>
      </c>
      <c r="H29" s="27" t="s">
        <v>1054</v>
      </c>
      <c r="I29" s="27" t="s">
        <v>1042</v>
      </c>
      <c r="J29" s="27" t="s">
        <v>1054</v>
      </c>
      <c r="M29" s="28"/>
      <c r="V29" s="27">
        <v>8.1</v>
      </c>
      <c r="Y29" s="27">
        <v>9.4</v>
      </c>
      <c r="Z29" s="27">
        <v>7.5</v>
      </c>
      <c r="AC29" s="27">
        <v>10</v>
      </c>
      <c r="AD29" s="27">
        <v>7.5</v>
      </c>
      <c r="AG29" s="27">
        <v>10</v>
      </c>
      <c r="BJ29" s="27" t="s">
        <v>1219</v>
      </c>
      <c r="BK29" s="27" t="s">
        <v>273</v>
      </c>
      <c r="BL29" s="29">
        <v>44795</v>
      </c>
      <c r="BM29" s="27" t="s">
        <v>1067</v>
      </c>
      <c r="BN29" s="35">
        <v>69736</v>
      </c>
    </row>
    <row r="30" spans="1:70" s="27" customFormat="1">
      <c r="A30" s="27" t="s">
        <v>311</v>
      </c>
      <c r="G30" s="27" t="s">
        <v>1042</v>
      </c>
      <c r="H30" s="27" t="s">
        <v>1057</v>
      </c>
      <c r="I30" s="27" t="s">
        <v>1042</v>
      </c>
      <c r="J30" s="27" t="s">
        <v>1057</v>
      </c>
      <c r="M30" s="28"/>
      <c r="V30" s="27">
        <v>5.91</v>
      </c>
      <c r="Y30" s="27">
        <v>7.06</v>
      </c>
      <c r="Z30" s="27">
        <v>6.94</v>
      </c>
      <c r="AC30" s="27">
        <v>8.18</v>
      </c>
      <c r="AD30" s="27">
        <v>7.46</v>
      </c>
      <c r="AG30" s="27">
        <v>8.2799999999999994</v>
      </c>
      <c r="BJ30" s="27" t="s">
        <v>1218</v>
      </c>
      <c r="BK30" s="27" t="s">
        <v>273</v>
      </c>
      <c r="BL30" s="29">
        <v>44795</v>
      </c>
      <c r="BM30" s="27" t="s">
        <v>1067</v>
      </c>
      <c r="BN30" s="35">
        <v>69736</v>
      </c>
    </row>
    <row r="31" spans="1:70" s="27" customFormat="1">
      <c r="A31" s="27" t="s">
        <v>311</v>
      </c>
      <c r="G31" s="27" t="s">
        <v>1042</v>
      </c>
      <c r="H31" s="27" t="s">
        <v>1059</v>
      </c>
      <c r="I31" s="27" t="s">
        <v>1042</v>
      </c>
      <c r="J31" s="27" t="s">
        <v>1059</v>
      </c>
      <c r="M31" s="28"/>
      <c r="V31" s="27">
        <v>4.55</v>
      </c>
      <c r="Y31" s="27">
        <v>6.05</v>
      </c>
      <c r="BJ31" s="27" t="s">
        <v>1221</v>
      </c>
      <c r="BK31" s="27" t="s">
        <v>273</v>
      </c>
      <c r="BL31" s="29">
        <v>44795</v>
      </c>
      <c r="BM31" s="27" t="s">
        <v>1067</v>
      </c>
      <c r="BN31" s="35">
        <v>69736</v>
      </c>
    </row>
    <row r="32" spans="1:70" s="27" customFormat="1">
      <c r="A32" s="27" t="s">
        <v>311</v>
      </c>
      <c r="G32" s="27" t="s">
        <v>1042</v>
      </c>
      <c r="H32" s="27" t="s">
        <v>1079</v>
      </c>
      <c r="I32" s="27" t="s">
        <v>1042</v>
      </c>
      <c r="J32" s="27" t="s">
        <v>1079</v>
      </c>
      <c r="M32" s="28"/>
      <c r="V32" s="27">
        <v>7</v>
      </c>
      <c r="Y32" s="27">
        <v>8.4</v>
      </c>
      <c r="Z32" s="27">
        <v>7.85</v>
      </c>
      <c r="AC32" s="27">
        <v>10.1</v>
      </c>
      <c r="AD32" s="27">
        <v>8.3000000000000007</v>
      </c>
      <c r="AG32" s="27">
        <v>10.199999999999999</v>
      </c>
      <c r="BJ32" s="27" t="s">
        <v>1218</v>
      </c>
      <c r="BK32" s="27" t="s">
        <v>273</v>
      </c>
      <c r="BL32" s="29">
        <v>44795</v>
      </c>
      <c r="BM32" s="27" t="s">
        <v>1067</v>
      </c>
      <c r="BN32" s="35">
        <v>69736</v>
      </c>
    </row>
    <row r="33" spans="1:68">
      <c r="I33" t="s">
        <v>1107</v>
      </c>
      <c r="J33" t="s">
        <v>1222</v>
      </c>
      <c r="M33" s="18"/>
      <c r="Z33">
        <v>6.34</v>
      </c>
      <c r="AC33">
        <v>8.3699999999999992</v>
      </c>
      <c r="AD33">
        <v>6.66</v>
      </c>
      <c r="AG33">
        <v>8.44</v>
      </c>
      <c r="BK33" t="s">
        <v>273</v>
      </c>
      <c r="BL33" s="26">
        <v>44795</v>
      </c>
      <c r="BM33" t="s">
        <v>1067</v>
      </c>
      <c r="BN33" s="36">
        <v>69736</v>
      </c>
    </row>
    <row r="34" spans="1:68">
      <c r="A34" t="s">
        <v>303</v>
      </c>
      <c r="C34" t="s">
        <v>484</v>
      </c>
      <c r="E34" t="s">
        <v>485</v>
      </c>
      <c r="G34" t="s">
        <v>269</v>
      </c>
      <c r="H34" t="s">
        <v>301</v>
      </c>
      <c r="I34" t="s">
        <v>269</v>
      </c>
      <c r="J34" t="s">
        <v>301</v>
      </c>
      <c r="AY34">
        <v>1.55</v>
      </c>
      <c r="BA34">
        <v>1.55</v>
      </c>
      <c r="BK34" t="s">
        <v>273</v>
      </c>
      <c r="BM34" t="s">
        <v>304</v>
      </c>
      <c r="BN34" s="36">
        <v>69736</v>
      </c>
      <c r="BO34" t="s">
        <v>174</v>
      </c>
      <c r="BP34" t="s">
        <v>304</v>
      </c>
    </row>
    <row r="35" spans="1:68">
      <c r="A35" t="s">
        <v>302</v>
      </c>
      <c r="C35" t="s">
        <v>484</v>
      </c>
      <c r="E35" t="s">
        <v>485</v>
      </c>
      <c r="G35" t="s">
        <v>269</v>
      </c>
      <c r="H35" t="s">
        <v>301</v>
      </c>
      <c r="I35" t="s">
        <v>269</v>
      </c>
      <c r="J35" t="s">
        <v>301</v>
      </c>
      <c r="BB35">
        <v>2.2000000000000002</v>
      </c>
      <c r="BE35">
        <v>1.8</v>
      </c>
      <c r="BK35" t="s">
        <v>273</v>
      </c>
      <c r="BM35" t="s">
        <v>304</v>
      </c>
      <c r="BN35" s="36">
        <v>69736</v>
      </c>
      <c r="BO35" t="s">
        <v>174</v>
      </c>
      <c r="BP35" t="s">
        <v>304</v>
      </c>
    </row>
    <row r="36" spans="1:68">
      <c r="A36" t="s">
        <v>1171</v>
      </c>
      <c r="C36" t="s">
        <v>10</v>
      </c>
      <c r="D36" t="s">
        <v>1039</v>
      </c>
      <c r="E36" t="s">
        <v>1040</v>
      </c>
      <c r="F36" t="s">
        <v>1041</v>
      </c>
      <c r="G36" t="s">
        <v>1042</v>
      </c>
      <c r="H36" t="s">
        <v>1059</v>
      </c>
      <c r="I36" t="s">
        <v>1042</v>
      </c>
      <c r="J36" t="s">
        <v>1059</v>
      </c>
      <c r="M36" s="18"/>
      <c r="Z36">
        <v>4.8499999999999996</v>
      </c>
      <c r="BK36" t="s">
        <v>273</v>
      </c>
      <c r="BM36" t="s">
        <v>304</v>
      </c>
      <c r="BN36" s="36">
        <v>69736</v>
      </c>
      <c r="BO36" t="s">
        <v>174</v>
      </c>
      <c r="BP36" t="s">
        <v>304</v>
      </c>
    </row>
    <row r="37" spans="1:68">
      <c r="A37" t="s">
        <v>1172</v>
      </c>
      <c r="C37" t="s">
        <v>10</v>
      </c>
      <c r="D37" t="s">
        <v>1039</v>
      </c>
      <c r="E37" t="s">
        <v>1040</v>
      </c>
      <c r="F37" t="s">
        <v>1041</v>
      </c>
      <c r="G37" t="s">
        <v>1042</v>
      </c>
      <c r="H37" t="s">
        <v>1059</v>
      </c>
      <c r="I37" t="s">
        <v>1042</v>
      </c>
      <c r="J37" t="s">
        <v>1059</v>
      </c>
      <c r="M37" s="18"/>
      <c r="V37">
        <v>4.55</v>
      </c>
      <c r="Y37">
        <v>6.05</v>
      </c>
      <c r="BK37" t="s">
        <v>273</v>
      </c>
      <c r="BM37" t="s">
        <v>304</v>
      </c>
      <c r="BN37" s="36">
        <v>69736</v>
      </c>
      <c r="BO37" t="s">
        <v>174</v>
      </c>
      <c r="BP37" t="s">
        <v>304</v>
      </c>
    </row>
    <row r="38" spans="1:68">
      <c r="A38" t="s">
        <v>533</v>
      </c>
      <c r="C38" t="s">
        <v>10</v>
      </c>
      <c r="D38" t="s">
        <v>11</v>
      </c>
      <c r="E38" t="s">
        <v>165</v>
      </c>
      <c r="G38" t="s">
        <v>232</v>
      </c>
      <c r="H38" t="s">
        <v>534</v>
      </c>
      <c r="I38" t="s">
        <v>232</v>
      </c>
      <c r="J38" t="s">
        <v>534</v>
      </c>
      <c r="V38">
        <v>6.5</v>
      </c>
      <c r="Z38">
        <v>7.3</v>
      </c>
      <c r="AC38">
        <v>8.6</v>
      </c>
      <c r="AD38">
        <f>AVERAGE(7.3,7.4)</f>
        <v>7.35</v>
      </c>
      <c r="AG38">
        <f>AVERAGE(11)</f>
        <v>11</v>
      </c>
      <c r="AH38">
        <f>AVERAGE(6.2,6)</f>
        <v>6.1</v>
      </c>
      <c r="AK38">
        <f>AVERAGE(8.7,8.8)</f>
        <v>8.75</v>
      </c>
      <c r="AX38">
        <v>8.8000000000000007</v>
      </c>
      <c r="AY38">
        <v>7.2</v>
      </c>
      <c r="AZ38">
        <v>7.4</v>
      </c>
      <c r="BA38">
        <v>7.4</v>
      </c>
      <c r="BC38">
        <v>6</v>
      </c>
      <c r="BD38">
        <v>6.4</v>
      </c>
      <c r="BE38">
        <v>6.4</v>
      </c>
      <c r="BH38">
        <v>5.2</v>
      </c>
      <c r="BI38">
        <v>5.2</v>
      </c>
      <c r="BK38" t="s">
        <v>273</v>
      </c>
      <c r="BM38" s="12" t="s">
        <v>535</v>
      </c>
      <c r="BN38" s="37">
        <v>1216</v>
      </c>
      <c r="BO38" t="s">
        <v>174</v>
      </c>
      <c r="BP38" s="12" t="s">
        <v>535</v>
      </c>
    </row>
    <row r="39" spans="1:68">
      <c r="A39" t="s">
        <v>536</v>
      </c>
      <c r="C39" t="s">
        <v>10</v>
      </c>
      <c r="D39" t="s">
        <v>11</v>
      </c>
      <c r="E39" t="s">
        <v>473</v>
      </c>
      <c r="G39" t="s">
        <v>471</v>
      </c>
      <c r="H39" t="s">
        <v>537</v>
      </c>
      <c r="I39" t="s">
        <v>471</v>
      </c>
      <c r="J39" t="s">
        <v>538</v>
      </c>
      <c r="AH39">
        <v>3.1</v>
      </c>
      <c r="BJ39" t="s">
        <v>539</v>
      </c>
      <c r="BK39" t="s">
        <v>273</v>
      </c>
      <c r="BM39" t="s">
        <v>535</v>
      </c>
      <c r="BN39" s="36">
        <v>1216</v>
      </c>
      <c r="BO39" t="s">
        <v>174</v>
      </c>
      <c r="BP39" t="s">
        <v>535</v>
      </c>
    </row>
    <row r="40" spans="1:68">
      <c r="A40" t="s">
        <v>545</v>
      </c>
      <c r="C40" t="s">
        <v>10</v>
      </c>
      <c r="D40" t="s">
        <v>11</v>
      </c>
      <c r="E40" t="s">
        <v>473</v>
      </c>
      <c r="G40" t="s">
        <v>522</v>
      </c>
      <c r="H40" t="s">
        <v>523</v>
      </c>
      <c r="I40" t="s">
        <v>522</v>
      </c>
      <c r="J40" t="s">
        <v>523</v>
      </c>
      <c r="Z40">
        <v>9.6</v>
      </c>
      <c r="AC40">
        <v>13.5</v>
      </c>
      <c r="BJ40" t="s">
        <v>546</v>
      </c>
      <c r="BK40" t="s">
        <v>273</v>
      </c>
      <c r="BM40" t="s">
        <v>535</v>
      </c>
      <c r="BN40" s="36">
        <v>1216</v>
      </c>
      <c r="BO40" t="s">
        <v>174</v>
      </c>
      <c r="BP40" t="s">
        <v>535</v>
      </c>
    </row>
    <row r="41" spans="1:68">
      <c r="A41" t="s">
        <v>540</v>
      </c>
      <c r="C41" t="s">
        <v>10</v>
      </c>
      <c r="D41" t="s">
        <v>11</v>
      </c>
      <c r="E41" t="s">
        <v>473</v>
      </c>
      <c r="G41" t="s">
        <v>517</v>
      </c>
      <c r="H41" t="s">
        <v>541</v>
      </c>
      <c r="I41" t="s">
        <v>517</v>
      </c>
      <c r="J41" t="s">
        <v>541</v>
      </c>
      <c r="AX41">
        <v>3.8</v>
      </c>
      <c r="AY41">
        <v>2.7</v>
      </c>
      <c r="AZ41">
        <v>2.8</v>
      </c>
      <c r="BA41">
        <v>2.8</v>
      </c>
      <c r="BB41">
        <f>AVERAGE(3.9,4)</f>
        <v>3.95</v>
      </c>
      <c r="BC41">
        <f>AVERAGE(3.2,3.1)</f>
        <v>3.1500000000000004</v>
      </c>
      <c r="BD41">
        <f>AVERAGE(2.9,3)</f>
        <v>2.95</v>
      </c>
      <c r="BE41">
        <v>3.15</v>
      </c>
      <c r="BK41" t="s">
        <v>273</v>
      </c>
      <c r="BM41" t="s">
        <v>535</v>
      </c>
      <c r="BN41" s="36">
        <v>1216</v>
      </c>
      <c r="BO41" t="s">
        <v>174</v>
      </c>
      <c r="BP41" t="s">
        <v>535</v>
      </c>
    </row>
    <row r="42" spans="1:68">
      <c r="A42" t="s">
        <v>544</v>
      </c>
      <c r="C42" t="s">
        <v>10</v>
      </c>
      <c r="D42" t="s">
        <v>11</v>
      </c>
      <c r="E42" t="s">
        <v>473</v>
      </c>
      <c r="G42" t="s">
        <v>517</v>
      </c>
      <c r="H42" t="s">
        <v>541</v>
      </c>
      <c r="I42" t="s">
        <v>517</v>
      </c>
      <c r="J42" t="s">
        <v>541</v>
      </c>
      <c r="AT42">
        <v>4.5</v>
      </c>
      <c r="AW42">
        <v>3.3</v>
      </c>
      <c r="BK42" t="s">
        <v>273</v>
      </c>
      <c r="BM42" t="s">
        <v>535</v>
      </c>
      <c r="BN42" s="36">
        <v>1216</v>
      </c>
      <c r="BO42" t="s">
        <v>174</v>
      </c>
      <c r="BP42" t="s">
        <v>535</v>
      </c>
    </row>
    <row r="43" spans="1:68">
      <c r="A43" t="s">
        <v>542</v>
      </c>
      <c r="C43" t="s">
        <v>10</v>
      </c>
      <c r="D43" t="s">
        <v>11</v>
      </c>
      <c r="E43" t="s">
        <v>473</v>
      </c>
      <c r="G43" t="s">
        <v>517</v>
      </c>
      <c r="H43" t="s">
        <v>541</v>
      </c>
      <c r="I43" t="s">
        <v>517</v>
      </c>
      <c r="J43" t="s">
        <v>541</v>
      </c>
      <c r="AP43">
        <v>4.5</v>
      </c>
      <c r="AS43">
        <v>2.8</v>
      </c>
      <c r="BJ43" t="s">
        <v>543</v>
      </c>
      <c r="BK43" t="s">
        <v>273</v>
      </c>
      <c r="BM43" t="s">
        <v>535</v>
      </c>
      <c r="BN43" s="36">
        <v>1216</v>
      </c>
      <c r="BO43" t="s">
        <v>174</v>
      </c>
      <c r="BP43" t="s">
        <v>535</v>
      </c>
    </row>
    <row r="44" spans="1:68">
      <c r="A44" t="s">
        <v>1189</v>
      </c>
      <c r="C44" t="s">
        <v>10</v>
      </c>
      <c r="D44" t="s">
        <v>1039</v>
      </c>
      <c r="E44" t="s">
        <v>1040</v>
      </c>
      <c r="G44" t="s">
        <v>1190</v>
      </c>
      <c r="H44" t="s">
        <v>1191</v>
      </c>
      <c r="I44" t="s">
        <v>1190</v>
      </c>
      <c r="J44" t="s">
        <v>1191</v>
      </c>
      <c r="M44" s="18"/>
      <c r="V44">
        <v>3.3</v>
      </c>
      <c r="Y44">
        <v>4.0999999999999996</v>
      </c>
      <c r="AP44">
        <v>2.4</v>
      </c>
      <c r="AS44">
        <v>1.4</v>
      </c>
      <c r="AT44">
        <v>4</v>
      </c>
      <c r="AW44">
        <v>2.5</v>
      </c>
      <c r="BK44" t="s">
        <v>273</v>
      </c>
      <c r="BM44" t="s">
        <v>535</v>
      </c>
      <c r="BN44" s="36">
        <v>1216</v>
      </c>
      <c r="BO44" t="s">
        <v>362</v>
      </c>
      <c r="BP44" s="12" t="s">
        <v>535</v>
      </c>
    </row>
    <row r="45" spans="1:68" s="22" customFormat="1" ht="18">
      <c r="A45" s="22" t="s">
        <v>671</v>
      </c>
      <c r="C45" s="30" t="s">
        <v>10</v>
      </c>
      <c r="D45" s="30" t="s">
        <v>11</v>
      </c>
      <c r="E45" s="22" t="s">
        <v>165</v>
      </c>
      <c r="G45" s="22" t="s">
        <v>166</v>
      </c>
      <c r="H45" s="22" t="s">
        <v>64</v>
      </c>
      <c r="I45" s="22" t="s">
        <v>166</v>
      </c>
      <c r="J45" s="22" t="s">
        <v>64</v>
      </c>
      <c r="AD45" s="22">
        <v>3.75</v>
      </c>
      <c r="AE45" s="22">
        <v>5.93</v>
      </c>
      <c r="AG45" s="22">
        <v>5.93</v>
      </c>
      <c r="BJ45" s="22" t="s">
        <v>227</v>
      </c>
      <c r="BK45" s="22" t="s">
        <v>273</v>
      </c>
      <c r="BM45" s="22" t="s">
        <v>1267</v>
      </c>
      <c r="BN45" s="38">
        <v>42805</v>
      </c>
      <c r="BO45" s="22" t="s">
        <v>362</v>
      </c>
      <c r="BP45" s="22" t="s">
        <v>1267</v>
      </c>
    </row>
    <row r="46" spans="1:68" s="22" customFormat="1">
      <c r="A46" s="22" t="s">
        <v>669</v>
      </c>
      <c r="C46" s="30" t="s">
        <v>10</v>
      </c>
      <c r="D46" s="30" t="s">
        <v>11</v>
      </c>
      <c r="E46" s="22" t="s">
        <v>165</v>
      </c>
      <c r="G46" s="22" t="s">
        <v>166</v>
      </c>
      <c r="H46" s="22" t="s">
        <v>206</v>
      </c>
      <c r="I46" s="22" t="s">
        <v>166</v>
      </c>
      <c r="J46" s="22" t="s">
        <v>670</v>
      </c>
      <c r="AD46" s="22">
        <v>4.59</v>
      </c>
      <c r="AE46" s="22">
        <v>5.74</v>
      </c>
      <c r="AF46" s="22">
        <v>5.91</v>
      </c>
      <c r="AG46" s="22">
        <v>5.91</v>
      </c>
      <c r="BK46" s="22" t="s">
        <v>273</v>
      </c>
      <c r="BM46" s="22" t="s">
        <v>1267</v>
      </c>
      <c r="BN46" s="39">
        <v>42805</v>
      </c>
      <c r="BO46" s="22" t="s">
        <v>362</v>
      </c>
      <c r="BP46" s="22" t="s">
        <v>1267</v>
      </c>
    </row>
    <row r="47" spans="1:68" s="22" customFormat="1">
      <c r="A47" s="22" t="s">
        <v>672</v>
      </c>
      <c r="C47" s="30" t="s">
        <v>10</v>
      </c>
      <c r="D47" s="30" t="s">
        <v>11</v>
      </c>
      <c r="E47" s="22" t="s">
        <v>165</v>
      </c>
      <c r="F47" s="22" t="s">
        <v>157</v>
      </c>
      <c r="G47" s="22" t="s">
        <v>166</v>
      </c>
      <c r="H47" s="22" t="s">
        <v>430</v>
      </c>
      <c r="I47" s="22" t="s">
        <v>166</v>
      </c>
      <c r="J47" s="22" t="s">
        <v>673</v>
      </c>
      <c r="BF47" s="22">
        <v>5.35</v>
      </c>
      <c r="BG47" s="22">
        <v>3.23</v>
      </c>
      <c r="BH47" s="22">
        <v>2.95</v>
      </c>
      <c r="BI47" s="22">
        <v>3.23</v>
      </c>
      <c r="BK47" s="22" t="s">
        <v>273</v>
      </c>
      <c r="BM47" s="22" t="s">
        <v>1267</v>
      </c>
      <c r="BN47" s="39">
        <v>42805</v>
      </c>
      <c r="BO47" s="22" t="s">
        <v>362</v>
      </c>
      <c r="BP47" s="22" t="s">
        <v>1267</v>
      </c>
    </row>
    <row r="48" spans="1:68" s="22" customFormat="1" ht="18">
      <c r="A48" s="22" t="s">
        <v>678</v>
      </c>
      <c r="C48" s="30" t="s">
        <v>10</v>
      </c>
      <c r="D48" s="30" t="s">
        <v>11</v>
      </c>
      <c r="E48" s="22" t="s">
        <v>165</v>
      </c>
      <c r="F48" s="22" t="s">
        <v>157</v>
      </c>
      <c r="G48" s="22" t="s">
        <v>474</v>
      </c>
      <c r="H48" s="22" t="s">
        <v>714</v>
      </c>
      <c r="I48" s="22" t="s">
        <v>474</v>
      </c>
      <c r="J48" s="22" t="s">
        <v>679</v>
      </c>
      <c r="Z48" s="22">
        <v>3.28</v>
      </c>
      <c r="AA48" s="22">
        <v>5.04</v>
      </c>
      <c r="AB48" s="22">
        <v>5.19</v>
      </c>
      <c r="AC48" s="22">
        <v>5.19</v>
      </c>
      <c r="BJ48" s="22" t="s">
        <v>227</v>
      </c>
      <c r="BK48" s="22" t="s">
        <v>273</v>
      </c>
      <c r="BM48" s="22" t="s">
        <v>1267</v>
      </c>
      <c r="BN48" s="38">
        <v>42805</v>
      </c>
    </row>
    <row r="49" spans="1:68" s="22" customFormat="1">
      <c r="A49" s="22" t="s">
        <v>680</v>
      </c>
      <c r="C49" s="30" t="s">
        <v>10</v>
      </c>
      <c r="D49" s="30" t="s">
        <v>11</v>
      </c>
      <c r="E49" s="22" t="s">
        <v>165</v>
      </c>
      <c r="F49" s="22" t="s">
        <v>157</v>
      </c>
      <c r="G49" s="22" t="s">
        <v>474</v>
      </c>
      <c r="H49" s="22" t="s">
        <v>714</v>
      </c>
      <c r="I49" s="22" t="s">
        <v>474</v>
      </c>
      <c r="J49" s="22" t="s">
        <v>679</v>
      </c>
      <c r="BB49" s="22">
        <v>3.95</v>
      </c>
      <c r="BC49" s="22">
        <v>3.14</v>
      </c>
      <c r="BD49" s="22">
        <v>3.28</v>
      </c>
      <c r="BE49" s="22">
        <v>3.28</v>
      </c>
      <c r="BK49" s="22" t="s">
        <v>273</v>
      </c>
      <c r="BM49" s="22" t="s">
        <v>1267</v>
      </c>
      <c r="BN49" s="39">
        <v>42805</v>
      </c>
      <c r="BO49" s="22" t="s">
        <v>362</v>
      </c>
      <c r="BP49" s="22" t="s">
        <v>1267</v>
      </c>
    </row>
    <row r="50" spans="1:68" s="22" customFormat="1">
      <c r="A50" s="22" t="s">
        <v>690</v>
      </c>
      <c r="C50" s="30" t="s">
        <v>10</v>
      </c>
      <c r="D50" s="30" t="s">
        <v>11</v>
      </c>
      <c r="E50" s="22" t="s">
        <v>165</v>
      </c>
      <c r="F50" s="22" t="s">
        <v>681</v>
      </c>
      <c r="G50" s="22" t="s">
        <v>691</v>
      </c>
      <c r="H50" s="22" t="s">
        <v>694</v>
      </c>
      <c r="I50" s="22" t="s">
        <v>691</v>
      </c>
      <c r="J50" s="22" t="s">
        <v>692</v>
      </c>
      <c r="AX50" s="22">
        <v>2.65</v>
      </c>
      <c r="AY50" s="22">
        <v>2.2799999999999998</v>
      </c>
      <c r="AZ50" s="22">
        <v>2.17</v>
      </c>
      <c r="BA50" s="22">
        <v>2.2799999999999998</v>
      </c>
      <c r="BJ50" s="22" t="s">
        <v>684</v>
      </c>
      <c r="BK50" s="22" t="s">
        <v>273</v>
      </c>
      <c r="BM50" s="22" t="s">
        <v>1267</v>
      </c>
      <c r="BN50" s="39">
        <v>42805</v>
      </c>
      <c r="BO50" s="22" t="s">
        <v>362</v>
      </c>
      <c r="BP50" s="22" t="s">
        <v>1267</v>
      </c>
    </row>
    <row r="51" spans="1:68" s="22" customFormat="1" ht="18">
      <c r="A51" s="22" t="s">
        <v>693</v>
      </c>
      <c r="C51" s="30" t="s">
        <v>10</v>
      </c>
      <c r="D51" s="30" t="s">
        <v>11</v>
      </c>
      <c r="E51" s="22" t="s">
        <v>165</v>
      </c>
      <c r="F51" s="22" t="s">
        <v>681</v>
      </c>
      <c r="G51" s="22" t="s">
        <v>691</v>
      </c>
      <c r="H51" s="22" t="s">
        <v>694</v>
      </c>
      <c r="I51" s="22" t="s">
        <v>691</v>
      </c>
      <c r="J51" s="22" t="s">
        <v>694</v>
      </c>
      <c r="BB51" s="22">
        <v>3.47</v>
      </c>
      <c r="BC51" s="22">
        <v>2.73</v>
      </c>
      <c r="BD51" s="22">
        <v>2.66</v>
      </c>
      <c r="BE51" s="22">
        <v>2.73</v>
      </c>
      <c r="BJ51" s="22" t="s">
        <v>695</v>
      </c>
      <c r="BK51" s="22" t="s">
        <v>273</v>
      </c>
      <c r="BM51" s="22" t="s">
        <v>1267</v>
      </c>
      <c r="BN51" s="38">
        <v>42805</v>
      </c>
    </row>
    <row r="52" spans="1:68" s="22" customFormat="1">
      <c r="A52" s="22" t="s">
        <v>674</v>
      </c>
      <c r="C52" s="30" t="s">
        <v>10</v>
      </c>
      <c r="D52" s="30" t="s">
        <v>11</v>
      </c>
      <c r="E52" s="22" t="s">
        <v>165</v>
      </c>
      <c r="G52" s="22" t="s">
        <v>13</v>
      </c>
      <c r="H52" s="22" t="s">
        <v>14</v>
      </c>
      <c r="I52" s="22" t="s">
        <v>13</v>
      </c>
      <c r="J52" s="22" t="s">
        <v>14</v>
      </c>
      <c r="AX52" s="22">
        <v>3.86</v>
      </c>
      <c r="AY52" s="22">
        <v>2.69</v>
      </c>
      <c r="AZ52" s="22">
        <v>2.65</v>
      </c>
      <c r="BA52" s="22">
        <v>2.69</v>
      </c>
      <c r="BJ52" s="22" t="s">
        <v>684</v>
      </c>
      <c r="BK52" s="22" t="s">
        <v>273</v>
      </c>
      <c r="BM52" s="22" t="s">
        <v>1267</v>
      </c>
      <c r="BN52" s="39">
        <v>42805</v>
      </c>
    </row>
    <row r="53" spans="1:68" s="22" customFormat="1">
      <c r="A53" s="22" t="s">
        <v>675</v>
      </c>
      <c r="C53" s="30" t="s">
        <v>10</v>
      </c>
      <c r="D53" s="30" t="s">
        <v>11</v>
      </c>
      <c r="E53" s="22" t="s">
        <v>165</v>
      </c>
      <c r="G53" s="22" t="s">
        <v>13</v>
      </c>
      <c r="H53" s="22" t="s">
        <v>14</v>
      </c>
      <c r="I53" s="22" t="s">
        <v>13</v>
      </c>
      <c r="J53" s="22" t="s">
        <v>14</v>
      </c>
      <c r="AX53" s="22">
        <v>3.84</v>
      </c>
      <c r="AY53" s="22">
        <v>2.79</v>
      </c>
      <c r="AZ53" s="22">
        <v>2.84</v>
      </c>
      <c r="BA53" s="22">
        <v>2.84</v>
      </c>
      <c r="BJ53" s="22" t="s">
        <v>684</v>
      </c>
      <c r="BK53" s="22" t="s">
        <v>273</v>
      </c>
      <c r="BM53" s="22" t="s">
        <v>1267</v>
      </c>
      <c r="BN53" s="39">
        <v>42805</v>
      </c>
    </row>
    <row r="54" spans="1:68" s="22" customFormat="1" ht="18">
      <c r="A54" s="22" t="s">
        <v>676</v>
      </c>
      <c r="C54" s="30" t="s">
        <v>10</v>
      </c>
      <c r="D54" s="30" t="s">
        <v>11</v>
      </c>
      <c r="E54" s="22" t="s">
        <v>165</v>
      </c>
      <c r="F54" s="22" t="s">
        <v>157</v>
      </c>
      <c r="G54" s="22" t="s">
        <v>502</v>
      </c>
      <c r="H54" s="22" t="s">
        <v>43</v>
      </c>
      <c r="I54" s="22" t="s">
        <v>474</v>
      </c>
      <c r="J54" s="22" t="s">
        <v>677</v>
      </c>
      <c r="BF54" s="22">
        <v>4.47</v>
      </c>
      <c r="BG54" s="22">
        <v>2.99</v>
      </c>
      <c r="BH54" s="22">
        <v>2.73</v>
      </c>
      <c r="BI54" s="22">
        <v>2.99</v>
      </c>
      <c r="BK54" s="22" t="s">
        <v>273</v>
      </c>
      <c r="BM54" s="22" t="s">
        <v>1267</v>
      </c>
      <c r="BN54" s="38">
        <v>42805</v>
      </c>
      <c r="BO54" s="22" t="s">
        <v>362</v>
      </c>
      <c r="BP54" s="22" t="s">
        <v>1267</v>
      </c>
    </row>
    <row r="55" spans="1:68" s="22" customFormat="1">
      <c r="A55" s="22" t="s">
        <v>683</v>
      </c>
      <c r="C55" s="30" t="s">
        <v>10</v>
      </c>
      <c r="D55" s="30" t="s">
        <v>11</v>
      </c>
      <c r="E55" s="22" t="s">
        <v>165</v>
      </c>
      <c r="F55" s="22" t="s">
        <v>681</v>
      </c>
      <c r="G55" s="22" t="s">
        <v>105</v>
      </c>
      <c r="H55" s="22" t="s">
        <v>486</v>
      </c>
      <c r="I55" s="22" t="s">
        <v>229</v>
      </c>
      <c r="J55" s="22" t="s">
        <v>486</v>
      </c>
      <c r="AH55" s="22">
        <v>4.72</v>
      </c>
      <c r="AI55" s="22">
        <v>5.86</v>
      </c>
      <c r="AJ55" s="22">
        <v>5.47</v>
      </c>
      <c r="AK55" s="22">
        <v>5.86</v>
      </c>
      <c r="BK55" s="22" t="s">
        <v>273</v>
      </c>
      <c r="BM55" s="22" t="s">
        <v>1267</v>
      </c>
      <c r="BN55" s="39">
        <v>42805</v>
      </c>
    </row>
    <row r="56" spans="1:68" s="22" customFormat="1">
      <c r="A56" s="22" t="s">
        <v>682</v>
      </c>
      <c r="C56" s="30" t="s">
        <v>10</v>
      </c>
      <c r="D56" s="30" t="s">
        <v>11</v>
      </c>
      <c r="E56" s="22" t="s">
        <v>165</v>
      </c>
      <c r="F56" s="22" t="s">
        <v>681</v>
      </c>
      <c r="G56" s="22" t="s">
        <v>105</v>
      </c>
      <c r="H56" s="22" t="s">
        <v>486</v>
      </c>
      <c r="I56" s="22" t="s">
        <v>229</v>
      </c>
      <c r="J56" s="22" t="s">
        <v>486</v>
      </c>
      <c r="AH56" s="22">
        <v>4.0999999999999996</v>
      </c>
      <c r="AI56" s="22">
        <v>5.38</v>
      </c>
      <c r="AJ56" s="22">
        <v>4.96</v>
      </c>
      <c r="AK56" s="22">
        <v>5.38</v>
      </c>
      <c r="BK56" s="22" t="s">
        <v>273</v>
      </c>
      <c r="BM56" s="22" t="s">
        <v>1267</v>
      </c>
      <c r="BN56" s="39">
        <v>42805</v>
      </c>
    </row>
    <row r="57" spans="1:68" s="22" customFormat="1" ht="18">
      <c r="A57" s="22" t="s">
        <v>688</v>
      </c>
      <c r="C57" s="30" t="s">
        <v>10</v>
      </c>
      <c r="D57" s="30" t="s">
        <v>11</v>
      </c>
      <c r="E57" s="22" t="s">
        <v>165</v>
      </c>
      <c r="F57" s="22" t="s">
        <v>681</v>
      </c>
      <c r="G57" s="22" t="s">
        <v>105</v>
      </c>
      <c r="H57" s="22" t="s">
        <v>486</v>
      </c>
      <c r="I57" s="22" t="s">
        <v>229</v>
      </c>
      <c r="J57" s="22" t="s">
        <v>486</v>
      </c>
      <c r="AX57" s="22">
        <v>5.59</v>
      </c>
      <c r="AY57" s="22">
        <v>4.76</v>
      </c>
      <c r="AZ57" s="22">
        <v>4.4800000000000004</v>
      </c>
      <c r="BA57" s="22">
        <v>4.76</v>
      </c>
      <c r="BJ57" s="22" t="s">
        <v>684</v>
      </c>
      <c r="BK57" s="22" t="s">
        <v>273</v>
      </c>
      <c r="BM57" s="22" t="s">
        <v>1267</v>
      </c>
      <c r="BN57" s="38">
        <v>42805</v>
      </c>
    </row>
    <row r="58" spans="1:68" s="22" customFormat="1">
      <c r="A58" s="22" t="s">
        <v>685</v>
      </c>
      <c r="C58" s="30" t="s">
        <v>10</v>
      </c>
      <c r="D58" s="30" t="s">
        <v>11</v>
      </c>
      <c r="E58" s="22" t="s">
        <v>165</v>
      </c>
      <c r="F58" s="22" t="s">
        <v>681</v>
      </c>
      <c r="G58" s="22" t="s">
        <v>105</v>
      </c>
      <c r="H58" s="22" t="s">
        <v>486</v>
      </c>
      <c r="I58" s="22" t="s">
        <v>229</v>
      </c>
      <c r="J58" s="22" t="s">
        <v>486</v>
      </c>
      <c r="AX58" s="22">
        <v>5.78</v>
      </c>
      <c r="AY58" s="22">
        <v>5.67</v>
      </c>
      <c r="AZ58" s="22">
        <v>5.87</v>
      </c>
      <c r="BA58" s="22">
        <v>5.87</v>
      </c>
      <c r="BJ58" s="22" t="s">
        <v>684</v>
      </c>
      <c r="BK58" s="22" t="s">
        <v>273</v>
      </c>
      <c r="BM58" s="22" t="s">
        <v>1267</v>
      </c>
      <c r="BN58" s="39">
        <v>42805</v>
      </c>
    </row>
    <row r="59" spans="1:68" s="22" customFormat="1">
      <c r="A59" s="22" t="s">
        <v>686</v>
      </c>
      <c r="C59" s="30" t="s">
        <v>10</v>
      </c>
      <c r="D59" s="30" t="s">
        <v>11</v>
      </c>
      <c r="E59" s="22" t="s">
        <v>165</v>
      </c>
      <c r="F59" s="22" t="s">
        <v>681</v>
      </c>
      <c r="G59" s="22" t="s">
        <v>105</v>
      </c>
      <c r="H59" s="22" t="s">
        <v>486</v>
      </c>
      <c r="I59" s="22" t="s">
        <v>229</v>
      </c>
      <c r="J59" s="22" t="s">
        <v>486</v>
      </c>
      <c r="AX59" s="22">
        <v>6.09</v>
      </c>
      <c r="AY59" s="22">
        <v>5.31</v>
      </c>
      <c r="AZ59" s="22">
        <v>5.25</v>
      </c>
      <c r="BA59" s="22">
        <v>5.31</v>
      </c>
      <c r="BJ59" s="22" t="s">
        <v>684</v>
      </c>
      <c r="BK59" s="22" t="s">
        <v>273</v>
      </c>
      <c r="BM59" s="22" t="s">
        <v>1267</v>
      </c>
      <c r="BN59" s="39">
        <v>42805</v>
      </c>
      <c r="BO59" s="22" t="s">
        <v>362</v>
      </c>
      <c r="BP59" s="22" t="s">
        <v>1267</v>
      </c>
    </row>
    <row r="60" spans="1:68" s="22" customFormat="1" ht="18">
      <c r="A60" s="22" t="s">
        <v>689</v>
      </c>
      <c r="C60" s="30" t="s">
        <v>10</v>
      </c>
      <c r="D60" s="30" t="s">
        <v>11</v>
      </c>
      <c r="E60" s="22" t="s">
        <v>165</v>
      </c>
      <c r="F60" s="22" t="s">
        <v>681</v>
      </c>
      <c r="G60" s="22" t="s">
        <v>105</v>
      </c>
      <c r="H60" s="22" t="s">
        <v>486</v>
      </c>
      <c r="I60" s="22" t="s">
        <v>229</v>
      </c>
      <c r="J60" s="22" t="s">
        <v>486</v>
      </c>
      <c r="AY60" s="22">
        <v>4.46</v>
      </c>
      <c r="BJ60" s="22" t="s">
        <v>684</v>
      </c>
      <c r="BK60" s="22" t="s">
        <v>273</v>
      </c>
      <c r="BM60" s="22" t="s">
        <v>1267</v>
      </c>
      <c r="BN60" s="38">
        <v>42805</v>
      </c>
    </row>
    <row r="61" spans="1:68" s="22" customFormat="1">
      <c r="A61" s="22" t="s">
        <v>687</v>
      </c>
      <c r="C61" s="30" t="s">
        <v>10</v>
      </c>
      <c r="D61" s="30" t="s">
        <v>11</v>
      </c>
      <c r="E61" s="22" t="s">
        <v>165</v>
      </c>
      <c r="F61" s="22" t="s">
        <v>681</v>
      </c>
      <c r="G61" s="22" t="s">
        <v>105</v>
      </c>
      <c r="H61" s="22" t="s">
        <v>486</v>
      </c>
      <c r="I61" s="22" t="s">
        <v>229</v>
      </c>
      <c r="J61" s="22" t="s">
        <v>486</v>
      </c>
      <c r="AY61" s="22">
        <v>4.2300000000000004</v>
      </c>
      <c r="BJ61" s="22" t="s">
        <v>684</v>
      </c>
      <c r="BK61" s="22" t="s">
        <v>273</v>
      </c>
      <c r="BM61" s="22" t="s">
        <v>1267</v>
      </c>
      <c r="BN61" s="39">
        <v>42805</v>
      </c>
    </row>
    <row r="62" spans="1:68" s="22" customFormat="1">
      <c r="A62" s="22" t="s">
        <v>698</v>
      </c>
      <c r="C62" s="30" t="s">
        <v>10</v>
      </c>
      <c r="D62" s="30" t="s">
        <v>11</v>
      </c>
      <c r="E62" s="22" t="s">
        <v>293</v>
      </c>
      <c r="F62" s="22" t="s">
        <v>52</v>
      </c>
      <c r="G62" s="22" t="s">
        <v>53</v>
      </c>
      <c r="H62" s="22" t="s">
        <v>57</v>
      </c>
      <c r="I62" s="22" t="s">
        <v>48</v>
      </c>
      <c r="J62" s="22" t="s">
        <v>696</v>
      </c>
      <c r="AD62" s="22">
        <v>3.96</v>
      </c>
      <c r="AE62" s="22">
        <v>5.54</v>
      </c>
      <c r="AF62" s="22">
        <v>5.48</v>
      </c>
      <c r="AG62" s="22">
        <v>5.54</v>
      </c>
      <c r="BK62" s="22" t="s">
        <v>273</v>
      </c>
      <c r="BM62" s="22" t="s">
        <v>1267</v>
      </c>
      <c r="BN62" s="39">
        <v>42805</v>
      </c>
    </row>
    <row r="63" spans="1:68" s="22" customFormat="1" ht="18">
      <c r="A63" s="22" t="s">
        <v>697</v>
      </c>
      <c r="C63" s="30" t="s">
        <v>10</v>
      </c>
      <c r="D63" s="30" t="s">
        <v>11</v>
      </c>
      <c r="E63" s="22" t="s">
        <v>293</v>
      </c>
      <c r="F63" s="22" t="s">
        <v>52</v>
      </c>
      <c r="G63" s="22" t="s">
        <v>53</v>
      </c>
      <c r="H63" s="22" t="s">
        <v>57</v>
      </c>
      <c r="I63" s="22" t="s">
        <v>48</v>
      </c>
      <c r="J63" s="22" t="s">
        <v>696</v>
      </c>
      <c r="AH63" s="22">
        <v>2.65</v>
      </c>
      <c r="AI63" s="22">
        <v>3.78</v>
      </c>
      <c r="AJ63" s="22">
        <v>3.45</v>
      </c>
      <c r="AK63" s="22">
        <v>3.78</v>
      </c>
      <c r="BK63" s="22" t="s">
        <v>273</v>
      </c>
      <c r="BM63" s="22" t="s">
        <v>1267</v>
      </c>
      <c r="BN63" s="38">
        <v>42805</v>
      </c>
      <c r="BO63" s="22" t="s">
        <v>362</v>
      </c>
      <c r="BP63" s="22" t="s">
        <v>1267</v>
      </c>
    </row>
    <row r="64" spans="1:68" s="22" customFormat="1">
      <c r="A64" s="22" t="s">
        <v>699</v>
      </c>
      <c r="C64" s="30" t="s">
        <v>10</v>
      </c>
      <c r="D64" s="30" t="s">
        <v>11</v>
      </c>
      <c r="E64" s="22" t="s">
        <v>293</v>
      </c>
      <c r="F64" s="22" t="s">
        <v>52</v>
      </c>
      <c r="G64" s="22" t="s">
        <v>48</v>
      </c>
      <c r="H64" s="22" t="s">
        <v>49</v>
      </c>
      <c r="I64" s="22" t="s">
        <v>48</v>
      </c>
      <c r="J64" s="22" t="s">
        <v>700</v>
      </c>
      <c r="AT64" s="22">
        <v>3.45</v>
      </c>
      <c r="AW64" s="22">
        <v>2.38</v>
      </c>
      <c r="BB64" s="22">
        <v>4.1900000000000004</v>
      </c>
      <c r="BC64" s="22">
        <v>3.76</v>
      </c>
      <c r="BD64" s="22">
        <v>3.67</v>
      </c>
      <c r="BE64" s="22">
        <v>3.76</v>
      </c>
      <c r="BF64" s="22">
        <v>4.3499999999999996</v>
      </c>
      <c r="BG64" s="22">
        <v>3.39</v>
      </c>
      <c r="BH64" s="22">
        <v>2.84</v>
      </c>
      <c r="BI64" s="22">
        <v>3.39</v>
      </c>
      <c r="BK64" s="22" t="s">
        <v>273</v>
      </c>
      <c r="BM64" s="22" t="s">
        <v>1267</v>
      </c>
      <c r="BN64" s="39">
        <v>42805</v>
      </c>
      <c r="BO64" s="22" t="s">
        <v>362</v>
      </c>
      <c r="BP64" s="22" t="s">
        <v>1267</v>
      </c>
    </row>
    <row r="65" spans="1:70" s="22" customFormat="1">
      <c r="A65" s="22" t="s">
        <v>701</v>
      </c>
      <c r="C65" s="30" t="s">
        <v>10</v>
      </c>
      <c r="D65" s="30" t="s">
        <v>11</v>
      </c>
      <c r="E65" s="22" t="s">
        <v>293</v>
      </c>
      <c r="F65" s="22" t="s">
        <v>52</v>
      </c>
      <c r="G65" s="22" t="s">
        <v>70</v>
      </c>
      <c r="H65" s="22" t="s">
        <v>60</v>
      </c>
      <c r="I65" s="22" t="s">
        <v>702</v>
      </c>
      <c r="J65" s="22" t="s">
        <v>60</v>
      </c>
      <c r="BF65" s="22">
        <v>4.66</v>
      </c>
      <c r="BG65" s="22">
        <v>3.27</v>
      </c>
      <c r="BH65" s="22">
        <v>2.94</v>
      </c>
      <c r="BI65" s="22">
        <v>3.27</v>
      </c>
      <c r="BK65" s="22" t="s">
        <v>273</v>
      </c>
      <c r="BM65" s="22" t="s">
        <v>1267</v>
      </c>
      <c r="BN65" s="39">
        <v>42805</v>
      </c>
      <c r="BO65" s="22" t="s">
        <v>362</v>
      </c>
      <c r="BP65" s="22" t="s">
        <v>1267</v>
      </c>
    </row>
    <row r="66" spans="1:70" s="22" customFormat="1" ht="18">
      <c r="A66" s="22" t="s">
        <v>710</v>
      </c>
      <c r="C66" s="30" t="s">
        <v>10</v>
      </c>
      <c r="D66" s="30" t="s">
        <v>11</v>
      </c>
      <c r="E66" s="22" t="s">
        <v>473</v>
      </c>
      <c r="G66" s="22" t="s">
        <v>471</v>
      </c>
      <c r="H66" s="22" t="s">
        <v>713</v>
      </c>
      <c r="I66" s="22" t="s">
        <v>471</v>
      </c>
      <c r="J66" s="22" t="s">
        <v>713</v>
      </c>
      <c r="AD66" s="22">
        <v>4.0999999999999996</v>
      </c>
      <c r="AG66" s="22">
        <v>5.9</v>
      </c>
      <c r="BK66" s="22" t="s">
        <v>709</v>
      </c>
      <c r="BM66" s="22" t="s">
        <v>1267</v>
      </c>
      <c r="BN66" s="38">
        <v>42805</v>
      </c>
    </row>
    <row r="67" spans="1:70" s="22" customFormat="1">
      <c r="A67" s="22" t="s">
        <v>711</v>
      </c>
      <c r="C67" s="30" t="s">
        <v>10</v>
      </c>
      <c r="D67" s="30" t="s">
        <v>11</v>
      </c>
      <c r="E67" s="22" t="s">
        <v>473</v>
      </c>
      <c r="G67" s="22" t="s">
        <v>471</v>
      </c>
      <c r="H67" s="22" t="s">
        <v>713</v>
      </c>
      <c r="I67" s="22" t="s">
        <v>471</v>
      </c>
      <c r="J67" s="22" t="s">
        <v>713</v>
      </c>
      <c r="AD67" s="22">
        <v>3.9</v>
      </c>
      <c r="AG67" s="22">
        <v>5.9</v>
      </c>
      <c r="BK67" s="22" t="s">
        <v>709</v>
      </c>
      <c r="BM67" s="22" t="s">
        <v>1267</v>
      </c>
      <c r="BN67" s="39">
        <v>42805</v>
      </c>
    </row>
    <row r="68" spans="1:70" s="22" customFormat="1">
      <c r="A68" s="22" t="s">
        <v>703</v>
      </c>
      <c r="C68" s="30" t="s">
        <v>10</v>
      </c>
      <c r="D68" s="30" t="s">
        <v>11</v>
      </c>
      <c r="E68" s="22" t="s">
        <v>473</v>
      </c>
      <c r="G68" s="22" t="s">
        <v>471</v>
      </c>
      <c r="H68" s="22" t="s">
        <v>713</v>
      </c>
      <c r="I68" s="22" t="s">
        <v>471</v>
      </c>
      <c r="J68" s="22" t="s">
        <v>705</v>
      </c>
      <c r="AD68" s="22">
        <v>4.05</v>
      </c>
      <c r="AE68" s="32">
        <v>5.96</v>
      </c>
      <c r="AF68" s="22">
        <v>5.67</v>
      </c>
      <c r="AG68" s="22">
        <v>5.96</v>
      </c>
      <c r="BK68" s="22" t="s">
        <v>273</v>
      </c>
      <c r="BM68" s="22" t="s">
        <v>1267</v>
      </c>
      <c r="BN68" s="39">
        <v>42805</v>
      </c>
      <c r="BO68" s="22" t="s">
        <v>362</v>
      </c>
      <c r="BP68" s="22" t="s">
        <v>1267</v>
      </c>
    </row>
    <row r="69" spans="1:70" s="22" customFormat="1" ht="18">
      <c r="A69" s="22" t="s">
        <v>704</v>
      </c>
      <c r="C69" s="30" t="s">
        <v>10</v>
      </c>
      <c r="D69" s="30" t="s">
        <v>11</v>
      </c>
      <c r="E69" s="22" t="s">
        <v>473</v>
      </c>
      <c r="G69" s="22" t="s">
        <v>471</v>
      </c>
      <c r="H69" s="22" t="s">
        <v>713</v>
      </c>
      <c r="I69" s="22" t="s">
        <v>471</v>
      </c>
      <c r="J69" s="22" t="s">
        <v>705</v>
      </c>
      <c r="BB69" s="22">
        <v>3.97</v>
      </c>
      <c r="BC69" s="22">
        <v>2.79</v>
      </c>
      <c r="BD69" s="22">
        <v>2.87</v>
      </c>
      <c r="BE69" s="22">
        <v>2.79</v>
      </c>
      <c r="BF69" s="22">
        <v>4.7</v>
      </c>
      <c r="BG69" s="22">
        <v>2.79</v>
      </c>
      <c r="BH69" s="22">
        <v>2.7</v>
      </c>
      <c r="BI69" s="22">
        <v>2.79</v>
      </c>
      <c r="BK69" s="22" t="s">
        <v>273</v>
      </c>
      <c r="BM69" s="22" t="s">
        <v>1267</v>
      </c>
      <c r="BN69" s="38">
        <v>42805</v>
      </c>
      <c r="BO69" s="22" t="s">
        <v>362</v>
      </c>
      <c r="BP69" s="22" t="s">
        <v>1267</v>
      </c>
    </row>
    <row r="70" spans="1:70" s="22" customFormat="1">
      <c r="A70" s="22" t="s">
        <v>707</v>
      </c>
      <c r="C70" s="30" t="s">
        <v>10</v>
      </c>
      <c r="D70" s="30" t="s">
        <v>11</v>
      </c>
      <c r="E70" s="22" t="s">
        <v>473</v>
      </c>
      <c r="G70" s="22" t="s">
        <v>471</v>
      </c>
      <c r="H70" s="22" t="s">
        <v>713</v>
      </c>
      <c r="I70" s="22" t="s">
        <v>471</v>
      </c>
      <c r="J70" s="22" t="s">
        <v>713</v>
      </c>
      <c r="AD70" s="22">
        <v>3.9</v>
      </c>
      <c r="AG70" s="22">
        <v>6.5</v>
      </c>
      <c r="BJ70" s="22" t="s">
        <v>708</v>
      </c>
      <c r="BK70" s="22" t="s">
        <v>709</v>
      </c>
      <c r="BM70" s="22" t="s">
        <v>1267</v>
      </c>
      <c r="BN70" s="39">
        <v>42805</v>
      </c>
    </row>
    <row r="71" spans="1:70" s="22" customFormat="1">
      <c r="A71" s="22" t="s">
        <v>706</v>
      </c>
      <c r="C71" s="30" t="s">
        <v>10</v>
      </c>
      <c r="D71" s="30" t="s">
        <v>11</v>
      </c>
      <c r="E71" s="22" t="s">
        <v>473</v>
      </c>
      <c r="G71" s="22" t="s">
        <v>471</v>
      </c>
      <c r="H71" s="22" t="s">
        <v>713</v>
      </c>
      <c r="I71" s="22" t="s">
        <v>471</v>
      </c>
      <c r="J71" s="22" t="s">
        <v>713</v>
      </c>
      <c r="AD71" s="22">
        <v>3.9</v>
      </c>
      <c r="AG71" s="22">
        <v>6</v>
      </c>
      <c r="BK71" s="22" t="s">
        <v>709</v>
      </c>
      <c r="BM71" s="22" t="s">
        <v>1267</v>
      </c>
      <c r="BN71" s="39">
        <v>42805</v>
      </c>
    </row>
    <row r="72" spans="1:70" s="22" customFormat="1" ht="18">
      <c r="A72" s="22" t="s">
        <v>712</v>
      </c>
      <c r="C72" s="30" t="s">
        <v>10</v>
      </c>
      <c r="D72" s="30" t="s">
        <v>11</v>
      </c>
      <c r="E72" s="22" t="s">
        <v>473</v>
      </c>
      <c r="G72" s="22" t="s">
        <v>471</v>
      </c>
      <c r="H72" s="22" t="s">
        <v>472</v>
      </c>
      <c r="I72" s="22" t="s">
        <v>471</v>
      </c>
      <c r="J72" s="22" t="s">
        <v>472</v>
      </c>
      <c r="AD72" s="22">
        <v>4.6500000000000004</v>
      </c>
      <c r="AG72" s="22">
        <v>6.5</v>
      </c>
      <c r="BK72" s="22" t="s">
        <v>709</v>
      </c>
      <c r="BM72" s="22" t="s">
        <v>1267</v>
      </c>
      <c r="BN72" s="38">
        <v>42805</v>
      </c>
    </row>
    <row r="73" spans="1:70">
      <c r="A73" s="46"/>
      <c r="C73" t="s">
        <v>10</v>
      </c>
      <c r="D73" t="s">
        <v>11</v>
      </c>
      <c r="E73" t="s">
        <v>293</v>
      </c>
      <c r="F73" t="s">
        <v>268</v>
      </c>
      <c r="G73" t="s">
        <v>26</v>
      </c>
      <c r="H73" t="s">
        <v>41</v>
      </c>
      <c r="I73" t="s">
        <v>26</v>
      </c>
      <c r="J73" t="s">
        <v>41</v>
      </c>
      <c r="BF73">
        <v>2</v>
      </c>
      <c r="BI73">
        <v>1.5</v>
      </c>
      <c r="BJ73" t="s">
        <v>299</v>
      </c>
      <c r="BK73" t="s">
        <v>273</v>
      </c>
      <c r="BM73" t="s">
        <v>300</v>
      </c>
    </row>
    <row r="74" spans="1:70">
      <c r="A74" s="46"/>
      <c r="C74" t="s">
        <v>10</v>
      </c>
      <c r="D74" t="s">
        <v>1039</v>
      </c>
      <c r="E74" t="s">
        <v>1040</v>
      </c>
      <c r="G74" t="s">
        <v>1097</v>
      </c>
      <c r="H74" t="s">
        <v>1129</v>
      </c>
      <c r="I74" t="s">
        <v>1097</v>
      </c>
      <c r="J74" t="s">
        <v>1140</v>
      </c>
      <c r="M74" s="18"/>
      <c r="AD74">
        <f>1000*0.0093</f>
        <v>9.2999999999999989</v>
      </c>
      <c r="AG74">
        <f>1000*0.014</f>
        <v>14</v>
      </c>
      <c r="BJ74" t="s">
        <v>1141</v>
      </c>
      <c r="BK74" t="s">
        <v>273</v>
      </c>
      <c r="BM74" t="s">
        <v>1142</v>
      </c>
      <c r="BN74" s="33">
        <v>53196</v>
      </c>
    </row>
    <row r="75" spans="1:70">
      <c r="A75" s="46"/>
      <c r="C75" t="s">
        <v>10</v>
      </c>
      <c r="D75" t="s">
        <v>1039</v>
      </c>
      <c r="E75" t="s">
        <v>1040</v>
      </c>
      <c r="G75" t="s">
        <v>1108</v>
      </c>
      <c r="H75" t="s">
        <v>1109</v>
      </c>
      <c r="I75" t="s">
        <v>1108</v>
      </c>
      <c r="J75" t="s">
        <v>1109</v>
      </c>
      <c r="M75" s="18"/>
      <c r="BB75">
        <f>1000*0.0065</f>
        <v>6.5</v>
      </c>
      <c r="BE75">
        <f>1000*0.006</f>
        <v>6</v>
      </c>
      <c r="BF75">
        <f>1000*0.0085</f>
        <v>8.5</v>
      </c>
      <c r="BI75">
        <f>1000*0.005</f>
        <v>5</v>
      </c>
      <c r="BK75" t="s">
        <v>273</v>
      </c>
      <c r="BM75" t="s">
        <v>1110</v>
      </c>
    </row>
    <row r="76" spans="1:70">
      <c r="A76" s="46"/>
      <c r="C76" t="s">
        <v>10</v>
      </c>
      <c r="D76" t="s">
        <v>1039</v>
      </c>
      <c r="E76" t="s">
        <v>1040</v>
      </c>
      <c r="G76" t="s">
        <v>1108</v>
      </c>
      <c r="H76" t="s">
        <v>1111</v>
      </c>
      <c r="I76" t="s">
        <v>1108</v>
      </c>
      <c r="J76" t="s">
        <v>1111</v>
      </c>
      <c r="M76" s="18"/>
      <c r="BF76">
        <v>12</v>
      </c>
      <c r="BI76">
        <f>1000*0.006</f>
        <v>6</v>
      </c>
      <c r="BJ76" t="s">
        <v>1112</v>
      </c>
      <c r="BK76" t="s">
        <v>273</v>
      </c>
      <c r="BM76" t="s">
        <v>1110</v>
      </c>
    </row>
    <row r="77" spans="1:70">
      <c r="A77" t="s">
        <v>351</v>
      </c>
      <c r="C77" t="s">
        <v>484</v>
      </c>
      <c r="E77" t="s">
        <v>485</v>
      </c>
      <c r="G77" t="s">
        <v>254</v>
      </c>
      <c r="H77" t="s">
        <v>347</v>
      </c>
      <c r="I77" t="s">
        <v>254</v>
      </c>
      <c r="J77" t="s">
        <v>347</v>
      </c>
      <c r="AX77">
        <v>3.1</v>
      </c>
      <c r="AY77">
        <v>2.17</v>
      </c>
      <c r="AZ77">
        <v>2.2799999999999998</v>
      </c>
      <c r="BA77">
        <f>MAX(AY77:AZ77)</f>
        <v>2.2799999999999998</v>
      </c>
      <c r="BB77">
        <v>3.32</v>
      </c>
      <c r="BC77">
        <v>2.61</v>
      </c>
      <c r="BD77">
        <v>2.58</v>
      </c>
      <c r="BE77">
        <f>MAX(BC77:BD77)</f>
        <v>2.61</v>
      </c>
      <c r="BJ77" t="s">
        <v>357</v>
      </c>
      <c r="BK77" t="s">
        <v>273</v>
      </c>
      <c r="BM77" t="s">
        <v>313</v>
      </c>
      <c r="BN77" s="33">
        <v>7306</v>
      </c>
    </row>
    <row r="78" spans="1:70">
      <c r="A78" t="s">
        <v>348</v>
      </c>
      <c r="C78" t="s">
        <v>484</v>
      </c>
      <c r="E78" t="s">
        <v>485</v>
      </c>
      <c r="G78" t="s">
        <v>254</v>
      </c>
      <c r="H78" t="s">
        <v>347</v>
      </c>
      <c r="I78" t="s">
        <v>254</v>
      </c>
      <c r="J78" t="s">
        <v>347</v>
      </c>
      <c r="AX78">
        <v>2.46</v>
      </c>
      <c r="AY78">
        <v>2.0499999999999998</v>
      </c>
      <c r="AZ78">
        <v>2.1</v>
      </c>
      <c r="BA78">
        <f>MAX(AY78:AZ78)</f>
        <v>2.1</v>
      </c>
      <c r="BB78">
        <v>2.79</v>
      </c>
      <c r="BC78">
        <v>2.4700000000000002</v>
      </c>
      <c r="BD78">
        <v>2.42</v>
      </c>
      <c r="BE78">
        <f>MAX(BC78:BD78)</f>
        <v>2.4700000000000002</v>
      </c>
      <c r="BJ78" t="s">
        <v>357</v>
      </c>
      <c r="BK78" t="s">
        <v>273</v>
      </c>
      <c r="BM78" t="s">
        <v>313</v>
      </c>
      <c r="BN78" s="33">
        <v>7306</v>
      </c>
    </row>
    <row r="79" spans="1:70">
      <c r="A79" t="s">
        <v>340</v>
      </c>
      <c r="C79" t="s">
        <v>10</v>
      </c>
      <c r="D79" t="s">
        <v>11</v>
      </c>
      <c r="E79" t="s">
        <v>165</v>
      </c>
      <c r="G79" t="s">
        <v>490</v>
      </c>
      <c r="H79" t="s">
        <v>491</v>
      </c>
      <c r="I79" t="s">
        <v>490</v>
      </c>
      <c r="J79" t="s">
        <v>223</v>
      </c>
      <c r="AX79">
        <v>5.18</v>
      </c>
      <c r="AY79">
        <v>3.84</v>
      </c>
      <c r="AZ79">
        <v>3.68</v>
      </c>
      <c r="BA79">
        <f>MAX(AY79:AZ79)</f>
        <v>3.84</v>
      </c>
      <c r="BB79">
        <v>5.9</v>
      </c>
      <c r="BC79">
        <v>4.74</v>
      </c>
      <c r="BD79">
        <v>4.58</v>
      </c>
      <c r="BE79">
        <f>MAX(BC79:BD79)</f>
        <v>4.74</v>
      </c>
      <c r="BJ79" t="s">
        <v>357</v>
      </c>
      <c r="BK79" t="s">
        <v>273</v>
      </c>
      <c r="BM79" t="s">
        <v>313</v>
      </c>
      <c r="BN79" s="33">
        <v>7306</v>
      </c>
    </row>
    <row r="80" spans="1:70" s="14" customFormat="1">
      <c r="A80" t="s">
        <v>339</v>
      </c>
      <c r="B80"/>
      <c r="C80" t="s">
        <v>10</v>
      </c>
      <c r="D80" t="s">
        <v>11</v>
      </c>
      <c r="E80" t="s">
        <v>165</v>
      </c>
      <c r="F80"/>
      <c r="G80" t="s">
        <v>490</v>
      </c>
      <c r="H80" t="s">
        <v>491</v>
      </c>
      <c r="I80" t="s">
        <v>490</v>
      </c>
      <c r="J80" t="s">
        <v>223</v>
      </c>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v>5.26</v>
      </c>
      <c r="AY80">
        <v>3.63</v>
      </c>
      <c r="AZ80">
        <v>4.0199999999999996</v>
      </c>
      <c r="BA80">
        <f>MAX(AY80:AZ80)</f>
        <v>4.0199999999999996</v>
      </c>
      <c r="BB80">
        <v>5.83</v>
      </c>
      <c r="BC80">
        <v>4.8600000000000003</v>
      </c>
      <c r="BD80">
        <v>4.92</v>
      </c>
      <c r="BE80">
        <f>MAX(BC80:BD80)</f>
        <v>4.92</v>
      </c>
      <c r="BF80"/>
      <c r="BG80"/>
      <c r="BH80"/>
      <c r="BI80"/>
      <c r="BJ80" t="s">
        <v>357</v>
      </c>
      <c r="BK80" t="s">
        <v>273</v>
      </c>
      <c r="BL80"/>
      <c r="BM80" t="s">
        <v>313</v>
      </c>
      <c r="BN80" s="33">
        <v>7306</v>
      </c>
      <c r="BO80"/>
      <c r="BP80"/>
      <c r="BQ80"/>
      <c r="BR80"/>
    </row>
    <row r="81" spans="1:70" s="14" customFormat="1">
      <c r="A81" t="s">
        <v>342</v>
      </c>
      <c r="B81"/>
      <c r="C81" t="s">
        <v>10</v>
      </c>
      <c r="D81" t="s">
        <v>11</v>
      </c>
      <c r="E81" t="s">
        <v>165</v>
      </c>
      <c r="F81"/>
      <c r="G81" t="s">
        <v>85</v>
      </c>
      <c r="H81" t="s">
        <v>196</v>
      </c>
      <c r="I81" t="s">
        <v>85</v>
      </c>
      <c r="J81" t="s">
        <v>196</v>
      </c>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v>3.25</v>
      </c>
      <c r="AY81">
        <v>2.12</v>
      </c>
      <c r="AZ81">
        <v>2.41</v>
      </c>
      <c r="BA81">
        <f>MAX(AY81:AZ81)</f>
        <v>2.41</v>
      </c>
      <c r="BB81">
        <v>3.47</v>
      </c>
      <c r="BC81">
        <v>2.71</v>
      </c>
      <c r="BD81">
        <v>2.69</v>
      </c>
      <c r="BE81">
        <f>MAX(BC81:BD81)</f>
        <v>2.71</v>
      </c>
      <c r="BF81"/>
      <c r="BG81"/>
      <c r="BH81"/>
      <c r="BI81"/>
      <c r="BJ81" t="s">
        <v>357</v>
      </c>
      <c r="BK81" t="s">
        <v>273</v>
      </c>
      <c r="BL81"/>
      <c r="BM81" t="s">
        <v>313</v>
      </c>
      <c r="BN81" s="33">
        <v>7306</v>
      </c>
      <c r="BO81"/>
      <c r="BP81"/>
      <c r="BQ81"/>
      <c r="BR81"/>
    </row>
    <row r="82" spans="1:70">
      <c r="A82" t="s">
        <v>341</v>
      </c>
      <c r="C82" t="s">
        <v>10</v>
      </c>
      <c r="D82" t="s">
        <v>11</v>
      </c>
      <c r="E82" t="s">
        <v>165</v>
      </c>
      <c r="G82" t="s">
        <v>85</v>
      </c>
      <c r="H82" t="s">
        <v>196</v>
      </c>
      <c r="I82" t="s">
        <v>85</v>
      </c>
      <c r="J82" t="s">
        <v>196</v>
      </c>
      <c r="AX82">
        <v>3.32</v>
      </c>
      <c r="AY82">
        <v>2.2799999999999998</v>
      </c>
      <c r="AZ82">
        <v>2.4500000000000002</v>
      </c>
      <c r="BA82">
        <f>MAX(AY82:AZ82)</f>
        <v>2.4500000000000002</v>
      </c>
      <c r="BB82">
        <v>3.82</v>
      </c>
      <c r="BC82">
        <v>2.9</v>
      </c>
      <c r="BD82">
        <v>2.79</v>
      </c>
      <c r="BE82">
        <f>MAX(BC82:BD82)</f>
        <v>2.9</v>
      </c>
      <c r="BJ82" t="s">
        <v>357</v>
      </c>
      <c r="BK82" t="s">
        <v>273</v>
      </c>
      <c r="BM82" t="s">
        <v>313</v>
      </c>
      <c r="BN82" s="33">
        <v>7306</v>
      </c>
    </row>
    <row r="83" spans="1:70">
      <c r="A83" t="s">
        <v>1224</v>
      </c>
      <c r="C83" t="s">
        <v>10</v>
      </c>
      <c r="D83" t="s">
        <v>11</v>
      </c>
      <c r="E83" t="s">
        <v>165</v>
      </c>
      <c r="G83" t="s">
        <v>500</v>
      </c>
      <c r="H83" t="s">
        <v>312</v>
      </c>
      <c r="I83" t="s">
        <v>500</v>
      </c>
      <c r="J83" t="s">
        <v>312</v>
      </c>
      <c r="AX83">
        <v>3.84</v>
      </c>
      <c r="AY83">
        <v>2.67</v>
      </c>
      <c r="AZ83">
        <v>2.81</v>
      </c>
      <c r="BA83">
        <f>MAX(AY83:AZ83)</f>
        <v>2.81</v>
      </c>
      <c r="BB83" s="5">
        <v>4.25</v>
      </c>
      <c r="BC83" s="5">
        <v>3.35</v>
      </c>
      <c r="BD83" s="5">
        <v>3.08</v>
      </c>
      <c r="BE83">
        <f>MAX(BC83:BD83)</f>
        <v>3.35</v>
      </c>
      <c r="BF83" s="5">
        <v>4.95</v>
      </c>
      <c r="BG83" s="5">
        <v>3.08</v>
      </c>
      <c r="BJ83" t="s">
        <v>357</v>
      </c>
      <c r="BK83" t="s">
        <v>273</v>
      </c>
      <c r="BM83" t="s">
        <v>313</v>
      </c>
      <c r="BN83" s="33">
        <v>7306</v>
      </c>
    </row>
    <row r="84" spans="1:70">
      <c r="A84" t="s">
        <v>314</v>
      </c>
      <c r="C84" t="s">
        <v>10</v>
      </c>
      <c r="D84" t="s">
        <v>11</v>
      </c>
      <c r="E84" t="s">
        <v>165</v>
      </c>
      <c r="G84" t="s">
        <v>500</v>
      </c>
      <c r="H84" t="s">
        <v>312</v>
      </c>
      <c r="I84" t="s">
        <v>500</v>
      </c>
      <c r="J84" t="s">
        <v>312</v>
      </c>
      <c r="AX84" s="8"/>
      <c r="AY84" s="8"/>
      <c r="AZ84" s="8"/>
      <c r="BA84">
        <f>MAX(AY84:AZ84)</f>
        <v>0</v>
      </c>
      <c r="BB84">
        <v>3.84</v>
      </c>
      <c r="BC84">
        <v>2.99</v>
      </c>
      <c r="BD84">
        <v>2.71</v>
      </c>
      <c r="BE84">
        <f>MAX(BC84:BD84)</f>
        <v>2.99</v>
      </c>
      <c r="BF84">
        <v>4.3899999999999997</v>
      </c>
      <c r="BG84">
        <v>2.66</v>
      </c>
      <c r="BJ84" t="s">
        <v>357</v>
      </c>
      <c r="BK84" t="s">
        <v>273</v>
      </c>
      <c r="BM84" t="s">
        <v>313</v>
      </c>
      <c r="BN84" s="33">
        <v>7306</v>
      </c>
    </row>
    <row r="85" spans="1:70">
      <c r="A85" t="s">
        <v>356</v>
      </c>
      <c r="C85" s="7" t="s">
        <v>10</v>
      </c>
      <c r="D85" s="7" t="s">
        <v>11</v>
      </c>
      <c r="E85" t="s">
        <v>293</v>
      </c>
      <c r="G85" t="s">
        <v>19</v>
      </c>
      <c r="H85" t="s">
        <v>21</v>
      </c>
      <c r="I85" t="s">
        <v>19</v>
      </c>
      <c r="J85" t="s">
        <v>21</v>
      </c>
      <c r="BB85">
        <v>6.4</v>
      </c>
      <c r="BF85">
        <v>6.35</v>
      </c>
      <c r="BJ85" t="s">
        <v>357</v>
      </c>
      <c r="BK85" t="s">
        <v>273</v>
      </c>
      <c r="BM85" t="s">
        <v>313</v>
      </c>
      <c r="BN85" s="33">
        <v>7306</v>
      </c>
    </row>
    <row r="86" spans="1:70">
      <c r="A86" t="s">
        <v>350</v>
      </c>
      <c r="C86" t="s">
        <v>10</v>
      </c>
      <c r="D86" t="s">
        <v>11</v>
      </c>
      <c r="E86" t="s">
        <v>293</v>
      </c>
      <c r="G86" t="s">
        <v>478</v>
      </c>
      <c r="H86" t="s">
        <v>25</v>
      </c>
      <c r="I86" t="s">
        <v>478</v>
      </c>
      <c r="J86" t="s">
        <v>25</v>
      </c>
      <c r="AX86">
        <v>3.87</v>
      </c>
      <c r="AY86">
        <v>2.78</v>
      </c>
      <c r="AZ86">
        <v>2.8</v>
      </c>
      <c r="BA86">
        <f>MAX(AY86:AZ86)</f>
        <v>2.8</v>
      </c>
      <c r="BB86">
        <v>4.2</v>
      </c>
      <c r="BC86">
        <v>3.71</v>
      </c>
      <c r="BD86">
        <v>3.3</v>
      </c>
      <c r="BE86">
        <f>MAX(BC86:BD86)</f>
        <v>3.71</v>
      </c>
      <c r="BF86">
        <v>4.29</v>
      </c>
      <c r="BJ86" t="s">
        <v>357</v>
      </c>
      <c r="BK86" t="s">
        <v>273</v>
      </c>
      <c r="BM86" t="s">
        <v>313</v>
      </c>
      <c r="BN86" s="33">
        <v>7306</v>
      </c>
    </row>
    <row r="87" spans="1:70">
      <c r="A87" t="s">
        <v>349</v>
      </c>
      <c r="C87" t="s">
        <v>10</v>
      </c>
      <c r="D87" t="s">
        <v>11</v>
      </c>
      <c r="E87" t="s">
        <v>293</v>
      </c>
      <c r="G87" t="s">
        <v>478</v>
      </c>
      <c r="H87" t="s">
        <v>25</v>
      </c>
      <c r="I87" t="s">
        <v>478</v>
      </c>
      <c r="J87" t="s">
        <v>25</v>
      </c>
      <c r="AX87">
        <v>4.1900000000000004</v>
      </c>
      <c r="AY87">
        <v>2.89</v>
      </c>
      <c r="AZ87">
        <v>3.02</v>
      </c>
      <c r="BA87">
        <f>MAX(AY87:AZ87)</f>
        <v>3.02</v>
      </c>
      <c r="BB87">
        <v>4.41</v>
      </c>
      <c r="BC87">
        <v>3.65</v>
      </c>
      <c r="BD87">
        <v>3.51</v>
      </c>
      <c r="BE87">
        <f>MAX(BC87:BD87)</f>
        <v>3.65</v>
      </c>
      <c r="BF87">
        <v>4.22</v>
      </c>
      <c r="BJ87" t="s">
        <v>357</v>
      </c>
      <c r="BK87" t="s">
        <v>273</v>
      </c>
      <c r="BM87" t="s">
        <v>313</v>
      </c>
      <c r="BN87" s="33">
        <v>7306</v>
      </c>
    </row>
    <row r="88" spans="1:70">
      <c r="A88" t="s">
        <v>346</v>
      </c>
      <c r="C88" t="s">
        <v>10</v>
      </c>
      <c r="D88" t="s">
        <v>11</v>
      </c>
      <c r="E88" t="s">
        <v>293</v>
      </c>
      <c r="G88" t="s">
        <v>48</v>
      </c>
      <c r="H88" t="s">
        <v>49</v>
      </c>
      <c r="I88" t="s">
        <v>48</v>
      </c>
      <c r="J88" t="s">
        <v>49</v>
      </c>
      <c r="AX88">
        <v>4.17</v>
      </c>
      <c r="AY88">
        <v>2.87</v>
      </c>
      <c r="AZ88" s="6">
        <v>3.06</v>
      </c>
      <c r="BA88">
        <f>MAX(AY88:AZ88)</f>
        <v>3.06</v>
      </c>
      <c r="BB88">
        <v>4.17</v>
      </c>
      <c r="BC88">
        <v>3.61</v>
      </c>
      <c r="BD88">
        <v>3.54</v>
      </c>
      <c r="BE88">
        <f>MAX(BC88:BD88)</f>
        <v>3.61</v>
      </c>
      <c r="BJ88" t="s">
        <v>357</v>
      </c>
      <c r="BK88" t="s">
        <v>273</v>
      </c>
      <c r="BM88" t="s">
        <v>313</v>
      </c>
      <c r="BN88" s="33">
        <v>7306</v>
      </c>
    </row>
    <row r="89" spans="1:70">
      <c r="A89" t="s">
        <v>353</v>
      </c>
      <c r="C89" t="s">
        <v>10</v>
      </c>
      <c r="D89" t="s">
        <v>11</v>
      </c>
      <c r="E89" t="s">
        <v>293</v>
      </c>
      <c r="G89" t="s">
        <v>63</v>
      </c>
      <c r="H89" t="s">
        <v>66</v>
      </c>
      <c r="I89" t="s">
        <v>74</v>
      </c>
      <c r="J89" t="s">
        <v>66</v>
      </c>
      <c r="AX89">
        <v>5.35</v>
      </c>
      <c r="AY89">
        <v>3.92</v>
      </c>
      <c r="AZ89">
        <v>3.9</v>
      </c>
      <c r="BA89">
        <f>MAX(AY89:AZ89)</f>
        <v>3.92</v>
      </c>
      <c r="BB89">
        <v>5.31</v>
      </c>
      <c r="BC89">
        <v>4.17</v>
      </c>
      <c r="BD89">
        <v>4.22</v>
      </c>
      <c r="BE89">
        <f>MAX(BC89:BD89)</f>
        <v>4.22</v>
      </c>
      <c r="BF89">
        <v>6.13</v>
      </c>
      <c r="BJ89" t="s">
        <v>357</v>
      </c>
      <c r="BK89" t="s">
        <v>273</v>
      </c>
      <c r="BM89" t="s">
        <v>313</v>
      </c>
      <c r="BN89" s="33">
        <v>7306</v>
      </c>
    </row>
    <row r="90" spans="1:70" s="4" customFormat="1">
      <c r="A90" t="s">
        <v>352</v>
      </c>
      <c r="B90"/>
      <c r="C90" t="s">
        <v>10</v>
      </c>
      <c r="D90" t="s">
        <v>11</v>
      </c>
      <c r="E90" t="s">
        <v>293</v>
      </c>
      <c r="F90"/>
      <c r="G90" t="s">
        <v>63</v>
      </c>
      <c r="H90" t="s">
        <v>66</v>
      </c>
      <c r="I90" t="s">
        <v>74</v>
      </c>
      <c r="J90" t="s">
        <v>66</v>
      </c>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v>5.8</v>
      </c>
      <c r="AY90">
        <v>4.38</v>
      </c>
      <c r="AZ90">
        <v>4.41</v>
      </c>
      <c r="BA90">
        <f>MAX(AY90:AZ90)</f>
        <v>4.41</v>
      </c>
      <c r="BB90">
        <v>5.69</v>
      </c>
      <c r="BC90">
        <v>4.8899999999999997</v>
      </c>
      <c r="BD90">
        <v>4.6500000000000004</v>
      </c>
      <c r="BE90">
        <f>MAX(BC90:BD90)</f>
        <v>4.8899999999999997</v>
      </c>
      <c r="BF90">
        <v>6.23</v>
      </c>
      <c r="BG90"/>
      <c r="BH90"/>
      <c r="BI90"/>
      <c r="BJ90" t="s">
        <v>357</v>
      </c>
      <c r="BK90" t="s">
        <v>273</v>
      </c>
      <c r="BL90"/>
      <c r="BM90" t="s">
        <v>313</v>
      </c>
      <c r="BN90" s="33">
        <v>7306</v>
      </c>
      <c r="BO90"/>
      <c r="BP90"/>
      <c r="BQ90"/>
      <c r="BR90"/>
    </row>
    <row r="91" spans="1:70" s="55" customFormat="1">
      <c r="A91" s="55" t="s">
        <v>345</v>
      </c>
      <c r="C91" s="55" t="s">
        <v>10</v>
      </c>
      <c r="D91" s="55" t="s">
        <v>11</v>
      </c>
      <c r="E91" s="55" t="s">
        <v>293</v>
      </c>
      <c r="F91" s="55" t="s">
        <v>52</v>
      </c>
      <c r="G91" s="55" t="s">
        <v>70</v>
      </c>
      <c r="H91" s="55" t="s">
        <v>71</v>
      </c>
      <c r="I91" s="55" t="s">
        <v>70</v>
      </c>
      <c r="J91" s="55" t="s">
        <v>71</v>
      </c>
      <c r="AX91" s="55">
        <v>3.4</v>
      </c>
      <c r="AY91" s="55">
        <v>2.77</v>
      </c>
      <c r="AZ91" s="55">
        <v>2.91</v>
      </c>
      <c r="BA91" s="55">
        <f>MAX(AY91:AZ91)</f>
        <v>2.91</v>
      </c>
      <c r="BB91" s="55">
        <v>3.6</v>
      </c>
      <c r="BC91" s="55">
        <v>3.24</v>
      </c>
      <c r="BD91" s="55">
        <v>3.1</v>
      </c>
      <c r="BE91" s="55">
        <f>MAX(BC91:BD91)</f>
        <v>3.24</v>
      </c>
      <c r="BJ91" s="57" t="s">
        <v>357</v>
      </c>
      <c r="BK91" s="55" t="s">
        <v>273</v>
      </c>
      <c r="BM91" s="55" t="s">
        <v>313</v>
      </c>
      <c r="BN91" s="56">
        <v>7306</v>
      </c>
    </row>
    <row r="92" spans="1:70" s="11" customFormat="1">
      <c r="A92" t="s">
        <v>354</v>
      </c>
      <c r="B92"/>
      <c r="C92" t="s">
        <v>10</v>
      </c>
      <c r="D92" t="s">
        <v>11</v>
      </c>
      <c r="E92" t="s">
        <v>473</v>
      </c>
      <c r="F92"/>
      <c r="G92" t="s">
        <v>355</v>
      </c>
      <c r="H92" t="s">
        <v>344</v>
      </c>
      <c r="I92" t="s">
        <v>355</v>
      </c>
      <c r="J92" t="s">
        <v>344</v>
      </c>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v>3.87</v>
      </c>
      <c r="AY92">
        <v>2.62</v>
      </c>
      <c r="AZ92">
        <v>2.68</v>
      </c>
      <c r="BA92">
        <f>MAX(AY92:AZ92)</f>
        <v>2.68</v>
      </c>
      <c r="BB92">
        <v>4.05</v>
      </c>
      <c r="BC92">
        <v>3.16</v>
      </c>
      <c r="BD92">
        <v>2.87</v>
      </c>
      <c r="BE92">
        <f>MAX(BC92:BD92)</f>
        <v>3.16</v>
      </c>
      <c r="BF92">
        <v>4.7699999999999996</v>
      </c>
      <c r="BG92">
        <v>2.77</v>
      </c>
      <c r="BH92"/>
      <c r="BI92"/>
      <c r="BJ92" t="s">
        <v>357</v>
      </c>
      <c r="BK92" t="s">
        <v>273</v>
      </c>
      <c r="BL92"/>
      <c r="BM92" t="s">
        <v>313</v>
      </c>
      <c r="BN92" s="33">
        <v>7306</v>
      </c>
      <c r="BO92"/>
      <c r="BP92"/>
      <c r="BQ92"/>
      <c r="BR92"/>
    </row>
    <row r="93" spans="1:70" s="11" customFormat="1">
      <c r="A93" t="s">
        <v>343</v>
      </c>
      <c r="B93"/>
      <c r="C93" t="s">
        <v>10</v>
      </c>
      <c r="D93" t="s">
        <v>11</v>
      </c>
      <c r="E93" t="s">
        <v>473</v>
      </c>
      <c r="F93"/>
      <c r="G93" t="s">
        <v>355</v>
      </c>
      <c r="H93" t="s">
        <v>344</v>
      </c>
      <c r="I93" t="s">
        <v>355</v>
      </c>
      <c r="J93" t="s">
        <v>344</v>
      </c>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v>3.86</v>
      </c>
      <c r="AY93">
        <v>2.75</v>
      </c>
      <c r="AZ93">
        <v>2.76</v>
      </c>
      <c r="BA93">
        <f>MAX(AY93:AZ93)</f>
        <v>2.76</v>
      </c>
      <c r="BB93">
        <v>4.58</v>
      </c>
      <c r="BC93">
        <v>3.22</v>
      </c>
      <c r="BD93">
        <v>3.27</v>
      </c>
      <c r="BE93">
        <f>MAX(BC93:BD93)</f>
        <v>3.27</v>
      </c>
      <c r="BF93">
        <v>5.0199999999999996</v>
      </c>
      <c r="BG93">
        <v>2.93</v>
      </c>
      <c r="BH93"/>
      <c r="BI93"/>
      <c r="BJ93" t="s">
        <v>357</v>
      </c>
      <c r="BK93" t="s">
        <v>273</v>
      </c>
      <c r="BL93"/>
      <c r="BM93" t="s">
        <v>313</v>
      </c>
      <c r="BN93" s="33">
        <v>7306</v>
      </c>
      <c r="BO93"/>
      <c r="BP93"/>
      <c r="BQ93"/>
      <c r="BR93"/>
    </row>
    <row r="94" spans="1:70" s="10" customFormat="1">
      <c r="A94" t="s">
        <v>1173</v>
      </c>
      <c r="B94"/>
      <c r="C94" t="s">
        <v>10</v>
      </c>
      <c r="D94" t="s">
        <v>1039</v>
      </c>
      <c r="E94" t="s">
        <v>1040</v>
      </c>
      <c r="F94"/>
      <c r="G94" t="s">
        <v>1165</v>
      </c>
      <c r="H94" t="s">
        <v>1166</v>
      </c>
      <c r="I94" t="s">
        <v>1165</v>
      </c>
      <c r="J94" t="s">
        <v>1166</v>
      </c>
      <c r="K94"/>
      <c r="L94"/>
      <c r="M94" s="18"/>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v>7.84</v>
      </c>
      <c r="AY94">
        <v>7.04</v>
      </c>
      <c r="AZ94">
        <v>6.88</v>
      </c>
      <c r="BA94"/>
      <c r="BB94">
        <v>8.58</v>
      </c>
      <c r="BC94">
        <v>7.51</v>
      </c>
      <c r="BD94">
        <v>7.37</v>
      </c>
      <c r="BE94"/>
      <c r="BF94"/>
      <c r="BG94"/>
      <c r="BH94"/>
      <c r="BI94"/>
      <c r="BJ94"/>
      <c r="BK94" t="s">
        <v>273</v>
      </c>
      <c r="BL94"/>
      <c r="BM94" t="s">
        <v>313</v>
      </c>
      <c r="BN94" s="33">
        <v>7306</v>
      </c>
      <c r="BO94"/>
      <c r="BP94"/>
      <c r="BQ94"/>
      <c r="BR94"/>
    </row>
    <row r="95" spans="1:70" s="10" customFormat="1">
      <c r="A95" t="s">
        <v>1174</v>
      </c>
      <c r="B95"/>
      <c r="C95" t="s">
        <v>10</v>
      </c>
      <c r="D95" t="s">
        <v>1039</v>
      </c>
      <c r="E95" t="s">
        <v>1040</v>
      </c>
      <c r="F95"/>
      <c r="G95" t="s">
        <v>1165</v>
      </c>
      <c r="H95" t="s">
        <v>1166</v>
      </c>
      <c r="I95" t="s">
        <v>1165</v>
      </c>
      <c r="J95" t="s">
        <v>1166</v>
      </c>
      <c r="K95"/>
      <c r="L95"/>
      <c r="M95" s="18"/>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v>8.17</v>
      </c>
      <c r="AY95">
        <v>6.42</v>
      </c>
      <c r="AZ95">
        <v>6.47</v>
      </c>
      <c r="BA95"/>
      <c r="BB95">
        <v>8.6</v>
      </c>
      <c r="BC95">
        <v>7.35</v>
      </c>
      <c r="BD95">
        <v>7</v>
      </c>
      <c r="BE95"/>
      <c r="BF95"/>
      <c r="BG95"/>
      <c r="BH95"/>
      <c r="BI95"/>
      <c r="BJ95"/>
      <c r="BK95" t="s">
        <v>273</v>
      </c>
      <c r="BL95"/>
      <c r="BM95" t="s">
        <v>313</v>
      </c>
      <c r="BN95" s="33">
        <v>7306</v>
      </c>
      <c r="BO95"/>
      <c r="BP95"/>
      <c r="BQ95"/>
      <c r="BR95"/>
    </row>
    <row r="96" spans="1:70">
      <c r="A96" t="s">
        <v>280</v>
      </c>
      <c r="C96" t="s">
        <v>484</v>
      </c>
      <c r="E96" t="s">
        <v>485</v>
      </c>
      <c r="F96" t="s">
        <v>281</v>
      </c>
      <c r="G96" t="s">
        <v>282</v>
      </c>
      <c r="H96" t="s">
        <v>283</v>
      </c>
      <c r="I96" t="s">
        <v>282</v>
      </c>
      <c r="J96" t="s">
        <v>283</v>
      </c>
      <c r="AT96">
        <v>2.75</v>
      </c>
      <c r="AW96">
        <v>3</v>
      </c>
      <c r="BK96" t="s">
        <v>273</v>
      </c>
      <c r="BM96" t="s">
        <v>265</v>
      </c>
      <c r="BN96" s="33">
        <v>1358</v>
      </c>
    </row>
    <row r="97" spans="1:70" ht="16">
      <c r="A97" t="s">
        <v>284</v>
      </c>
      <c r="C97" t="s">
        <v>484</v>
      </c>
      <c r="E97" t="s">
        <v>485</v>
      </c>
      <c r="F97" t="s">
        <v>281</v>
      </c>
      <c r="G97" t="s">
        <v>282</v>
      </c>
      <c r="H97" t="s">
        <v>283</v>
      </c>
      <c r="I97" t="s">
        <v>282</v>
      </c>
      <c r="J97" t="s">
        <v>283</v>
      </c>
      <c r="AT97">
        <v>1.95</v>
      </c>
      <c r="AW97">
        <v>2.15</v>
      </c>
      <c r="BA97" s="20"/>
      <c r="BB97" s="20"/>
      <c r="BC97" s="20"/>
      <c r="BD97" s="20"/>
      <c r="BE97" s="20"/>
      <c r="BF97" s="20"/>
      <c r="BG97" s="20"/>
      <c r="BH97" s="20"/>
      <c r="BI97" s="20"/>
      <c r="BK97" t="s">
        <v>273</v>
      </c>
      <c r="BM97" t="s">
        <v>265</v>
      </c>
      <c r="BN97" s="33">
        <v>1358</v>
      </c>
    </row>
    <row r="98" spans="1:70">
      <c r="A98" t="s">
        <v>285</v>
      </c>
      <c r="C98" t="s">
        <v>484</v>
      </c>
      <c r="E98" t="s">
        <v>485</v>
      </c>
      <c r="F98" t="s">
        <v>281</v>
      </c>
      <c r="G98" t="s">
        <v>282</v>
      </c>
      <c r="H98" t="s">
        <v>283</v>
      </c>
      <c r="I98" t="s">
        <v>282</v>
      </c>
      <c r="J98" t="s">
        <v>283</v>
      </c>
      <c r="AT98">
        <v>2.0499999999999998</v>
      </c>
      <c r="AW98">
        <v>2.1</v>
      </c>
      <c r="BK98" t="s">
        <v>273</v>
      </c>
      <c r="BM98" t="s">
        <v>265</v>
      </c>
      <c r="BN98" s="33">
        <v>1358</v>
      </c>
    </row>
    <row r="99" spans="1:70">
      <c r="A99" s="46"/>
      <c r="C99" t="s">
        <v>484</v>
      </c>
      <c r="E99" t="s">
        <v>485</v>
      </c>
      <c r="G99" t="s">
        <v>269</v>
      </c>
      <c r="H99" t="s">
        <v>270</v>
      </c>
      <c r="I99" t="s">
        <v>269</v>
      </c>
      <c r="J99" t="s">
        <v>270</v>
      </c>
      <c r="M99" t="s">
        <v>271</v>
      </c>
      <c r="V99">
        <v>2.66</v>
      </c>
      <c r="Y99">
        <v>2.82</v>
      </c>
      <c r="AH99">
        <v>2</v>
      </c>
      <c r="AK99">
        <v>2.38</v>
      </c>
      <c r="AP99">
        <v>2.9</v>
      </c>
      <c r="AS99">
        <v>1.61</v>
      </c>
      <c r="AT99">
        <v>2.97</v>
      </c>
      <c r="AW99">
        <v>1.63</v>
      </c>
      <c r="AX99">
        <v>2.73</v>
      </c>
      <c r="BA99">
        <v>2.1800000000000002</v>
      </c>
      <c r="BB99">
        <v>2.8</v>
      </c>
      <c r="BE99">
        <v>2.2999999999999998</v>
      </c>
      <c r="BF99">
        <v>2.48</v>
      </c>
      <c r="BI99">
        <v>1.8</v>
      </c>
      <c r="BJ99" t="s">
        <v>272</v>
      </c>
      <c r="BK99" t="s">
        <v>273</v>
      </c>
      <c r="BM99" t="s">
        <v>265</v>
      </c>
      <c r="BN99" s="33">
        <v>1358</v>
      </c>
    </row>
    <row r="100" spans="1:70" s="10" customFormat="1">
      <c r="A100" s="46"/>
      <c r="B100"/>
      <c r="C100" t="s">
        <v>484</v>
      </c>
      <c r="D100"/>
      <c r="E100" t="s">
        <v>485</v>
      </c>
      <c r="F100"/>
      <c r="G100" t="s">
        <v>269</v>
      </c>
      <c r="H100" t="s">
        <v>270</v>
      </c>
      <c r="I100" t="s">
        <v>269</v>
      </c>
      <c r="J100" t="s">
        <v>270</v>
      </c>
      <c r="K100"/>
      <c r="L100"/>
      <c r="M100" t="s">
        <v>274</v>
      </c>
      <c r="N100"/>
      <c r="O100"/>
      <c r="P100"/>
      <c r="Q100"/>
      <c r="R100"/>
      <c r="S100"/>
      <c r="T100"/>
      <c r="U100"/>
      <c r="V100">
        <v>2.4</v>
      </c>
      <c r="W100"/>
      <c r="X100"/>
      <c r="Y100">
        <v>2.5299999999999998</v>
      </c>
      <c r="Z100">
        <v>2.72</v>
      </c>
      <c r="AA100"/>
      <c r="AB100"/>
      <c r="AC100">
        <v>3.2</v>
      </c>
      <c r="AD100">
        <v>2.5499999999999998</v>
      </c>
      <c r="AE100"/>
      <c r="AF100"/>
      <c r="AG100">
        <v>3.72</v>
      </c>
      <c r="AH100">
        <v>1.75</v>
      </c>
      <c r="AI100"/>
      <c r="AJ100"/>
      <c r="AK100">
        <v>2.37</v>
      </c>
      <c r="AL100"/>
      <c r="AM100"/>
      <c r="AN100"/>
      <c r="AO100"/>
      <c r="AP100">
        <v>2.6</v>
      </c>
      <c r="AQ100"/>
      <c r="AR100"/>
      <c r="AS100">
        <v>1.1499999999999999</v>
      </c>
      <c r="AT100">
        <v>3.06</v>
      </c>
      <c r="AU100"/>
      <c r="AV100"/>
      <c r="AW100">
        <v>1.66</v>
      </c>
      <c r="AX100">
        <v>2.71</v>
      </c>
      <c r="AY100"/>
      <c r="AZ100"/>
      <c r="BA100">
        <v>2.21</v>
      </c>
      <c r="BB100">
        <v>2.75</v>
      </c>
      <c r="BC100"/>
      <c r="BD100"/>
      <c r="BE100">
        <v>2.37</v>
      </c>
      <c r="BF100">
        <v>2.5499999999999998</v>
      </c>
      <c r="BG100"/>
      <c r="BH100"/>
      <c r="BI100">
        <v>1.79</v>
      </c>
      <c r="BJ100" t="s">
        <v>272</v>
      </c>
      <c r="BK100" t="s">
        <v>273</v>
      </c>
      <c r="BL100"/>
      <c r="BM100" t="s">
        <v>265</v>
      </c>
      <c r="BN100" s="33">
        <v>1358</v>
      </c>
      <c r="BO100"/>
      <c r="BP100"/>
      <c r="BQ100"/>
      <c r="BR100"/>
    </row>
    <row r="101" spans="1:70" s="14" customFormat="1">
      <c r="A101" s="46"/>
      <c r="B101"/>
      <c r="C101" t="s">
        <v>484</v>
      </c>
      <c r="D101"/>
      <c r="E101" t="s">
        <v>485</v>
      </c>
      <c r="F101"/>
      <c r="G101" t="s">
        <v>269</v>
      </c>
      <c r="H101" t="s">
        <v>270</v>
      </c>
      <c r="I101" t="s">
        <v>269</v>
      </c>
      <c r="J101" t="s">
        <v>270</v>
      </c>
      <c r="K101"/>
      <c r="L101"/>
      <c r="M101" t="s">
        <v>275</v>
      </c>
      <c r="N101"/>
      <c r="O101"/>
      <c r="P101"/>
      <c r="Q101"/>
      <c r="R101"/>
      <c r="S101"/>
      <c r="T101"/>
      <c r="U101"/>
      <c r="V101">
        <v>3.08</v>
      </c>
      <c r="W101"/>
      <c r="X101"/>
      <c r="Y101">
        <v>2.75</v>
      </c>
      <c r="Z101">
        <v>3.2</v>
      </c>
      <c r="AA101"/>
      <c r="AB101"/>
      <c r="AC101">
        <v>3.55</v>
      </c>
      <c r="AD101">
        <v>3</v>
      </c>
      <c r="AE101"/>
      <c r="AF101"/>
      <c r="AG101">
        <v>4.2</v>
      </c>
      <c r="AH101">
        <v>2.2000000000000002</v>
      </c>
      <c r="AI101"/>
      <c r="AJ101"/>
      <c r="AK101">
        <v>2.9</v>
      </c>
      <c r="AL101"/>
      <c r="AM101"/>
      <c r="AN101"/>
      <c r="AO101"/>
      <c r="AP101">
        <v>3.12</v>
      </c>
      <c r="AQ101"/>
      <c r="AR101"/>
      <c r="AS101">
        <v>1.3</v>
      </c>
      <c r="AT101">
        <v>3.21</v>
      </c>
      <c r="AU101"/>
      <c r="AV101"/>
      <c r="AW101">
        <v>1.4</v>
      </c>
      <c r="AX101">
        <v>2.63</v>
      </c>
      <c r="AY101"/>
      <c r="AZ101"/>
      <c r="BA101">
        <v>2.04</v>
      </c>
      <c r="BB101">
        <v>2.76</v>
      </c>
      <c r="BC101"/>
      <c r="BD101"/>
      <c r="BE101">
        <v>2.31</v>
      </c>
      <c r="BF101">
        <v>2.54</v>
      </c>
      <c r="BG101"/>
      <c r="BH101"/>
      <c r="BI101">
        <v>1.72</v>
      </c>
      <c r="BJ101" t="s">
        <v>272</v>
      </c>
      <c r="BK101" t="s">
        <v>273</v>
      </c>
      <c r="BL101"/>
      <c r="BM101" t="s">
        <v>265</v>
      </c>
      <c r="BN101" s="33">
        <v>1358</v>
      </c>
      <c r="BO101" t="s">
        <v>174</v>
      </c>
      <c r="BP101" t="s">
        <v>276</v>
      </c>
      <c r="BQ101"/>
      <c r="BR101"/>
    </row>
    <row r="102" spans="1:70" s="14" customFormat="1" ht="16">
      <c r="A102" t="s">
        <v>267</v>
      </c>
      <c r="B102"/>
      <c r="C102" t="s">
        <v>10</v>
      </c>
      <c r="D102" t="s">
        <v>11</v>
      </c>
      <c r="E102" t="s">
        <v>165</v>
      </c>
      <c r="F102" t="s">
        <v>157</v>
      </c>
      <c r="G102" s="1" t="s">
        <v>166</v>
      </c>
      <c r="H102" t="s">
        <v>264</v>
      </c>
      <c r="I102" t="s">
        <v>167</v>
      </c>
      <c r="J102" t="s">
        <v>264</v>
      </c>
      <c r="K102"/>
      <c r="L102"/>
      <c r="M102"/>
      <c r="N102"/>
      <c r="O102"/>
      <c r="P102"/>
      <c r="Q102"/>
      <c r="R102"/>
      <c r="S102"/>
      <c r="T102"/>
      <c r="U102"/>
      <c r="V102"/>
      <c r="W102"/>
      <c r="X102"/>
      <c r="Y102"/>
      <c r="Z102"/>
      <c r="AA102"/>
      <c r="AB102"/>
      <c r="AC102"/>
      <c r="AD102"/>
      <c r="AE102"/>
      <c r="AF102"/>
      <c r="AG102"/>
      <c r="AH102">
        <v>5.0999999999999996</v>
      </c>
      <c r="AI102"/>
      <c r="AJ102"/>
      <c r="AK102">
        <v>8.9</v>
      </c>
      <c r="AL102"/>
      <c r="AM102"/>
      <c r="AN102"/>
      <c r="AO102"/>
      <c r="AP102"/>
      <c r="AQ102"/>
      <c r="AR102"/>
      <c r="AS102"/>
      <c r="AT102"/>
      <c r="AU102"/>
      <c r="AV102"/>
      <c r="AW102"/>
      <c r="AX102">
        <v>7</v>
      </c>
      <c r="AY102"/>
      <c r="AZ102"/>
      <c r="BA102">
        <v>4.3</v>
      </c>
      <c r="BB102">
        <f>(6.6+6.4)/2</f>
        <v>6.5</v>
      </c>
      <c r="BC102"/>
      <c r="BD102"/>
      <c r="BE102">
        <f>(4.4+4.45)/2</f>
        <v>4.4250000000000007</v>
      </c>
      <c r="BF102"/>
      <c r="BG102"/>
      <c r="BH102"/>
      <c r="BI102"/>
      <c r="BJ102"/>
      <c r="BK102" t="s">
        <v>273</v>
      </c>
      <c r="BL102"/>
      <c r="BM102" t="s">
        <v>265</v>
      </c>
      <c r="BN102" s="33">
        <v>1358</v>
      </c>
      <c r="BO102" t="s">
        <v>174</v>
      </c>
      <c r="BP102" t="s">
        <v>265</v>
      </c>
      <c r="BQ102"/>
      <c r="BR102"/>
    </row>
    <row r="103" spans="1:70" s="14" customFormat="1" ht="16">
      <c r="A103" t="s">
        <v>263</v>
      </c>
      <c r="B103"/>
      <c r="C103" t="s">
        <v>10</v>
      </c>
      <c r="D103" t="s">
        <v>11</v>
      </c>
      <c r="E103" t="s">
        <v>165</v>
      </c>
      <c r="F103" t="s">
        <v>157</v>
      </c>
      <c r="G103" s="1" t="s">
        <v>166</v>
      </c>
      <c r="H103" t="s">
        <v>264</v>
      </c>
      <c r="I103" t="s">
        <v>167</v>
      </c>
      <c r="J103" t="s">
        <v>264</v>
      </c>
      <c r="K103"/>
      <c r="L103"/>
      <c r="M103"/>
      <c r="N103"/>
      <c r="O103"/>
      <c r="P103"/>
      <c r="Q103"/>
      <c r="R103"/>
      <c r="S103"/>
      <c r="T103"/>
      <c r="U103"/>
      <c r="V103"/>
      <c r="W103"/>
      <c r="X103"/>
      <c r="Y103"/>
      <c r="Z103"/>
      <c r="AA103"/>
      <c r="AB103"/>
      <c r="AC103"/>
      <c r="AD103"/>
      <c r="AE103"/>
      <c r="AF103"/>
      <c r="AG103"/>
      <c r="AH103">
        <v>4</v>
      </c>
      <c r="AI103"/>
      <c r="AJ103"/>
      <c r="AK103">
        <v>5.6</v>
      </c>
      <c r="AL103"/>
      <c r="AM103"/>
      <c r="AN103"/>
      <c r="AO103"/>
      <c r="AP103"/>
      <c r="AQ103"/>
      <c r="AR103"/>
      <c r="AS103"/>
      <c r="AT103"/>
      <c r="AU103"/>
      <c r="AV103"/>
      <c r="AW103"/>
      <c r="AX103"/>
      <c r="AY103"/>
      <c r="AZ103"/>
      <c r="BA103"/>
      <c r="BB103"/>
      <c r="BC103"/>
      <c r="BD103"/>
      <c r="BE103"/>
      <c r="BF103"/>
      <c r="BG103"/>
      <c r="BH103"/>
      <c r="BI103"/>
      <c r="BJ103"/>
      <c r="BK103" t="s">
        <v>273</v>
      </c>
      <c r="BL103"/>
      <c r="BM103" t="s">
        <v>265</v>
      </c>
      <c r="BN103" s="33">
        <v>1358</v>
      </c>
      <c r="BO103" t="s">
        <v>174</v>
      </c>
      <c r="BP103" t="s">
        <v>265</v>
      </c>
      <c r="BQ103"/>
      <c r="BR103"/>
    </row>
    <row r="104" spans="1:70" s="4" customFormat="1" ht="16">
      <c r="A104" t="s">
        <v>266</v>
      </c>
      <c r="B104"/>
      <c r="C104" t="s">
        <v>10</v>
      </c>
      <c r="D104" t="s">
        <v>11</v>
      </c>
      <c r="E104" t="s">
        <v>165</v>
      </c>
      <c r="F104" t="s">
        <v>157</v>
      </c>
      <c r="G104" s="1" t="s">
        <v>166</v>
      </c>
      <c r="H104" t="s">
        <v>264</v>
      </c>
      <c r="I104" t="s">
        <v>167</v>
      </c>
      <c r="J104" t="s">
        <v>264</v>
      </c>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v>6</v>
      </c>
      <c r="AY104"/>
      <c r="AZ104"/>
      <c r="BA104">
        <v>4</v>
      </c>
      <c r="BB104"/>
      <c r="BC104"/>
      <c r="BD104"/>
      <c r="BE104"/>
      <c r="BF104"/>
      <c r="BG104"/>
      <c r="BH104"/>
      <c r="BI104"/>
      <c r="BJ104"/>
      <c r="BK104" t="s">
        <v>273</v>
      </c>
      <c r="BL104"/>
      <c r="BM104" t="s">
        <v>265</v>
      </c>
      <c r="BN104" s="33">
        <v>1358</v>
      </c>
      <c r="BO104"/>
      <c r="BP104"/>
      <c r="BQ104"/>
      <c r="BR104"/>
    </row>
    <row r="105" spans="1:70">
      <c r="A105" s="46"/>
      <c r="B105" s="22"/>
      <c r="C105" s="22" t="s">
        <v>286</v>
      </c>
      <c r="D105" s="22"/>
      <c r="E105" s="22" t="s">
        <v>477</v>
      </c>
      <c r="F105" s="22" t="s">
        <v>287</v>
      </c>
      <c r="G105" s="22" t="s">
        <v>94</v>
      </c>
      <c r="H105" s="22" t="s">
        <v>288</v>
      </c>
      <c r="I105" s="22" t="s">
        <v>94</v>
      </c>
      <c r="J105" s="22" t="s">
        <v>288</v>
      </c>
      <c r="K105" s="22"/>
      <c r="L105" s="22"/>
      <c r="M105" s="22" t="s">
        <v>289</v>
      </c>
      <c r="N105" s="22"/>
      <c r="O105" s="22"/>
      <c r="P105" s="22"/>
      <c r="Q105" s="22"/>
      <c r="R105" s="22"/>
      <c r="S105" s="22"/>
      <c r="T105" s="22"/>
      <c r="U105" s="22"/>
      <c r="V105" s="22"/>
      <c r="W105" s="22"/>
      <c r="X105" s="22"/>
      <c r="Y105" s="22"/>
      <c r="Z105" s="22">
        <v>6.53</v>
      </c>
      <c r="AA105" s="22"/>
      <c r="AB105" s="22"/>
      <c r="AC105" s="22">
        <v>10.4</v>
      </c>
      <c r="AD105" s="22">
        <v>6.9</v>
      </c>
      <c r="AE105" s="22"/>
      <c r="AF105" s="22"/>
      <c r="AG105" s="22">
        <v>11.6</v>
      </c>
      <c r="AH105" s="22"/>
      <c r="AI105" s="22"/>
      <c r="AJ105" s="22"/>
      <c r="AK105" s="22"/>
      <c r="AL105" s="22"/>
      <c r="AM105" s="22"/>
      <c r="AN105" s="22"/>
      <c r="AO105" s="22"/>
      <c r="AP105" s="22">
        <v>5.78</v>
      </c>
      <c r="AQ105" s="22"/>
      <c r="AR105" s="22"/>
      <c r="AS105" s="22">
        <v>3.8</v>
      </c>
      <c r="AT105" s="22">
        <v>7.04</v>
      </c>
      <c r="AU105" s="22"/>
      <c r="AV105" s="22"/>
      <c r="AW105" s="22">
        <v>5.17</v>
      </c>
      <c r="AX105" s="22">
        <v>7.56</v>
      </c>
      <c r="AY105" s="22"/>
      <c r="AZ105" s="22"/>
      <c r="BA105" s="22">
        <v>6.08</v>
      </c>
      <c r="BB105" s="22">
        <v>8.0399999999999991</v>
      </c>
      <c r="BC105" s="22"/>
      <c r="BD105" s="22"/>
      <c r="BE105" s="22">
        <v>6.25</v>
      </c>
      <c r="BF105" s="22">
        <v>9.25</v>
      </c>
      <c r="BG105" s="22"/>
      <c r="BH105" s="22"/>
      <c r="BI105" s="22">
        <v>5.08</v>
      </c>
      <c r="BJ105" s="22"/>
      <c r="BK105" s="22" t="s">
        <v>273</v>
      </c>
      <c r="BL105" s="22"/>
      <c r="BM105" s="22" t="s">
        <v>265</v>
      </c>
      <c r="BN105" s="33">
        <v>1358</v>
      </c>
      <c r="BO105" s="22"/>
      <c r="BP105" s="22"/>
      <c r="BQ105" s="22"/>
      <c r="BR105" s="22"/>
    </row>
    <row r="106" spans="1:70">
      <c r="A106" s="46"/>
      <c r="B106" s="22"/>
      <c r="C106" s="22" t="s">
        <v>286</v>
      </c>
      <c r="D106" s="22"/>
      <c r="E106" s="22" t="s">
        <v>477</v>
      </c>
      <c r="F106" s="22" t="s">
        <v>287</v>
      </c>
      <c r="G106" s="22" t="s">
        <v>94</v>
      </c>
      <c r="H106" s="22" t="s">
        <v>288</v>
      </c>
      <c r="I106" s="22" t="s">
        <v>94</v>
      </c>
      <c r="J106" s="22" t="s">
        <v>288</v>
      </c>
      <c r="K106" s="22"/>
      <c r="L106" s="22"/>
      <c r="M106" s="22" t="s">
        <v>290</v>
      </c>
      <c r="N106" s="22"/>
      <c r="O106" s="22"/>
      <c r="P106" s="22"/>
      <c r="Q106" s="22"/>
      <c r="R106" s="22"/>
      <c r="S106" s="22"/>
      <c r="T106" s="22"/>
      <c r="U106" s="22"/>
      <c r="V106" s="22">
        <v>7.5</v>
      </c>
      <c r="W106" s="22"/>
      <c r="X106" s="22"/>
      <c r="Y106" s="22">
        <v>9.6</v>
      </c>
      <c r="Z106" s="22">
        <v>8.06</v>
      </c>
      <c r="AA106" s="22"/>
      <c r="AB106" s="22"/>
      <c r="AC106" s="22">
        <v>11</v>
      </c>
      <c r="AD106" s="22">
        <v>8.3699999999999992</v>
      </c>
      <c r="AE106" s="22"/>
      <c r="AF106" s="22"/>
      <c r="AG106" s="22">
        <v>12.2</v>
      </c>
      <c r="AH106" s="22">
        <v>7.37</v>
      </c>
      <c r="AI106" s="22"/>
      <c r="AJ106" s="22"/>
      <c r="AK106" s="22">
        <v>12.57</v>
      </c>
      <c r="AL106" s="22"/>
      <c r="AM106" s="22"/>
      <c r="AN106" s="22"/>
      <c r="AO106" s="22"/>
      <c r="AP106" s="22">
        <v>6.33</v>
      </c>
      <c r="AQ106" s="22"/>
      <c r="AR106" s="22"/>
      <c r="AS106" s="22">
        <v>3.83</v>
      </c>
      <c r="AT106" s="22">
        <v>7.67</v>
      </c>
      <c r="AU106" s="22"/>
      <c r="AV106" s="22"/>
      <c r="AW106" s="22">
        <v>4.91</v>
      </c>
      <c r="AX106" s="22">
        <v>8.0399999999999991</v>
      </c>
      <c r="AY106" s="22"/>
      <c r="AZ106" s="22"/>
      <c r="BA106" s="22">
        <v>5.84</v>
      </c>
      <c r="BB106" s="22">
        <v>8.35</v>
      </c>
      <c r="BC106" s="22"/>
      <c r="BD106" s="22"/>
      <c r="BE106" s="22">
        <v>6.28</v>
      </c>
      <c r="BF106" s="22">
        <v>9.8800000000000008</v>
      </c>
      <c r="BG106" s="22"/>
      <c r="BH106" s="22"/>
      <c r="BI106" s="22">
        <v>5.37</v>
      </c>
      <c r="BJ106" s="22"/>
      <c r="BK106" s="22" t="s">
        <v>273</v>
      </c>
      <c r="BL106" s="22"/>
      <c r="BM106" s="22" t="s">
        <v>265</v>
      </c>
      <c r="BN106" s="33">
        <v>1358</v>
      </c>
      <c r="BO106" s="22"/>
      <c r="BP106" s="22"/>
      <c r="BQ106" s="22"/>
      <c r="BR106" s="22"/>
    </row>
    <row r="107" spans="1:70">
      <c r="A107" s="46"/>
      <c r="B107" s="22"/>
      <c r="C107" s="22" t="s">
        <v>286</v>
      </c>
      <c r="D107" s="22"/>
      <c r="E107" s="22" t="s">
        <v>477</v>
      </c>
      <c r="F107" s="22" t="s">
        <v>287</v>
      </c>
      <c r="G107" s="22" t="s">
        <v>94</v>
      </c>
      <c r="H107" s="22" t="s">
        <v>288</v>
      </c>
      <c r="I107" s="22" t="s">
        <v>94</v>
      </c>
      <c r="J107" s="22" t="s">
        <v>288</v>
      </c>
      <c r="K107" s="22"/>
      <c r="L107" s="22"/>
      <c r="M107" s="22" t="s">
        <v>271</v>
      </c>
      <c r="N107" s="22"/>
      <c r="O107" s="22"/>
      <c r="P107" s="22"/>
      <c r="Q107" s="22"/>
      <c r="R107" s="22"/>
      <c r="S107" s="22"/>
      <c r="T107" s="22"/>
      <c r="U107" s="22"/>
      <c r="V107" s="22">
        <v>6</v>
      </c>
      <c r="W107" s="22"/>
      <c r="X107" s="22"/>
      <c r="Y107" s="22">
        <v>7.5</v>
      </c>
      <c r="Z107" s="22"/>
      <c r="AA107" s="22"/>
      <c r="AB107" s="22"/>
      <c r="AC107" s="22"/>
      <c r="AD107" s="22"/>
      <c r="AE107" s="22"/>
      <c r="AF107" s="22"/>
      <c r="AG107" s="22">
        <v>6.6</v>
      </c>
      <c r="AH107" s="22">
        <v>6.2</v>
      </c>
      <c r="AI107" s="22"/>
      <c r="AJ107" s="22"/>
      <c r="AK107" s="22">
        <v>11.3</v>
      </c>
      <c r="AL107" s="22"/>
      <c r="AM107" s="22"/>
      <c r="AN107" s="22"/>
      <c r="AO107" s="22"/>
      <c r="AP107" s="22"/>
      <c r="AQ107" s="22"/>
      <c r="AR107" s="22"/>
      <c r="AS107" s="22"/>
      <c r="AT107" s="22">
        <v>6.95</v>
      </c>
      <c r="AU107" s="22"/>
      <c r="AV107" s="22"/>
      <c r="AW107" s="22">
        <v>4</v>
      </c>
      <c r="AX107" s="22">
        <v>7.5</v>
      </c>
      <c r="AY107" s="22"/>
      <c r="AZ107" s="22"/>
      <c r="BA107" s="22">
        <v>5.6</v>
      </c>
      <c r="BB107" s="22">
        <v>8.3000000000000007</v>
      </c>
      <c r="BC107" s="22"/>
      <c r="BD107" s="22"/>
      <c r="BE107" s="22">
        <v>6.35</v>
      </c>
      <c r="BF107" s="22">
        <v>8.4499999999999993</v>
      </c>
      <c r="BG107" s="22"/>
      <c r="BH107" s="22"/>
      <c r="BI107" s="22">
        <v>4.5</v>
      </c>
      <c r="BJ107" s="22"/>
      <c r="BK107" s="22" t="s">
        <v>273</v>
      </c>
      <c r="BL107" s="22"/>
      <c r="BM107" s="22" t="s">
        <v>265</v>
      </c>
      <c r="BN107" s="33">
        <v>1358</v>
      </c>
      <c r="BO107" s="22"/>
      <c r="BP107" s="22"/>
      <c r="BQ107" s="22"/>
      <c r="BR107" s="22"/>
    </row>
    <row r="108" spans="1:70">
      <c r="A108" t="s">
        <v>277</v>
      </c>
      <c r="C108" t="s">
        <v>10</v>
      </c>
      <c r="D108" t="s">
        <v>11</v>
      </c>
      <c r="E108" t="s">
        <v>293</v>
      </c>
      <c r="F108" t="s">
        <v>268</v>
      </c>
      <c r="G108" t="s">
        <v>26</v>
      </c>
      <c r="H108" t="s">
        <v>37</v>
      </c>
      <c r="I108" t="s">
        <v>26</v>
      </c>
      <c r="J108" t="s">
        <v>278</v>
      </c>
      <c r="V108">
        <f>13.65-10.1</f>
        <v>3.5500000000000007</v>
      </c>
      <c r="Z108">
        <f>10.1-6.75</f>
        <v>3.3499999999999996</v>
      </c>
      <c r="AD108">
        <f>6.75-AH108</f>
        <v>4.0999999999999996</v>
      </c>
      <c r="AH108">
        <f>13.65-11</f>
        <v>2.6500000000000004</v>
      </c>
      <c r="BJ108" t="s">
        <v>279</v>
      </c>
      <c r="BK108" t="s">
        <v>273</v>
      </c>
      <c r="BM108" t="s">
        <v>265</v>
      </c>
      <c r="BN108" s="33">
        <v>1358</v>
      </c>
    </row>
    <row r="109" spans="1:70">
      <c r="A109" t="s">
        <v>1094</v>
      </c>
      <c r="C109" t="s">
        <v>10</v>
      </c>
      <c r="D109" t="s">
        <v>1039</v>
      </c>
      <c r="E109" t="s">
        <v>1040</v>
      </c>
      <c r="G109" t="s">
        <v>1095</v>
      </c>
      <c r="H109" t="s">
        <v>1096</v>
      </c>
      <c r="I109" s="23" t="s">
        <v>1097</v>
      </c>
      <c r="J109" s="23" t="s">
        <v>1096</v>
      </c>
      <c r="M109" s="18"/>
      <c r="AH109">
        <v>5.05</v>
      </c>
      <c r="AK109">
        <v>7.15</v>
      </c>
      <c r="BK109" t="s">
        <v>273</v>
      </c>
      <c r="BM109" t="s">
        <v>265</v>
      </c>
      <c r="BN109" s="33">
        <v>1358</v>
      </c>
    </row>
    <row r="110" spans="1:70">
      <c r="A110" t="s">
        <v>1098</v>
      </c>
      <c r="C110" t="s">
        <v>10</v>
      </c>
      <c r="D110" t="s">
        <v>1039</v>
      </c>
      <c r="E110" t="s">
        <v>1040</v>
      </c>
      <c r="G110" t="s">
        <v>1095</v>
      </c>
      <c r="H110" t="s">
        <v>1096</v>
      </c>
      <c r="I110" s="23" t="s">
        <v>1097</v>
      </c>
      <c r="J110" s="23" t="s">
        <v>1096</v>
      </c>
      <c r="M110" s="18"/>
      <c r="AX110">
        <v>6.3</v>
      </c>
      <c r="BA110">
        <v>4.95</v>
      </c>
      <c r="BK110" t="s">
        <v>273</v>
      </c>
      <c r="BM110" t="s">
        <v>265</v>
      </c>
      <c r="BN110" s="33">
        <v>1358</v>
      </c>
    </row>
    <row r="111" spans="1:70">
      <c r="A111" t="s">
        <v>1099</v>
      </c>
      <c r="C111" t="s">
        <v>10</v>
      </c>
      <c r="D111" t="s">
        <v>1039</v>
      </c>
      <c r="E111" t="s">
        <v>1040</v>
      </c>
      <c r="G111" t="s">
        <v>1095</v>
      </c>
      <c r="H111" t="s">
        <v>1096</v>
      </c>
      <c r="I111" s="23" t="s">
        <v>1097</v>
      </c>
      <c r="J111" s="23" t="s">
        <v>1096</v>
      </c>
      <c r="M111" s="18"/>
      <c r="AX111">
        <v>6.6</v>
      </c>
      <c r="BA111">
        <v>5.25</v>
      </c>
      <c r="BK111" t="s">
        <v>273</v>
      </c>
      <c r="BM111" t="s">
        <v>265</v>
      </c>
      <c r="BN111" s="33">
        <v>1358</v>
      </c>
    </row>
    <row r="112" spans="1:70">
      <c r="A112" t="s">
        <v>1100</v>
      </c>
      <c r="C112" t="s">
        <v>10</v>
      </c>
      <c r="D112" t="s">
        <v>1039</v>
      </c>
      <c r="E112" t="s">
        <v>1040</v>
      </c>
      <c r="G112" t="s">
        <v>1095</v>
      </c>
      <c r="H112" t="s">
        <v>1096</v>
      </c>
      <c r="I112" s="23" t="s">
        <v>1097</v>
      </c>
      <c r="J112" s="23" t="s">
        <v>1096</v>
      </c>
      <c r="M112" s="18"/>
      <c r="AX112">
        <v>6.5</v>
      </c>
      <c r="BA112">
        <v>5.35</v>
      </c>
      <c r="BB112">
        <v>6.6</v>
      </c>
      <c r="BE112">
        <v>6</v>
      </c>
      <c r="BK112" t="s">
        <v>273</v>
      </c>
      <c r="BM112" t="s">
        <v>265</v>
      </c>
      <c r="BN112" s="33">
        <v>1358</v>
      </c>
    </row>
    <row r="113" spans="1:70">
      <c r="A113" t="s">
        <v>1101</v>
      </c>
      <c r="C113" t="s">
        <v>10</v>
      </c>
      <c r="D113" t="s">
        <v>1039</v>
      </c>
      <c r="E113" t="s">
        <v>1040</v>
      </c>
      <c r="G113" t="s">
        <v>1095</v>
      </c>
      <c r="H113" t="s">
        <v>1096</v>
      </c>
      <c r="I113" s="23" t="s">
        <v>1097</v>
      </c>
      <c r="J113" s="23" t="s">
        <v>1096</v>
      </c>
      <c r="M113" s="18"/>
      <c r="AP113">
        <v>7.3</v>
      </c>
      <c r="AS113">
        <v>4.1500000000000004</v>
      </c>
      <c r="AT113">
        <v>7.35</v>
      </c>
      <c r="AW113">
        <v>3.4</v>
      </c>
      <c r="AX113">
        <v>7.1</v>
      </c>
      <c r="BA113">
        <v>5.5</v>
      </c>
      <c r="BK113" t="s">
        <v>273</v>
      </c>
      <c r="BM113" t="s">
        <v>265</v>
      </c>
      <c r="BN113" s="33">
        <v>1358</v>
      </c>
    </row>
    <row r="114" spans="1:70">
      <c r="A114" t="s">
        <v>1060</v>
      </c>
      <c r="C114" t="s">
        <v>10</v>
      </c>
      <c r="D114" t="s">
        <v>1039</v>
      </c>
      <c r="E114" t="s">
        <v>1040</v>
      </c>
      <c r="F114" t="s">
        <v>1041</v>
      </c>
      <c r="G114" t="s">
        <v>1042</v>
      </c>
      <c r="H114" t="s">
        <v>1061</v>
      </c>
      <c r="I114" t="s">
        <v>1042</v>
      </c>
      <c r="J114" t="s">
        <v>1061</v>
      </c>
      <c r="M114" s="18"/>
      <c r="BF114">
        <v>8.35</v>
      </c>
      <c r="BI114">
        <v>5.9</v>
      </c>
      <c r="BJ114" t="s">
        <v>1062</v>
      </c>
      <c r="BK114" t="s">
        <v>273</v>
      </c>
      <c r="BM114" t="s">
        <v>265</v>
      </c>
      <c r="BN114" s="33">
        <v>1358</v>
      </c>
    </row>
    <row r="115" spans="1:70">
      <c r="A115" t="s">
        <v>1063</v>
      </c>
      <c r="C115" t="s">
        <v>10</v>
      </c>
      <c r="D115" t="s">
        <v>1039</v>
      </c>
      <c r="E115" t="s">
        <v>1040</v>
      </c>
      <c r="F115" t="s">
        <v>1041</v>
      </c>
      <c r="G115" t="s">
        <v>1042</v>
      </c>
      <c r="H115" t="s">
        <v>1061</v>
      </c>
      <c r="I115" t="s">
        <v>1042</v>
      </c>
      <c r="J115" t="s">
        <v>1061</v>
      </c>
      <c r="M115" s="18"/>
      <c r="Z115">
        <v>7.15</v>
      </c>
      <c r="AC115">
        <v>8.6</v>
      </c>
      <c r="AD115">
        <v>7.4</v>
      </c>
      <c r="AG115">
        <v>9.8000000000000007</v>
      </c>
      <c r="BJ115" t="s">
        <v>1062</v>
      </c>
      <c r="BK115" t="s">
        <v>273</v>
      </c>
      <c r="BM115" t="s">
        <v>265</v>
      </c>
      <c r="BN115" s="33">
        <v>1358</v>
      </c>
    </row>
    <row r="116" spans="1:70">
      <c r="A116" t="s">
        <v>1064</v>
      </c>
      <c r="C116" t="s">
        <v>10</v>
      </c>
      <c r="D116" t="s">
        <v>1039</v>
      </c>
      <c r="E116" t="s">
        <v>1040</v>
      </c>
      <c r="F116" t="s">
        <v>1041</v>
      </c>
      <c r="G116" t="s">
        <v>1042</v>
      </c>
      <c r="H116" t="s">
        <v>1061</v>
      </c>
      <c r="I116" t="s">
        <v>1042</v>
      </c>
      <c r="J116" t="s">
        <v>1061</v>
      </c>
      <c r="M116" s="18"/>
      <c r="AP116">
        <v>6.75</v>
      </c>
      <c r="AS116">
        <v>4.3499999999999996</v>
      </c>
      <c r="AT116">
        <v>7.3</v>
      </c>
      <c r="AW116">
        <v>5.3</v>
      </c>
      <c r="AX116">
        <v>7.1</v>
      </c>
      <c r="BA116">
        <v>6</v>
      </c>
      <c r="BJ116" t="s">
        <v>1062</v>
      </c>
      <c r="BK116" t="s">
        <v>273</v>
      </c>
      <c r="BM116" t="s">
        <v>265</v>
      </c>
      <c r="BN116" s="33">
        <v>1358</v>
      </c>
    </row>
    <row r="117" spans="1:70">
      <c r="A117" t="s">
        <v>1073</v>
      </c>
      <c r="C117" t="s">
        <v>10</v>
      </c>
      <c r="D117" t="s">
        <v>1039</v>
      </c>
      <c r="E117" t="s">
        <v>1040</v>
      </c>
      <c r="F117" t="s">
        <v>1041</v>
      </c>
      <c r="G117" t="s">
        <v>1042</v>
      </c>
      <c r="H117" t="s">
        <v>1061</v>
      </c>
      <c r="I117" t="s">
        <v>1042</v>
      </c>
      <c r="J117" t="s">
        <v>1061</v>
      </c>
      <c r="M117" s="18"/>
      <c r="BF117">
        <v>7.3</v>
      </c>
      <c r="BI117">
        <v>4.5999999999999996</v>
      </c>
      <c r="BJ117" t="s">
        <v>1062</v>
      </c>
      <c r="BK117" t="s">
        <v>273</v>
      </c>
      <c r="BM117" t="s">
        <v>265</v>
      </c>
      <c r="BN117" s="33">
        <v>1358</v>
      </c>
    </row>
    <row r="118" spans="1:70">
      <c r="A118" t="s">
        <v>1121</v>
      </c>
      <c r="C118" t="s">
        <v>10</v>
      </c>
      <c r="D118" t="s">
        <v>1039</v>
      </c>
      <c r="E118" t="s">
        <v>1040</v>
      </c>
      <c r="G118" t="s">
        <v>1097</v>
      </c>
      <c r="H118" t="s">
        <v>668</v>
      </c>
      <c r="I118" t="s">
        <v>1097</v>
      </c>
      <c r="J118" t="s">
        <v>668</v>
      </c>
      <c r="M118" s="18"/>
      <c r="BB118">
        <v>7.5</v>
      </c>
      <c r="BE118">
        <v>6.8</v>
      </c>
      <c r="BF118">
        <v>7.65</v>
      </c>
      <c r="BI118">
        <v>5.65</v>
      </c>
      <c r="BJ118" t="s">
        <v>1122</v>
      </c>
      <c r="BK118" t="s">
        <v>273</v>
      </c>
      <c r="BM118" t="s">
        <v>265</v>
      </c>
      <c r="BN118" s="33">
        <v>1358</v>
      </c>
    </row>
    <row r="119" spans="1:70">
      <c r="A119" t="s">
        <v>1123</v>
      </c>
      <c r="C119" t="s">
        <v>10</v>
      </c>
      <c r="D119" t="s">
        <v>1039</v>
      </c>
      <c r="E119" t="s">
        <v>1040</v>
      </c>
      <c r="G119" t="s">
        <v>1097</v>
      </c>
      <c r="H119" t="s">
        <v>668</v>
      </c>
      <c r="I119" t="s">
        <v>1097</v>
      </c>
      <c r="J119" t="s">
        <v>668</v>
      </c>
      <c r="M119" s="18"/>
      <c r="AT119">
        <v>6.8</v>
      </c>
      <c r="AW119">
        <v>4.7</v>
      </c>
      <c r="AX119">
        <v>6.85</v>
      </c>
      <c r="BA119">
        <v>5.75</v>
      </c>
      <c r="BF119">
        <v>7.4</v>
      </c>
      <c r="BI119">
        <v>5.15</v>
      </c>
      <c r="BJ119" t="s">
        <v>1122</v>
      </c>
      <c r="BK119" t="s">
        <v>273</v>
      </c>
      <c r="BM119" t="s">
        <v>265</v>
      </c>
      <c r="BN119" s="33">
        <v>1358</v>
      </c>
    </row>
    <row r="120" spans="1:70" s="14" customFormat="1">
      <c r="A120" t="s">
        <v>1124</v>
      </c>
      <c r="B120"/>
      <c r="C120" t="s">
        <v>10</v>
      </c>
      <c r="D120" t="s">
        <v>1039</v>
      </c>
      <c r="E120" t="s">
        <v>1040</v>
      </c>
      <c r="F120"/>
      <c r="G120" t="s">
        <v>1097</v>
      </c>
      <c r="H120" t="s">
        <v>668</v>
      </c>
      <c r="I120" t="s">
        <v>1097</v>
      </c>
      <c r="J120" t="s">
        <v>1125</v>
      </c>
      <c r="K120"/>
      <c r="L120"/>
      <c r="M120" s="18"/>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v>8</v>
      </c>
      <c r="BC120"/>
      <c r="BD120"/>
      <c r="BE120">
        <v>6.6</v>
      </c>
      <c r="BF120">
        <v>8.1999999999999993</v>
      </c>
      <c r="BG120"/>
      <c r="BH120"/>
      <c r="BI120">
        <v>6.1</v>
      </c>
      <c r="BJ120" t="s">
        <v>1122</v>
      </c>
      <c r="BK120" t="s">
        <v>273</v>
      </c>
      <c r="BL120"/>
      <c r="BM120" t="s">
        <v>265</v>
      </c>
      <c r="BN120" s="33">
        <v>1358</v>
      </c>
      <c r="BO120" t="s">
        <v>174</v>
      </c>
      <c r="BP120" t="s">
        <v>1126</v>
      </c>
      <c r="BQ120"/>
      <c r="BR120"/>
    </row>
    <row r="121" spans="1:70">
      <c r="A121" t="s">
        <v>1127</v>
      </c>
      <c r="C121" t="s">
        <v>10</v>
      </c>
      <c r="D121" t="s">
        <v>1039</v>
      </c>
      <c r="E121" t="s">
        <v>1040</v>
      </c>
      <c r="G121" t="s">
        <v>1097</v>
      </c>
      <c r="H121" t="s">
        <v>668</v>
      </c>
      <c r="I121" t="s">
        <v>1097</v>
      </c>
      <c r="J121" t="s">
        <v>1125</v>
      </c>
      <c r="M121" s="18"/>
      <c r="AP121">
        <v>7.4</v>
      </c>
      <c r="AS121">
        <v>4.2</v>
      </c>
      <c r="AT121">
        <v>7.9</v>
      </c>
      <c r="AW121">
        <v>5.3</v>
      </c>
      <c r="AX121">
        <v>8</v>
      </c>
      <c r="BA121">
        <v>6.6</v>
      </c>
      <c r="BB121">
        <v>7.85</v>
      </c>
      <c r="BE121">
        <v>6.8</v>
      </c>
      <c r="BF121">
        <v>8.1</v>
      </c>
      <c r="BI121">
        <v>5.6</v>
      </c>
      <c r="BJ121" t="s">
        <v>1122</v>
      </c>
      <c r="BK121" t="s">
        <v>273</v>
      </c>
      <c r="BM121" t="s">
        <v>265</v>
      </c>
      <c r="BN121" s="33">
        <v>1358</v>
      </c>
    </row>
    <row r="122" spans="1:70">
      <c r="A122" t="s">
        <v>1132</v>
      </c>
      <c r="C122" t="s">
        <v>10</v>
      </c>
      <c r="D122" t="s">
        <v>1039</v>
      </c>
      <c r="E122" t="s">
        <v>1040</v>
      </c>
      <c r="G122" t="s">
        <v>1097</v>
      </c>
      <c r="H122" t="s">
        <v>1129</v>
      </c>
      <c r="I122" t="s">
        <v>1097</v>
      </c>
      <c r="J122" t="s">
        <v>1129</v>
      </c>
      <c r="M122" s="18"/>
      <c r="AH122">
        <v>8.6999999999999993</v>
      </c>
      <c r="AK122">
        <v>12.05</v>
      </c>
      <c r="BK122" t="s">
        <v>273</v>
      </c>
      <c r="BM122" t="s">
        <v>265</v>
      </c>
      <c r="BN122" s="33">
        <v>1358</v>
      </c>
    </row>
    <row r="123" spans="1:70">
      <c r="A123" t="s">
        <v>1133</v>
      </c>
      <c r="C123" t="s">
        <v>10</v>
      </c>
      <c r="D123" t="s">
        <v>1039</v>
      </c>
      <c r="E123" t="s">
        <v>1040</v>
      </c>
      <c r="G123" t="s">
        <v>1097</v>
      </c>
      <c r="H123" t="s">
        <v>1129</v>
      </c>
      <c r="I123" t="s">
        <v>1097</v>
      </c>
      <c r="J123" t="s">
        <v>1129</v>
      </c>
      <c r="M123" s="18"/>
      <c r="AH123">
        <v>8.9</v>
      </c>
      <c r="AK123">
        <v>12.4</v>
      </c>
      <c r="BK123" t="s">
        <v>273</v>
      </c>
      <c r="BM123" t="s">
        <v>265</v>
      </c>
      <c r="BN123" s="33">
        <v>1358</v>
      </c>
    </row>
    <row r="124" spans="1:70">
      <c r="A124" t="s">
        <v>1134</v>
      </c>
      <c r="C124" t="s">
        <v>10</v>
      </c>
      <c r="D124" t="s">
        <v>1039</v>
      </c>
      <c r="E124" t="s">
        <v>1040</v>
      </c>
      <c r="G124" t="s">
        <v>1097</v>
      </c>
      <c r="H124" t="s">
        <v>1129</v>
      </c>
      <c r="I124" t="s">
        <v>1097</v>
      </c>
      <c r="J124" t="s">
        <v>1129</v>
      </c>
      <c r="M124" s="18"/>
      <c r="V124">
        <v>10.65</v>
      </c>
      <c r="Y124">
        <v>11.15</v>
      </c>
      <c r="BK124" t="s">
        <v>273</v>
      </c>
      <c r="BM124" t="s">
        <v>265</v>
      </c>
      <c r="BN124" s="33">
        <v>1358</v>
      </c>
    </row>
    <row r="125" spans="1:70">
      <c r="A125" t="s">
        <v>1135</v>
      </c>
      <c r="C125" t="s">
        <v>10</v>
      </c>
      <c r="D125" t="s">
        <v>1039</v>
      </c>
      <c r="E125" t="s">
        <v>1040</v>
      </c>
      <c r="G125" t="s">
        <v>1097</v>
      </c>
      <c r="H125" t="s">
        <v>1129</v>
      </c>
      <c r="I125" t="s">
        <v>1097</v>
      </c>
      <c r="J125" t="s">
        <v>1129</v>
      </c>
      <c r="M125" s="18"/>
      <c r="V125">
        <v>10.4</v>
      </c>
      <c r="Y125">
        <v>11.1</v>
      </c>
      <c r="BK125" t="s">
        <v>273</v>
      </c>
      <c r="BM125" t="s">
        <v>265</v>
      </c>
      <c r="BN125" s="33">
        <v>1358</v>
      </c>
    </row>
    <row r="126" spans="1:70">
      <c r="A126" t="s">
        <v>1136</v>
      </c>
      <c r="C126" t="s">
        <v>10</v>
      </c>
      <c r="D126" t="s">
        <v>1039</v>
      </c>
      <c r="E126" t="s">
        <v>1040</v>
      </c>
      <c r="G126" t="s">
        <v>1097</v>
      </c>
      <c r="H126" t="s">
        <v>1129</v>
      </c>
      <c r="I126" t="s">
        <v>1097</v>
      </c>
      <c r="J126" t="s">
        <v>1129</v>
      </c>
      <c r="M126" s="18"/>
      <c r="AH126">
        <v>8.6999999999999993</v>
      </c>
      <c r="AK126">
        <v>12.5</v>
      </c>
      <c r="BJ126" t="s">
        <v>1137</v>
      </c>
      <c r="BK126" t="s">
        <v>273</v>
      </c>
      <c r="BM126" t="s">
        <v>265</v>
      </c>
      <c r="BN126" s="33">
        <v>1358</v>
      </c>
    </row>
    <row r="127" spans="1:70">
      <c r="A127" t="s">
        <v>1148</v>
      </c>
      <c r="C127" t="s">
        <v>10</v>
      </c>
      <c r="D127" t="s">
        <v>1039</v>
      </c>
      <c r="E127" t="s">
        <v>1040</v>
      </c>
      <c r="G127" t="s">
        <v>1097</v>
      </c>
      <c r="H127" t="s">
        <v>1149</v>
      </c>
      <c r="I127" t="s">
        <v>1097</v>
      </c>
      <c r="J127" t="s">
        <v>1149</v>
      </c>
      <c r="M127" s="18"/>
      <c r="V127">
        <v>7.25</v>
      </c>
      <c r="Y127">
        <v>7.7</v>
      </c>
      <c r="Z127">
        <f>(8.25+8.6)/2</f>
        <v>8.4250000000000007</v>
      </c>
      <c r="AC127">
        <f>(9.05+9.3)/2</f>
        <v>9.1750000000000007</v>
      </c>
      <c r="AD127">
        <v>8</v>
      </c>
      <c r="AG127">
        <v>9.6999999999999993</v>
      </c>
      <c r="AH127">
        <f>(6.2+6.2)/2</f>
        <v>6.2</v>
      </c>
      <c r="AK127">
        <f>(7.9+7.8)/2</f>
        <v>7.85</v>
      </c>
      <c r="AL127">
        <f>(8.25+8)/2</f>
        <v>8.125</v>
      </c>
      <c r="AO127">
        <f>(4.05+4.05)/2</f>
        <v>4.05</v>
      </c>
      <c r="AP127">
        <f>(8.35+8.2)/2</f>
        <v>8.2749999999999986</v>
      </c>
      <c r="AS127">
        <f>(4.8+4.85)/2</f>
        <v>4.8249999999999993</v>
      </c>
      <c r="AT127">
        <f>(8.3+8.5)/2</f>
        <v>8.4</v>
      </c>
      <c r="AW127">
        <f>(6.25+6.15)/2</f>
        <v>6.2</v>
      </c>
      <c r="AX127">
        <f>(9.05+8.7)/2</f>
        <v>8.875</v>
      </c>
      <c r="BA127">
        <f>(7.1+7.1)/2</f>
        <v>7.1</v>
      </c>
      <c r="BB127">
        <f>(8.9+8.65)/2</f>
        <v>8.7750000000000004</v>
      </c>
      <c r="BE127">
        <f>(6.96+7.25)/2</f>
        <v>7.1050000000000004</v>
      </c>
      <c r="BF127">
        <f>(8.85+8.6)/2</f>
        <v>8.7249999999999996</v>
      </c>
      <c r="BI127">
        <f>(6.15+6.15)/2</f>
        <v>6.15</v>
      </c>
      <c r="BJ127" t="s">
        <v>1150</v>
      </c>
      <c r="BK127" t="s">
        <v>273</v>
      </c>
      <c r="BM127" t="s">
        <v>265</v>
      </c>
      <c r="BN127" s="33">
        <v>1358</v>
      </c>
    </row>
    <row r="128" spans="1:70" s="4" customFormat="1">
      <c r="A128" t="s">
        <v>1151</v>
      </c>
      <c r="B128"/>
      <c r="C128" t="s">
        <v>10</v>
      </c>
      <c r="D128" t="s">
        <v>1039</v>
      </c>
      <c r="E128" t="s">
        <v>1040</v>
      </c>
      <c r="F128"/>
      <c r="G128" t="s">
        <v>1097</v>
      </c>
      <c r="H128" t="s">
        <v>1149</v>
      </c>
      <c r="I128" t="s">
        <v>1097</v>
      </c>
      <c r="J128" t="s">
        <v>1149</v>
      </c>
      <c r="K128"/>
      <c r="L128"/>
      <c r="M128" s="1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v>8.6999999999999993</v>
      </c>
      <c r="AU128"/>
      <c r="AV128"/>
      <c r="AW128">
        <v>5.95</v>
      </c>
      <c r="AX128"/>
      <c r="AY128"/>
      <c r="AZ128"/>
      <c r="BA128"/>
      <c r="BB128"/>
      <c r="BC128"/>
      <c r="BD128"/>
      <c r="BE128"/>
      <c r="BF128"/>
      <c r="BG128"/>
      <c r="BH128"/>
      <c r="BI128"/>
      <c r="BJ128" t="s">
        <v>1152</v>
      </c>
      <c r="BK128" t="s">
        <v>273</v>
      </c>
      <c r="BL128"/>
      <c r="BM128" t="s">
        <v>265</v>
      </c>
      <c r="BN128" s="33">
        <v>1358</v>
      </c>
      <c r="BO128"/>
      <c r="BP128"/>
      <c r="BQ128"/>
      <c r="BR128"/>
    </row>
    <row r="129" spans="1:70">
      <c r="A129" t="s">
        <v>1153</v>
      </c>
      <c r="C129" t="s">
        <v>10</v>
      </c>
      <c r="D129" t="s">
        <v>1039</v>
      </c>
      <c r="E129" t="s">
        <v>1040</v>
      </c>
      <c r="G129" t="s">
        <v>1097</v>
      </c>
      <c r="H129" t="s">
        <v>1149</v>
      </c>
      <c r="I129" t="s">
        <v>1097</v>
      </c>
      <c r="J129" t="s">
        <v>1149</v>
      </c>
      <c r="M129" s="18"/>
      <c r="AH129">
        <v>6.5</v>
      </c>
      <c r="AK129">
        <v>8.1999999999999993</v>
      </c>
      <c r="AL129">
        <v>6.4</v>
      </c>
      <c r="AO129">
        <v>3.1</v>
      </c>
      <c r="AP129">
        <f>(7.45+7.85)/2</f>
        <v>7.65</v>
      </c>
      <c r="AS129">
        <f>(4.3+4.35)/2</f>
        <v>4.3249999999999993</v>
      </c>
      <c r="AT129">
        <v>8.85</v>
      </c>
      <c r="AW129">
        <v>5.3</v>
      </c>
      <c r="AX129">
        <v>8.5</v>
      </c>
      <c r="BA129">
        <v>7.15</v>
      </c>
      <c r="BB129">
        <v>8.4</v>
      </c>
      <c r="BE129">
        <v>6.95</v>
      </c>
      <c r="BJ129" t="s">
        <v>1122</v>
      </c>
      <c r="BK129" t="s">
        <v>273</v>
      </c>
      <c r="BM129" t="s">
        <v>265</v>
      </c>
      <c r="BN129" s="33">
        <v>1358</v>
      </c>
      <c r="BO129" t="s">
        <v>174</v>
      </c>
      <c r="BP129" t="s">
        <v>265</v>
      </c>
    </row>
    <row r="130" spans="1:70">
      <c r="A130" t="s">
        <v>510</v>
      </c>
      <c r="C130" t="s">
        <v>10</v>
      </c>
      <c r="D130" t="s">
        <v>11</v>
      </c>
      <c r="E130" t="s">
        <v>165</v>
      </c>
      <c r="F130" t="s">
        <v>505</v>
      </c>
      <c r="G130" t="s">
        <v>490</v>
      </c>
      <c r="H130" t="s">
        <v>511</v>
      </c>
      <c r="I130" t="s">
        <v>490</v>
      </c>
      <c r="J130" t="s">
        <v>511</v>
      </c>
      <c r="BF130">
        <v>8.3000000000000007</v>
      </c>
      <c r="BG130">
        <v>5.5</v>
      </c>
      <c r="BH130">
        <v>4.5999999999999996</v>
      </c>
      <c r="BI130">
        <v>5.5</v>
      </c>
      <c r="BK130" t="s">
        <v>273</v>
      </c>
      <c r="BM130" t="s">
        <v>501</v>
      </c>
      <c r="BN130" s="33">
        <v>17228</v>
      </c>
    </row>
    <row r="131" spans="1:70">
      <c r="A131" t="s">
        <v>509</v>
      </c>
      <c r="C131" t="s">
        <v>10</v>
      </c>
      <c r="D131" t="s">
        <v>11</v>
      </c>
      <c r="E131" t="s">
        <v>165</v>
      </c>
      <c r="F131" t="s">
        <v>505</v>
      </c>
      <c r="G131" t="s">
        <v>490</v>
      </c>
      <c r="H131" t="s">
        <v>506</v>
      </c>
      <c r="I131" t="s">
        <v>490</v>
      </c>
      <c r="J131" t="s">
        <v>506</v>
      </c>
      <c r="BB131">
        <v>7.8</v>
      </c>
      <c r="BC131">
        <v>6.35</v>
      </c>
      <c r="BD131">
        <v>6.85</v>
      </c>
      <c r="BE131">
        <v>6.85</v>
      </c>
      <c r="BF131">
        <f>AVERAGE(7.8,8)</f>
        <v>7.9</v>
      </c>
      <c r="BG131">
        <f>AVERAGE(5.75,5.2)</f>
        <v>5.4749999999999996</v>
      </c>
      <c r="BH131">
        <f>AVERAGE(6.05,5.2)</f>
        <v>5.625</v>
      </c>
      <c r="BI131">
        <f>AVERAGE(6.05,5.2)</f>
        <v>5.625</v>
      </c>
      <c r="BK131" t="s">
        <v>273</v>
      </c>
      <c r="BM131" t="s">
        <v>501</v>
      </c>
      <c r="BN131" s="33">
        <v>17228</v>
      </c>
    </row>
    <row r="132" spans="1:70">
      <c r="A132" t="s">
        <v>508</v>
      </c>
      <c r="C132" t="s">
        <v>10</v>
      </c>
      <c r="D132" t="s">
        <v>11</v>
      </c>
      <c r="E132" t="s">
        <v>165</v>
      </c>
      <c r="F132" t="s">
        <v>505</v>
      </c>
      <c r="G132" t="s">
        <v>490</v>
      </c>
      <c r="H132" t="s">
        <v>506</v>
      </c>
      <c r="I132" t="s">
        <v>490</v>
      </c>
      <c r="J132" t="s">
        <v>506</v>
      </c>
      <c r="AX132">
        <v>6</v>
      </c>
      <c r="AY132">
        <v>4.8</v>
      </c>
      <c r="AZ132">
        <v>5.7</v>
      </c>
      <c r="BA132">
        <v>5.7</v>
      </c>
      <c r="BB132">
        <v>6.8</v>
      </c>
      <c r="BC132">
        <v>5.9</v>
      </c>
      <c r="BD132">
        <v>6.3</v>
      </c>
      <c r="BE132">
        <v>6.3</v>
      </c>
      <c r="BK132" t="s">
        <v>273</v>
      </c>
      <c r="BM132" t="s">
        <v>501</v>
      </c>
      <c r="BN132" s="33">
        <v>17228</v>
      </c>
      <c r="BO132" t="s">
        <v>174</v>
      </c>
      <c r="BP132" t="s">
        <v>501</v>
      </c>
    </row>
    <row r="133" spans="1:70">
      <c r="A133" t="s">
        <v>507</v>
      </c>
      <c r="C133" t="s">
        <v>10</v>
      </c>
      <c r="D133" t="s">
        <v>11</v>
      </c>
      <c r="E133" t="s">
        <v>165</v>
      </c>
      <c r="F133" t="s">
        <v>505</v>
      </c>
      <c r="G133" t="s">
        <v>490</v>
      </c>
      <c r="H133" t="s">
        <v>506</v>
      </c>
      <c r="I133" t="s">
        <v>490</v>
      </c>
      <c r="J133" t="s">
        <v>506</v>
      </c>
      <c r="AT133">
        <v>6.2</v>
      </c>
      <c r="AW133">
        <v>4.8</v>
      </c>
      <c r="AX133">
        <v>6.7</v>
      </c>
      <c r="AY133">
        <v>5</v>
      </c>
      <c r="AZ133">
        <v>5.8</v>
      </c>
      <c r="BA133">
        <v>5.8</v>
      </c>
      <c r="BB133">
        <v>7.6</v>
      </c>
      <c r="BC133">
        <v>6.45</v>
      </c>
      <c r="BD133">
        <v>6.9</v>
      </c>
      <c r="BE133">
        <v>6.9</v>
      </c>
      <c r="BF133">
        <v>7.9</v>
      </c>
      <c r="BG133">
        <v>5.85</v>
      </c>
      <c r="BH133">
        <v>5.3</v>
      </c>
      <c r="BI133">
        <v>5.85</v>
      </c>
      <c r="BK133" t="s">
        <v>273</v>
      </c>
      <c r="BM133" t="s">
        <v>501</v>
      </c>
      <c r="BN133" s="33">
        <v>17228</v>
      </c>
      <c r="BO133" t="s">
        <v>174</v>
      </c>
      <c r="BP133" t="s">
        <v>501</v>
      </c>
    </row>
    <row r="134" spans="1:70">
      <c r="A134" t="s">
        <v>512</v>
      </c>
      <c r="C134" t="s">
        <v>10</v>
      </c>
      <c r="D134" t="s">
        <v>11</v>
      </c>
      <c r="E134" t="s">
        <v>165</v>
      </c>
      <c r="F134" t="s">
        <v>505</v>
      </c>
      <c r="G134" t="s">
        <v>490</v>
      </c>
      <c r="H134" t="s">
        <v>60</v>
      </c>
      <c r="I134" t="s">
        <v>490</v>
      </c>
      <c r="J134" t="s">
        <v>60</v>
      </c>
      <c r="AT134">
        <v>6</v>
      </c>
      <c r="AW134">
        <v>3.5</v>
      </c>
      <c r="BK134" t="s">
        <v>273</v>
      </c>
      <c r="BM134" t="s">
        <v>501</v>
      </c>
      <c r="BN134" s="33">
        <v>17228</v>
      </c>
    </row>
    <row r="135" spans="1:70">
      <c r="A135" t="s">
        <v>514</v>
      </c>
      <c r="C135" t="s">
        <v>10</v>
      </c>
      <c r="D135" t="s">
        <v>11</v>
      </c>
      <c r="E135" t="s">
        <v>165</v>
      </c>
      <c r="F135" t="s">
        <v>505</v>
      </c>
      <c r="G135" t="s">
        <v>487</v>
      </c>
      <c r="H135" t="s">
        <v>513</v>
      </c>
      <c r="I135" t="s">
        <v>487</v>
      </c>
      <c r="J135" t="s">
        <v>513</v>
      </c>
      <c r="AX135">
        <v>10.199999999999999</v>
      </c>
      <c r="AY135">
        <v>7.4</v>
      </c>
      <c r="AZ135">
        <v>8.6</v>
      </c>
      <c r="BA135">
        <v>8.6</v>
      </c>
      <c r="BK135" t="s">
        <v>273</v>
      </c>
      <c r="BM135" t="s">
        <v>501</v>
      </c>
      <c r="BN135" s="33">
        <v>17228</v>
      </c>
      <c r="BO135" t="s">
        <v>174</v>
      </c>
      <c r="BP135" t="s">
        <v>501</v>
      </c>
    </row>
    <row r="136" spans="1:70" s="14" customFormat="1">
      <c r="A136" t="s">
        <v>503</v>
      </c>
      <c r="B136"/>
      <c r="C136" t="s">
        <v>10</v>
      </c>
      <c r="D136" t="s">
        <v>11</v>
      </c>
      <c r="E136" t="s">
        <v>165</v>
      </c>
      <c r="F136"/>
      <c r="G136" t="s">
        <v>502</v>
      </c>
      <c r="H136" t="s">
        <v>43</v>
      </c>
      <c r="I136" t="s">
        <v>474</v>
      </c>
      <c r="J136" t="s">
        <v>43</v>
      </c>
      <c r="K136"/>
      <c r="L136"/>
      <c r="M136"/>
      <c r="N136"/>
      <c r="O136"/>
      <c r="P136"/>
      <c r="Q136"/>
      <c r="R136"/>
      <c r="S136"/>
      <c r="T136"/>
      <c r="U136"/>
      <c r="V136"/>
      <c r="W136"/>
      <c r="X136"/>
      <c r="Y136"/>
      <c r="Z136">
        <v>4.51</v>
      </c>
      <c r="AA136"/>
      <c r="AB136"/>
      <c r="AC136">
        <v>6.42</v>
      </c>
      <c r="AD136">
        <v>5.28</v>
      </c>
      <c r="AE136"/>
      <c r="AF136"/>
      <c r="AG136">
        <v>7.4</v>
      </c>
      <c r="AH136">
        <v>3.6</v>
      </c>
      <c r="AI136"/>
      <c r="AJ136"/>
      <c r="AK136">
        <v>6.4</v>
      </c>
      <c r="AL136"/>
      <c r="AM136"/>
      <c r="AN136"/>
      <c r="AO136"/>
      <c r="AP136"/>
      <c r="AQ136"/>
      <c r="AR136"/>
      <c r="AS136"/>
      <c r="AT136"/>
      <c r="AU136"/>
      <c r="AV136"/>
      <c r="AW136"/>
      <c r="AX136">
        <v>4.5</v>
      </c>
      <c r="AY136">
        <v>3.13</v>
      </c>
      <c r="AZ136">
        <v>3.44</v>
      </c>
      <c r="BA136">
        <v>3.44</v>
      </c>
      <c r="BB136">
        <v>5.45</v>
      </c>
      <c r="BC136">
        <v>3.9</v>
      </c>
      <c r="BD136">
        <v>3.7</v>
      </c>
      <c r="BE136">
        <v>3.9</v>
      </c>
      <c r="BF136">
        <v>6.3</v>
      </c>
      <c r="BG136">
        <v>3.37</v>
      </c>
      <c r="BH136">
        <v>2.9</v>
      </c>
      <c r="BI136">
        <v>3.37</v>
      </c>
      <c r="BJ136"/>
      <c r="BK136" t="s">
        <v>273</v>
      </c>
      <c r="BL136"/>
      <c r="BM136" t="s">
        <v>501</v>
      </c>
      <c r="BN136" s="33">
        <v>17228</v>
      </c>
      <c r="BO136" t="s">
        <v>174</v>
      </c>
      <c r="BP136" t="s">
        <v>501</v>
      </c>
      <c r="BQ136"/>
      <c r="BR136"/>
    </row>
    <row r="137" spans="1:70">
      <c r="A137" t="s">
        <v>504</v>
      </c>
      <c r="C137" t="s">
        <v>10</v>
      </c>
      <c r="D137" t="s">
        <v>11</v>
      </c>
      <c r="E137" t="s">
        <v>165</v>
      </c>
      <c r="G137" t="s">
        <v>502</v>
      </c>
      <c r="H137" t="s">
        <v>43</v>
      </c>
      <c r="I137" t="s">
        <v>474</v>
      </c>
      <c r="J137" t="s">
        <v>43</v>
      </c>
      <c r="BG137">
        <v>3.73</v>
      </c>
      <c r="BI137">
        <v>3.73</v>
      </c>
      <c r="BK137" t="s">
        <v>273</v>
      </c>
      <c r="BM137" t="s">
        <v>501</v>
      </c>
      <c r="BN137" s="33">
        <v>17228</v>
      </c>
    </row>
    <row r="138" spans="1:70">
      <c r="A138" t="s">
        <v>532</v>
      </c>
      <c r="C138" t="s">
        <v>10</v>
      </c>
      <c r="D138" t="s">
        <v>11</v>
      </c>
      <c r="E138" t="s">
        <v>293</v>
      </c>
      <c r="F138" t="s">
        <v>52</v>
      </c>
      <c r="G138" t="s">
        <v>70</v>
      </c>
      <c r="H138" t="s">
        <v>60</v>
      </c>
      <c r="I138" t="s">
        <v>70</v>
      </c>
      <c r="J138" t="s">
        <v>60</v>
      </c>
      <c r="BF138">
        <v>4.95</v>
      </c>
      <c r="BG138">
        <v>3.5</v>
      </c>
      <c r="BH138">
        <v>2.85</v>
      </c>
      <c r="BI138">
        <v>3.5</v>
      </c>
      <c r="BK138" t="s">
        <v>273</v>
      </c>
      <c r="BM138" t="s">
        <v>501</v>
      </c>
      <c r="BN138" s="33">
        <v>17228</v>
      </c>
      <c r="BO138" t="s">
        <v>174</v>
      </c>
      <c r="BP138" t="s">
        <v>501</v>
      </c>
    </row>
    <row r="139" spans="1:70">
      <c r="A139" t="s">
        <v>499</v>
      </c>
      <c r="C139" t="s">
        <v>10</v>
      </c>
      <c r="D139" t="s">
        <v>11</v>
      </c>
      <c r="E139" t="s">
        <v>293</v>
      </c>
      <c r="G139" t="s">
        <v>500</v>
      </c>
      <c r="H139" t="s">
        <v>312</v>
      </c>
      <c r="I139" t="s">
        <v>500</v>
      </c>
      <c r="J139" t="s">
        <v>312</v>
      </c>
      <c r="AT139">
        <v>3.5</v>
      </c>
      <c r="AU139">
        <v>2.2000000000000002</v>
      </c>
      <c r="AW139">
        <v>2.2000000000000002</v>
      </c>
      <c r="AX139">
        <v>3.3</v>
      </c>
      <c r="AZ139">
        <v>2.63</v>
      </c>
      <c r="BA139">
        <v>2.63</v>
      </c>
      <c r="BB139">
        <v>3.8</v>
      </c>
      <c r="BC139">
        <v>3.2</v>
      </c>
      <c r="BD139">
        <v>3.05</v>
      </c>
      <c r="BE139">
        <v>3.2</v>
      </c>
      <c r="BK139" t="s">
        <v>273</v>
      </c>
      <c r="BM139" t="s">
        <v>501</v>
      </c>
      <c r="BN139" s="33">
        <v>17228</v>
      </c>
      <c r="BO139" t="s">
        <v>174</v>
      </c>
      <c r="BP139" t="s">
        <v>501</v>
      </c>
    </row>
    <row r="140" spans="1:70">
      <c r="A140" t="s">
        <v>524</v>
      </c>
      <c r="C140" t="s">
        <v>10</v>
      </c>
      <c r="D140" t="s">
        <v>11</v>
      </c>
      <c r="E140" t="s">
        <v>473</v>
      </c>
      <c r="G140" t="s">
        <v>522</v>
      </c>
      <c r="H140" t="s">
        <v>523</v>
      </c>
      <c r="I140" t="s">
        <v>522</v>
      </c>
      <c r="J140" t="s">
        <v>523</v>
      </c>
      <c r="BF140">
        <v>14.6</v>
      </c>
      <c r="BI140">
        <v>9.4</v>
      </c>
      <c r="BK140" t="s">
        <v>273</v>
      </c>
      <c r="BM140" t="s">
        <v>501</v>
      </c>
      <c r="BN140" s="33">
        <v>17228</v>
      </c>
      <c r="BO140" t="s">
        <v>174</v>
      </c>
      <c r="BP140" t="s">
        <v>501</v>
      </c>
    </row>
    <row r="141" spans="1:70">
      <c r="A141" t="s">
        <v>521</v>
      </c>
      <c r="C141" t="s">
        <v>10</v>
      </c>
      <c r="D141" t="s">
        <v>11</v>
      </c>
      <c r="E141" t="s">
        <v>473</v>
      </c>
      <c r="G141" t="s">
        <v>522</v>
      </c>
      <c r="H141" t="s">
        <v>523</v>
      </c>
      <c r="I141" t="s">
        <v>522</v>
      </c>
      <c r="J141" t="s">
        <v>523</v>
      </c>
      <c r="V141">
        <v>9.1999999999999993</v>
      </c>
      <c r="Y141">
        <v>11.7</v>
      </c>
      <c r="BK141" t="s">
        <v>273</v>
      </c>
      <c r="BM141" t="s">
        <v>501</v>
      </c>
      <c r="BN141" s="33">
        <v>17228</v>
      </c>
      <c r="BO141" t="s">
        <v>174</v>
      </c>
      <c r="BP141" t="s">
        <v>501</v>
      </c>
    </row>
    <row r="142" spans="1:70">
      <c r="A142" t="s">
        <v>518</v>
      </c>
      <c r="C142" t="s">
        <v>10</v>
      </c>
      <c r="D142" t="s">
        <v>11</v>
      </c>
      <c r="E142" t="s">
        <v>473</v>
      </c>
      <c r="G142" t="s">
        <v>517</v>
      </c>
      <c r="H142" t="s">
        <v>516</v>
      </c>
      <c r="I142" t="s">
        <v>515</v>
      </c>
      <c r="J142" t="s">
        <v>516</v>
      </c>
      <c r="V142">
        <v>6.2</v>
      </c>
      <c r="Y142">
        <v>9.4</v>
      </c>
      <c r="Z142">
        <v>4.5</v>
      </c>
      <c r="AC142">
        <v>8.6999999999999993</v>
      </c>
      <c r="BK142" t="s">
        <v>273</v>
      </c>
      <c r="BM142" t="s">
        <v>501</v>
      </c>
      <c r="BN142" s="33">
        <v>17228</v>
      </c>
      <c r="BO142" t="s">
        <v>174</v>
      </c>
      <c r="BP142" t="s">
        <v>501</v>
      </c>
    </row>
    <row r="143" spans="1:70">
      <c r="A143" t="s">
        <v>519</v>
      </c>
      <c r="C143" t="s">
        <v>10</v>
      </c>
      <c r="D143" t="s">
        <v>11</v>
      </c>
      <c r="E143" t="s">
        <v>473</v>
      </c>
      <c r="G143" t="s">
        <v>517</v>
      </c>
      <c r="H143" t="s">
        <v>60</v>
      </c>
      <c r="I143" t="s">
        <v>517</v>
      </c>
      <c r="J143" t="s">
        <v>60</v>
      </c>
      <c r="AL143">
        <v>3.4</v>
      </c>
      <c r="AO143">
        <v>1.92</v>
      </c>
      <c r="AP143">
        <v>4.5</v>
      </c>
      <c r="AS143">
        <v>2.9</v>
      </c>
      <c r="BK143" t="s">
        <v>273</v>
      </c>
      <c r="BM143" t="s">
        <v>501</v>
      </c>
      <c r="BN143" s="33">
        <v>17228</v>
      </c>
      <c r="BO143" t="s">
        <v>174</v>
      </c>
      <c r="BP143" t="s">
        <v>501</v>
      </c>
    </row>
    <row r="144" spans="1:70">
      <c r="A144" t="s">
        <v>520</v>
      </c>
      <c r="C144" t="s">
        <v>10</v>
      </c>
      <c r="D144" t="s">
        <v>11</v>
      </c>
      <c r="E144" t="s">
        <v>473</v>
      </c>
      <c r="G144" t="s">
        <v>517</v>
      </c>
      <c r="H144" t="s">
        <v>60</v>
      </c>
      <c r="I144" t="s">
        <v>517</v>
      </c>
      <c r="J144" t="s">
        <v>60</v>
      </c>
      <c r="BF144">
        <v>4.8</v>
      </c>
      <c r="BG144">
        <v>3.15</v>
      </c>
      <c r="BH144">
        <v>2.65</v>
      </c>
      <c r="BI144">
        <v>3.15</v>
      </c>
      <c r="BK144" t="s">
        <v>273</v>
      </c>
      <c r="BM144" t="s">
        <v>501</v>
      </c>
      <c r="BN144" s="33">
        <v>17228</v>
      </c>
      <c r="BO144" t="s">
        <v>174</v>
      </c>
      <c r="BP144" t="s">
        <v>501</v>
      </c>
    </row>
    <row r="145" spans="1:70">
      <c r="A145" t="s">
        <v>528</v>
      </c>
      <c r="C145" t="s">
        <v>10</v>
      </c>
      <c r="D145" t="s">
        <v>11</v>
      </c>
      <c r="E145" t="s">
        <v>473</v>
      </c>
      <c r="G145" t="s">
        <v>525</v>
      </c>
      <c r="H145" t="s">
        <v>526</v>
      </c>
      <c r="I145" t="s">
        <v>525</v>
      </c>
      <c r="J145" t="s">
        <v>526</v>
      </c>
      <c r="AP145">
        <v>12.7</v>
      </c>
      <c r="AS145">
        <v>9.1</v>
      </c>
      <c r="AT145">
        <v>12.3</v>
      </c>
      <c r="AW145">
        <v>10.3</v>
      </c>
      <c r="BB145">
        <v>9.4</v>
      </c>
      <c r="BC145">
        <v>8</v>
      </c>
      <c r="BD145">
        <v>7.8</v>
      </c>
      <c r="BE145">
        <v>8</v>
      </c>
      <c r="BK145" t="s">
        <v>273</v>
      </c>
      <c r="BM145" t="s">
        <v>501</v>
      </c>
      <c r="BN145" s="33">
        <v>17228</v>
      </c>
      <c r="BO145" t="s">
        <v>174</v>
      </c>
      <c r="BP145" t="s">
        <v>501</v>
      </c>
    </row>
    <row r="146" spans="1:70">
      <c r="A146" t="s">
        <v>527</v>
      </c>
      <c r="C146" t="s">
        <v>10</v>
      </c>
      <c r="D146" t="s">
        <v>11</v>
      </c>
      <c r="E146" t="s">
        <v>473</v>
      </c>
      <c r="G146" t="s">
        <v>525</v>
      </c>
      <c r="H146" t="s">
        <v>526</v>
      </c>
      <c r="I146" t="s">
        <v>525</v>
      </c>
      <c r="J146" t="s">
        <v>526</v>
      </c>
      <c r="AL146">
        <v>9.8000000000000007</v>
      </c>
      <c r="AO146">
        <v>7.9</v>
      </c>
      <c r="AT146">
        <v>10.6</v>
      </c>
      <c r="AW146">
        <v>9.5</v>
      </c>
      <c r="BB146">
        <v>8.1999999999999993</v>
      </c>
      <c r="BC146">
        <v>7.8</v>
      </c>
      <c r="BD146">
        <v>7.8</v>
      </c>
      <c r="BE146">
        <v>7.8</v>
      </c>
      <c r="BF146">
        <f>AVERAGE(9.5,9.5)</f>
        <v>9.5</v>
      </c>
      <c r="BG146">
        <f>AVERAGE(7.1,6.9)</f>
        <v>7</v>
      </c>
      <c r="BH146">
        <f>AVERAGE(6,5.9)</f>
        <v>5.95</v>
      </c>
      <c r="BI146">
        <v>7</v>
      </c>
      <c r="BK146" t="s">
        <v>273</v>
      </c>
      <c r="BM146" t="s">
        <v>501</v>
      </c>
      <c r="BN146" s="33">
        <v>17228</v>
      </c>
      <c r="BO146" t="s">
        <v>174</v>
      </c>
      <c r="BP146" t="s">
        <v>501</v>
      </c>
    </row>
    <row r="147" spans="1:70">
      <c r="A147" t="s">
        <v>529</v>
      </c>
      <c r="C147" t="s">
        <v>10</v>
      </c>
      <c r="D147" t="s">
        <v>11</v>
      </c>
      <c r="E147" t="s">
        <v>473</v>
      </c>
      <c r="G147" t="s">
        <v>525</v>
      </c>
      <c r="H147" t="s">
        <v>526</v>
      </c>
      <c r="I147" t="s">
        <v>525</v>
      </c>
      <c r="J147" t="s">
        <v>526</v>
      </c>
      <c r="BC147">
        <v>7.6</v>
      </c>
      <c r="BE147">
        <v>7.6</v>
      </c>
      <c r="BJ147" t="s">
        <v>530</v>
      </c>
      <c r="BK147" t="s">
        <v>273</v>
      </c>
      <c r="BM147" t="s">
        <v>501</v>
      </c>
      <c r="BN147" s="33">
        <v>17228</v>
      </c>
    </row>
    <row r="148" spans="1:70" s="4" customFormat="1">
      <c r="A148" t="s">
        <v>531</v>
      </c>
      <c r="B148"/>
      <c r="C148" t="s">
        <v>10</v>
      </c>
      <c r="D148" t="s">
        <v>11</v>
      </c>
      <c r="E148" t="s">
        <v>473</v>
      </c>
      <c r="F148"/>
      <c r="G148" t="s">
        <v>525</v>
      </c>
      <c r="H148" t="s">
        <v>526</v>
      </c>
      <c r="I148" t="s">
        <v>525</v>
      </c>
      <c r="J148" t="s">
        <v>526</v>
      </c>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v>10</v>
      </c>
      <c r="AY148">
        <v>6.8</v>
      </c>
      <c r="AZ148">
        <v>6.1</v>
      </c>
      <c r="BA148">
        <v>6.8</v>
      </c>
      <c r="BB148"/>
      <c r="BC148"/>
      <c r="BD148"/>
      <c r="BE148"/>
      <c r="BF148"/>
      <c r="BG148"/>
      <c r="BH148"/>
      <c r="BI148"/>
      <c r="BJ148"/>
      <c r="BK148" t="s">
        <v>273</v>
      </c>
      <c r="BL148"/>
      <c r="BM148" t="s">
        <v>501</v>
      </c>
      <c r="BN148" s="33">
        <v>17228</v>
      </c>
      <c r="BO148"/>
      <c r="BP148"/>
      <c r="BQ148"/>
      <c r="BR148"/>
    </row>
    <row r="149" spans="1:70" s="4" customFormat="1" ht="16">
      <c r="A149" t="s">
        <v>1158</v>
      </c>
      <c r="B149"/>
      <c r="C149" t="s">
        <v>10</v>
      </c>
      <c r="D149" t="s">
        <v>1039</v>
      </c>
      <c r="E149" t="s">
        <v>1040</v>
      </c>
      <c r="F149"/>
      <c r="G149" t="s">
        <v>1097</v>
      </c>
      <c r="H149" t="s">
        <v>1149</v>
      </c>
      <c r="I149" t="s">
        <v>1097</v>
      </c>
      <c r="J149" t="s">
        <v>1159</v>
      </c>
      <c r="K149"/>
      <c r="L149"/>
      <c r="M149" s="18"/>
      <c r="N149"/>
      <c r="O149"/>
      <c r="P149"/>
      <c r="Q149"/>
      <c r="R149">
        <v>8.1999999999999993</v>
      </c>
      <c r="S149"/>
      <c r="T149"/>
      <c r="U149">
        <v>7.3</v>
      </c>
      <c r="V149">
        <v>8.5</v>
      </c>
      <c r="W149"/>
      <c r="X149"/>
      <c r="Y149">
        <v>8.5</v>
      </c>
      <c r="Z149">
        <v>9</v>
      </c>
      <c r="AA149"/>
      <c r="AB149"/>
      <c r="AC149">
        <v>10</v>
      </c>
      <c r="AD149">
        <v>9.1999999999999993</v>
      </c>
      <c r="AE149"/>
      <c r="AF149"/>
      <c r="AG149">
        <v>11</v>
      </c>
      <c r="AH149">
        <v>7.8</v>
      </c>
      <c r="AI149"/>
      <c r="AJ149"/>
      <c r="AK149">
        <v>10.6</v>
      </c>
      <c r="AL149"/>
      <c r="AM149"/>
      <c r="AN149"/>
      <c r="AO149"/>
      <c r="AP149"/>
      <c r="AQ149"/>
      <c r="AR149"/>
      <c r="AS149"/>
      <c r="AT149"/>
      <c r="AU149"/>
      <c r="AV149"/>
      <c r="AW149"/>
      <c r="AX149"/>
      <c r="AY149"/>
      <c r="AZ149"/>
      <c r="BA149"/>
      <c r="BB149"/>
      <c r="BC149"/>
      <c r="BD149"/>
      <c r="BE149"/>
      <c r="BF149"/>
      <c r="BG149"/>
      <c r="BH149"/>
      <c r="BI149"/>
      <c r="BJ149"/>
      <c r="BK149" t="s">
        <v>273</v>
      </c>
      <c r="BL149"/>
      <c r="BM149" t="s">
        <v>1160</v>
      </c>
      <c r="BN149" s="40">
        <v>4268</v>
      </c>
      <c r="BO149"/>
      <c r="BP149"/>
      <c r="BQ149"/>
      <c r="BR149"/>
    </row>
    <row r="150" spans="1:70" s="4" customFormat="1">
      <c r="A150" t="s">
        <v>351</v>
      </c>
      <c r="B150"/>
      <c r="C150" t="s">
        <v>484</v>
      </c>
      <c r="D150"/>
      <c r="E150" t="s">
        <v>485</v>
      </c>
      <c r="F150"/>
      <c r="G150" t="s">
        <v>254</v>
      </c>
      <c r="H150" t="s">
        <v>835</v>
      </c>
      <c r="I150" t="s">
        <v>254</v>
      </c>
      <c r="J150" t="s">
        <v>835</v>
      </c>
      <c r="K150"/>
      <c r="L150"/>
      <c r="M150"/>
      <c r="N150"/>
      <c r="O150"/>
      <c r="P150"/>
      <c r="Q150"/>
      <c r="R150"/>
      <c r="S150"/>
      <c r="T150"/>
      <c r="U150"/>
      <c r="V150"/>
      <c r="W150"/>
      <c r="X150"/>
      <c r="Y150"/>
      <c r="Z150"/>
      <c r="AA150"/>
      <c r="AB150"/>
      <c r="AC150"/>
      <c r="AD150"/>
      <c r="AE150"/>
      <c r="AF150"/>
      <c r="AG150"/>
      <c r="AH150"/>
      <c r="AI150"/>
      <c r="AJ150"/>
      <c r="AK150"/>
      <c r="AL150"/>
      <c r="AM150"/>
      <c r="AN150"/>
      <c r="AO150"/>
      <c r="AP150">
        <v>2.6</v>
      </c>
      <c r="AQ150"/>
      <c r="AR150"/>
      <c r="AS150">
        <v>1.6</v>
      </c>
      <c r="AT150">
        <v>3.3</v>
      </c>
      <c r="AU150"/>
      <c r="AV150"/>
      <c r="AW150">
        <v>2</v>
      </c>
      <c r="AX150">
        <v>3</v>
      </c>
      <c r="AY150"/>
      <c r="AZ150"/>
      <c r="BA150">
        <v>2.2999999999999998</v>
      </c>
      <c r="BB150">
        <v>3.2</v>
      </c>
      <c r="BC150"/>
      <c r="BD150"/>
      <c r="BE150">
        <v>2.8</v>
      </c>
      <c r="BF150">
        <v>3.3</v>
      </c>
      <c r="BG150"/>
      <c r="BH150"/>
      <c r="BI150">
        <v>2.6</v>
      </c>
      <c r="BJ150" t="s">
        <v>836</v>
      </c>
      <c r="BK150" t="s">
        <v>273</v>
      </c>
      <c r="BL150"/>
      <c r="BM150" t="s">
        <v>805</v>
      </c>
      <c r="BN150" s="33">
        <v>1609</v>
      </c>
      <c r="BO150" t="s">
        <v>174</v>
      </c>
      <c r="BP150" t="s">
        <v>805</v>
      </c>
      <c r="BQ150"/>
      <c r="BR150"/>
    </row>
    <row r="151" spans="1:70" s="4" customFormat="1">
      <c r="A151" t="s">
        <v>843</v>
      </c>
      <c r="B151"/>
      <c r="C151" t="s">
        <v>484</v>
      </c>
      <c r="D151" t="s">
        <v>11</v>
      </c>
      <c r="E151" t="s">
        <v>485</v>
      </c>
      <c r="F151"/>
      <c r="G151" t="s">
        <v>847</v>
      </c>
      <c r="H151" t="s">
        <v>475</v>
      </c>
      <c r="I151" t="s">
        <v>842</v>
      </c>
      <c r="J151" t="s">
        <v>475</v>
      </c>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v>3.2</v>
      </c>
      <c r="AU151"/>
      <c r="AV151"/>
      <c r="AW151">
        <v>1.9</v>
      </c>
      <c r="AX151">
        <v>2.7</v>
      </c>
      <c r="AY151"/>
      <c r="AZ151"/>
      <c r="BA151">
        <v>2</v>
      </c>
      <c r="BB151"/>
      <c r="BC151"/>
      <c r="BD151"/>
      <c r="BE151"/>
      <c r="BF151"/>
      <c r="BG151"/>
      <c r="BH151"/>
      <c r="BI151"/>
      <c r="BJ151"/>
      <c r="BK151" t="s">
        <v>273</v>
      </c>
      <c r="BL151"/>
      <c r="BM151" t="s">
        <v>805</v>
      </c>
      <c r="BN151" s="33">
        <v>1609</v>
      </c>
      <c r="BO151" t="s">
        <v>174</v>
      </c>
      <c r="BP151" t="s">
        <v>805</v>
      </c>
      <c r="BQ151"/>
      <c r="BR151"/>
    </row>
    <row r="152" spans="1:70">
      <c r="A152" t="s">
        <v>844</v>
      </c>
      <c r="C152" t="s">
        <v>484</v>
      </c>
      <c r="D152" t="s">
        <v>11</v>
      </c>
      <c r="E152" t="s">
        <v>485</v>
      </c>
      <c r="G152" t="s">
        <v>847</v>
      </c>
      <c r="H152" t="s">
        <v>475</v>
      </c>
      <c r="I152" t="s">
        <v>842</v>
      </c>
      <c r="J152" t="s">
        <v>475</v>
      </c>
      <c r="BD152">
        <v>2.2000000000000002</v>
      </c>
      <c r="BE152">
        <v>2.2000000000000002</v>
      </c>
      <c r="BF152">
        <v>2.2000000000000002</v>
      </c>
      <c r="BI152">
        <v>1.6</v>
      </c>
      <c r="BK152" t="s">
        <v>273</v>
      </c>
      <c r="BM152" t="s">
        <v>805</v>
      </c>
      <c r="BN152" s="33">
        <v>1609</v>
      </c>
      <c r="BO152" t="s">
        <v>174</v>
      </c>
      <c r="BP152" t="s">
        <v>805</v>
      </c>
    </row>
    <row r="153" spans="1:70">
      <c r="A153" t="s">
        <v>832</v>
      </c>
      <c r="C153" t="s">
        <v>484</v>
      </c>
      <c r="E153" t="s">
        <v>485</v>
      </c>
      <c r="G153" t="s">
        <v>184</v>
      </c>
      <c r="H153" t="s">
        <v>454</v>
      </c>
      <c r="I153" t="s">
        <v>184</v>
      </c>
      <c r="J153" t="s">
        <v>833</v>
      </c>
      <c r="AP153">
        <v>3.7</v>
      </c>
      <c r="AS153">
        <v>1.65</v>
      </c>
      <c r="AT153">
        <v>3.8</v>
      </c>
      <c r="AX153">
        <v>3.2</v>
      </c>
      <c r="BA153">
        <v>2.2000000000000002</v>
      </c>
      <c r="BB153">
        <v>3.3</v>
      </c>
      <c r="BE153">
        <v>2.5</v>
      </c>
      <c r="BK153" t="s">
        <v>273</v>
      </c>
      <c r="BM153" t="s">
        <v>805</v>
      </c>
      <c r="BN153" s="33">
        <v>1609</v>
      </c>
      <c r="BO153" t="s">
        <v>174</v>
      </c>
      <c r="BP153" t="s">
        <v>805</v>
      </c>
    </row>
    <row r="154" spans="1:70">
      <c r="A154" t="s">
        <v>834</v>
      </c>
      <c r="C154" t="s">
        <v>484</v>
      </c>
      <c r="E154" t="s">
        <v>485</v>
      </c>
      <c r="G154" s="3" t="s">
        <v>184</v>
      </c>
      <c r="H154" t="s">
        <v>454</v>
      </c>
      <c r="I154" t="s">
        <v>184</v>
      </c>
      <c r="J154" t="s">
        <v>833</v>
      </c>
      <c r="BB154">
        <v>3.6</v>
      </c>
      <c r="BE154">
        <v>3.1</v>
      </c>
      <c r="BF154">
        <v>3.8</v>
      </c>
      <c r="BI154">
        <v>2.6</v>
      </c>
      <c r="BK154" t="s">
        <v>273</v>
      </c>
      <c r="BM154" t="s">
        <v>805</v>
      </c>
      <c r="BN154" s="33">
        <v>1609</v>
      </c>
      <c r="BO154" t="s">
        <v>174</v>
      </c>
      <c r="BP154" t="s">
        <v>805</v>
      </c>
    </row>
    <row r="155" spans="1:70">
      <c r="A155" t="s">
        <v>837</v>
      </c>
      <c r="C155" t="s">
        <v>484</v>
      </c>
      <c r="E155" t="s">
        <v>485</v>
      </c>
      <c r="G155" t="s">
        <v>846</v>
      </c>
      <c r="H155" t="s">
        <v>838</v>
      </c>
      <c r="I155" t="s">
        <v>254</v>
      </c>
      <c r="J155" t="s">
        <v>838</v>
      </c>
      <c r="BB155">
        <v>3.7</v>
      </c>
      <c r="BE155">
        <v>3.4</v>
      </c>
      <c r="BF155">
        <v>3.7</v>
      </c>
      <c r="BI155">
        <v>3.1</v>
      </c>
      <c r="BK155" t="s">
        <v>273</v>
      </c>
      <c r="BM155" t="s">
        <v>805</v>
      </c>
      <c r="BN155" s="33">
        <v>1609</v>
      </c>
      <c r="BO155" t="s">
        <v>174</v>
      </c>
      <c r="BP155" t="s">
        <v>805</v>
      </c>
    </row>
    <row r="156" spans="1:70">
      <c r="A156" t="s">
        <v>827</v>
      </c>
      <c r="C156" t="s">
        <v>10</v>
      </c>
      <c r="D156" t="s">
        <v>11</v>
      </c>
      <c r="E156" t="s">
        <v>165</v>
      </c>
      <c r="G156" t="s">
        <v>464</v>
      </c>
      <c r="H156" t="s">
        <v>402</v>
      </c>
      <c r="I156" t="s">
        <v>401</v>
      </c>
      <c r="J156" t="s">
        <v>825</v>
      </c>
      <c r="BB156">
        <v>11.4</v>
      </c>
      <c r="BE156">
        <v>10.4</v>
      </c>
      <c r="BF156">
        <v>12.7</v>
      </c>
      <c r="BI156">
        <v>9.1</v>
      </c>
      <c r="BK156" t="s">
        <v>273</v>
      </c>
      <c r="BM156" t="s">
        <v>805</v>
      </c>
      <c r="BN156" s="33">
        <v>1609</v>
      </c>
      <c r="BO156" t="s">
        <v>174</v>
      </c>
      <c r="BP156" t="s">
        <v>805</v>
      </c>
    </row>
    <row r="157" spans="1:70">
      <c r="A157" t="s">
        <v>826</v>
      </c>
      <c r="C157" t="s">
        <v>10</v>
      </c>
      <c r="D157" t="s">
        <v>11</v>
      </c>
      <c r="E157" t="s">
        <v>165</v>
      </c>
      <c r="G157" t="s">
        <v>464</v>
      </c>
      <c r="H157" t="s">
        <v>402</v>
      </c>
      <c r="I157" t="s">
        <v>401</v>
      </c>
      <c r="J157" t="s">
        <v>825</v>
      </c>
      <c r="AD157">
        <v>10.7</v>
      </c>
      <c r="AG157">
        <v>15.9</v>
      </c>
      <c r="AH157">
        <v>8.1999999999999993</v>
      </c>
      <c r="AK157">
        <v>11.1</v>
      </c>
      <c r="BK157" t="s">
        <v>273</v>
      </c>
      <c r="BM157" t="s">
        <v>805</v>
      </c>
      <c r="BN157" s="33">
        <v>1609</v>
      </c>
      <c r="BO157" t="s">
        <v>174</v>
      </c>
      <c r="BP157" t="s">
        <v>805</v>
      </c>
    </row>
    <row r="158" spans="1:70">
      <c r="A158" s="22" t="s">
        <v>1233</v>
      </c>
      <c r="B158" s="22"/>
      <c r="C158" s="22" t="s">
        <v>10</v>
      </c>
      <c r="D158" s="22" t="s">
        <v>11</v>
      </c>
      <c r="E158" s="22" t="s">
        <v>165</v>
      </c>
      <c r="F158" s="22"/>
      <c r="G158" s="22" t="s">
        <v>464</v>
      </c>
      <c r="H158" s="22" t="s">
        <v>1235</v>
      </c>
      <c r="I158" s="22" t="s">
        <v>1234</v>
      </c>
      <c r="J158" s="22" t="s">
        <v>1235</v>
      </c>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v>9.5</v>
      </c>
      <c r="AY158" s="22"/>
      <c r="AZ158" s="22"/>
      <c r="BA158" s="22">
        <v>7.8</v>
      </c>
      <c r="BB158" s="22">
        <v>10.7</v>
      </c>
      <c r="BC158" s="22"/>
      <c r="BD158" s="22"/>
      <c r="BE158" s="22">
        <v>8.5</v>
      </c>
      <c r="BF158" s="22"/>
      <c r="BG158" s="22"/>
      <c r="BH158" s="22"/>
      <c r="BI158" s="22"/>
      <c r="BJ158" s="22"/>
      <c r="BK158" s="22" t="s">
        <v>273</v>
      </c>
      <c r="BL158" s="44">
        <v>44795</v>
      </c>
      <c r="BM158" s="22" t="s">
        <v>805</v>
      </c>
      <c r="BN158" s="36">
        <v>4269</v>
      </c>
      <c r="BO158" s="22"/>
      <c r="BP158" s="22"/>
      <c r="BQ158" s="22"/>
      <c r="BR158" s="22"/>
    </row>
    <row r="159" spans="1:70">
      <c r="A159" t="s">
        <v>807</v>
      </c>
      <c r="C159" t="s">
        <v>10</v>
      </c>
      <c r="D159" t="s">
        <v>11</v>
      </c>
      <c r="E159" t="s">
        <v>165</v>
      </c>
      <c r="G159" t="s">
        <v>166</v>
      </c>
      <c r="H159" t="s">
        <v>768</v>
      </c>
      <c r="I159" t="s">
        <v>166</v>
      </c>
      <c r="J159" t="s">
        <v>806</v>
      </c>
      <c r="AT159">
        <v>6.1</v>
      </c>
      <c r="AW159">
        <v>3.7</v>
      </c>
      <c r="AX159">
        <v>7.3</v>
      </c>
      <c r="BA159">
        <v>5.4</v>
      </c>
      <c r="BK159" t="s">
        <v>273</v>
      </c>
      <c r="BM159" t="s">
        <v>805</v>
      </c>
      <c r="BN159" s="33">
        <v>1609</v>
      </c>
      <c r="BO159" t="s">
        <v>174</v>
      </c>
      <c r="BP159" t="s">
        <v>805</v>
      </c>
    </row>
    <row r="160" spans="1:70">
      <c r="A160" t="s">
        <v>808</v>
      </c>
      <c r="C160" t="s">
        <v>10</v>
      </c>
      <c r="D160" t="s">
        <v>11</v>
      </c>
      <c r="E160" t="s">
        <v>165</v>
      </c>
      <c r="G160" t="s">
        <v>166</v>
      </c>
      <c r="H160" t="s">
        <v>768</v>
      </c>
      <c r="I160" t="s">
        <v>166</v>
      </c>
      <c r="J160" t="s">
        <v>806</v>
      </c>
      <c r="AD160">
        <v>6.3</v>
      </c>
      <c r="AG160">
        <v>8.8000000000000007</v>
      </c>
      <c r="BK160" t="s">
        <v>273</v>
      </c>
      <c r="BM160" t="s">
        <v>805</v>
      </c>
      <c r="BN160" s="33">
        <v>1609</v>
      </c>
      <c r="BO160" t="s">
        <v>174</v>
      </c>
      <c r="BP160" t="s">
        <v>805</v>
      </c>
    </row>
    <row r="161" spans="1:70">
      <c r="A161" t="s">
        <v>809</v>
      </c>
      <c r="C161" t="s">
        <v>10</v>
      </c>
      <c r="D161" t="s">
        <v>11</v>
      </c>
      <c r="E161" t="s">
        <v>165</v>
      </c>
      <c r="G161" t="s">
        <v>166</v>
      </c>
      <c r="H161" t="s">
        <v>60</v>
      </c>
      <c r="I161" t="s">
        <v>166</v>
      </c>
      <c r="J161" t="s">
        <v>60</v>
      </c>
      <c r="AD161">
        <v>5.2</v>
      </c>
      <c r="AG161">
        <v>6.3</v>
      </c>
      <c r="BJ161" t="s">
        <v>810</v>
      </c>
      <c r="BK161" t="s">
        <v>273</v>
      </c>
      <c r="BM161" t="s">
        <v>805</v>
      </c>
      <c r="BN161" s="33">
        <v>1609</v>
      </c>
      <c r="BO161" t="s">
        <v>174</v>
      </c>
      <c r="BP161" t="s">
        <v>805</v>
      </c>
    </row>
    <row r="162" spans="1:70">
      <c r="A162" t="s">
        <v>822</v>
      </c>
      <c r="C162" t="s">
        <v>10</v>
      </c>
      <c r="D162" t="s">
        <v>11</v>
      </c>
      <c r="E162" t="s">
        <v>165</v>
      </c>
      <c r="G162" t="s">
        <v>401</v>
      </c>
      <c r="H162" t="s">
        <v>218</v>
      </c>
      <c r="I162" t="s">
        <v>401</v>
      </c>
      <c r="J162" t="s">
        <v>823</v>
      </c>
      <c r="BB162">
        <v>9.5</v>
      </c>
      <c r="BE162">
        <v>7.5</v>
      </c>
      <c r="BF162">
        <v>9.8000000000000007</v>
      </c>
      <c r="BI162">
        <v>6.3</v>
      </c>
      <c r="BJ162" t="s">
        <v>824</v>
      </c>
      <c r="BK162" t="s">
        <v>273</v>
      </c>
      <c r="BM162" t="s">
        <v>805</v>
      </c>
      <c r="BN162" s="33">
        <v>1609</v>
      </c>
      <c r="BO162" t="s">
        <v>174</v>
      </c>
      <c r="BP162" t="s">
        <v>805</v>
      </c>
    </row>
    <row r="163" spans="1:70">
      <c r="A163" t="s">
        <v>820</v>
      </c>
      <c r="C163" t="s">
        <v>10</v>
      </c>
      <c r="D163" t="s">
        <v>11</v>
      </c>
      <c r="E163" t="s">
        <v>165</v>
      </c>
      <c r="G163" t="s">
        <v>170</v>
      </c>
      <c r="H163" t="s">
        <v>171</v>
      </c>
      <c r="I163" t="s">
        <v>401</v>
      </c>
      <c r="J163" t="s">
        <v>821</v>
      </c>
      <c r="AX163">
        <v>7.7</v>
      </c>
      <c r="BA163">
        <v>6.1</v>
      </c>
      <c r="BB163">
        <v>8</v>
      </c>
      <c r="BE163">
        <v>6.7</v>
      </c>
      <c r="BF163">
        <v>8.6999999999999993</v>
      </c>
      <c r="BI163">
        <v>5.6</v>
      </c>
      <c r="BK163" t="s">
        <v>273</v>
      </c>
      <c r="BM163" t="s">
        <v>805</v>
      </c>
      <c r="BN163" s="33">
        <v>1609</v>
      </c>
      <c r="BO163" t="s">
        <v>174</v>
      </c>
      <c r="BP163" t="s">
        <v>805</v>
      </c>
    </row>
    <row r="164" spans="1:70">
      <c r="A164" t="s">
        <v>828</v>
      </c>
      <c r="C164" t="s">
        <v>10</v>
      </c>
      <c r="D164" t="s">
        <v>11</v>
      </c>
      <c r="E164" t="s">
        <v>165</v>
      </c>
      <c r="G164" t="s">
        <v>764</v>
      </c>
      <c r="H164" t="s">
        <v>769</v>
      </c>
      <c r="I164" t="s">
        <v>401</v>
      </c>
      <c r="J164" t="s">
        <v>769</v>
      </c>
      <c r="AP164">
        <v>11</v>
      </c>
      <c r="AT164">
        <v>13.5</v>
      </c>
      <c r="AX164">
        <v>12.2</v>
      </c>
      <c r="BA164">
        <v>9.6999999999999993</v>
      </c>
      <c r="BB164">
        <v>15</v>
      </c>
      <c r="BE164">
        <v>9.9</v>
      </c>
      <c r="BJ164" t="s">
        <v>829</v>
      </c>
      <c r="BK164" t="s">
        <v>273</v>
      </c>
      <c r="BM164" t="s">
        <v>805</v>
      </c>
      <c r="BN164" s="33">
        <v>1609</v>
      </c>
      <c r="BO164" t="s">
        <v>174</v>
      </c>
      <c r="BP164" t="s">
        <v>805</v>
      </c>
    </row>
    <row r="165" spans="1:70">
      <c r="A165" t="s">
        <v>803</v>
      </c>
      <c r="C165" t="s">
        <v>10</v>
      </c>
      <c r="D165" t="s">
        <v>11</v>
      </c>
      <c r="E165" t="s">
        <v>165</v>
      </c>
      <c r="G165" t="s">
        <v>229</v>
      </c>
      <c r="H165" t="s">
        <v>770</v>
      </c>
      <c r="I165" t="s">
        <v>105</v>
      </c>
      <c r="J165" t="s">
        <v>770</v>
      </c>
      <c r="AX165">
        <v>6.2</v>
      </c>
      <c r="AY165">
        <v>3.8</v>
      </c>
      <c r="AZ165">
        <v>4.5</v>
      </c>
      <c r="BA165">
        <v>4.5</v>
      </c>
      <c r="BB165">
        <v>6.4</v>
      </c>
      <c r="BE165">
        <v>4.9000000000000004</v>
      </c>
      <c r="BF165">
        <v>6.6</v>
      </c>
      <c r="BI165">
        <v>4.3</v>
      </c>
      <c r="BK165" t="s">
        <v>273</v>
      </c>
      <c r="BL165" s="22"/>
      <c r="BM165" t="s">
        <v>805</v>
      </c>
      <c r="BN165" s="36">
        <v>1609</v>
      </c>
      <c r="BO165" t="s">
        <v>174</v>
      </c>
      <c r="BP165" t="s">
        <v>805</v>
      </c>
    </row>
    <row r="166" spans="1:70">
      <c r="A166" t="s">
        <v>804</v>
      </c>
      <c r="C166" t="s">
        <v>10</v>
      </c>
      <c r="D166" t="s">
        <v>11</v>
      </c>
      <c r="E166" t="s">
        <v>165</v>
      </c>
      <c r="G166" t="s">
        <v>229</v>
      </c>
      <c r="H166" t="s">
        <v>770</v>
      </c>
      <c r="I166" t="s">
        <v>105</v>
      </c>
      <c r="J166" t="s">
        <v>770</v>
      </c>
      <c r="AP166">
        <v>4</v>
      </c>
      <c r="AS166">
        <v>2.4</v>
      </c>
      <c r="AT166">
        <v>4.5</v>
      </c>
      <c r="AW166">
        <v>2.9</v>
      </c>
      <c r="BK166" t="s">
        <v>273</v>
      </c>
      <c r="BL166" s="22"/>
      <c r="BM166" t="s">
        <v>805</v>
      </c>
      <c r="BN166" s="36">
        <v>1609</v>
      </c>
      <c r="BO166" t="s">
        <v>174</v>
      </c>
      <c r="BP166" t="s">
        <v>805</v>
      </c>
    </row>
    <row r="167" spans="1:70">
      <c r="A167" t="s">
        <v>812</v>
      </c>
      <c r="C167" t="s">
        <v>10</v>
      </c>
      <c r="D167" t="s">
        <v>11</v>
      </c>
      <c r="E167" t="s">
        <v>165</v>
      </c>
      <c r="G167" t="s">
        <v>358</v>
      </c>
      <c r="H167" t="s">
        <v>771</v>
      </c>
      <c r="I167" t="s">
        <v>358</v>
      </c>
      <c r="J167" t="s">
        <v>811</v>
      </c>
      <c r="AT167">
        <v>5.0999999999999996</v>
      </c>
      <c r="AW167">
        <v>2.9</v>
      </c>
      <c r="AX167">
        <v>6.7</v>
      </c>
      <c r="BA167">
        <v>4.5999999999999996</v>
      </c>
      <c r="BF167">
        <v>7.1</v>
      </c>
      <c r="BI167">
        <v>5.3</v>
      </c>
      <c r="BK167" t="s">
        <v>273</v>
      </c>
      <c r="BM167" t="s">
        <v>805</v>
      </c>
      <c r="BN167" s="33">
        <v>1609</v>
      </c>
      <c r="BO167" t="s">
        <v>174</v>
      </c>
      <c r="BP167" t="s">
        <v>805</v>
      </c>
    </row>
    <row r="168" spans="1:70">
      <c r="A168" t="s">
        <v>815</v>
      </c>
      <c r="C168" t="s">
        <v>10</v>
      </c>
      <c r="D168" t="s">
        <v>11</v>
      </c>
      <c r="E168" t="s">
        <v>165</v>
      </c>
      <c r="G168" t="s">
        <v>358</v>
      </c>
      <c r="H168" t="s">
        <v>772</v>
      </c>
      <c r="I168" t="s">
        <v>358</v>
      </c>
      <c r="J168" t="s">
        <v>813</v>
      </c>
      <c r="Z168">
        <v>5.7</v>
      </c>
      <c r="AC168">
        <v>6.2</v>
      </c>
      <c r="AD168">
        <v>6.5</v>
      </c>
      <c r="AG168">
        <v>8</v>
      </c>
      <c r="BJ168" t="s">
        <v>816</v>
      </c>
      <c r="BK168" t="s">
        <v>273</v>
      </c>
      <c r="BM168" t="s">
        <v>805</v>
      </c>
      <c r="BN168" s="33">
        <v>1609</v>
      </c>
    </row>
    <row r="169" spans="1:70">
      <c r="A169" t="s">
        <v>814</v>
      </c>
      <c r="C169" t="s">
        <v>10</v>
      </c>
      <c r="D169" t="s">
        <v>11</v>
      </c>
      <c r="E169" t="s">
        <v>165</v>
      </c>
      <c r="G169" t="s">
        <v>358</v>
      </c>
      <c r="H169" t="s">
        <v>772</v>
      </c>
      <c r="I169" t="s">
        <v>358</v>
      </c>
      <c r="J169" t="s">
        <v>813</v>
      </c>
      <c r="AT169">
        <v>5.2</v>
      </c>
      <c r="AW169">
        <v>2.7</v>
      </c>
      <c r="AX169">
        <v>6.7</v>
      </c>
      <c r="BA169">
        <v>4.3</v>
      </c>
      <c r="BB169">
        <v>6.2</v>
      </c>
      <c r="BE169">
        <v>5.3</v>
      </c>
      <c r="BF169">
        <v>6.2</v>
      </c>
      <c r="BI169">
        <v>4.8</v>
      </c>
      <c r="BJ169" t="s">
        <v>200</v>
      </c>
      <c r="BK169" t="s">
        <v>273</v>
      </c>
      <c r="BM169" t="s">
        <v>805</v>
      </c>
      <c r="BN169" s="33">
        <v>1609</v>
      </c>
      <c r="BO169" t="s">
        <v>174</v>
      </c>
      <c r="BP169" t="s">
        <v>805</v>
      </c>
    </row>
    <row r="170" spans="1:70">
      <c r="A170" t="s">
        <v>819</v>
      </c>
      <c r="C170" t="s">
        <v>10</v>
      </c>
      <c r="D170" t="s">
        <v>11</v>
      </c>
      <c r="E170" t="s">
        <v>165</v>
      </c>
      <c r="G170" t="s">
        <v>358</v>
      </c>
      <c r="H170" t="s">
        <v>772</v>
      </c>
      <c r="I170" t="s">
        <v>358</v>
      </c>
      <c r="J170" t="s">
        <v>817</v>
      </c>
      <c r="AD170">
        <v>5.2</v>
      </c>
      <c r="AG170">
        <v>7.1</v>
      </c>
      <c r="BK170" t="s">
        <v>273</v>
      </c>
      <c r="BM170" t="s">
        <v>805</v>
      </c>
      <c r="BN170" s="33">
        <v>1609</v>
      </c>
    </row>
    <row r="171" spans="1:70" s="14" customFormat="1">
      <c r="A171" t="s">
        <v>818</v>
      </c>
      <c r="B171"/>
      <c r="C171" t="s">
        <v>10</v>
      </c>
      <c r="D171" t="s">
        <v>11</v>
      </c>
      <c r="E171" t="s">
        <v>165</v>
      </c>
      <c r="F171"/>
      <c r="G171" t="s">
        <v>358</v>
      </c>
      <c r="H171" t="s">
        <v>772</v>
      </c>
      <c r="I171" t="s">
        <v>358</v>
      </c>
      <c r="J171" t="s">
        <v>817</v>
      </c>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v>5.6</v>
      </c>
      <c r="AY171"/>
      <c r="AZ171"/>
      <c r="BA171">
        <v>3.8</v>
      </c>
      <c r="BB171">
        <v>5.4</v>
      </c>
      <c r="BC171"/>
      <c r="BD171"/>
      <c r="BE171">
        <v>4.7</v>
      </c>
      <c r="BF171">
        <v>5.3</v>
      </c>
      <c r="BG171"/>
      <c r="BH171"/>
      <c r="BI171">
        <v>4</v>
      </c>
      <c r="BJ171"/>
      <c r="BK171" t="s">
        <v>273</v>
      </c>
      <c r="BL171"/>
      <c r="BM171" t="s">
        <v>805</v>
      </c>
      <c r="BN171" s="33">
        <v>1609</v>
      </c>
      <c r="BO171"/>
      <c r="BP171"/>
      <c r="BQ171"/>
      <c r="BR171"/>
    </row>
    <row r="172" spans="1:70" s="22" customFormat="1">
      <c r="A172" s="22" t="s">
        <v>200</v>
      </c>
      <c r="B172" s="22" t="s">
        <v>200</v>
      </c>
      <c r="C172" s="22" t="s">
        <v>10</v>
      </c>
      <c r="D172" s="22" t="s">
        <v>11</v>
      </c>
      <c r="E172" s="22" t="s">
        <v>165</v>
      </c>
      <c r="G172" s="22" t="s">
        <v>358</v>
      </c>
      <c r="H172" s="22" t="s">
        <v>773</v>
      </c>
      <c r="I172" s="22" t="s">
        <v>358</v>
      </c>
      <c r="J172" s="22" t="s">
        <v>773</v>
      </c>
      <c r="AD172" s="22">
        <v>6.9</v>
      </c>
      <c r="AG172" s="22">
        <v>8.6</v>
      </c>
      <c r="BK172" s="22" t="s">
        <v>273</v>
      </c>
      <c r="BM172" s="22" t="s">
        <v>805</v>
      </c>
      <c r="BN172" s="36">
        <v>1609</v>
      </c>
    </row>
    <row r="173" spans="1:70">
      <c r="A173" s="22" t="s">
        <v>1229</v>
      </c>
      <c r="B173" s="22"/>
      <c r="C173" s="22"/>
      <c r="D173" s="22" t="s">
        <v>1226</v>
      </c>
      <c r="E173" s="22" t="s">
        <v>1227</v>
      </c>
      <c r="F173" s="22"/>
      <c r="G173" s="45"/>
      <c r="H173" s="45"/>
      <c r="I173" s="22" t="s">
        <v>1225</v>
      </c>
      <c r="J173" s="22" t="s">
        <v>1129</v>
      </c>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v>20.8</v>
      </c>
      <c r="AY173" s="22"/>
      <c r="AZ173" s="22"/>
      <c r="BA173" s="22">
        <v>23.3</v>
      </c>
      <c r="BB173" s="22">
        <v>25.3</v>
      </c>
      <c r="BC173" s="22"/>
      <c r="BD173" s="22"/>
      <c r="BE173" s="22">
        <v>27.9</v>
      </c>
      <c r="BF173" s="22">
        <v>20.399999999999999</v>
      </c>
      <c r="BG173" s="22"/>
      <c r="BH173" s="22"/>
      <c r="BI173" s="22">
        <v>34</v>
      </c>
      <c r="BJ173" s="22" t="s">
        <v>1228</v>
      </c>
      <c r="BK173" s="22" t="s">
        <v>273</v>
      </c>
      <c r="BL173" s="44">
        <v>44795</v>
      </c>
      <c r="BM173" s="22" t="s">
        <v>805</v>
      </c>
      <c r="BN173" s="36">
        <v>1609</v>
      </c>
      <c r="BO173" s="36"/>
      <c r="BP173" s="22"/>
      <c r="BQ173" s="22"/>
      <c r="BR173" s="22"/>
    </row>
    <row r="174" spans="1:70">
      <c r="A174" s="22" t="s">
        <v>1232</v>
      </c>
      <c r="B174" s="22"/>
      <c r="C174" s="22"/>
      <c r="D174" s="22" t="s">
        <v>1226</v>
      </c>
      <c r="E174" s="22" t="s">
        <v>1227</v>
      </c>
      <c r="F174" s="22"/>
      <c r="G174" s="45"/>
      <c r="H174" s="45"/>
      <c r="I174" s="22" t="s">
        <v>1230</v>
      </c>
      <c r="J174" s="22" t="s">
        <v>1231</v>
      </c>
      <c r="K174" s="22"/>
      <c r="L174" s="22"/>
      <c r="M174" s="22"/>
      <c r="N174" s="22">
        <v>13</v>
      </c>
      <c r="O174" s="22"/>
      <c r="P174" s="22"/>
      <c r="Q174" s="22">
        <v>19</v>
      </c>
      <c r="R174" s="22">
        <v>13</v>
      </c>
      <c r="S174" s="22"/>
      <c r="T174" s="22"/>
      <c r="U174" s="22">
        <v>23</v>
      </c>
      <c r="V174" s="22">
        <v>13.5</v>
      </c>
      <c r="W174" s="22"/>
      <c r="X174" s="22"/>
      <c r="Y174" s="22">
        <v>23.5</v>
      </c>
      <c r="Z174" s="22">
        <v>18.5</v>
      </c>
      <c r="AA174" s="22"/>
      <c r="AB174" s="22"/>
      <c r="AC174" s="22">
        <v>27</v>
      </c>
      <c r="AD174" s="22">
        <v>19</v>
      </c>
      <c r="AE174" s="22"/>
      <c r="AF174" s="22"/>
      <c r="AG174" s="22">
        <v>30</v>
      </c>
      <c r="AH174" s="22">
        <v>16</v>
      </c>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t="s">
        <v>273</v>
      </c>
      <c r="BL174" s="44">
        <v>44795</v>
      </c>
      <c r="BM174" s="22" t="s">
        <v>805</v>
      </c>
      <c r="BN174" s="36">
        <v>1609</v>
      </c>
      <c r="BO174" s="22" t="s">
        <v>174</v>
      </c>
      <c r="BP174" s="22" t="s">
        <v>805</v>
      </c>
      <c r="BQ174" s="22"/>
      <c r="BR174" s="22"/>
    </row>
    <row r="175" spans="1:70">
      <c r="A175" t="s">
        <v>830</v>
      </c>
      <c r="C175" t="s">
        <v>10</v>
      </c>
      <c r="D175" t="s">
        <v>11</v>
      </c>
      <c r="E175" t="s">
        <v>293</v>
      </c>
      <c r="G175" t="s">
        <v>70</v>
      </c>
      <c r="H175" t="s">
        <v>72</v>
      </c>
      <c r="I175" t="s">
        <v>70</v>
      </c>
      <c r="J175" t="s">
        <v>72</v>
      </c>
      <c r="AX175">
        <v>4.0999999999999996</v>
      </c>
      <c r="BA175">
        <v>3.4</v>
      </c>
      <c r="BB175">
        <v>4.4000000000000004</v>
      </c>
      <c r="BE175">
        <v>3.7</v>
      </c>
      <c r="BK175" t="s">
        <v>273</v>
      </c>
      <c r="BM175" t="s">
        <v>805</v>
      </c>
      <c r="BN175" s="33">
        <v>1609</v>
      </c>
      <c r="BO175" t="s">
        <v>174</v>
      </c>
      <c r="BP175" t="s">
        <v>805</v>
      </c>
    </row>
    <row r="176" spans="1:70" s="14" customFormat="1">
      <c r="A176" t="s">
        <v>831</v>
      </c>
      <c r="B176"/>
      <c r="C176" t="s">
        <v>10</v>
      </c>
      <c r="D176" t="s">
        <v>11</v>
      </c>
      <c r="E176" t="s">
        <v>293</v>
      </c>
      <c r="F176"/>
      <c r="G176" t="s">
        <v>70</v>
      </c>
      <c r="H176" t="s">
        <v>72</v>
      </c>
      <c r="I176" t="s">
        <v>70</v>
      </c>
      <c r="J176" t="s">
        <v>72</v>
      </c>
      <c r="K176"/>
      <c r="L176"/>
      <c r="M176"/>
      <c r="N176"/>
      <c r="O176"/>
      <c r="P176"/>
      <c r="Q176"/>
      <c r="R176"/>
      <c r="S176"/>
      <c r="T176"/>
      <c r="U176"/>
      <c r="V176"/>
      <c r="W176"/>
      <c r="X176"/>
      <c r="Y176"/>
      <c r="Z176"/>
      <c r="AA176"/>
      <c r="AB176"/>
      <c r="AC176"/>
      <c r="AD176"/>
      <c r="AE176"/>
      <c r="AF176"/>
      <c r="AG176"/>
      <c r="AH176"/>
      <c r="AI176"/>
      <c r="AJ176"/>
      <c r="AK176"/>
      <c r="AL176">
        <v>2.7</v>
      </c>
      <c r="AM176"/>
      <c r="AN176"/>
      <c r="AO176">
        <v>1.6</v>
      </c>
      <c r="AP176">
        <v>3.3</v>
      </c>
      <c r="AQ176"/>
      <c r="AR176"/>
      <c r="AS176">
        <v>2.1</v>
      </c>
      <c r="AT176">
        <v>3.8</v>
      </c>
      <c r="AU176"/>
      <c r="AV176"/>
      <c r="AW176">
        <v>2.8</v>
      </c>
      <c r="AX176"/>
      <c r="AY176"/>
      <c r="AZ176"/>
      <c r="BA176"/>
      <c r="BB176"/>
      <c r="BC176"/>
      <c r="BD176"/>
      <c r="BE176"/>
      <c r="BF176"/>
      <c r="BG176"/>
      <c r="BH176"/>
      <c r="BI176"/>
      <c r="BJ176"/>
      <c r="BK176" t="s">
        <v>273</v>
      </c>
      <c r="BL176"/>
      <c r="BM176" t="s">
        <v>805</v>
      </c>
      <c r="BN176" s="33">
        <v>1609</v>
      </c>
      <c r="BO176" t="s">
        <v>174</v>
      </c>
      <c r="BP176" t="s">
        <v>805</v>
      </c>
      <c r="BQ176"/>
      <c r="BR176"/>
    </row>
    <row r="177" spans="1:70" s="22" customFormat="1">
      <c r="A177" s="22" t="s">
        <v>839</v>
      </c>
      <c r="C177" s="22" t="s">
        <v>10</v>
      </c>
      <c r="D177" s="22" t="s">
        <v>11</v>
      </c>
      <c r="E177" s="22" t="s">
        <v>293</v>
      </c>
      <c r="G177" s="22" t="s">
        <v>74</v>
      </c>
      <c r="H177" s="22" t="s">
        <v>76</v>
      </c>
      <c r="I177" s="22" t="s">
        <v>840</v>
      </c>
      <c r="J177" s="22" t="s">
        <v>76</v>
      </c>
      <c r="BB177" s="22">
        <v>5.4</v>
      </c>
      <c r="BE177" s="22">
        <v>3.8</v>
      </c>
      <c r="BF177" s="22">
        <v>5.5</v>
      </c>
      <c r="BI177" s="22">
        <v>3.2</v>
      </c>
      <c r="BK177" s="22" t="s">
        <v>273</v>
      </c>
      <c r="BM177" s="22" t="s">
        <v>805</v>
      </c>
      <c r="BN177" s="36">
        <v>1609</v>
      </c>
      <c r="BO177" s="22" t="s">
        <v>174</v>
      </c>
      <c r="BP177" s="22" t="s">
        <v>805</v>
      </c>
    </row>
    <row r="178" spans="1:70" s="22" customFormat="1">
      <c r="A178" s="22" t="s">
        <v>841</v>
      </c>
      <c r="C178" s="22" t="s">
        <v>10</v>
      </c>
      <c r="D178" s="22" t="s">
        <v>11</v>
      </c>
      <c r="E178" s="22" t="s">
        <v>293</v>
      </c>
      <c r="G178" s="22" t="s">
        <v>74</v>
      </c>
      <c r="H178" s="22" t="s">
        <v>76</v>
      </c>
      <c r="I178" s="22" t="s">
        <v>840</v>
      </c>
      <c r="J178" s="22" t="s">
        <v>76</v>
      </c>
      <c r="AX178" s="22">
        <v>5.6</v>
      </c>
      <c r="BA178" s="22">
        <v>3.6</v>
      </c>
      <c r="BK178" s="22" t="s">
        <v>273</v>
      </c>
      <c r="BM178" s="22" t="s">
        <v>805</v>
      </c>
      <c r="BN178" s="36">
        <v>1609</v>
      </c>
      <c r="BO178" s="22" t="s">
        <v>174</v>
      </c>
      <c r="BP178" s="22" t="s">
        <v>805</v>
      </c>
    </row>
    <row r="179" spans="1:70" s="22" customFormat="1">
      <c r="A179" s="22" t="s">
        <v>1200</v>
      </c>
      <c r="C179" s="22" t="s">
        <v>10</v>
      </c>
      <c r="D179" s="22" t="s">
        <v>1039</v>
      </c>
      <c r="E179" s="22" t="s">
        <v>1040</v>
      </c>
      <c r="G179" s="22" t="s">
        <v>1042</v>
      </c>
      <c r="H179" s="22" t="s">
        <v>1047</v>
      </c>
      <c r="I179" s="22" t="s">
        <v>1181</v>
      </c>
      <c r="J179" s="22" t="s">
        <v>1201</v>
      </c>
      <c r="M179" s="47"/>
      <c r="Z179" s="22">
        <v>7.4</v>
      </c>
      <c r="AC179" s="22">
        <v>9.6</v>
      </c>
      <c r="AD179" s="22">
        <v>7.2</v>
      </c>
      <c r="AG179" s="22">
        <v>10.4</v>
      </c>
      <c r="AH179" s="22">
        <v>5.7</v>
      </c>
      <c r="AK179" s="22">
        <v>8.4</v>
      </c>
      <c r="BJ179" s="22" t="s">
        <v>1202</v>
      </c>
      <c r="BK179" s="22" t="s">
        <v>273</v>
      </c>
      <c r="BM179" s="22" t="s">
        <v>805</v>
      </c>
      <c r="BN179" s="36">
        <v>1609</v>
      </c>
      <c r="BO179" s="22" t="s">
        <v>174</v>
      </c>
      <c r="BP179" s="22" t="s">
        <v>805</v>
      </c>
    </row>
    <row r="180" spans="1:70" s="9" customFormat="1">
      <c r="A180" t="s">
        <v>1203</v>
      </c>
      <c r="B180"/>
      <c r="C180" t="s">
        <v>10</v>
      </c>
      <c r="D180" t="s">
        <v>1039</v>
      </c>
      <c r="E180" t="s">
        <v>1040</v>
      </c>
      <c r="F180"/>
      <c r="G180" t="s">
        <v>1042</v>
      </c>
      <c r="H180" t="s">
        <v>1047</v>
      </c>
      <c r="I180" t="s">
        <v>1181</v>
      </c>
      <c r="J180" t="s">
        <v>1201</v>
      </c>
      <c r="K180"/>
      <c r="L180"/>
      <c r="M180" s="18"/>
      <c r="N180"/>
      <c r="O180"/>
      <c r="P180"/>
      <c r="Q180"/>
      <c r="R180"/>
      <c r="S180"/>
      <c r="T180"/>
      <c r="U180"/>
      <c r="V180"/>
      <c r="W180"/>
      <c r="X180"/>
      <c r="Y180"/>
      <c r="Z180"/>
      <c r="AA180"/>
      <c r="AB180"/>
      <c r="AC180"/>
      <c r="AD180"/>
      <c r="AE180"/>
      <c r="AF180"/>
      <c r="AG180"/>
      <c r="AH180"/>
      <c r="AI180"/>
      <c r="AJ180"/>
      <c r="AK180"/>
      <c r="AL180"/>
      <c r="AM180"/>
      <c r="AN180"/>
      <c r="AO180"/>
      <c r="AP180">
        <v>5.8</v>
      </c>
      <c r="AQ180"/>
      <c r="AR180"/>
      <c r="AS180">
        <v>3.5</v>
      </c>
      <c r="AT180">
        <v>6.8</v>
      </c>
      <c r="AU180"/>
      <c r="AV180"/>
      <c r="AW180">
        <v>4.7</v>
      </c>
      <c r="AX180">
        <v>6.5</v>
      </c>
      <c r="AY180"/>
      <c r="AZ180"/>
      <c r="BA180">
        <v>5.2</v>
      </c>
      <c r="BB180"/>
      <c r="BC180"/>
      <c r="BD180"/>
      <c r="BE180"/>
      <c r="BF180"/>
      <c r="BG180"/>
      <c r="BH180"/>
      <c r="BI180"/>
      <c r="BJ180" t="s">
        <v>200</v>
      </c>
      <c r="BK180" t="s">
        <v>273</v>
      </c>
      <c r="BL180"/>
      <c r="BM180" t="s">
        <v>805</v>
      </c>
      <c r="BN180" s="33">
        <v>1609</v>
      </c>
      <c r="BO180" t="s">
        <v>174</v>
      </c>
      <c r="BP180" t="s">
        <v>805</v>
      </c>
      <c r="BQ180"/>
      <c r="BR180"/>
    </row>
    <row r="181" spans="1:70" s="9" customFormat="1">
      <c r="A181" t="s">
        <v>1204</v>
      </c>
      <c r="B181"/>
      <c r="C181" t="s">
        <v>10</v>
      </c>
      <c r="D181" t="s">
        <v>1039</v>
      </c>
      <c r="E181" t="s">
        <v>1040</v>
      </c>
      <c r="F181"/>
      <c r="G181" t="s">
        <v>1042</v>
      </c>
      <c r="H181" t="s">
        <v>1047</v>
      </c>
      <c r="I181" t="s">
        <v>1181</v>
      </c>
      <c r="J181" t="s">
        <v>1201</v>
      </c>
      <c r="K181"/>
      <c r="L181"/>
      <c r="M181" s="18"/>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v>6.6</v>
      </c>
      <c r="AY181"/>
      <c r="AZ181"/>
      <c r="BA181">
        <v>5.2</v>
      </c>
      <c r="BB181">
        <v>6.8</v>
      </c>
      <c r="BC181"/>
      <c r="BD181"/>
      <c r="BE181">
        <v>5.6</v>
      </c>
      <c r="BF181"/>
      <c r="BG181">
        <v>4.8</v>
      </c>
      <c r="BH181"/>
      <c r="BI181">
        <v>4.8</v>
      </c>
      <c r="BJ181"/>
      <c r="BK181" t="s">
        <v>273</v>
      </c>
      <c r="BL181"/>
      <c r="BM181" t="s">
        <v>805</v>
      </c>
      <c r="BN181" s="33">
        <v>1609</v>
      </c>
      <c r="BO181" t="s">
        <v>174</v>
      </c>
      <c r="BP181" t="s">
        <v>805</v>
      </c>
      <c r="BQ181"/>
      <c r="BR181"/>
    </row>
    <row r="182" spans="1:70" s="9" customFormat="1">
      <c r="A182" t="s">
        <v>1074</v>
      </c>
      <c r="B182"/>
      <c r="C182" t="s">
        <v>10</v>
      </c>
      <c r="D182" t="s">
        <v>1039</v>
      </c>
      <c r="E182" t="s">
        <v>1040</v>
      </c>
      <c r="F182" t="s">
        <v>1041</v>
      </c>
      <c r="G182" t="s">
        <v>1042</v>
      </c>
      <c r="H182" t="s">
        <v>1061</v>
      </c>
      <c r="I182" t="s">
        <v>1042</v>
      </c>
      <c r="J182" t="s">
        <v>1075</v>
      </c>
      <c r="K182"/>
      <c r="L182"/>
      <c r="M182" s="18"/>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v>7.5</v>
      </c>
      <c r="AU182"/>
      <c r="AV182"/>
      <c r="AW182">
        <v>5.0999999999999996</v>
      </c>
      <c r="AX182">
        <v>6.8</v>
      </c>
      <c r="AY182"/>
      <c r="AZ182"/>
      <c r="BA182">
        <v>5.9</v>
      </c>
      <c r="BB182">
        <v>7.1</v>
      </c>
      <c r="BC182"/>
      <c r="BD182"/>
      <c r="BE182">
        <v>6.5</v>
      </c>
      <c r="BF182"/>
      <c r="BG182"/>
      <c r="BH182"/>
      <c r="BI182"/>
      <c r="BJ182"/>
      <c r="BK182" t="s">
        <v>273</v>
      </c>
      <c r="BL182"/>
      <c r="BM182" t="s">
        <v>805</v>
      </c>
      <c r="BN182" s="33">
        <v>4269</v>
      </c>
      <c r="BO182"/>
      <c r="BP182"/>
      <c r="BQ182"/>
      <c r="BR182"/>
    </row>
    <row r="183" spans="1:70" s="9" customFormat="1">
      <c r="A183" t="s">
        <v>1076</v>
      </c>
      <c r="B183"/>
      <c r="C183" t="s">
        <v>10</v>
      </c>
      <c r="D183" t="s">
        <v>1039</v>
      </c>
      <c r="E183" t="s">
        <v>1040</v>
      </c>
      <c r="F183" t="s">
        <v>1041</v>
      </c>
      <c r="G183" t="s">
        <v>1042</v>
      </c>
      <c r="H183" t="s">
        <v>1061</v>
      </c>
      <c r="I183" t="s">
        <v>1042</v>
      </c>
      <c r="J183" t="s">
        <v>1065</v>
      </c>
      <c r="K183"/>
      <c r="L183"/>
      <c r="M183" s="18"/>
      <c r="N183">
        <v>4</v>
      </c>
      <c r="O183"/>
      <c r="P183"/>
      <c r="Q183">
        <v>2.2000000000000002</v>
      </c>
      <c r="R183">
        <v>5.7</v>
      </c>
      <c r="S183"/>
      <c r="T183"/>
      <c r="U183">
        <v>5.5</v>
      </c>
      <c r="V183">
        <v>6</v>
      </c>
      <c r="W183"/>
      <c r="X183"/>
      <c r="Y183">
        <v>7.3</v>
      </c>
      <c r="Z183">
        <v>6.2</v>
      </c>
      <c r="AA183"/>
      <c r="AB183"/>
      <c r="AC183">
        <v>8.5</v>
      </c>
      <c r="AD183">
        <v>6.2</v>
      </c>
      <c r="AE183"/>
      <c r="AF183"/>
      <c r="AG183">
        <v>9.1</v>
      </c>
      <c r="AH183">
        <v>4.9000000000000004</v>
      </c>
      <c r="AI183"/>
      <c r="AJ183"/>
      <c r="AK183">
        <v>7.5</v>
      </c>
      <c r="AL183"/>
      <c r="AM183"/>
      <c r="AN183"/>
      <c r="AO183"/>
      <c r="AP183">
        <v>5.5</v>
      </c>
      <c r="AQ183"/>
      <c r="AR183"/>
      <c r="AS183">
        <v>3.2</v>
      </c>
      <c r="AT183">
        <v>6.7</v>
      </c>
      <c r="AU183"/>
      <c r="AV183"/>
      <c r="AW183">
        <v>4.0999999999999996</v>
      </c>
      <c r="AX183">
        <v>6.5</v>
      </c>
      <c r="AY183"/>
      <c r="AZ183"/>
      <c r="BA183">
        <v>5.0999999999999996</v>
      </c>
      <c r="BB183">
        <v>6.5</v>
      </c>
      <c r="BC183"/>
      <c r="BD183"/>
      <c r="BE183">
        <v>5.4</v>
      </c>
      <c r="BF183">
        <v>6.7</v>
      </c>
      <c r="BG183"/>
      <c r="BH183"/>
      <c r="BI183">
        <v>4.5</v>
      </c>
      <c r="BJ183"/>
      <c r="BK183" t="s">
        <v>273</v>
      </c>
      <c r="BL183"/>
      <c r="BM183" t="s">
        <v>805</v>
      </c>
      <c r="BN183" s="33">
        <v>4269</v>
      </c>
      <c r="BO183"/>
      <c r="BP183"/>
      <c r="BQ183"/>
      <c r="BR183"/>
    </row>
    <row r="184" spans="1:70" s="9" customFormat="1">
      <c r="A184" t="s">
        <v>1205</v>
      </c>
      <c r="B184"/>
      <c r="C184" t="s">
        <v>10</v>
      </c>
      <c r="D184" t="s">
        <v>1039</v>
      </c>
      <c r="E184" t="s">
        <v>1040</v>
      </c>
      <c r="F184"/>
      <c r="G184" t="s">
        <v>1097</v>
      </c>
      <c r="H184" t="s">
        <v>1113</v>
      </c>
      <c r="I184" t="s">
        <v>1206</v>
      </c>
      <c r="J184" t="s">
        <v>1113</v>
      </c>
      <c r="K184"/>
      <c r="L184"/>
      <c r="M184" s="18"/>
      <c r="N184"/>
      <c r="O184"/>
      <c r="P184"/>
      <c r="Q184"/>
      <c r="R184"/>
      <c r="S184"/>
      <c r="T184"/>
      <c r="U184"/>
      <c r="V184">
        <v>8.3000000000000007</v>
      </c>
      <c r="W184"/>
      <c r="X184"/>
      <c r="Y184">
        <v>9.1999999999999993</v>
      </c>
      <c r="Z184">
        <v>9.4</v>
      </c>
      <c r="AA184"/>
      <c r="AB184"/>
      <c r="AC184">
        <v>11</v>
      </c>
      <c r="AD184">
        <v>9.4</v>
      </c>
      <c r="AE184"/>
      <c r="AF184"/>
      <c r="AG184">
        <v>12.8</v>
      </c>
      <c r="AH184"/>
      <c r="AI184"/>
      <c r="AJ184"/>
      <c r="AK184"/>
      <c r="AL184"/>
      <c r="AM184"/>
      <c r="AN184"/>
      <c r="AO184"/>
      <c r="AP184"/>
      <c r="AQ184"/>
      <c r="AR184"/>
      <c r="AS184"/>
      <c r="AT184"/>
      <c r="AU184"/>
      <c r="AV184"/>
      <c r="AW184"/>
      <c r="AX184"/>
      <c r="AY184"/>
      <c r="AZ184"/>
      <c r="BA184"/>
      <c r="BB184"/>
      <c r="BC184"/>
      <c r="BD184"/>
      <c r="BE184"/>
      <c r="BF184"/>
      <c r="BG184"/>
      <c r="BH184"/>
      <c r="BI184"/>
      <c r="BJ184"/>
      <c r="BK184" t="s">
        <v>273</v>
      </c>
      <c r="BL184"/>
      <c r="BM184" t="s">
        <v>805</v>
      </c>
      <c r="BN184" s="33">
        <v>1609</v>
      </c>
      <c r="BO184" t="s">
        <v>174</v>
      </c>
      <c r="BP184" t="s">
        <v>805</v>
      </c>
      <c r="BQ184"/>
      <c r="BR184"/>
    </row>
    <row r="185" spans="1:70" s="9" customFormat="1">
      <c r="A185" t="s">
        <v>1207</v>
      </c>
      <c r="B185"/>
      <c r="C185" t="s">
        <v>10</v>
      </c>
      <c r="D185" t="s">
        <v>1039</v>
      </c>
      <c r="E185" t="s">
        <v>1040</v>
      </c>
      <c r="F185"/>
      <c r="G185" t="s">
        <v>1097</v>
      </c>
      <c r="H185" t="s">
        <v>1113</v>
      </c>
      <c r="I185" t="s">
        <v>1206</v>
      </c>
      <c r="J185" t="s">
        <v>1113</v>
      </c>
      <c r="K185"/>
      <c r="L185"/>
      <c r="M185" s="18"/>
      <c r="N185"/>
      <c r="O185"/>
      <c r="P185"/>
      <c r="Q185"/>
      <c r="R185">
        <v>7.8</v>
      </c>
      <c r="S185"/>
      <c r="T185"/>
      <c r="U185">
        <v>6.5</v>
      </c>
      <c r="V185">
        <v>7.2</v>
      </c>
      <c r="W185"/>
      <c r="X185"/>
      <c r="Y185">
        <v>8</v>
      </c>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t="s">
        <v>273</v>
      </c>
      <c r="BL185"/>
      <c r="BM185" t="s">
        <v>805</v>
      </c>
      <c r="BN185" s="33">
        <v>1609</v>
      </c>
      <c r="BO185" t="s">
        <v>174</v>
      </c>
      <c r="BP185" t="s">
        <v>805</v>
      </c>
      <c r="BQ185"/>
      <c r="BR185"/>
    </row>
    <row r="186" spans="1:70" s="9" customFormat="1">
      <c r="A186" t="s">
        <v>1208</v>
      </c>
      <c r="B186"/>
      <c r="C186" t="s">
        <v>10</v>
      </c>
      <c r="D186" t="s">
        <v>1039</v>
      </c>
      <c r="E186" t="s">
        <v>1040</v>
      </c>
      <c r="F186"/>
      <c r="G186" t="s">
        <v>1097</v>
      </c>
      <c r="H186" t="s">
        <v>1113</v>
      </c>
      <c r="I186" t="s">
        <v>1206</v>
      </c>
      <c r="J186" t="s">
        <v>1113</v>
      </c>
      <c r="K186"/>
      <c r="L186"/>
      <c r="M186" s="18"/>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v>7.7</v>
      </c>
      <c r="AU186"/>
      <c r="AV186"/>
      <c r="AW186">
        <v>4.5999999999999996</v>
      </c>
      <c r="AX186">
        <v>8.8000000000000007</v>
      </c>
      <c r="AY186"/>
      <c r="AZ186"/>
      <c r="BA186">
        <v>5.7</v>
      </c>
      <c r="BB186">
        <v>8.9</v>
      </c>
      <c r="BC186"/>
      <c r="BD186"/>
      <c r="BE186">
        <v>7.6</v>
      </c>
      <c r="BF186">
        <v>9.5</v>
      </c>
      <c r="BG186"/>
      <c r="BH186"/>
      <c r="BI186">
        <v>7.1</v>
      </c>
      <c r="BJ186" t="s">
        <v>1209</v>
      </c>
      <c r="BK186" t="s">
        <v>273</v>
      </c>
      <c r="BL186"/>
      <c r="BM186" t="s">
        <v>805</v>
      </c>
      <c r="BN186" s="33">
        <v>1609</v>
      </c>
      <c r="BO186" t="s">
        <v>174</v>
      </c>
      <c r="BP186" t="s">
        <v>805</v>
      </c>
      <c r="BQ186"/>
      <c r="BR186"/>
    </row>
    <row r="187" spans="1:70" s="9" customFormat="1">
      <c r="A187" t="s">
        <v>1210</v>
      </c>
      <c r="B187"/>
      <c r="C187" t="s">
        <v>10</v>
      </c>
      <c r="D187" t="s">
        <v>1039</v>
      </c>
      <c r="E187" t="s">
        <v>1040</v>
      </c>
      <c r="F187"/>
      <c r="G187" t="s">
        <v>1097</v>
      </c>
      <c r="H187" t="s">
        <v>1113</v>
      </c>
      <c r="I187" t="s">
        <v>1206</v>
      </c>
      <c r="J187" t="s">
        <v>1113</v>
      </c>
      <c r="K187"/>
      <c r="L187"/>
      <c r="M187" s="18"/>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v>8.1999999999999993</v>
      </c>
      <c r="AY187"/>
      <c r="AZ187"/>
      <c r="BA187">
        <v>7.3</v>
      </c>
      <c r="BB187">
        <v>9.6</v>
      </c>
      <c r="BC187"/>
      <c r="BD187"/>
      <c r="BE187">
        <v>8.1999999999999993</v>
      </c>
      <c r="BF187">
        <v>10.5</v>
      </c>
      <c r="BG187"/>
      <c r="BH187"/>
      <c r="BI187">
        <v>7.2</v>
      </c>
      <c r="BJ187"/>
      <c r="BK187" t="s">
        <v>273</v>
      </c>
      <c r="BL187"/>
      <c r="BM187" t="s">
        <v>805</v>
      </c>
      <c r="BN187" s="33">
        <v>1609</v>
      </c>
      <c r="BO187" t="s">
        <v>174</v>
      </c>
      <c r="BP187" t="s">
        <v>805</v>
      </c>
      <c r="BQ187"/>
      <c r="BR187"/>
    </row>
    <row r="188" spans="1:70" s="9" customFormat="1">
      <c r="A188" t="s">
        <v>1119</v>
      </c>
      <c r="B188"/>
      <c r="C188" t="s">
        <v>10</v>
      </c>
      <c r="D188" t="s">
        <v>1039</v>
      </c>
      <c r="E188" t="s">
        <v>1040</v>
      </c>
      <c r="F188"/>
      <c r="G188" t="s">
        <v>1097</v>
      </c>
      <c r="H188" t="s">
        <v>1117</v>
      </c>
      <c r="I188" t="s">
        <v>1097</v>
      </c>
      <c r="J188" t="s">
        <v>1117</v>
      </c>
      <c r="K188"/>
      <c r="L188"/>
      <c r="M188" s="1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v>11.5</v>
      </c>
      <c r="AU188"/>
      <c r="AV188"/>
      <c r="AW188">
        <v>7.8</v>
      </c>
      <c r="AX188">
        <v>11.8</v>
      </c>
      <c r="AY188"/>
      <c r="AZ188"/>
      <c r="BA188">
        <v>9.8000000000000007</v>
      </c>
      <c r="BB188"/>
      <c r="BC188"/>
      <c r="BD188"/>
      <c r="BE188"/>
      <c r="BF188"/>
      <c r="BG188"/>
      <c r="BH188"/>
      <c r="BI188"/>
      <c r="BJ188"/>
      <c r="BK188" t="s">
        <v>273</v>
      </c>
      <c r="BL188"/>
      <c r="BM188" t="s">
        <v>805</v>
      </c>
      <c r="BN188" s="33">
        <v>4269</v>
      </c>
      <c r="BO188"/>
      <c r="BP188"/>
      <c r="BQ188"/>
      <c r="BR188"/>
    </row>
    <row r="189" spans="1:70" s="9" customFormat="1">
      <c r="A189" t="s">
        <v>1138</v>
      </c>
      <c r="B189"/>
      <c r="C189" t="s">
        <v>10</v>
      </c>
      <c r="D189" t="s">
        <v>1039</v>
      </c>
      <c r="E189" t="s">
        <v>1040</v>
      </c>
      <c r="F189"/>
      <c r="G189" t="s">
        <v>1097</v>
      </c>
      <c r="H189" t="s">
        <v>1129</v>
      </c>
      <c r="I189" t="s">
        <v>1097</v>
      </c>
      <c r="J189" t="s">
        <v>1129</v>
      </c>
      <c r="K189"/>
      <c r="L189"/>
      <c r="M189" s="18"/>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v>12.7</v>
      </c>
      <c r="AU189"/>
      <c r="AV189"/>
      <c r="AW189">
        <v>10.199999999999999</v>
      </c>
      <c r="AX189">
        <v>12.1</v>
      </c>
      <c r="AY189"/>
      <c r="AZ189"/>
      <c r="BA189">
        <v>11.2</v>
      </c>
      <c r="BB189">
        <v>12.5</v>
      </c>
      <c r="BC189"/>
      <c r="BD189"/>
      <c r="BE189">
        <v>12.5</v>
      </c>
      <c r="BF189"/>
      <c r="BG189"/>
      <c r="BH189"/>
      <c r="BI189"/>
      <c r="BJ189" t="s">
        <v>1139</v>
      </c>
      <c r="BK189" t="s">
        <v>273</v>
      </c>
      <c r="BL189"/>
      <c r="BM189" t="s">
        <v>805</v>
      </c>
      <c r="BN189" s="33">
        <v>4269</v>
      </c>
      <c r="BO189"/>
      <c r="BP189"/>
      <c r="BQ189"/>
      <c r="BR189"/>
    </row>
    <row r="190" spans="1:70" s="9" customFormat="1">
      <c r="A190" t="s">
        <v>1211</v>
      </c>
      <c r="B190"/>
      <c r="C190" t="s">
        <v>10</v>
      </c>
      <c r="D190" t="s">
        <v>1039</v>
      </c>
      <c r="E190" t="s">
        <v>1040</v>
      </c>
      <c r="F190"/>
      <c r="G190" t="s">
        <v>1097</v>
      </c>
      <c r="H190" t="s">
        <v>60</v>
      </c>
      <c r="I190" t="s">
        <v>1206</v>
      </c>
      <c r="J190" t="s">
        <v>60</v>
      </c>
      <c r="K190"/>
      <c r="L190"/>
      <c r="M190" s="18"/>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v>13.6</v>
      </c>
      <c r="BG190"/>
      <c r="BH190"/>
      <c r="BI190">
        <v>9.1999999999999993</v>
      </c>
      <c r="BJ190" t="s">
        <v>1212</v>
      </c>
      <c r="BK190" t="s">
        <v>273</v>
      </c>
      <c r="BL190"/>
      <c r="BM190" t="s">
        <v>805</v>
      </c>
      <c r="BN190" s="33">
        <v>1609</v>
      </c>
      <c r="BO190" t="s">
        <v>174</v>
      </c>
      <c r="BP190" t="s">
        <v>805</v>
      </c>
      <c r="BQ190"/>
      <c r="BR190"/>
    </row>
    <row r="191" spans="1:70" s="9" customFormat="1">
      <c r="A191" t="s">
        <v>1161</v>
      </c>
      <c r="B191"/>
      <c r="C191" t="s">
        <v>10</v>
      </c>
      <c r="D191" t="s">
        <v>1039</v>
      </c>
      <c r="E191" t="s">
        <v>1040</v>
      </c>
      <c r="F191"/>
      <c r="G191" t="s">
        <v>1097</v>
      </c>
      <c r="H191" t="s">
        <v>1149</v>
      </c>
      <c r="I191" t="s">
        <v>1097</v>
      </c>
      <c r="J191" t="s">
        <v>1159</v>
      </c>
      <c r="K191"/>
      <c r="L191"/>
      <c r="M191" s="18"/>
      <c r="N191"/>
      <c r="O191"/>
      <c r="P191"/>
      <c r="Q191"/>
      <c r="R191">
        <v>8.1999999999999993</v>
      </c>
      <c r="S191"/>
      <c r="T191"/>
      <c r="U191">
        <v>7.4</v>
      </c>
      <c r="V191">
        <v>8.5</v>
      </c>
      <c r="W191"/>
      <c r="X191"/>
      <c r="Y191">
        <v>8.5</v>
      </c>
      <c r="Z191">
        <v>9</v>
      </c>
      <c r="AA191"/>
      <c r="AB191"/>
      <c r="AC191">
        <v>10</v>
      </c>
      <c r="AD191">
        <v>9.1999999999999993</v>
      </c>
      <c r="AE191"/>
      <c r="AF191"/>
      <c r="AG191">
        <v>11.3</v>
      </c>
      <c r="AH191">
        <v>7.7</v>
      </c>
      <c r="AI191"/>
      <c r="AJ191"/>
      <c r="AK191">
        <v>10.8</v>
      </c>
      <c r="AL191"/>
      <c r="AM191"/>
      <c r="AN191"/>
      <c r="AO191"/>
      <c r="AP191"/>
      <c r="AQ191"/>
      <c r="AR191"/>
      <c r="AS191"/>
      <c r="AT191"/>
      <c r="AU191"/>
      <c r="AV191"/>
      <c r="AW191"/>
      <c r="AX191"/>
      <c r="AY191"/>
      <c r="AZ191"/>
      <c r="BA191"/>
      <c r="BB191"/>
      <c r="BC191"/>
      <c r="BD191"/>
      <c r="BE191"/>
      <c r="BF191"/>
      <c r="BG191"/>
      <c r="BH191"/>
      <c r="BI191"/>
      <c r="BJ191"/>
      <c r="BK191" t="s">
        <v>273</v>
      </c>
      <c r="BL191"/>
      <c r="BM191" t="s">
        <v>805</v>
      </c>
      <c r="BN191" s="33">
        <v>4269</v>
      </c>
      <c r="BO191"/>
      <c r="BP191"/>
      <c r="BQ191"/>
      <c r="BR191"/>
    </row>
    <row r="192" spans="1:70" s="9" customFormat="1">
      <c r="A192" t="s">
        <v>1162</v>
      </c>
      <c r="B192"/>
      <c r="C192" t="s">
        <v>10</v>
      </c>
      <c r="D192" t="s">
        <v>1039</v>
      </c>
      <c r="E192" t="s">
        <v>1040</v>
      </c>
      <c r="F192"/>
      <c r="G192" t="s">
        <v>1097</v>
      </c>
      <c r="H192" t="s">
        <v>1149</v>
      </c>
      <c r="I192" t="s">
        <v>1097</v>
      </c>
      <c r="J192" t="s">
        <v>1159</v>
      </c>
      <c r="K192"/>
      <c r="L192"/>
      <c r="M192" s="18"/>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v>9.6</v>
      </c>
      <c r="AU192"/>
      <c r="AV192"/>
      <c r="AW192">
        <v>6.2</v>
      </c>
      <c r="AX192">
        <v>9.1</v>
      </c>
      <c r="AY192"/>
      <c r="AZ192"/>
      <c r="BA192">
        <v>7.4</v>
      </c>
      <c r="BB192"/>
      <c r="BC192"/>
      <c r="BD192"/>
      <c r="BE192"/>
      <c r="BF192"/>
      <c r="BG192"/>
      <c r="BH192"/>
      <c r="BI192"/>
      <c r="BJ192"/>
      <c r="BK192" t="s">
        <v>273</v>
      </c>
      <c r="BL192"/>
      <c r="BM192" t="s">
        <v>805</v>
      </c>
      <c r="BN192" s="33">
        <v>4269</v>
      </c>
      <c r="BO192"/>
      <c r="BP192"/>
      <c r="BQ192"/>
      <c r="BR192"/>
    </row>
    <row r="193" spans="1:70" s="9" customFormat="1">
      <c r="A193" t="s">
        <v>1163</v>
      </c>
      <c r="B193"/>
      <c r="C193" t="s">
        <v>10</v>
      </c>
      <c r="D193" t="s">
        <v>1039</v>
      </c>
      <c r="E193" t="s">
        <v>1040</v>
      </c>
      <c r="F193"/>
      <c r="G193" t="s">
        <v>1097</v>
      </c>
      <c r="H193" t="s">
        <v>1149</v>
      </c>
      <c r="I193" t="s">
        <v>1097</v>
      </c>
      <c r="J193" t="s">
        <v>1159</v>
      </c>
      <c r="K193"/>
      <c r="L193"/>
      <c r="M193" s="18"/>
      <c r="N193"/>
      <c r="O193"/>
      <c r="P193"/>
      <c r="Q193"/>
      <c r="R193">
        <v>7.7</v>
      </c>
      <c r="S193"/>
      <c r="T193"/>
      <c r="U193">
        <v>8.6</v>
      </c>
      <c r="V193">
        <v>7.9</v>
      </c>
      <c r="W193"/>
      <c r="X193"/>
      <c r="Y193">
        <v>9.1999999999999993</v>
      </c>
      <c r="Z193">
        <v>9</v>
      </c>
      <c r="AA193"/>
      <c r="AB193"/>
      <c r="AC193">
        <v>11</v>
      </c>
      <c r="AD193">
        <v>8.8000000000000007</v>
      </c>
      <c r="AE193"/>
      <c r="AF193"/>
      <c r="AG193">
        <v>12.5</v>
      </c>
      <c r="AH193">
        <v>8.6999999999999993</v>
      </c>
      <c r="AI193"/>
      <c r="AJ193"/>
      <c r="AK193">
        <v>10.5</v>
      </c>
      <c r="AL193"/>
      <c r="AM193"/>
      <c r="AN193"/>
      <c r="AO193"/>
      <c r="AP193"/>
      <c r="AQ193"/>
      <c r="AR193"/>
      <c r="AS193"/>
      <c r="AT193"/>
      <c r="AU193"/>
      <c r="AV193"/>
      <c r="AW193"/>
      <c r="AX193"/>
      <c r="AY193"/>
      <c r="AZ193"/>
      <c r="BA193"/>
      <c r="BB193"/>
      <c r="BC193"/>
      <c r="BD193"/>
      <c r="BE193"/>
      <c r="BF193"/>
      <c r="BG193"/>
      <c r="BH193"/>
      <c r="BI193"/>
      <c r="BJ193" t="s">
        <v>1164</v>
      </c>
      <c r="BK193" t="s">
        <v>273</v>
      </c>
      <c r="BL193"/>
      <c r="BM193" t="s">
        <v>805</v>
      </c>
      <c r="BN193" s="33">
        <v>4269</v>
      </c>
      <c r="BO193"/>
      <c r="BP193"/>
      <c r="BQ193"/>
      <c r="BR193"/>
    </row>
    <row r="194" spans="1:70" s="9" customFormat="1">
      <c r="A194" s="22" t="s">
        <v>1239</v>
      </c>
      <c r="B194" s="22"/>
      <c r="C194" s="22"/>
      <c r="D194" s="22" t="s">
        <v>1238</v>
      </c>
      <c r="E194" s="22" t="s">
        <v>1237</v>
      </c>
      <c r="F194" s="22"/>
      <c r="G194" s="22"/>
      <c r="H194" s="22"/>
      <c r="I194" s="22" t="s">
        <v>1236</v>
      </c>
      <c r="J194" s="22" t="s">
        <v>60</v>
      </c>
      <c r="K194" s="22"/>
      <c r="L194" s="22"/>
      <c r="M194" s="22"/>
      <c r="N194" s="22"/>
      <c r="O194" s="22"/>
      <c r="P194" s="22"/>
      <c r="Q194" s="22"/>
      <c r="R194" s="22">
        <v>14.6</v>
      </c>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t="s">
        <v>273</v>
      </c>
      <c r="BL194" s="44">
        <v>44795</v>
      </c>
      <c r="BM194" s="22" t="s">
        <v>805</v>
      </c>
      <c r="BN194" s="36">
        <v>4269</v>
      </c>
      <c r="BO194" s="22"/>
      <c r="BP194" s="22"/>
      <c r="BQ194" s="22"/>
      <c r="BR194" s="22"/>
    </row>
    <row r="195" spans="1:70" s="9" customFormat="1">
      <c r="A195" s="22" t="s">
        <v>200</v>
      </c>
      <c r="B195" s="22" t="s">
        <v>200</v>
      </c>
      <c r="C195" s="22"/>
      <c r="D195" s="22" t="s">
        <v>1238</v>
      </c>
      <c r="E195" s="22" t="s">
        <v>1237</v>
      </c>
      <c r="F195" s="22"/>
      <c r="G195" s="22"/>
      <c r="H195" s="22"/>
      <c r="I195" s="22" t="s">
        <v>1240</v>
      </c>
      <c r="J195" s="22"/>
      <c r="K195" s="22"/>
      <c r="L195" s="22"/>
      <c r="M195" s="22"/>
      <c r="N195" s="22"/>
      <c r="O195" s="22"/>
      <c r="P195" s="22"/>
      <c r="Q195" s="22"/>
      <c r="R195" s="22">
        <v>11.5</v>
      </c>
      <c r="S195" s="22"/>
      <c r="T195" s="22"/>
      <c r="U195" s="22">
        <v>13.3</v>
      </c>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t="s">
        <v>273</v>
      </c>
      <c r="BL195" s="44">
        <v>44795</v>
      </c>
      <c r="BM195" s="22" t="s">
        <v>805</v>
      </c>
      <c r="BN195" s="36">
        <v>4269</v>
      </c>
      <c r="BO195" s="22"/>
      <c r="BP195" s="22"/>
      <c r="BQ195" s="22"/>
      <c r="BR195" s="22"/>
    </row>
    <row r="196" spans="1:70" s="9" customFormat="1">
      <c r="A196" s="14" t="s">
        <v>414</v>
      </c>
      <c r="B196" s="14"/>
      <c r="C196" s="14" t="s">
        <v>10</v>
      </c>
      <c r="D196" s="14" t="s">
        <v>11</v>
      </c>
      <c r="E196" s="14" t="s">
        <v>165</v>
      </c>
      <c r="F196" s="14"/>
      <c r="G196" s="14" t="s">
        <v>464</v>
      </c>
      <c r="H196" s="14" t="s">
        <v>405</v>
      </c>
      <c r="I196" s="14" t="s">
        <v>1035</v>
      </c>
      <c r="J196" s="14" t="s">
        <v>218</v>
      </c>
      <c r="K196" s="14"/>
      <c r="L196" s="14"/>
      <c r="M196" s="14"/>
      <c r="N196" s="14"/>
      <c r="O196" s="14"/>
      <c r="P196" s="14"/>
      <c r="Q196" s="14"/>
      <c r="R196" s="14"/>
      <c r="S196" s="14"/>
      <c r="T196" s="14"/>
      <c r="U196" s="14"/>
      <c r="V196" s="14">
        <v>7.3</v>
      </c>
      <c r="W196" s="14"/>
      <c r="X196" s="14"/>
      <c r="Y196" s="14">
        <v>7.5</v>
      </c>
      <c r="Z196" s="14">
        <v>9.4</v>
      </c>
      <c r="AA196" s="14"/>
      <c r="AB196" s="14"/>
      <c r="AC196" s="14">
        <v>10</v>
      </c>
      <c r="AD196" s="14"/>
      <c r="AE196" s="14"/>
      <c r="AF196" s="14"/>
      <c r="AG196" s="14"/>
      <c r="AH196" s="14">
        <v>5.5</v>
      </c>
      <c r="AI196" s="14"/>
      <c r="AJ196" s="14"/>
      <c r="AK196" s="14">
        <v>9.3000000000000007</v>
      </c>
      <c r="AL196" s="14"/>
      <c r="AM196" s="14"/>
      <c r="AN196" s="14"/>
      <c r="AO196" s="14"/>
      <c r="AP196" s="14"/>
      <c r="AQ196" s="14"/>
      <c r="AR196" s="14"/>
      <c r="AS196" s="14"/>
      <c r="AT196" s="14"/>
      <c r="AU196" s="14"/>
      <c r="AV196" s="14"/>
      <c r="AW196" s="14"/>
      <c r="AX196" s="14"/>
      <c r="AY196" s="14"/>
      <c r="AZ196" s="14"/>
      <c r="BA196" s="14"/>
      <c r="BB196" s="14">
        <v>9.4</v>
      </c>
      <c r="BC196" s="14"/>
      <c r="BD196" s="14"/>
      <c r="BE196" s="14">
        <v>7.5</v>
      </c>
      <c r="BF196" s="14">
        <v>9.9</v>
      </c>
      <c r="BG196" s="14"/>
      <c r="BH196" s="14"/>
      <c r="BI196" s="14">
        <v>6.5</v>
      </c>
      <c r="BJ196" s="14" t="s">
        <v>415</v>
      </c>
      <c r="BK196" s="14" t="s">
        <v>159</v>
      </c>
      <c r="BL196" s="14"/>
      <c r="BM196" s="14" t="s">
        <v>1036</v>
      </c>
      <c r="BN196" s="34">
        <v>3875</v>
      </c>
      <c r="BO196" s="14" t="s">
        <v>362</v>
      </c>
      <c r="BP196" s="14" t="s">
        <v>1036</v>
      </c>
      <c r="BQ196" s="14"/>
      <c r="BR196" s="14"/>
    </row>
    <row r="197" spans="1:70" s="9" customFormat="1">
      <c r="A197" s="14" t="s">
        <v>419</v>
      </c>
      <c r="B197" s="14"/>
      <c r="C197" s="14" t="s">
        <v>10</v>
      </c>
      <c r="D197" s="14" t="s">
        <v>11</v>
      </c>
      <c r="E197" s="14" t="s">
        <v>165</v>
      </c>
      <c r="F197" s="14"/>
      <c r="G197" s="14" t="s">
        <v>401</v>
      </c>
      <c r="H197" s="14" t="s">
        <v>28</v>
      </c>
      <c r="I197" s="14" t="s">
        <v>1035</v>
      </c>
      <c r="J197" s="14" t="s">
        <v>28</v>
      </c>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v>9.6999999999999993</v>
      </c>
      <c r="BC197" s="14"/>
      <c r="BD197" s="14"/>
      <c r="BE197" s="14">
        <v>8.4</v>
      </c>
      <c r="BF197" s="14">
        <v>9.6</v>
      </c>
      <c r="BG197" s="14"/>
      <c r="BH197" s="14"/>
      <c r="BI197" s="14">
        <v>7.6</v>
      </c>
      <c r="BJ197" s="14" t="s">
        <v>420</v>
      </c>
      <c r="BK197" s="14" t="s">
        <v>159</v>
      </c>
      <c r="BL197" s="14"/>
      <c r="BM197" s="14" t="s">
        <v>1036</v>
      </c>
      <c r="BN197" s="34">
        <v>3875</v>
      </c>
      <c r="BO197" s="14" t="s">
        <v>362</v>
      </c>
      <c r="BP197" s="14" t="s">
        <v>1036</v>
      </c>
      <c r="BQ197" s="14"/>
      <c r="BR197" s="14"/>
    </row>
    <row r="198" spans="1:70" s="55" customFormat="1">
      <c r="A198" s="55" t="s">
        <v>1038</v>
      </c>
      <c r="C198" s="55" t="s">
        <v>10</v>
      </c>
      <c r="D198" s="55" t="s">
        <v>11</v>
      </c>
      <c r="E198" s="55" t="s">
        <v>165</v>
      </c>
      <c r="G198" s="55" t="s">
        <v>401</v>
      </c>
      <c r="H198" s="55" t="s">
        <v>612</v>
      </c>
      <c r="I198" s="55" t="s">
        <v>401</v>
      </c>
      <c r="J198" s="55" t="s">
        <v>612</v>
      </c>
      <c r="AD198" s="55">
        <v>8</v>
      </c>
      <c r="AG198" s="55">
        <v>10</v>
      </c>
      <c r="AH198" s="55">
        <v>7</v>
      </c>
      <c r="AJ198" s="55">
        <v>9</v>
      </c>
      <c r="BK198" s="55" t="s">
        <v>159</v>
      </c>
      <c r="BM198" s="55" t="s">
        <v>1036</v>
      </c>
      <c r="BN198" s="56">
        <v>3875</v>
      </c>
    </row>
    <row r="199" spans="1:70" s="9" customFormat="1">
      <c r="A199" s="14" t="s">
        <v>417</v>
      </c>
      <c r="B199" s="14"/>
      <c r="C199" s="14" t="s">
        <v>10</v>
      </c>
      <c r="D199" s="14" t="s">
        <v>11</v>
      </c>
      <c r="E199" s="14" t="s">
        <v>165</v>
      </c>
      <c r="F199" s="14"/>
      <c r="G199" s="14" t="s">
        <v>401</v>
      </c>
      <c r="H199" s="14" t="s">
        <v>416</v>
      </c>
      <c r="I199" s="14" t="s">
        <v>1035</v>
      </c>
      <c r="J199" s="14" t="s">
        <v>416</v>
      </c>
      <c r="K199" s="14"/>
      <c r="L199" s="14"/>
      <c r="M199" s="14"/>
      <c r="N199" s="14"/>
      <c r="O199" s="14"/>
      <c r="P199" s="14"/>
      <c r="Q199" s="14"/>
      <c r="R199" s="14"/>
      <c r="S199" s="14"/>
      <c r="T199" s="14"/>
      <c r="U199" s="14"/>
      <c r="V199" s="14"/>
      <c r="W199" s="14"/>
      <c r="X199" s="14"/>
      <c r="Y199" s="14"/>
      <c r="Z199" s="14">
        <v>7</v>
      </c>
      <c r="AA199" s="14"/>
      <c r="AB199" s="14"/>
      <c r="AC199" s="14">
        <v>8.8000000000000007</v>
      </c>
      <c r="AD199" s="14">
        <v>7.4</v>
      </c>
      <c r="AE199" s="14"/>
      <c r="AF199" s="14"/>
      <c r="AG199" s="14">
        <v>11.5</v>
      </c>
      <c r="AH199" s="14">
        <v>5</v>
      </c>
      <c r="AI199" s="14"/>
      <c r="AJ199" s="14"/>
      <c r="AK199" s="14">
        <v>9</v>
      </c>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t="s">
        <v>1037</v>
      </c>
      <c r="BK199" s="14" t="s">
        <v>159</v>
      </c>
      <c r="BL199" s="14"/>
      <c r="BM199" s="14" t="s">
        <v>1036</v>
      </c>
      <c r="BN199" s="34">
        <v>3875</v>
      </c>
      <c r="BO199" s="14" t="s">
        <v>362</v>
      </c>
      <c r="BP199" s="14" t="s">
        <v>1036</v>
      </c>
      <c r="BQ199" s="14"/>
      <c r="BR199" s="14"/>
    </row>
    <row r="200" spans="1:70" s="55" customFormat="1">
      <c r="A200" s="55" t="s">
        <v>311</v>
      </c>
      <c r="C200" s="55" t="s">
        <v>10</v>
      </c>
      <c r="D200" s="55" t="s">
        <v>11</v>
      </c>
      <c r="E200" s="55" t="s">
        <v>165</v>
      </c>
      <c r="F200" s="55" t="s">
        <v>157</v>
      </c>
      <c r="G200" s="55" t="s">
        <v>166</v>
      </c>
      <c r="H200" s="55" t="s">
        <v>373</v>
      </c>
      <c r="I200" s="55" t="s">
        <v>166</v>
      </c>
      <c r="J200" s="55" t="s">
        <v>373</v>
      </c>
      <c r="V200" s="55">
        <v>4.7</v>
      </c>
      <c r="Y200" s="55">
        <v>4.3</v>
      </c>
      <c r="AP200" s="55">
        <v>5.0999999999999996</v>
      </c>
      <c r="AS200" s="55">
        <v>2.5</v>
      </c>
      <c r="AT200" s="55">
        <v>5.6</v>
      </c>
      <c r="AW200" s="55">
        <v>2.7</v>
      </c>
      <c r="AX200" s="55">
        <v>5.3</v>
      </c>
      <c r="BA200" s="55">
        <v>3.4</v>
      </c>
      <c r="BK200" s="55" t="s">
        <v>273</v>
      </c>
      <c r="BM200" s="55" t="s">
        <v>307</v>
      </c>
      <c r="BN200" s="56">
        <v>1657</v>
      </c>
    </row>
    <row r="201" spans="1:70" s="9" customFormat="1">
      <c r="A201" t="s">
        <v>370</v>
      </c>
      <c r="B201"/>
      <c r="C201" t="s">
        <v>10</v>
      </c>
      <c r="D201" t="s">
        <v>11</v>
      </c>
      <c r="E201" t="s">
        <v>165</v>
      </c>
      <c r="F201" t="s">
        <v>157</v>
      </c>
      <c r="G201" t="s">
        <v>166</v>
      </c>
      <c r="H201" t="s">
        <v>373</v>
      </c>
      <c r="I201" t="s">
        <v>166</v>
      </c>
      <c r="J201" t="s">
        <v>373</v>
      </c>
      <c r="K201"/>
      <c r="L201"/>
      <c r="M201"/>
      <c r="N201"/>
      <c r="O201"/>
      <c r="P201"/>
      <c r="Q201"/>
      <c r="R201"/>
      <c r="S201"/>
      <c r="T201"/>
      <c r="U201"/>
      <c r="V201"/>
      <c r="W201"/>
      <c r="X201"/>
      <c r="Y201"/>
      <c r="Z201"/>
      <c r="AA201"/>
      <c r="AB201"/>
      <c r="AC201">
        <v>5.5</v>
      </c>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t="s">
        <v>273</v>
      </c>
      <c r="BL201"/>
      <c r="BM201" t="s">
        <v>307</v>
      </c>
      <c r="BN201" s="36">
        <v>1657</v>
      </c>
      <c r="BO201"/>
      <c r="BP201"/>
      <c r="BQ201"/>
      <c r="BR201"/>
    </row>
    <row r="202" spans="1:70" s="9" customFormat="1">
      <c r="A202" t="s">
        <v>372</v>
      </c>
      <c r="B202"/>
      <c r="C202" t="s">
        <v>10</v>
      </c>
      <c r="D202" t="s">
        <v>11</v>
      </c>
      <c r="E202" t="s">
        <v>165</v>
      </c>
      <c r="F202" t="s">
        <v>157</v>
      </c>
      <c r="G202" t="s">
        <v>166</v>
      </c>
      <c r="H202" t="s">
        <v>373</v>
      </c>
      <c r="I202" t="s">
        <v>166</v>
      </c>
      <c r="J202" t="s">
        <v>373</v>
      </c>
      <c r="K202"/>
      <c r="L202"/>
      <c r="M202"/>
      <c r="N202"/>
      <c r="O202"/>
      <c r="P202"/>
      <c r="Q202"/>
      <c r="R202"/>
      <c r="S202"/>
      <c r="T202"/>
      <c r="U202"/>
      <c r="V202"/>
      <c r="W202"/>
      <c r="X202"/>
      <c r="Y202"/>
      <c r="Z202">
        <v>5.7</v>
      </c>
      <c r="AA202"/>
      <c r="AB202"/>
      <c r="AC202">
        <v>5.9</v>
      </c>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t="s">
        <v>273</v>
      </c>
      <c r="BL202"/>
      <c r="BM202" t="s">
        <v>307</v>
      </c>
      <c r="BN202" s="36">
        <v>1657</v>
      </c>
      <c r="BO202"/>
      <c r="BP202"/>
      <c r="BQ202"/>
      <c r="BR202"/>
    </row>
    <row r="203" spans="1:70" s="9" customFormat="1">
      <c r="A203" t="s">
        <v>379</v>
      </c>
      <c r="B203"/>
      <c r="C203" t="s">
        <v>10</v>
      </c>
      <c r="D203" t="s">
        <v>11</v>
      </c>
      <c r="E203" t="s">
        <v>165</v>
      </c>
      <c r="F203"/>
      <c r="G203" t="s">
        <v>376</v>
      </c>
      <c r="H203" t="s">
        <v>377</v>
      </c>
      <c r="I203" t="s">
        <v>376</v>
      </c>
      <c r="J203" t="s">
        <v>377</v>
      </c>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v>5.5</v>
      </c>
      <c r="AU203"/>
      <c r="AV203"/>
      <c r="AW203">
        <v>2.4</v>
      </c>
      <c r="AX203"/>
      <c r="AY203"/>
      <c r="AZ203"/>
      <c r="BA203"/>
      <c r="BB203">
        <v>5.3</v>
      </c>
      <c r="BC203"/>
      <c r="BD203"/>
      <c r="BE203">
        <v>4</v>
      </c>
      <c r="BF203">
        <v>5.3</v>
      </c>
      <c r="BG203"/>
      <c r="BH203"/>
      <c r="BI203">
        <v>3.4</v>
      </c>
      <c r="BJ203" t="s">
        <v>378</v>
      </c>
      <c r="BK203" t="s">
        <v>273</v>
      </c>
      <c r="BL203"/>
      <c r="BM203" t="s">
        <v>307</v>
      </c>
      <c r="BN203" s="33">
        <v>1657</v>
      </c>
      <c r="BO203" t="s">
        <v>362</v>
      </c>
      <c r="BP203" t="s">
        <v>307</v>
      </c>
      <c r="BQ203"/>
      <c r="BR203"/>
    </row>
    <row r="204" spans="1:70" s="9" customFormat="1">
      <c r="A204" t="s">
        <v>375</v>
      </c>
      <c r="B204"/>
      <c r="C204" t="s">
        <v>10</v>
      </c>
      <c r="D204" t="s">
        <v>11</v>
      </c>
      <c r="E204" t="s">
        <v>165</v>
      </c>
      <c r="F204"/>
      <c r="G204" t="s">
        <v>358</v>
      </c>
      <c r="H204" t="s">
        <v>371</v>
      </c>
      <c r="I204" t="s">
        <v>358</v>
      </c>
      <c r="J204" t="s">
        <v>371</v>
      </c>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v>5</v>
      </c>
      <c r="BC204"/>
      <c r="BD204"/>
      <c r="BE204">
        <v>4.2</v>
      </c>
      <c r="BF204">
        <v>5.3</v>
      </c>
      <c r="BG204"/>
      <c r="BH204"/>
      <c r="BI204">
        <v>3.8</v>
      </c>
      <c r="BJ204"/>
      <c r="BK204" t="s">
        <v>273</v>
      </c>
      <c r="BL204"/>
      <c r="BM204" t="s">
        <v>307</v>
      </c>
      <c r="BN204" s="33">
        <v>1657</v>
      </c>
      <c r="BO204" t="s">
        <v>362</v>
      </c>
      <c r="BP204" t="s">
        <v>307</v>
      </c>
      <c r="BQ204"/>
      <c r="BR204"/>
    </row>
    <row r="205" spans="1:70" s="9" customFormat="1">
      <c r="A205" t="s">
        <v>374</v>
      </c>
      <c r="B205"/>
      <c r="C205" t="s">
        <v>10</v>
      </c>
      <c r="D205" t="s">
        <v>11</v>
      </c>
      <c r="E205" t="s">
        <v>165</v>
      </c>
      <c r="F205"/>
      <c r="G205" t="s">
        <v>358</v>
      </c>
      <c r="H205" t="s">
        <v>371</v>
      </c>
      <c r="I205" t="s">
        <v>358</v>
      </c>
      <c r="J205" t="s">
        <v>371</v>
      </c>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v>5.6</v>
      </c>
      <c r="AY205"/>
      <c r="AZ205"/>
      <c r="BA205">
        <v>3.8</v>
      </c>
      <c r="BB205"/>
      <c r="BC205"/>
      <c r="BD205"/>
      <c r="BE205"/>
      <c r="BF205"/>
      <c r="BG205"/>
      <c r="BH205"/>
      <c r="BI205"/>
      <c r="BJ205"/>
      <c r="BK205" t="s">
        <v>273</v>
      </c>
      <c r="BL205"/>
      <c r="BM205" t="s">
        <v>307</v>
      </c>
      <c r="BN205" s="33">
        <v>1657</v>
      </c>
      <c r="BO205" t="s">
        <v>362</v>
      </c>
      <c r="BP205" t="s">
        <v>307</v>
      </c>
      <c r="BQ205"/>
      <c r="BR205"/>
    </row>
    <row r="206" spans="1:70" s="9" customFormat="1">
      <c r="A206" s="14" t="s">
        <v>308</v>
      </c>
      <c r="B206" s="14"/>
      <c r="C206" s="14" t="s">
        <v>286</v>
      </c>
      <c r="D206" s="14"/>
      <c r="E206" s="14" t="s">
        <v>477</v>
      </c>
      <c r="F206" s="14" t="s">
        <v>287</v>
      </c>
      <c r="G206" s="14" t="s">
        <v>94</v>
      </c>
      <c r="H206" s="14" t="s">
        <v>310</v>
      </c>
      <c r="I206" s="14" t="s">
        <v>309</v>
      </c>
      <c r="J206" s="14" t="s">
        <v>310</v>
      </c>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t="s">
        <v>273</v>
      </c>
      <c r="BL206" s="14"/>
      <c r="BM206" s="14" t="s">
        <v>307</v>
      </c>
      <c r="BN206" s="34">
        <v>1657</v>
      </c>
      <c r="BO206" s="14" t="s">
        <v>174</v>
      </c>
      <c r="BP206" s="14" t="s">
        <v>307</v>
      </c>
      <c r="BQ206" s="14"/>
      <c r="BR206" s="14"/>
    </row>
    <row r="207" spans="1:70" s="55" customFormat="1">
      <c r="A207" s="55" t="s">
        <v>311</v>
      </c>
      <c r="C207" s="55" t="s">
        <v>286</v>
      </c>
      <c r="E207" s="55" t="s">
        <v>477</v>
      </c>
      <c r="F207" s="55" t="s">
        <v>287</v>
      </c>
      <c r="G207" s="55" t="s">
        <v>94</v>
      </c>
      <c r="H207" s="55" t="s">
        <v>310</v>
      </c>
      <c r="I207" s="55" t="s">
        <v>309</v>
      </c>
      <c r="J207" s="55" t="s">
        <v>310</v>
      </c>
      <c r="N207" s="55">
        <v>5.6</v>
      </c>
      <c r="Q207" s="55">
        <v>3.7</v>
      </c>
      <c r="R207" s="55">
        <v>8.1999999999999993</v>
      </c>
      <c r="U207" s="55">
        <v>8.4</v>
      </c>
      <c r="AD207" s="55">
        <v>8.1999999999999993</v>
      </c>
      <c r="AG207" s="55">
        <v>12.5</v>
      </c>
      <c r="AH207" s="55">
        <v>5.7</v>
      </c>
      <c r="AK207" s="55">
        <v>9.9</v>
      </c>
      <c r="AL207" s="55">
        <v>4.5999999999999996</v>
      </c>
      <c r="AO207" s="55">
        <v>3.5</v>
      </c>
      <c r="AP207" s="55">
        <v>6.45</v>
      </c>
      <c r="AS207" s="55">
        <v>5.45</v>
      </c>
      <c r="AT207" s="55">
        <v>8.1999999999999993</v>
      </c>
      <c r="AW207" s="55">
        <v>7.2</v>
      </c>
      <c r="BA207" s="55">
        <v>7.95</v>
      </c>
      <c r="BB207" s="55">
        <v>9.1</v>
      </c>
      <c r="BE207" s="55">
        <v>8.35</v>
      </c>
      <c r="BJ207" s="55" t="s">
        <v>311</v>
      </c>
      <c r="BK207" s="55" t="s">
        <v>273</v>
      </c>
      <c r="BM207" s="55" t="s">
        <v>307</v>
      </c>
      <c r="BN207" s="56">
        <v>1657</v>
      </c>
    </row>
    <row r="208" spans="1:70" s="9" customFormat="1">
      <c r="A208" s="22" t="s">
        <v>1241</v>
      </c>
      <c r="B208" s="22"/>
      <c r="C208" s="22" t="s">
        <v>286</v>
      </c>
      <c r="D208" s="22"/>
      <c r="E208" s="22" t="s">
        <v>477</v>
      </c>
      <c r="F208" s="22" t="s">
        <v>287</v>
      </c>
      <c r="G208" s="22" t="s">
        <v>309</v>
      </c>
      <c r="H208" s="22" t="s">
        <v>60</v>
      </c>
      <c r="I208" s="22" t="s">
        <v>309</v>
      </c>
      <c r="J208" s="22" t="s">
        <v>60</v>
      </c>
      <c r="K208" s="22"/>
      <c r="L208" s="22"/>
      <c r="M208" s="22"/>
      <c r="N208" s="22"/>
      <c r="O208" s="22"/>
      <c r="P208" s="22"/>
      <c r="Q208" s="22"/>
      <c r="R208" s="22"/>
      <c r="S208" s="22"/>
      <c r="T208" s="22"/>
      <c r="U208" s="22"/>
      <c r="V208" s="22">
        <v>10.3</v>
      </c>
      <c r="W208" s="22"/>
      <c r="X208" s="22"/>
      <c r="Y208" s="22">
        <v>13.9</v>
      </c>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t="s">
        <v>273</v>
      </c>
      <c r="BL208" s="22"/>
      <c r="BM208" s="30" t="s">
        <v>307</v>
      </c>
      <c r="BN208" s="36">
        <v>1657</v>
      </c>
      <c r="BO208" s="22"/>
      <c r="BP208" s="22"/>
      <c r="BQ208" s="22"/>
      <c r="BR208" s="22"/>
    </row>
    <row r="209" spans="1:70" s="9" customFormat="1">
      <c r="A209" s="22" t="s">
        <v>305</v>
      </c>
      <c r="B209" s="22"/>
      <c r="C209" s="22" t="s">
        <v>286</v>
      </c>
      <c r="D209" s="22"/>
      <c r="E209" s="22" t="s">
        <v>477</v>
      </c>
      <c r="F209" s="22" t="s">
        <v>287</v>
      </c>
      <c r="G209" s="22" t="s">
        <v>94</v>
      </c>
      <c r="H209" s="22" t="s">
        <v>306</v>
      </c>
      <c r="I209" s="22" t="s">
        <v>94</v>
      </c>
      <c r="J209" s="22" t="s">
        <v>306</v>
      </c>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v>8.1999999999999993</v>
      </c>
      <c r="BG209" s="22"/>
      <c r="BH209" s="22"/>
      <c r="BI209" s="22">
        <v>4.9000000000000004</v>
      </c>
      <c r="BJ209" s="22"/>
      <c r="BK209" s="22" t="s">
        <v>273</v>
      </c>
      <c r="BL209" s="22"/>
      <c r="BM209" s="22" t="s">
        <v>307</v>
      </c>
      <c r="BN209" s="36">
        <v>1657</v>
      </c>
      <c r="BO209" s="22"/>
      <c r="BP209" s="22"/>
      <c r="BQ209" s="22"/>
      <c r="BR209" s="22"/>
    </row>
    <row r="210" spans="1:70" s="55" customFormat="1">
      <c r="A210" s="55" t="s">
        <v>311</v>
      </c>
      <c r="C210" s="55" t="s">
        <v>10</v>
      </c>
      <c r="D210" s="55" t="s">
        <v>11</v>
      </c>
      <c r="E210" s="55" t="s">
        <v>293</v>
      </c>
      <c r="F210" s="55" t="s">
        <v>268</v>
      </c>
      <c r="G210" s="55" t="s">
        <v>26</v>
      </c>
      <c r="H210" s="55" t="s">
        <v>30</v>
      </c>
      <c r="I210" s="55" t="s">
        <v>26</v>
      </c>
      <c r="J210" s="55" t="s">
        <v>30</v>
      </c>
      <c r="R210" s="55">
        <v>3</v>
      </c>
      <c r="U210" s="55">
        <v>3.2</v>
      </c>
      <c r="V210" s="55">
        <v>2.8</v>
      </c>
      <c r="Y210" s="55">
        <v>3.9</v>
      </c>
      <c r="Z210" s="55">
        <v>3.1</v>
      </c>
      <c r="AC210" s="55">
        <v>4.3</v>
      </c>
      <c r="AD210" s="55">
        <v>3.3</v>
      </c>
      <c r="AG210" s="55">
        <v>4.9000000000000004</v>
      </c>
      <c r="AH210" s="55">
        <v>2.2999999999999998</v>
      </c>
      <c r="AK210" s="55">
        <v>3.6</v>
      </c>
      <c r="AP210" s="55">
        <v>2.5499999999999998</v>
      </c>
      <c r="AS210" s="55">
        <v>2.0499999999999998</v>
      </c>
      <c r="AT210" s="55">
        <v>2.9</v>
      </c>
      <c r="AW210" s="55">
        <v>2.2200000000000002</v>
      </c>
      <c r="AX210" s="55">
        <v>3.08</v>
      </c>
      <c r="BA210" s="55">
        <v>2.48</v>
      </c>
      <c r="BB210" s="55">
        <v>3.34</v>
      </c>
      <c r="BE210" s="55">
        <v>2.91</v>
      </c>
      <c r="BF210" s="55">
        <v>3.25</v>
      </c>
      <c r="BI210" s="55">
        <v>2.52</v>
      </c>
      <c r="BK210" s="55" t="s">
        <v>273</v>
      </c>
      <c r="BM210" s="55" t="s">
        <v>307</v>
      </c>
      <c r="BN210" s="56">
        <v>1657</v>
      </c>
    </row>
    <row r="211" spans="1:70" s="9" customFormat="1">
      <c r="A211" s="10" t="s">
        <v>983</v>
      </c>
      <c r="B211" s="10"/>
      <c r="C211" s="10" t="s">
        <v>10</v>
      </c>
      <c r="D211" s="10" t="s">
        <v>11</v>
      </c>
      <c r="E211" s="10" t="s">
        <v>165</v>
      </c>
      <c r="F211" s="10"/>
      <c r="G211" s="17" t="s">
        <v>464</v>
      </c>
      <c r="H211" s="17" t="s">
        <v>769</v>
      </c>
      <c r="I211" s="10" t="s">
        <v>464</v>
      </c>
      <c r="J211" s="10" t="s">
        <v>769</v>
      </c>
      <c r="K211" s="10"/>
      <c r="L211" s="10"/>
      <c r="M211" s="10"/>
      <c r="N211" s="10"/>
      <c r="O211" s="10"/>
      <c r="P211" s="10"/>
      <c r="Q211" s="10"/>
      <c r="R211" s="10"/>
      <c r="S211" s="10"/>
      <c r="T211" s="10"/>
      <c r="U211" s="10"/>
      <c r="V211" s="10"/>
      <c r="W211" s="10"/>
      <c r="X211" s="10"/>
      <c r="Y211" s="10">
        <v>11.6</v>
      </c>
      <c r="Z211" s="10">
        <v>10.6</v>
      </c>
      <c r="AA211" s="10"/>
      <c r="AB211" s="10"/>
      <c r="AC211" s="10">
        <v>12.6</v>
      </c>
      <c r="AD211" s="10">
        <v>13.7</v>
      </c>
      <c r="AE211" s="10"/>
      <c r="AF211" s="10"/>
      <c r="AG211" s="10">
        <v>17.100000000000001</v>
      </c>
      <c r="AH211" s="10"/>
      <c r="AI211" s="10"/>
      <c r="AJ211" s="10"/>
      <c r="AK211" s="10"/>
      <c r="AL211" s="10"/>
      <c r="AM211" s="10"/>
      <c r="AN211" s="10"/>
      <c r="AO211" s="10"/>
      <c r="AP211" s="10"/>
      <c r="AQ211" s="10"/>
      <c r="AR211" s="10"/>
      <c r="AS211" s="10"/>
      <c r="AT211" s="10"/>
      <c r="AU211" s="10"/>
      <c r="AV211" s="10"/>
      <c r="AW211" s="10"/>
      <c r="AX211" s="10"/>
      <c r="AY211" s="10"/>
      <c r="AZ211" s="10"/>
      <c r="BA211" s="10"/>
      <c r="BB211" s="10">
        <v>16.5</v>
      </c>
      <c r="BC211" s="10">
        <v>14.8</v>
      </c>
      <c r="BD211" s="10">
        <v>13.6</v>
      </c>
      <c r="BE211" s="10">
        <v>14.8</v>
      </c>
      <c r="BF211" s="10"/>
      <c r="BG211" s="10"/>
      <c r="BH211" s="10"/>
      <c r="BI211" s="10"/>
      <c r="BJ211" s="10" t="s">
        <v>1034</v>
      </c>
      <c r="BK211" s="10" t="s">
        <v>159</v>
      </c>
      <c r="BL211" s="10"/>
      <c r="BM211" s="10" t="s">
        <v>924</v>
      </c>
      <c r="BN211" s="41">
        <v>76629</v>
      </c>
      <c r="BO211" s="10"/>
      <c r="BP211" s="10"/>
      <c r="BQ211" s="10"/>
      <c r="BR211" s="10"/>
    </row>
    <row r="212" spans="1:70" s="9" customFormat="1">
      <c r="A212" s="10" t="s">
        <v>1032</v>
      </c>
      <c r="B212" s="10"/>
      <c r="C212" s="10" t="s">
        <v>10</v>
      </c>
      <c r="D212" s="10" t="s">
        <v>11</v>
      </c>
      <c r="E212" s="10" t="s">
        <v>165</v>
      </c>
      <c r="F212" s="10"/>
      <c r="G212" s="17" t="s">
        <v>464</v>
      </c>
      <c r="H212" s="17" t="s">
        <v>769</v>
      </c>
      <c r="I212" s="10" t="s">
        <v>464</v>
      </c>
      <c r="J212" s="10" t="s">
        <v>769</v>
      </c>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v>15.1</v>
      </c>
      <c r="BG212" s="10">
        <v>9.8000000000000007</v>
      </c>
      <c r="BH212" s="10">
        <v>8.1</v>
      </c>
      <c r="BI212" s="10">
        <v>9.8000000000000007</v>
      </c>
      <c r="BJ212" s="10" t="s">
        <v>1033</v>
      </c>
      <c r="BK212" s="10" t="s">
        <v>159</v>
      </c>
      <c r="BL212" s="10"/>
      <c r="BM212" s="10" t="s">
        <v>924</v>
      </c>
      <c r="BN212" s="41">
        <v>76629</v>
      </c>
      <c r="BO212" s="10"/>
      <c r="BP212" s="10"/>
      <c r="BQ212" s="10"/>
      <c r="BR212" s="10"/>
    </row>
    <row r="213" spans="1:70" s="9" customFormat="1">
      <c r="A213" t="s">
        <v>408</v>
      </c>
      <c r="B213"/>
      <c r="C213" t="s">
        <v>10</v>
      </c>
      <c r="D213" t="s">
        <v>11</v>
      </c>
      <c r="E213" t="s">
        <v>165</v>
      </c>
      <c r="F213"/>
      <c r="G213" t="s">
        <v>464</v>
      </c>
      <c r="H213" t="s">
        <v>402</v>
      </c>
      <c r="I213" t="s">
        <v>464</v>
      </c>
      <c r="J213" t="s">
        <v>402</v>
      </c>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v>10.4</v>
      </c>
      <c r="AU213"/>
      <c r="AV213"/>
      <c r="AW213">
        <v>5.9</v>
      </c>
      <c r="AX213">
        <v>10.3</v>
      </c>
      <c r="AY213">
        <v>7.1</v>
      </c>
      <c r="AZ213">
        <v>8.1999999999999993</v>
      </c>
      <c r="BA213">
        <v>8.1999999999999993</v>
      </c>
      <c r="BB213">
        <v>11</v>
      </c>
      <c r="BC213">
        <v>9.1999999999999993</v>
      </c>
      <c r="BD213">
        <v>9.4</v>
      </c>
      <c r="BE213">
        <v>9.4</v>
      </c>
      <c r="BF213">
        <v>10.6</v>
      </c>
      <c r="BG213">
        <v>8.6999999999999993</v>
      </c>
      <c r="BH213">
        <v>7.9</v>
      </c>
      <c r="BI213">
        <v>8.6999999999999993</v>
      </c>
      <c r="BJ213"/>
      <c r="BK213" t="s">
        <v>159</v>
      </c>
      <c r="BL213"/>
      <c r="BM213" t="s">
        <v>924</v>
      </c>
      <c r="BN213" s="36">
        <v>76629</v>
      </c>
      <c r="BO213"/>
      <c r="BP213"/>
      <c r="BQ213"/>
      <c r="BR213"/>
    </row>
    <row r="214" spans="1:70" s="9" customFormat="1">
      <c r="A214" t="s">
        <v>938</v>
      </c>
      <c r="B214"/>
      <c r="C214" t="s">
        <v>10</v>
      </c>
      <c r="D214" t="s">
        <v>11</v>
      </c>
      <c r="E214" t="s">
        <v>165</v>
      </c>
      <c r="F214"/>
      <c r="G214" t="s">
        <v>464</v>
      </c>
      <c r="H214" t="s">
        <v>402</v>
      </c>
      <c r="I214" t="s">
        <v>464</v>
      </c>
      <c r="J214" t="s">
        <v>402</v>
      </c>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v>12.1</v>
      </c>
      <c r="BC214">
        <v>7.8</v>
      </c>
      <c r="BD214">
        <v>9.3000000000000007</v>
      </c>
      <c r="BE214">
        <v>9.3000000000000007</v>
      </c>
      <c r="BF214">
        <v>12.3</v>
      </c>
      <c r="BG214">
        <v>8.5</v>
      </c>
      <c r="BH214">
        <v>7.5</v>
      </c>
      <c r="BI214">
        <v>8.5</v>
      </c>
      <c r="BJ214"/>
      <c r="BK214" t="s">
        <v>159</v>
      </c>
      <c r="BL214"/>
      <c r="BM214" t="s">
        <v>924</v>
      </c>
      <c r="BN214" s="36">
        <v>76629</v>
      </c>
      <c r="BO214"/>
      <c r="BP214"/>
      <c r="BQ214"/>
      <c r="BR214"/>
    </row>
    <row r="215" spans="1:70" s="9" customFormat="1">
      <c r="A215" t="s">
        <v>939</v>
      </c>
      <c r="B215"/>
      <c r="C215" t="s">
        <v>10</v>
      </c>
      <c r="D215" t="s">
        <v>11</v>
      </c>
      <c r="E215" t="s">
        <v>165</v>
      </c>
      <c r="F215"/>
      <c r="G215" t="s">
        <v>464</v>
      </c>
      <c r="H215" t="s">
        <v>402</v>
      </c>
      <c r="I215" t="s">
        <v>464</v>
      </c>
      <c r="J215" t="s">
        <v>402</v>
      </c>
      <c r="K215"/>
      <c r="L215"/>
      <c r="M215"/>
      <c r="N215"/>
      <c r="O215"/>
      <c r="P215"/>
      <c r="Q215"/>
      <c r="R215"/>
      <c r="S215"/>
      <c r="T215"/>
      <c r="U215"/>
      <c r="V215">
        <v>10.8</v>
      </c>
      <c r="W215"/>
      <c r="X215"/>
      <c r="Y215">
        <v>9.3000000000000007</v>
      </c>
      <c r="Z215"/>
      <c r="AA215"/>
      <c r="AB215"/>
      <c r="AC215"/>
      <c r="AD215"/>
      <c r="AE215"/>
      <c r="AF215"/>
      <c r="AG215"/>
      <c r="AH215">
        <f>AVERAGE(8.6,7.7)</f>
        <v>8.15</v>
      </c>
      <c r="AI215"/>
      <c r="AJ215"/>
      <c r="AK215">
        <f>AVERAGE(11.2,11.3)</f>
        <v>11.25</v>
      </c>
      <c r="AL215"/>
      <c r="AM215"/>
      <c r="AN215"/>
      <c r="AO215"/>
      <c r="AP215"/>
      <c r="AQ215"/>
      <c r="AR215"/>
      <c r="AS215"/>
      <c r="AT215"/>
      <c r="AU215"/>
      <c r="AV215"/>
      <c r="AW215"/>
      <c r="AX215"/>
      <c r="AY215"/>
      <c r="AZ215"/>
      <c r="BA215"/>
      <c r="BB215"/>
      <c r="BC215"/>
      <c r="BD215"/>
      <c r="BE215"/>
      <c r="BF215">
        <v>12.1</v>
      </c>
      <c r="BG215">
        <v>8.4</v>
      </c>
      <c r="BH215">
        <v>7.2</v>
      </c>
      <c r="BI215">
        <v>8.4</v>
      </c>
      <c r="BJ215"/>
      <c r="BK215" t="s">
        <v>159</v>
      </c>
      <c r="BL215"/>
      <c r="BM215" t="s">
        <v>924</v>
      </c>
      <c r="BN215" s="36">
        <v>76629</v>
      </c>
      <c r="BO215"/>
      <c r="BP215"/>
      <c r="BQ215"/>
      <c r="BR215"/>
    </row>
    <row r="216" spans="1:70" s="9" customFormat="1">
      <c r="A216" s="10" t="s">
        <v>940</v>
      </c>
      <c r="B216" s="10"/>
      <c r="C216" s="10" t="s">
        <v>10</v>
      </c>
      <c r="D216" s="10" t="s">
        <v>11</v>
      </c>
      <c r="E216" s="10" t="s">
        <v>165</v>
      </c>
      <c r="F216" s="10"/>
      <c r="G216" s="10" t="s">
        <v>464</v>
      </c>
      <c r="H216" s="10" t="s">
        <v>402</v>
      </c>
      <c r="I216" s="10" t="s">
        <v>464</v>
      </c>
      <c r="J216" s="10" t="s">
        <v>402</v>
      </c>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v>10.1</v>
      </c>
      <c r="AQ216" s="10"/>
      <c r="AR216" s="10"/>
      <c r="AS216" s="10">
        <v>5.7</v>
      </c>
      <c r="AT216" s="10">
        <v>1.1000000000000001</v>
      </c>
      <c r="AU216" s="10"/>
      <c r="AV216" s="10"/>
      <c r="AW216" s="10">
        <v>6.9</v>
      </c>
      <c r="AX216" s="10">
        <v>10.4</v>
      </c>
      <c r="AY216" s="10">
        <v>7.4</v>
      </c>
      <c r="AZ216" s="10">
        <v>9.3000000000000007</v>
      </c>
      <c r="BA216" s="10">
        <v>9.3000000000000007</v>
      </c>
      <c r="BB216" s="10">
        <v>11.8</v>
      </c>
      <c r="BC216" s="10">
        <v>10.3</v>
      </c>
      <c r="BD216" s="10">
        <v>11.2</v>
      </c>
      <c r="BE216" s="10">
        <v>11.2</v>
      </c>
      <c r="BF216" s="10"/>
      <c r="BG216" s="10"/>
      <c r="BH216" s="10"/>
      <c r="BI216" s="10"/>
      <c r="BJ216" s="10" t="s">
        <v>941</v>
      </c>
      <c r="BK216" s="25" t="s">
        <v>159</v>
      </c>
      <c r="BL216" s="25"/>
      <c r="BM216" s="10" t="s">
        <v>924</v>
      </c>
      <c r="BN216" s="41">
        <v>76629</v>
      </c>
      <c r="BO216" s="10"/>
      <c r="BP216" s="10"/>
      <c r="BQ216" s="10"/>
      <c r="BR216" s="10"/>
    </row>
    <row r="217" spans="1:70" s="9" customFormat="1">
      <c r="A217" t="s">
        <v>942</v>
      </c>
      <c r="B217"/>
      <c r="C217" t="s">
        <v>10</v>
      </c>
      <c r="D217" t="s">
        <v>11</v>
      </c>
      <c r="E217" t="s">
        <v>165</v>
      </c>
      <c r="F217"/>
      <c r="G217" t="s">
        <v>464</v>
      </c>
      <c r="H217" t="s">
        <v>402</v>
      </c>
      <c r="I217" t="s">
        <v>464</v>
      </c>
      <c r="J217" t="s">
        <v>402</v>
      </c>
      <c r="K217"/>
      <c r="L217"/>
      <c r="M217"/>
      <c r="N217"/>
      <c r="O217"/>
      <c r="P217"/>
      <c r="Q217"/>
      <c r="R217"/>
      <c r="S217"/>
      <c r="T217"/>
      <c r="U217"/>
      <c r="V217"/>
      <c r="W217"/>
      <c r="X217"/>
      <c r="Y217"/>
      <c r="Z217"/>
      <c r="AA217"/>
      <c r="AB217"/>
      <c r="AC217"/>
      <c r="AD217"/>
      <c r="AE217"/>
      <c r="AF217"/>
      <c r="AG217"/>
      <c r="AH217"/>
      <c r="AI217"/>
      <c r="AJ217"/>
      <c r="AK217"/>
      <c r="AL217"/>
      <c r="AM217"/>
      <c r="AN217"/>
      <c r="AO217"/>
      <c r="AP217">
        <v>9.1</v>
      </c>
      <c r="AQ217"/>
      <c r="AR217"/>
      <c r="AS217">
        <v>4.9000000000000004</v>
      </c>
      <c r="AT217">
        <v>11.9</v>
      </c>
      <c r="AU217"/>
      <c r="AV217"/>
      <c r="AW217">
        <v>5.3</v>
      </c>
      <c r="AX217"/>
      <c r="AY217"/>
      <c r="AZ217"/>
      <c r="BA217"/>
      <c r="BB217"/>
      <c r="BC217"/>
      <c r="BD217"/>
      <c r="BE217"/>
      <c r="BF217"/>
      <c r="BG217"/>
      <c r="BH217"/>
      <c r="BI217"/>
      <c r="BJ217"/>
      <c r="BK217" t="s">
        <v>159</v>
      </c>
      <c r="BL217"/>
      <c r="BM217" t="s">
        <v>924</v>
      </c>
      <c r="BN217" s="36">
        <v>76629</v>
      </c>
      <c r="BO217"/>
      <c r="BP217"/>
      <c r="BQ217"/>
      <c r="BR217"/>
    </row>
    <row r="218" spans="1:70" s="9" customFormat="1">
      <c r="A218" t="s">
        <v>988</v>
      </c>
      <c r="B218"/>
      <c r="C218" t="s">
        <v>10</v>
      </c>
      <c r="D218" t="s">
        <v>11</v>
      </c>
      <c r="E218" t="s">
        <v>165</v>
      </c>
      <c r="F218"/>
      <c r="G218" t="s">
        <v>464</v>
      </c>
      <c r="H218" t="s">
        <v>402</v>
      </c>
      <c r="I218" t="s">
        <v>464</v>
      </c>
      <c r="J218" t="s">
        <v>402</v>
      </c>
      <c r="K218"/>
      <c r="L218"/>
      <c r="M218"/>
      <c r="N218"/>
      <c r="O218"/>
      <c r="P218"/>
      <c r="Q218"/>
      <c r="R218"/>
      <c r="S218"/>
      <c r="T218"/>
      <c r="U218"/>
      <c r="V218">
        <v>8.9</v>
      </c>
      <c r="W218"/>
      <c r="X218"/>
      <c r="Y218">
        <v>9.1999999999999993</v>
      </c>
      <c r="Z218">
        <f>AVERAGE(10.05,10.1)</f>
        <v>10.074999999999999</v>
      </c>
      <c r="AA218"/>
      <c r="AB218"/>
      <c r="AC218">
        <f>AVERAGE(11.2,11.1)</f>
        <v>11.149999999999999</v>
      </c>
      <c r="AD218">
        <f>AVERAGE(10.3,10.3)</f>
        <v>10.3</v>
      </c>
      <c r="AE218"/>
      <c r="AF218"/>
      <c r="AG218">
        <f>AVERAGE(13.1,13.4)</f>
        <v>13.25</v>
      </c>
      <c r="AH218">
        <v>7</v>
      </c>
      <c r="AI218"/>
      <c r="AJ218"/>
      <c r="AK218">
        <v>9.6999999999999993</v>
      </c>
      <c r="AL218"/>
      <c r="AM218"/>
      <c r="AN218"/>
      <c r="AO218"/>
      <c r="AP218"/>
      <c r="AQ218"/>
      <c r="AR218"/>
      <c r="AS218"/>
      <c r="AT218"/>
      <c r="AU218"/>
      <c r="AV218"/>
      <c r="AW218"/>
      <c r="AX218"/>
      <c r="AY218"/>
      <c r="AZ218"/>
      <c r="BA218"/>
      <c r="BB218"/>
      <c r="BC218"/>
      <c r="BD218"/>
      <c r="BE218"/>
      <c r="BF218"/>
      <c r="BG218"/>
      <c r="BH218"/>
      <c r="BI218"/>
      <c r="BJ218"/>
      <c r="BK218" t="s">
        <v>159</v>
      </c>
      <c r="BL218"/>
      <c r="BM218" t="s">
        <v>924</v>
      </c>
      <c r="BN218" s="36">
        <v>76629</v>
      </c>
      <c r="BO218"/>
      <c r="BP218"/>
      <c r="BQ218"/>
      <c r="BR218"/>
    </row>
    <row r="219" spans="1:70" s="9" customFormat="1">
      <c r="A219" t="s">
        <v>989</v>
      </c>
      <c r="B219"/>
      <c r="C219" t="s">
        <v>10</v>
      </c>
      <c r="D219" t="s">
        <v>11</v>
      </c>
      <c r="E219" t="s">
        <v>165</v>
      </c>
      <c r="F219"/>
      <c r="G219" t="s">
        <v>464</v>
      </c>
      <c r="H219" t="s">
        <v>402</v>
      </c>
      <c r="I219" t="s">
        <v>464</v>
      </c>
      <c r="J219" t="s">
        <v>402</v>
      </c>
      <c r="K219"/>
      <c r="L219"/>
      <c r="M219"/>
      <c r="N219"/>
      <c r="O219"/>
      <c r="P219"/>
      <c r="Q219"/>
      <c r="R219"/>
      <c r="S219"/>
      <c r="T219"/>
      <c r="U219"/>
      <c r="V219"/>
      <c r="W219"/>
      <c r="X219"/>
      <c r="Y219"/>
      <c r="Z219">
        <v>10.199999999999999</v>
      </c>
      <c r="AA219"/>
      <c r="AB219"/>
      <c r="AC219">
        <v>12.7</v>
      </c>
      <c r="AD219">
        <v>11.1</v>
      </c>
      <c r="AE219"/>
      <c r="AF219"/>
      <c r="AG219">
        <v>14.9</v>
      </c>
      <c r="AH219">
        <v>7.9</v>
      </c>
      <c r="AI219"/>
      <c r="AJ219"/>
      <c r="AK219">
        <v>12.1</v>
      </c>
      <c r="AL219"/>
      <c r="AM219"/>
      <c r="AN219"/>
      <c r="AO219"/>
      <c r="AP219"/>
      <c r="AQ219"/>
      <c r="AR219"/>
      <c r="AS219"/>
      <c r="AT219"/>
      <c r="AU219"/>
      <c r="AV219"/>
      <c r="AW219"/>
      <c r="AX219"/>
      <c r="AY219"/>
      <c r="AZ219"/>
      <c r="BA219"/>
      <c r="BB219"/>
      <c r="BC219"/>
      <c r="BD219"/>
      <c r="BE219"/>
      <c r="BF219"/>
      <c r="BG219"/>
      <c r="BH219"/>
      <c r="BI219"/>
      <c r="BJ219"/>
      <c r="BK219" t="s">
        <v>159</v>
      </c>
      <c r="BL219"/>
      <c r="BM219" t="s">
        <v>924</v>
      </c>
      <c r="BN219" s="36">
        <v>76629</v>
      </c>
      <c r="BO219"/>
      <c r="BP219"/>
      <c r="BQ219"/>
      <c r="BR219"/>
    </row>
    <row r="220" spans="1:70" s="9" customFormat="1">
      <c r="A220" t="s">
        <v>943</v>
      </c>
      <c r="B220"/>
      <c r="C220" t="s">
        <v>10</v>
      </c>
      <c r="D220" t="s">
        <v>11</v>
      </c>
      <c r="E220" t="s">
        <v>165</v>
      </c>
      <c r="F220"/>
      <c r="G220" t="s">
        <v>464</v>
      </c>
      <c r="H220" t="s">
        <v>402</v>
      </c>
      <c r="I220" t="s">
        <v>464</v>
      </c>
      <c r="J220" t="s">
        <v>402</v>
      </c>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v>10.6</v>
      </c>
      <c r="AU220"/>
      <c r="AV220"/>
      <c r="AW220">
        <v>6</v>
      </c>
      <c r="AX220">
        <v>11.7</v>
      </c>
      <c r="AY220">
        <v>7.3</v>
      </c>
      <c r="AZ220">
        <v>9.4</v>
      </c>
      <c r="BA220">
        <v>9.4</v>
      </c>
      <c r="BB220"/>
      <c r="BC220">
        <v>9.8000000000000007</v>
      </c>
      <c r="BD220"/>
      <c r="BE220"/>
      <c r="BF220">
        <v>12.3</v>
      </c>
      <c r="BG220">
        <v>8</v>
      </c>
      <c r="BH220">
        <v>7.2</v>
      </c>
      <c r="BI220">
        <v>8</v>
      </c>
      <c r="BJ220"/>
      <c r="BK220" t="s">
        <v>159</v>
      </c>
      <c r="BL220"/>
      <c r="BM220" t="s">
        <v>924</v>
      </c>
      <c r="BN220" s="36">
        <v>76629</v>
      </c>
      <c r="BO220"/>
      <c r="BP220"/>
      <c r="BQ220"/>
      <c r="BR220"/>
    </row>
    <row r="221" spans="1:70" s="9" customFormat="1">
      <c r="A221" t="s">
        <v>944</v>
      </c>
      <c r="B221"/>
      <c r="C221" t="s">
        <v>10</v>
      </c>
      <c r="D221" t="s">
        <v>11</v>
      </c>
      <c r="E221" t="s">
        <v>165</v>
      </c>
      <c r="F221"/>
      <c r="G221" t="s">
        <v>464</v>
      </c>
      <c r="H221" t="s">
        <v>402</v>
      </c>
      <c r="I221" t="s">
        <v>464</v>
      </c>
      <c r="J221" t="s">
        <v>402</v>
      </c>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v>6.2</v>
      </c>
      <c r="AX221">
        <v>12.1</v>
      </c>
      <c r="AY221">
        <v>7.3</v>
      </c>
      <c r="AZ221">
        <v>8.1999999999999993</v>
      </c>
      <c r="BA221">
        <v>8.1999999999999993</v>
      </c>
      <c r="BB221"/>
      <c r="BC221">
        <v>9.9</v>
      </c>
      <c r="BD221">
        <v>10.1</v>
      </c>
      <c r="BE221">
        <v>10.1</v>
      </c>
      <c r="BF221"/>
      <c r="BG221"/>
      <c r="BH221"/>
      <c r="BI221"/>
      <c r="BJ221"/>
      <c r="BK221" t="s">
        <v>159</v>
      </c>
      <c r="BL221"/>
      <c r="BM221" t="s">
        <v>924</v>
      </c>
      <c r="BN221" s="36">
        <v>76629</v>
      </c>
      <c r="BO221"/>
      <c r="BP221"/>
      <c r="BQ221"/>
      <c r="BR221"/>
    </row>
    <row r="222" spans="1:70" s="9" customFormat="1">
      <c r="A222" t="s">
        <v>945</v>
      </c>
      <c r="B222"/>
      <c r="C222" t="s">
        <v>10</v>
      </c>
      <c r="D222" t="s">
        <v>11</v>
      </c>
      <c r="E222" t="s">
        <v>165</v>
      </c>
      <c r="F222"/>
      <c r="G222" t="s">
        <v>464</v>
      </c>
      <c r="H222" t="s">
        <v>402</v>
      </c>
      <c r="I222" t="s">
        <v>464</v>
      </c>
      <c r="J222" t="s">
        <v>402</v>
      </c>
      <c r="K222"/>
      <c r="L222"/>
      <c r="M222"/>
      <c r="N222"/>
      <c r="O222"/>
      <c r="P222"/>
      <c r="Q222"/>
      <c r="R222"/>
      <c r="S222"/>
      <c r="T222"/>
      <c r="U222"/>
      <c r="V222"/>
      <c r="W222"/>
      <c r="X222"/>
      <c r="Y222"/>
      <c r="Z222"/>
      <c r="AA222"/>
      <c r="AB222"/>
      <c r="AC222"/>
      <c r="AD222"/>
      <c r="AE222"/>
      <c r="AF222"/>
      <c r="AG222"/>
      <c r="AH222"/>
      <c r="AI222"/>
      <c r="AJ222"/>
      <c r="AK222"/>
      <c r="AL222"/>
      <c r="AM222"/>
      <c r="AN222"/>
      <c r="AO222"/>
      <c r="AP222">
        <v>7.9</v>
      </c>
      <c r="AQ222"/>
      <c r="AR222"/>
      <c r="AS222">
        <v>5.0999999999999996</v>
      </c>
      <c r="AT222">
        <v>10.6</v>
      </c>
      <c r="AU222"/>
      <c r="AV222"/>
      <c r="AW222">
        <v>6.4</v>
      </c>
      <c r="AX222">
        <v>9.8000000000000007</v>
      </c>
      <c r="AY222">
        <v>7</v>
      </c>
      <c r="AZ222">
        <v>8.1999999999999993</v>
      </c>
      <c r="BA222">
        <v>8.1999999999999993</v>
      </c>
      <c r="BB222">
        <v>12</v>
      </c>
      <c r="BC222">
        <v>8.9</v>
      </c>
      <c r="BD222">
        <v>9.1999999999999993</v>
      </c>
      <c r="BE222">
        <v>9.1999999999999993</v>
      </c>
      <c r="BF222"/>
      <c r="BG222">
        <v>6.3</v>
      </c>
      <c r="BH222"/>
      <c r="BI222">
        <v>6.3</v>
      </c>
      <c r="BJ222"/>
      <c r="BK222" t="s">
        <v>159</v>
      </c>
      <c r="BL222"/>
      <c r="BM222" t="s">
        <v>924</v>
      </c>
      <c r="BN222" s="36">
        <v>76629</v>
      </c>
      <c r="BO222"/>
      <c r="BP222"/>
      <c r="BQ222"/>
      <c r="BR222"/>
    </row>
    <row r="223" spans="1:70" s="9" customFormat="1">
      <c r="A223" t="s">
        <v>925</v>
      </c>
      <c r="B223"/>
      <c r="C223" t="s">
        <v>10</v>
      </c>
      <c r="D223" t="s">
        <v>11</v>
      </c>
      <c r="E223" t="s">
        <v>165</v>
      </c>
      <c r="F223"/>
      <c r="G223" t="s">
        <v>464</v>
      </c>
      <c r="H223" t="s">
        <v>402</v>
      </c>
      <c r="I223" t="s">
        <v>464</v>
      </c>
      <c r="J223" t="s">
        <v>402</v>
      </c>
      <c r="K223"/>
      <c r="L223"/>
      <c r="M223"/>
      <c r="N223"/>
      <c r="O223"/>
      <c r="P223"/>
      <c r="Q223"/>
      <c r="R223"/>
      <c r="S223"/>
      <c r="T223"/>
      <c r="U223"/>
      <c r="V223"/>
      <c r="W223"/>
      <c r="X223"/>
      <c r="Y223"/>
      <c r="Z223"/>
      <c r="AA223"/>
      <c r="AB223"/>
      <c r="AC223"/>
      <c r="AD223"/>
      <c r="AE223"/>
      <c r="AF223"/>
      <c r="AG223"/>
      <c r="AH223"/>
      <c r="AI223"/>
      <c r="AJ223"/>
      <c r="AK223"/>
      <c r="AL223">
        <v>5.0999999999999996</v>
      </c>
      <c r="AM223"/>
      <c r="AN223"/>
      <c r="AO223">
        <v>2.8</v>
      </c>
      <c r="AP223"/>
      <c r="AQ223"/>
      <c r="AR223"/>
      <c r="AS223"/>
      <c r="AT223">
        <v>11.1</v>
      </c>
      <c r="AU223"/>
      <c r="AV223"/>
      <c r="AW223">
        <v>6.1</v>
      </c>
      <c r="AX223">
        <v>10.6</v>
      </c>
      <c r="AY223">
        <v>7.8</v>
      </c>
      <c r="AZ223">
        <v>7.9</v>
      </c>
      <c r="BA223">
        <v>7.9</v>
      </c>
      <c r="BB223">
        <v>12.6</v>
      </c>
      <c r="BC223">
        <v>10.1</v>
      </c>
      <c r="BD223">
        <v>10</v>
      </c>
      <c r="BE223">
        <v>10.1</v>
      </c>
      <c r="BF223">
        <v>11.3</v>
      </c>
      <c r="BG223">
        <v>8.6999999999999993</v>
      </c>
      <c r="BH223">
        <v>7.2</v>
      </c>
      <c r="BI223">
        <v>8.6999999999999993</v>
      </c>
      <c r="BJ223"/>
      <c r="BK223" t="s">
        <v>159</v>
      </c>
      <c r="BL223"/>
      <c r="BM223" t="s">
        <v>924</v>
      </c>
      <c r="BN223" s="36">
        <v>76629</v>
      </c>
      <c r="BO223"/>
      <c r="BP223"/>
      <c r="BQ223"/>
      <c r="BR223"/>
    </row>
    <row r="224" spans="1:70" s="9" customFormat="1">
      <c r="A224" t="s">
        <v>926</v>
      </c>
      <c r="B224"/>
      <c r="C224" t="s">
        <v>10</v>
      </c>
      <c r="D224" t="s">
        <v>11</v>
      </c>
      <c r="E224" t="s">
        <v>165</v>
      </c>
      <c r="F224"/>
      <c r="G224" t="s">
        <v>464</v>
      </c>
      <c r="H224" t="s">
        <v>402</v>
      </c>
      <c r="I224" t="s">
        <v>464</v>
      </c>
      <c r="J224" t="s">
        <v>402</v>
      </c>
      <c r="K224"/>
      <c r="L224"/>
      <c r="M224"/>
      <c r="N224"/>
      <c r="O224"/>
      <c r="P224"/>
      <c r="Q224"/>
      <c r="R224"/>
      <c r="S224"/>
      <c r="T224"/>
      <c r="U224"/>
      <c r="V224"/>
      <c r="W224"/>
      <c r="X224"/>
      <c r="Y224"/>
      <c r="Z224"/>
      <c r="AA224"/>
      <c r="AB224"/>
      <c r="AC224"/>
      <c r="AD224"/>
      <c r="AE224"/>
      <c r="AF224"/>
      <c r="AG224"/>
      <c r="AH224"/>
      <c r="AI224"/>
      <c r="AJ224"/>
      <c r="AK224"/>
      <c r="AL224"/>
      <c r="AM224"/>
      <c r="AN224"/>
      <c r="AO224"/>
      <c r="AP224">
        <v>10.199999999999999</v>
      </c>
      <c r="AQ224"/>
      <c r="AR224"/>
      <c r="AS224">
        <v>4.8</v>
      </c>
      <c r="AT224">
        <f>AVERAGE(12.9)</f>
        <v>12.9</v>
      </c>
      <c r="AU224"/>
      <c r="AV224"/>
      <c r="AW224">
        <f>AVERAGE(6.6, 6.7)</f>
        <v>6.65</v>
      </c>
      <c r="AX224">
        <f>AVERAGE(10.8)</f>
        <v>10.8</v>
      </c>
      <c r="AY224">
        <f>AVERAGE(7.5)</f>
        <v>7.5</v>
      </c>
      <c r="AZ224">
        <f>AVERAGE(8.6,8.6)</f>
        <v>8.6</v>
      </c>
      <c r="BA224">
        <f>MAX(AY224:AZ224)</f>
        <v>8.6</v>
      </c>
      <c r="BB224">
        <f>AVERAGE(12.7,12.9)</f>
        <v>12.8</v>
      </c>
      <c r="BC224">
        <f>AVERAGE(10.3,10.4)</f>
        <v>10.350000000000001</v>
      </c>
      <c r="BD224">
        <f>AVERAGE(10.2,10.2)</f>
        <v>10.199999999999999</v>
      </c>
      <c r="BE224">
        <f>MAX(BC224:BD224)</f>
        <v>10.350000000000001</v>
      </c>
      <c r="BF224">
        <f>AVERAGE(13.4,12.9)</f>
        <v>13.15</v>
      </c>
      <c r="BG224">
        <f>AVERAGE(9.2,9.2)</f>
        <v>9.1999999999999993</v>
      </c>
      <c r="BH224">
        <f>AVERAGE(8.9,8.7)</f>
        <v>8.8000000000000007</v>
      </c>
      <c r="BI224">
        <f>MAX(BG224:BH224)</f>
        <v>9.1999999999999993</v>
      </c>
      <c r="BJ224"/>
      <c r="BK224" t="s">
        <v>159</v>
      </c>
      <c r="BL224"/>
      <c r="BM224" t="s">
        <v>924</v>
      </c>
      <c r="BN224" s="36">
        <v>76629</v>
      </c>
      <c r="BO224"/>
      <c r="BP224"/>
      <c r="BQ224"/>
      <c r="BR224"/>
    </row>
    <row r="225" spans="1:70" s="9" customFormat="1">
      <c r="A225" t="s">
        <v>927</v>
      </c>
      <c r="B225"/>
      <c r="C225" t="s">
        <v>10</v>
      </c>
      <c r="D225" t="s">
        <v>11</v>
      </c>
      <c r="E225" t="s">
        <v>165</v>
      </c>
      <c r="F225"/>
      <c r="G225" t="s">
        <v>464</v>
      </c>
      <c r="H225" t="s">
        <v>402</v>
      </c>
      <c r="I225" t="s">
        <v>464</v>
      </c>
      <c r="J225" t="s">
        <v>402</v>
      </c>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v>8.6999999999999993</v>
      </c>
      <c r="BA225">
        <v>8.6999999999999993</v>
      </c>
      <c r="BB225"/>
      <c r="BC225"/>
      <c r="BD225"/>
      <c r="BE225"/>
      <c r="BF225"/>
      <c r="BG225"/>
      <c r="BH225"/>
      <c r="BI225"/>
      <c r="BJ225"/>
      <c r="BK225" t="s">
        <v>159</v>
      </c>
      <c r="BL225"/>
      <c r="BM225" t="s">
        <v>924</v>
      </c>
      <c r="BN225" s="36">
        <v>76629</v>
      </c>
      <c r="BO225"/>
      <c r="BP225"/>
      <c r="BQ225"/>
      <c r="BR225"/>
    </row>
    <row r="226" spans="1:70" s="9" customFormat="1">
      <c r="A226" t="s">
        <v>928</v>
      </c>
      <c r="B226"/>
      <c r="C226" t="s">
        <v>10</v>
      </c>
      <c r="D226" t="s">
        <v>11</v>
      </c>
      <c r="E226" t="s">
        <v>165</v>
      </c>
      <c r="F226"/>
      <c r="G226" t="s">
        <v>464</v>
      </c>
      <c r="H226" t="s">
        <v>402</v>
      </c>
      <c r="I226" t="s">
        <v>464</v>
      </c>
      <c r="J226" t="s">
        <v>402</v>
      </c>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v>8.1</v>
      </c>
      <c r="AX226"/>
      <c r="AY226"/>
      <c r="AZ226"/>
      <c r="BA226"/>
      <c r="BB226">
        <v>13.4</v>
      </c>
      <c r="BC226"/>
      <c r="BD226"/>
      <c r="BE226"/>
      <c r="BF226">
        <f>AVERAGE(12.9,13.7)</f>
        <v>13.3</v>
      </c>
      <c r="BG226">
        <f>AVERAGE(9,9.1)</f>
        <v>9.0500000000000007</v>
      </c>
      <c r="BH226">
        <f>AVERAGE(8.3,8.7)</f>
        <v>8.5</v>
      </c>
      <c r="BI226">
        <f>MAX(BG226:BH226)</f>
        <v>9.0500000000000007</v>
      </c>
      <c r="BJ226"/>
      <c r="BK226" t="s">
        <v>159</v>
      </c>
      <c r="BL226"/>
      <c r="BM226" t="s">
        <v>924</v>
      </c>
      <c r="BN226" s="36">
        <v>76629</v>
      </c>
      <c r="BO226"/>
      <c r="BP226"/>
      <c r="BQ226"/>
      <c r="BR226"/>
    </row>
    <row r="227" spans="1:70">
      <c r="A227" t="s">
        <v>1025</v>
      </c>
      <c r="C227" t="s">
        <v>10</v>
      </c>
      <c r="D227" t="s">
        <v>11</v>
      </c>
      <c r="E227" t="s">
        <v>165</v>
      </c>
      <c r="G227" t="s">
        <v>464</v>
      </c>
      <c r="H227" t="s">
        <v>402</v>
      </c>
      <c r="I227" t="s">
        <v>464</v>
      </c>
      <c r="J227" t="s">
        <v>405</v>
      </c>
      <c r="V227">
        <v>9</v>
      </c>
      <c r="Y227">
        <v>8.1</v>
      </c>
      <c r="Z227">
        <v>9.1</v>
      </c>
      <c r="AC227">
        <v>11.1</v>
      </c>
      <c r="AD227">
        <v>9.9</v>
      </c>
      <c r="AG227">
        <v>11.6</v>
      </c>
      <c r="AH227">
        <v>7.3</v>
      </c>
      <c r="AK227">
        <v>10.5</v>
      </c>
      <c r="BK227" t="s">
        <v>159</v>
      </c>
      <c r="BM227" t="s">
        <v>924</v>
      </c>
      <c r="BN227" s="36">
        <v>76629</v>
      </c>
      <c r="BO227" t="s">
        <v>362</v>
      </c>
      <c r="BP227" t="s">
        <v>924</v>
      </c>
    </row>
    <row r="228" spans="1:70">
      <c r="A228" t="s">
        <v>984</v>
      </c>
      <c r="C228" t="s">
        <v>10</v>
      </c>
      <c r="D228" t="s">
        <v>11</v>
      </c>
      <c r="E228" t="s">
        <v>165</v>
      </c>
      <c r="G228" t="s">
        <v>464</v>
      </c>
      <c r="H228" t="s">
        <v>402</v>
      </c>
      <c r="I228" t="s">
        <v>464</v>
      </c>
      <c r="J228" t="s">
        <v>402</v>
      </c>
      <c r="AD228">
        <v>10.8</v>
      </c>
      <c r="AG228">
        <v>13.4</v>
      </c>
      <c r="BK228" t="s">
        <v>159</v>
      </c>
      <c r="BM228" t="s">
        <v>924</v>
      </c>
      <c r="BN228" s="36">
        <v>76629</v>
      </c>
    </row>
    <row r="229" spans="1:70">
      <c r="A229" t="s">
        <v>929</v>
      </c>
      <c r="C229" t="s">
        <v>10</v>
      </c>
      <c r="D229" t="s">
        <v>11</v>
      </c>
      <c r="E229" t="s">
        <v>165</v>
      </c>
      <c r="G229" t="s">
        <v>464</v>
      </c>
      <c r="H229" t="s">
        <v>402</v>
      </c>
      <c r="I229" t="s">
        <v>464</v>
      </c>
      <c r="J229" t="s">
        <v>402</v>
      </c>
      <c r="AX229">
        <v>10.8</v>
      </c>
      <c r="AY229">
        <v>6.9</v>
      </c>
      <c r="AZ229">
        <v>8.3000000000000007</v>
      </c>
      <c r="BA229">
        <v>8.3000000000000007</v>
      </c>
      <c r="BB229">
        <v>12.7</v>
      </c>
      <c r="BC229">
        <v>9.1999999999999993</v>
      </c>
      <c r="BD229">
        <v>10.1</v>
      </c>
      <c r="BE229">
        <v>10.1</v>
      </c>
      <c r="BF229">
        <v>12.8</v>
      </c>
      <c r="BG229">
        <v>8.6</v>
      </c>
      <c r="BH229">
        <v>7.9</v>
      </c>
      <c r="BI229">
        <v>8.6</v>
      </c>
      <c r="BK229" t="s">
        <v>159</v>
      </c>
      <c r="BM229" t="s">
        <v>924</v>
      </c>
      <c r="BN229" s="36">
        <v>76629</v>
      </c>
    </row>
    <row r="230" spans="1:70">
      <c r="A230" t="s">
        <v>930</v>
      </c>
      <c r="C230" t="s">
        <v>10</v>
      </c>
      <c r="D230" t="s">
        <v>11</v>
      </c>
      <c r="E230" t="s">
        <v>165</v>
      </c>
      <c r="G230" t="s">
        <v>464</v>
      </c>
      <c r="H230" t="s">
        <v>402</v>
      </c>
      <c r="I230" t="s">
        <v>464</v>
      </c>
      <c r="J230" t="s">
        <v>402</v>
      </c>
      <c r="AP230">
        <v>9.8000000000000007</v>
      </c>
      <c r="AS230">
        <v>5.9</v>
      </c>
      <c r="AW230">
        <v>7</v>
      </c>
      <c r="AX230">
        <v>12.5</v>
      </c>
      <c r="AY230">
        <v>8.1999999999999993</v>
      </c>
      <c r="BA230">
        <v>8.1999999999999993</v>
      </c>
      <c r="BB230">
        <v>13</v>
      </c>
      <c r="BC230">
        <v>10.9</v>
      </c>
      <c r="BD230">
        <v>10.9</v>
      </c>
      <c r="BE230">
        <v>10.9</v>
      </c>
      <c r="BF230">
        <v>12.4</v>
      </c>
      <c r="BG230">
        <v>9.1999999999999993</v>
      </c>
      <c r="BH230">
        <v>8.5</v>
      </c>
      <c r="BI230">
        <v>9.1999999999999993</v>
      </c>
      <c r="BK230" t="s">
        <v>159</v>
      </c>
      <c r="BM230" t="s">
        <v>924</v>
      </c>
      <c r="BN230" s="36">
        <v>76629</v>
      </c>
    </row>
    <row r="231" spans="1:70">
      <c r="A231" t="s">
        <v>931</v>
      </c>
      <c r="C231" t="s">
        <v>10</v>
      </c>
      <c r="D231" t="s">
        <v>11</v>
      </c>
      <c r="E231" t="s">
        <v>165</v>
      </c>
      <c r="G231" t="s">
        <v>464</v>
      </c>
      <c r="H231" t="s">
        <v>402</v>
      </c>
      <c r="I231" t="s">
        <v>464</v>
      </c>
      <c r="J231" t="s">
        <v>402</v>
      </c>
      <c r="AX231">
        <v>11.9</v>
      </c>
      <c r="AY231">
        <v>8</v>
      </c>
      <c r="AZ231">
        <v>9.3000000000000007</v>
      </c>
      <c r="BA231">
        <v>9.3000000000000007</v>
      </c>
      <c r="BF231">
        <v>14.4</v>
      </c>
      <c r="BG231">
        <v>8.9</v>
      </c>
      <c r="BH231">
        <v>7.8</v>
      </c>
      <c r="BI231">
        <v>8.9</v>
      </c>
      <c r="BK231" t="s">
        <v>159</v>
      </c>
      <c r="BM231" t="s">
        <v>924</v>
      </c>
      <c r="BN231" s="36">
        <v>76629</v>
      </c>
    </row>
    <row r="232" spans="1:70">
      <c r="A232" t="s">
        <v>410</v>
      </c>
      <c r="C232" t="s">
        <v>10</v>
      </c>
      <c r="D232" t="s">
        <v>11</v>
      </c>
      <c r="E232" t="s">
        <v>165</v>
      </c>
      <c r="G232" t="s">
        <v>464</v>
      </c>
      <c r="H232" t="s">
        <v>402</v>
      </c>
      <c r="I232" t="s">
        <v>464</v>
      </c>
      <c r="J232" t="s">
        <v>402</v>
      </c>
      <c r="AL232">
        <v>6</v>
      </c>
      <c r="AO232">
        <v>3.2</v>
      </c>
      <c r="AP232">
        <v>9.8000000000000007</v>
      </c>
      <c r="AS232">
        <v>4.3</v>
      </c>
      <c r="AT232">
        <v>11</v>
      </c>
      <c r="AW232">
        <v>6.1</v>
      </c>
      <c r="AX232">
        <f>AVERAGE(10.8,11.1)</f>
        <v>10.95</v>
      </c>
      <c r="AY232">
        <f>AVERAGE(8.2,7.1)</f>
        <v>7.6499999999999995</v>
      </c>
      <c r="AZ232">
        <f>AVERAGE(8.7,8.7)</f>
        <v>8.6999999999999993</v>
      </c>
      <c r="BA232">
        <f>MAX(AY232:AZ232)</f>
        <v>8.6999999999999993</v>
      </c>
      <c r="BB232">
        <v>12.1</v>
      </c>
      <c r="BC232">
        <v>9.5</v>
      </c>
      <c r="BD232">
        <v>10.1</v>
      </c>
      <c r="BE232">
        <v>10.1</v>
      </c>
      <c r="BK232" t="s">
        <v>159</v>
      </c>
      <c r="BM232" t="s">
        <v>924</v>
      </c>
      <c r="BN232" s="36">
        <v>76629</v>
      </c>
    </row>
    <row r="233" spans="1:70" s="22" customFormat="1">
      <c r="A233" s="22" t="s">
        <v>400</v>
      </c>
      <c r="C233" s="22" t="s">
        <v>10</v>
      </c>
      <c r="D233" s="22" t="s">
        <v>11</v>
      </c>
      <c r="E233" s="22" t="s">
        <v>165</v>
      </c>
      <c r="G233" s="22" t="s">
        <v>464</v>
      </c>
      <c r="H233" s="22" t="s">
        <v>402</v>
      </c>
      <c r="I233" s="22" t="s">
        <v>464</v>
      </c>
      <c r="J233" s="22" t="s">
        <v>402</v>
      </c>
      <c r="Z233" s="22">
        <f>AVERAGE(11,10.8)</f>
        <v>10.9</v>
      </c>
      <c r="AC233" s="22">
        <f>AVERAGE(11.4,11.5)</f>
        <v>11.45</v>
      </c>
      <c r="AH233" s="22">
        <v>9.1</v>
      </c>
      <c r="AK233" s="22">
        <v>11.6</v>
      </c>
      <c r="BB233" s="22">
        <v>14.3</v>
      </c>
      <c r="BC233" s="22">
        <v>9.9</v>
      </c>
      <c r="BD233" s="22">
        <v>10.9</v>
      </c>
      <c r="BE233" s="22">
        <v>10.9</v>
      </c>
      <c r="BF233" s="22">
        <v>14.5</v>
      </c>
      <c r="BG233" s="22">
        <v>8.9</v>
      </c>
      <c r="BH233" s="22">
        <v>8</v>
      </c>
      <c r="BI233" s="22">
        <v>8.9</v>
      </c>
      <c r="BK233" s="22" t="s">
        <v>159</v>
      </c>
      <c r="BM233" s="22" t="s">
        <v>924</v>
      </c>
      <c r="BN233" s="36">
        <v>76629</v>
      </c>
      <c r="BO233" s="22" t="s">
        <v>362</v>
      </c>
      <c r="BP233" s="22" t="s">
        <v>924</v>
      </c>
    </row>
    <row r="234" spans="1:70">
      <c r="A234" t="s">
        <v>932</v>
      </c>
      <c r="C234" t="s">
        <v>10</v>
      </c>
      <c r="D234" t="s">
        <v>11</v>
      </c>
      <c r="E234" t="s">
        <v>165</v>
      </c>
      <c r="G234" t="s">
        <v>464</v>
      </c>
      <c r="H234" t="s">
        <v>402</v>
      </c>
      <c r="I234" t="s">
        <v>464</v>
      </c>
      <c r="J234" t="s">
        <v>402</v>
      </c>
      <c r="AT234">
        <v>11.2</v>
      </c>
      <c r="AW234">
        <v>5.8</v>
      </c>
      <c r="BF234">
        <v>12.1</v>
      </c>
      <c r="BG234">
        <v>8.1999999999999993</v>
      </c>
      <c r="BH234">
        <v>7.6</v>
      </c>
      <c r="BI234">
        <v>8.1999999999999993</v>
      </c>
      <c r="BK234" t="s">
        <v>159</v>
      </c>
      <c r="BM234" t="s">
        <v>924</v>
      </c>
      <c r="BN234" s="36">
        <v>76629</v>
      </c>
    </row>
    <row r="235" spans="1:70">
      <c r="A235" t="s">
        <v>932</v>
      </c>
      <c r="C235" t="s">
        <v>10</v>
      </c>
      <c r="D235" t="s">
        <v>11</v>
      </c>
      <c r="E235" t="s">
        <v>165</v>
      </c>
      <c r="G235" t="s">
        <v>464</v>
      </c>
      <c r="H235" t="s">
        <v>402</v>
      </c>
      <c r="I235" t="s">
        <v>464</v>
      </c>
      <c r="J235" t="s">
        <v>402</v>
      </c>
      <c r="V235">
        <v>9.6</v>
      </c>
      <c r="AD235">
        <v>11.4</v>
      </c>
      <c r="AH235">
        <v>8.6999999999999993</v>
      </c>
      <c r="AK235">
        <v>12.2</v>
      </c>
      <c r="BK235" t="s">
        <v>159</v>
      </c>
      <c r="BM235" t="s">
        <v>924</v>
      </c>
      <c r="BN235" s="36">
        <v>76629</v>
      </c>
    </row>
    <row r="236" spans="1:70">
      <c r="A236" t="s">
        <v>985</v>
      </c>
      <c r="C236" t="s">
        <v>10</v>
      </c>
      <c r="D236" t="s">
        <v>11</v>
      </c>
      <c r="E236" t="s">
        <v>165</v>
      </c>
      <c r="G236" t="s">
        <v>464</v>
      </c>
      <c r="H236" t="s">
        <v>402</v>
      </c>
      <c r="I236" t="s">
        <v>464</v>
      </c>
      <c r="J236" t="s">
        <v>402</v>
      </c>
      <c r="AD236">
        <v>12.5</v>
      </c>
      <c r="AG236">
        <v>15.3</v>
      </c>
      <c r="BK236" t="s">
        <v>159</v>
      </c>
      <c r="BM236" t="s">
        <v>924</v>
      </c>
      <c r="BN236" s="36">
        <v>76629</v>
      </c>
    </row>
    <row r="237" spans="1:70">
      <c r="A237" t="s">
        <v>409</v>
      </c>
      <c r="C237" t="s">
        <v>10</v>
      </c>
      <c r="D237" t="s">
        <v>11</v>
      </c>
      <c r="E237" t="s">
        <v>165</v>
      </c>
      <c r="G237" t="s">
        <v>464</v>
      </c>
      <c r="H237" t="s">
        <v>402</v>
      </c>
      <c r="I237" t="s">
        <v>464</v>
      </c>
      <c r="J237" t="s">
        <v>402</v>
      </c>
      <c r="AT237">
        <v>10.9</v>
      </c>
      <c r="AW237">
        <v>6.3</v>
      </c>
      <c r="AX237">
        <v>11.1</v>
      </c>
      <c r="AY237">
        <v>7.8</v>
      </c>
      <c r="AZ237">
        <v>9.1999999999999993</v>
      </c>
      <c r="BA237">
        <v>9.1999999999999993</v>
      </c>
      <c r="BK237" t="s">
        <v>159</v>
      </c>
      <c r="BM237" t="s">
        <v>924</v>
      </c>
      <c r="BN237" s="36">
        <v>76629</v>
      </c>
    </row>
    <row r="238" spans="1:70">
      <c r="A238" t="s">
        <v>986</v>
      </c>
      <c r="C238" t="s">
        <v>10</v>
      </c>
      <c r="D238" t="s">
        <v>11</v>
      </c>
      <c r="E238" t="s">
        <v>165</v>
      </c>
      <c r="G238" t="s">
        <v>464</v>
      </c>
      <c r="H238" t="s">
        <v>402</v>
      </c>
      <c r="I238" t="s">
        <v>464</v>
      </c>
      <c r="J238" t="s">
        <v>402</v>
      </c>
      <c r="AD238">
        <v>12.5</v>
      </c>
      <c r="AG238">
        <v>13.6</v>
      </c>
      <c r="BK238" t="s">
        <v>159</v>
      </c>
      <c r="BM238" t="s">
        <v>924</v>
      </c>
      <c r="BN238" s="36">
        <v>76629</v>
      </c>
    </row>
    <row r="239" spans="1:70">
      <c r="A239" t="s">
        <v>987</v>
      </c>
      <c r="C239" t="s">
        <v>10</v>
      </c>
      <c r="D239" t="s">
        <v>11</v>
      </c>
      <c r="E239" t="s">
        <v>165</v>
      </c>
      <c r="G239" t="s">
        <v>464</v>
      </c>
      <c r="H239" t="s">
        <v>402</v>
      </c>
      <c r="I239" t="s">
        <v>464</v>
      </c>
      <c r="J239" t="s">
        <v>402</v>
      </c>
      <c r="V239">
        <v>9.9</v>
      </c>
      <c r="Y239">
        <v>8</v>
      </c>
      <c r="BK239" t="s">
        <v>159</v>
      </c>
      <c r="BM239" t="s">
        <v>924</v>
      </c>
      <c r="BN239" s="36">
        <v>76629</v>
      </c>
    </row>
    <row r="240" spans="1:70">
      <c r="A240" t="s">
        <v>933</v>
      </c>
      <c r="C240" t="s">
        <v>10</v>
      </c>
      <c r="D240" t="s">
        <v>11</v>
      </c>
      <c r="E240" t="s">
        <v>165</v>
      </c>
      <c r="G240" t="s">
        <v>464</v>
      </c>
      <c r="H240" t="s">
        <v>402</v>
      </c>
      <c r="I240" t="s">
        <v>464</v>
      </c>
      <c r="J240" t="s">
        <v>402</v>
      </c>
      <c r="BB240">
        <v>10.9</v>
      </c>
      <c r="BC240">
        <v>9.3000000000000007</v>
      </c>
      <c r="BD240">
        <v>8.3000000000000007</v>
      </c>
      <c r="BE240">
        <v>9.3000000000000007</v>
      </c>
      <c r="BK240" t="s">
        <v>159</v>
      </c>
      <c r="BM240" t="s">
        <v>924</v>
      </c>
      <c r="BN240" s="36">
        <v>76629</v>
      </c>
    </row>
    <row r="241" spans="1:66">
      <c r="A241" t="s">
        <v>934</v>
      </c>
      <c r="C241" t="s">
        <v>10</v>
      </c>
      <c r="D241" t="s">
        <v>11</v>
      </c>
      <c r="E241" t="s">
        <v>165</v>
      </c>
      <c r="G241" t="s">
        <v>464</v>
      </c>
      <c r="H241" t="s">
        <v>402</v>
      </c>
      <c r="I241" t="s">
        <v>464</v>
      </c>
      <c r="J241" t="s">
        <v>402</v>
      </c>
      <c r="BF241">
        <v>13.7</v>
      </c>
      <c r="BG241">
        <v>8.6</v>
      </c>
      <c r="BH241">
        <v>7.9</v>
      </c>
      <c r="BI241">
        <v>8.6</v>
      </c>
      <c r="BK241" s="3" t="s">
        <v>159</v>
      </c>
      <c r="BL241" s="3"/>
      <c r="BM241" t="s">
        <v>924</v>
      </c>
      <c r="BN241" s="36">
        <v>76629</v>
      </c>
    </row>
    <row r="242" spans="1:66">
      <c r="A242" t="s">
        <v>935</v>
      </c>
      <c r="C242" t="s">
        <v>10</v>
      </c>
      <c r="D242" t="s">
        <v>11</v>
      </c>
      <c r="E242" t="s">
        <v>165</v>
      </c>
      <c r="G242" t="s">
        <v>464</v>
      </c>
      <c r="H242" t="s">
        <v>402</v>
      </c>
      <c r="I242" t="s">
        <v>464</v>
      </c>
      <c r="J242" t="s">
        <v>402</v>
      </c>
      <c r="BB242">
        <v>13.9</v>
      </c>
      <c r="BD242">
        <v>11.2</v>
      </c>
      <c r="BE242">
        <v>11</v>
      </c>
      <c r="BK242" t="s">
        <v>159</v>
      </c>
      <c r="BM242" t="s">
        <v>924</v>
      </c>
      <c r="BN242" s="36">
        <v>76629</v>
      </c>
    </row>
    <row r="243" spans="1:66">
      <c r="A243" t="s">
        <v>936</v>
      </c>
      <c r="C243" t="s">
        <v>10</v>
      </c>
      <c r="D243" t="s">
        <v>11</v>
      </c>
      <c r="E243" t="s">
        <v>165</v>
      </c>
      <c r="G243" t="s">
        <v>464</v>
      </c>
      <c r="H243" t="s">
        <v>402</v>
      </c>
      <c r="I243" t="s">
        <v>464</v>
      </c>
      <c r="J243" t="s">
        <v>402</v>
      </c>
      <c r="AW243">
        <v>6.6</v>
      </c>
      <c r="AX243">
        <v>12</v>
      </c>
      <c r="AY243">
        <v>7.8</v>
      </c>
      <c r="AZ243">
        <v>9.1999999999999993</v>
      </c>
      <c r="BA243">
        <v>9.1999999999999993</v>
      </c>
      <c r="BC243">
        <v>9.9</v>
      </c>
      <c r="BD243">
        <v>10.3</v>
      </c>
      <c r="BE243">
        <v>10.3</v>
      </c>
      <c r="BK243" s="3" t="s">
        <v>159</v>
      </c>
      <c r="BL243" s="3"/>
      <c r="BM243" t="s">
        <v>924</v>
      </c>
      <c r="BN243" s="36">
        <v>76629</v>
      </c>
    </row>
    <row r="244" spans="1:66">
      <c r="A244" t="s">
        <v>937</v>
      </c>
      <c r="C244" t="s">
        <v>10</v>
      </c>
      <c r="D244" t="s">
        <v>11</v>
      </c>
      <c r="E244" t="s">
        <v>165</v>
      </c>
      <c r="G244" t="s">
        <v>464</v>
      </c>
      <c r="H244" t="s">
        <v>402</v>
      </c>
      <c r="I244" t="s">
        <v>464</v>
      </c>
      <c r="J244" t="s">
        <v>402</v>
      </c>
      <c r="BB244">
        <v>13.8</v>
      </c>
      <c r="BC244">
        <v>9.9</v>
      </c>
      <c r="BD244">
        <v>10.4</v>
      </c>
      <c r="BE244">
        <v>10.4</v>
      </c>
      <c r="BF244">
        <v>14.6</v>
      </c>
      <c r="BG244">
        <v>9.8000000000000007</v>
      </c>
      <c r="BH244">
        <v>7.9</v>
      </c>
      <c r="BI244">
        <v>9.8000000000000007</v>
      </c>
      <c r="BK244" t="s">
        <v>159</v>
      </c>
      <c r="BM244" t="s">
        <v>924</v>
      </c>
      <c r="BN244" s="36">
        <v>76629</v>
      </c>
    </row>
    <row r="245" spans="1:66">
      <c r="A245" t="s">
        <v>923</v>
      </c>
      <c r="C245" t="s">
        <v>10</v>
      </c>
      <c r="D245" t="s">
        <v>11</v>
      </c>
      <c r="E245" t="s">
        <v>165</v>
      </c>
      <c r="G245" t="s">
        <v>464</v>
      </c>
      <c r="H245" t="s">
        <v>402</v>
      </c>
      <c r="I245" t="s">
        <v>464</v>
      </c>
      <c r="J245" t="s">
        <v>402</v>
      </c>
      <c r="AL245">
        <v>5.9</v>
      </c>
      <c r="AO245">
        <v>2.9</v>
      </c>
      <c r="AS245">
        <v>4.9000000000000004</v>
      </c>
      <c r="AT245">
        <v>10.9</v>
      </c>
      <c r="AW245">
        <v>7.6</v>
      </c>
      <c r="AX245">
        <v>11.6</v>
      </c>
      <c r="AY245">
        <v>8.3000000000000007</v>
      </c>
      <c r="BA245">
        <v>8.3000000000000007</v>
      </c>
      <c r="BD245">
        <v>9.5</v>
      </c>
      <c r="BE245">
        <v>9.5</v>
      </c>
      <c r="BF245">
        <v>12</v>
      </c>
      <c r="BG245">
        <v>8.9</v>
      </c>
      <c r="BH245">
        <v>8</v>
      </c>
      <c r="BI245">
        <v>8.9</v>
      </c>
      <c r="BK245" t="s">
        <v>159</v>
      </c>
      <c r="BM245" t="s">
        <v>924</v>
      </c>
      <c r="BN245" s="36">
        <v>76629</v>
      </c>
    </row>
    <row r="246" spans="1:66">
      <c r="A246" t="s">
        <v>948</v>
      </c>
      <c r="C246" t="s">
        <v>10</v>
      </c>
      <c r="D246" t="s">
        <v>11</v>
      </c>
      <c r="E246" t="s">
        <v>165</v>
      </c>
      <c r="G246" t="s">
        <v>464</v>
      </c>
      <c r="H246" t="s">
        <v>402</v>
      </c>
      <c r="I246" t="s">
        <v>464</v>
      </c>
      <c r="J246" t="s">
        <v>402</v>
      </c>
      <c r="BF246">
        <v>11.89</v>
      </c>
      <c r="BG246">
        <v>7.96</v>
      </c>
      <c r="BH246">
        <v>7.44</v>
      </c>
      <c r="BI246">
        <v>7.96</v>
      </c>
      <c r="BK246" t="s">
        <v>159</v>
      </c>
      <c r="BM246" t="s">
        <v>924</v>
      </c>
      <c r="BN246" s="36">
        <v>76629</v>
      </c>
    </row>
    <row r="247" spans="1:66">
      <c r="A247" t="s">
        <v>949</v>
      </c>
      <c r="C247" t="s">
        <v>10</v>
      </c>
      <c r="D247" t="s">
        <v>11</v>
      </c>
      <c r="E247" t="s">
        <v>165</v>
      </c>
      <c r="G247" t="s">
        <v>464</v>
      </c>
      <c r="H247" t="s">
        <v>402</v>
      </c>
      <c r="I247" t="s">
        <v>464</v>
      </c>
      <c r="J247" t="s">
        <v>402</v>
      </c>
      <c r="AL247">
        <v>8.17</v>
      </c>
      <c r="AO247">
        <v>3.99</v>
      </c>
      <c r="BK247" t="s">
        <v>159</v>
      </c>
      <c r="BM247" t="s">
        <v>924</v>
      </c>
      <c r="BN247" s="36">
        <v>76629</v>
      </c>
    </row>
    <row r="248" spans="1:66">
      <c r="A248" t="s">
        <v>952</v>
      </c>
      <c r="C248" t="s">
        <v>10</v>
      </c>
      <c r="D248" t="s">
        <v>11</v>
      </c>
      <c r="E248" t="s">
        <v>165</v>
      </c>
      <c r="G248" t="s">
        <v>464</v>
      </c>
      <c r="H248" t="s">
        <v>402</v>
      </c>
      <c r="I248" t="s">
        <v>464</v>
      </c>
      <c r="J248" t="s">
        <v>402</v>
      </c>
      <c r="BF248">
        <v>11.78</v>
      </c>
      <c r="BG248">
        <v>8.5</v>
      </c>
      <c r="BH248">
        <v>7.45</v>
      </c>
      <c r="BI248">
        <v>8.5</v>
      </c>
      <c r="BK248" t="s">
        <v>159</v>
      </c>
      <c r="BM248" t="s">
        <v>924</v>
      </c>
      <c r="BN248" s="36">
        <v>76629</v>
      </c>
    </row>
    <row r="249" spans="1:66">
      <c r="A249" t="s">
        <v>997</v>
      </c>
      <c r="C249" t="s">
        <v>10</v>
      </c>
      <c r="D249" t="s">
        <v>11</v>
      </c>
      <c r="E249" t="s">
        <v>165</v>
      </c>
      <c r="G249" t="s">
        <v>464</v>
      </c>
      <c r="H249" t="s">
        <v>402</v>
      </c>
      <c r="I249" t="s">
        <v>464</v>
      </c>
      <c r="J249" t="s">
        <v>402</v>
      </c>
      <c r="AD249">
        <v>12.14</v>
      </c>
      <c r="AG249">
        <v>15.05</v>
      </c>
      <c r="BK249" t="s">
        <v>159</v>
      </c>
      <c r="BM249" t="s">
        <v>924</v>
      </c>
      <c r="BN249" s="36">
        <v>76629</v>
      </c>
    </row>
    <row r="250" spans="1:66">
      <c r="A250" t="s">
        <v>991</v>
      </c>
      <c r="C250" t="s">
        <v>10</v>
      </c>
      <c r="D250" t="s">
        <v>11</v>
      </c>
      <c r="E250" t="s">
        <v>165</v>
      </c>
      <c r="G250" t="s">
        <v>464</v>
      </c>
      <c r="H250" t="s">
        <v>402</v>
      </c>
      <c r="I250" t="s">
        <v>464</v>
      </c>
      <c r="J250" t="s">
        <v>402</v>
      </c>
      <c r="V250">
        <v>9.7799999999999994</v>
      </c>
      <c r="Y250">
        <v>9.14</v>
      </c>
      <c r="BK250" t="s">
        <v>159</v>
      </c>
      <c r="BM250" t="s">
        <v>924</v>
      </c>
      <c r="BN250" s="36">
        <v>76629</v>
      </c>
    </row>
    <row r="251" spans="1:66">
      <c r="A251" t="s">
        <v>953</v>
      </c>
      <c r="C251" t="s">
        <v>10</v>
      </c>
      <c r="D251" t="s">
        <v>11</v>
      </c>
      <c r="E251" t="s">
        <v>165</v>
      </c>
      <c r="G251" t="s">
        <v>464</v>
      </c>
      <c r="H251" t="s">
        <v>402</v>
      </c>
      <c r="I251" t="s">
        <v>464</v>
      </c>
      <c r="J251" t="s">
        <v>402</v>
      </c>
      <c r="AW251">
        <v>6.83</v>
      </c>
      <c r="AX251">
        <v>11.14</v>
      </c>
      <c r="AY251">
        <v>7.22</v>
      </c>
      <c r="AZ251">
        <v>8.8699999999999992</v>
      </c>
      <c r="BA251">
        <v>8.8699999999999992</v>
      </c>
      <c r="BC251">
        <v>9.75</v>
      </c>
      <c r="BE251">
        <v>9.75</v>
      </c>
      <c r="BF251">
        <v>13.33</v>
      </c>
      <c r="BH251">
        <v>6.17</v>
      </c>
      <c r="BI251">
        <v>6.17</v>
      </c>
      <c r="BK251" t="s">
        <v>159</v>
      </c>
      <c r="BM251" t="s">
        <v>924</v>
      </c>
      <c r="BN251" s="36">
        <v>76629</v>
      </c>
    </row>
    <row r="252" spans="1:66">
      <c r="A252" t="s">
        <v>954</v>
      </c>
      <c r="C252" t="s">
        <v>10</v>
      </c>
      <c r="D252" t="s">
        <v>11</v>
      </c>
      <c r="E252" t="s">
        <v>165</v>
      </c>
      <c r="G252" t="s">
        <v>464</v>
      </c>
      <c r="H252" t="s">
        <v>402</v>
      </c>
      <c r="I252" t="s">
        <v>464</v>
      </c>
      <c r="J252" t="s">
        <v>402</v>
      </c>
      <c r="AP252">
        <v>8.5</v>
      </c>
      <c r="AS252">
        <v>4.51</v>
      </c>
      <c r="BK252" t="s">
        <v>159</v>
      </c>
      <c r="BM252" t="s">
        <v>924</v>
      </c>
      <c r="BN252" s="36">
        <v>76629</v>
      </c>
    </row>
    <row r="253" spans="1:66">
      <c r="A253" t="s">
        <v>998</v>
      </c>
      <c r="C253" t="s">
        <v>10</v>
      </c>
      <c r="D253" t="s">
        <v>11</v>
      </c>
      <c r="E253" t="s">
        <v>165</v>
      </c>
      <c r="G253" t="s">
        <v>464</v>
      </c>
      <c r="H253" t="s">
        <v>402</v>
      </c>
      <c r="I253" t="s">
        <v>464</v>
      </c>
      <c r="J253" t="s">
        <v>402</v>
      </c>
      <c r="Z253">
        <v>10.93</v>
      </c>
      <c r="AC253">
        <v>11.2</v>
      </c>
      <c r="BK253" t="s">
        <v>159</v>
      </c>
      <c r="BM253" t="s">
        <v>924</v>
      </c>
      <c r="BN253" s="36">
        <v>76629</v>
      </c>
    </row>
    <row r="254" spans="1:66">
      <c r="A254" t="s">
        <v>999</v>
      </c>
      <c r="C254" t="s">
        <v>10</v>
      </c>
      <c r="D254" t="s">
        <v>11</v>
      </c>
      <c r="E254" t="s">
        <v>165</v>
      </c>
      <c r="G254" t="s">
        <v>464</v>
      </c>
      <c r="H254" t="s">
        <v>402</v>
      </c>
      <c r="I254" t="s">
        <v>464</v>
      </c>
      <c r="J254" t="s">
        <v>402</v>
      </c>
      <c r="Z254">
        <v>11.08</v>
      </c>
      <c r="AC254">
        <v>11.76</v>
      </c>
      <c r="BK254" t="s">
        <v>159</v>
      </c>
      <c r="BM254" t="s">
        <v>924</v>
      </c>
      <c r="BN254" s="36">
        <v>76629</v>
      </c>
    </row>
    <row r="255" spans="1:66">
      <c r="A255" t="s">
        <v>955</v>
      </c>
      <c r="C255" t="s">
        <v>10</v>
      </c>
      <c r="D255" t="s">
        <v>11</v>
      </c>
      <c r="E255" t="s">
        <v>165</v>
      </c>
      <c r="G255" t="s">
        <v>464</v>
      </c>
      <c r="H255" t="s">
        <v>402</v>
      </c>
      <c r="I255" t="s">
        <v>464</v>
      </c>
      <c r="J255" t="s">
        <v>402</v>
      </c>
      <c r="BB255">
        <v>12.56</v>
      </c>
      <c r="BC255">
        <v>9.6199999999999992</v>
      </c>
      <c r="BD255">
        <v>9.7200000000000006</v>
      </c>
      <c r="BE255">
        <v>9.7200000000000006</v>
      </c>
      <c r="BK255" t="s">
        <v>159</v>
      </c>
      <c r="BM255" t="s">
        <v>924</v>
      </c>
      <c r="BN255" s="36">
        <v>76629</v>
      </c>
    </row>
    <row r="256" spans="1:66">
      <c r="A256" t="s">
        <v>956</v>
      </c>
      <c r="C256" t="s">
        <v>10</v>
      </c>
      <c r="D256" t="s">
        <v>11</v>
      </c>
      <c r="E256" t="s">
        <v>165</v>
      </c>
      <c r="G256" t="s">
        <v>464</v>
      </c>
      <c r="H256" t="s">
        <v>402</v>
      </c>
      <c r="I256" t="s">
        <v>464</v>
      </c>
      <c r="J256" t="s">
        <v>402</v>
      </c>
      <c r="AT256">
        <f>AVERAGE(12.01,12.09)</f>
        <v>12.05</v>
      </c>
      <c r="AW256">
        <f>AVERAGE(6.3,6.67)</f>
        <v>6.4849999999999994</v>
      </c>
      <c r="AY256">
        <v>7.28</v>
      </c>
      <c r="AZ256">
        <v>8.5299999999999994</v>
      </c>
      <c r="BA256">
        <v>8.5299999999999994</v>
      </c>
      <c r="BB256">
        <v>13.55</v>
      </c>
      <c r="BC256">
        <v>10.4</v>
      </c>
      <c r="BD256">
        <v>10.18</v>
      </c>
      <c r="BE256">
        <v>10.4</v>
      </c>
      <c r="BF256">
        <v>12.23</v>
      </c>
      <c r="BG256">
        <v>8.65</v>
      </c>
      <c r="BH256">
        <v>7.55</v>
      </c>
      <c r="BI256">
        <v>8.65</v>
      </c>
      <c r="BK256" s="3" t="s">
        <v>159</v>
      </c>
      <c r="BL256" s="3"/>
      <c r="BM256" t="s">
        <v>924</v>
      </c>
      <c r="BN256" s="36">
        <v>76629</v>
      </c>
    </row>
    <row r="257" spans="1:66">
      <c r="A257" t="s">
        <v>956</v>
      </c>
      <c r="C257" t="s">
        <v>10</v>
      </c>
      <c r="D257" t="s">
        <v>11</v>
      </c>
      <c r="E257" t="s">
        <v>165</v>
      </c>
      <c r="G257" t="s">
        <v>464</v>
      </c>
      <c r="H257" t="s">
        <v>402</v>
      </c>
      <c r="I257" t="s">
        <v>464</v>
      </c>
      <c r="J257" t="s">
        <v>402</v>
      </c>
      <c r="R257">
        <v>9.99</v>
      </c>
      <c r="U257">
        <v>7.11</v>
      </c>
      <c r="V257">
        <v>10.27</v>
      </c>
      <c r="Z257">
        <v>10.37</v>
      </c>
      <c r="AC257">
        <v>11.26</v>
      </c>
      <c r="AD257">
        <v>11.99</v>
      </c>
      <c r="AG257">
        <v>15.2</v>
      </c>
      <c r="BK257" t="s">
        <v>159</v>
      </c>
      <c r="BM257" t="s">
        <v>924</v>
      </c>
      <c r="BN257" s="36">
        <v>76629</v>
      </c>
    </row>
    <row r="258" spans="1:66">
      <c r="A258" t="s">
        <v>1000</v>
      </c>
      <c r="C258" t="s">
        <v>10</v>
      </c>
      <c r="D258" t="s">
        <v>11</v>
      </c>
      <c r="E258" t="s">
        <v>165</v>
      </c>
      <c r="G258" t="s">
        <v>464</v>
      </c>
      <c r="H258" t="s">
        <v>402</v>
      </c>
      <c r="I258" t="s">
        <v>464</v>
      </c>
      <c r="J258" t="s">
        <v>402</v>
      </c>
      <c r="AD258">
        <v>10.61</v>
      </c>
      <c r="AG258">
        <v>14.09</v>
      </c>
      <c r="BK258" t="s">
        <v>159</v>
      </c>
      <c r="BM258" t="s">
        <v>924</v>
      </c>
      <c r="BN258" s="36">
        <v>76629</v>
      </c>
    </row>
    <row r="259" spans="1:66">
      <c r="A259" t="s">
        <v>957</v>
      </c>
      <c r="C259" t="s">
        <v>10</v>
      </c>
      <c r="D259" t="s">
        <v>11</v>
      </c>
      <c r="E259" t="s">
        <v>165</v>
      </c>
      <c r="G259" t="s">
        <v>464</v>
      </c>
      <c r="H259" t="s">
        <v>402</v>
      </c>
      <c r="I259" t="s">
        <v>464</v>
      </c>
      <c r="J259" t="s">
        <v>402</v>
      </c>
      <c r="BB259">
        <v>10.96</v>
      </c>
      <c r="BF259">
        <v>13.19</v>
      </c>
      <c r="BG259">
        <v>8.9</v>
      </c>
      <c r="BH259">
        <v>8.09</v>
      </c>
      <c r="BI259">
        <v>8.9</v>
      </c>
      <c r="BK259" t="s">
        <v>159</v>
      </c>
      <c r="BM259" t="s">
        <v>924</v>
      </c>
      <c r="BN259" s="36">
        <v>76629</v>
      </c>
    </row>
    <row r="260" spans="1:66">
      <c r="A260" t="s">
        <v>1012</v>
      </c>
      <c r="C260" t="s">
        <v>10</v>
      </c>
      <c r="D260" t="s">
        <v>11</v>
      </c>
      <c r="E260" t="s">
        <v>165</v>
      </c>
      <c r="G260" t="s">
        <v>464</v>
      </c>
      <c r="H260" t="s">
        <v>402</v>
      </c>
      <c r="I260" t="s">
        <v>464</v>
      </c>
      <c r="J260" t="s">
        <v>405</v>
      </c>
      <c r="AX260">
        <v>9.17</v>
      </c>
      <c r="AY260">
        <v>5.71</v>
      </c>
      <c r="AZ260">
        <v>5.83</v>
      </c>
      <c r="BA260">
        <v>5.83</v>
      </c>
      <c r="BB260">
        <v>9.9700000000000006</v>
      </c>
      <c r="BD260">
        <v>7.88</v>
      </c>
      <c r="BE260">
        <v>7.88</v>
      </c>
      <c r="BH260">
        <v>7.04</v>
      </c>
      <c r="BI260">
        <v>7.04</v>
      </c>
      <c r="BK260" t="s">
        <v>159</v>
      </c>
      <c r="BM260" t="s">
        <v>924</v>
      </c>
      <c r="BN260" s="36">
        <v>76629</v>
      </c>
    </row>
    <row r="261" spans="1:66">
      <c r="A261" t="s">
        <v>958</v>
      </c>
      <c r="C261" t="s">
        <v>10</v>
      </c>
      <c r="D261" t="s">
        <v>11</v>
      </c>
      <c r="E261" t="s">
        <v>165</v>
      </c>
      <c r="G261" t="s">
        <v>464</v>
      </c>
      <c r="H261" t="s">
        <v>402</v>
      </c>
      <c r="I261" t="s">
        <v>464</v>
      </c>
      <c r="J261" t="s">
        <v>402</v>
      </c>
      <c r="AY261">
        <v>8.3800000000000008</v>
      </c>
      <c r="AZ261">
        <v>9.08</v>
      </c>
      <c r="BA261">
        <v>9.08</v>
      </c>
      <c r="BB261">
        <v>11.87</v>
      </c>
      <c r="BC261">
        <v>7.43</v>
      </c>
      <c r="BD261">
        <v>9.4600000000000009</v>
      </c>
      <c r="BE261">
        <v>9.4600000000000009</v>
      </c>
      <c r="BF261">
        <v>12.09</v>
      </c>
      <c r="BG261">
        <v>6.88</v>
      </c>
      <c r="BH261">
        <v>5.29</v>
      </c>
      <c r="BI261">
        <v>6.88</v>
      </c>
      <c r="BK261" t="s">
        <v>159</v>
      </c>
      <c r="BM261" t="s">
        <v>924</v>
      </c>
      <c r="BN261" s="36">
        <v>76629</v>
      </c>
    </row>
    <row r="262" spans="1:66">
      <c r="A262" t="s">
        <v>959</v>
      </c>
      <c r="C262" t="s">
        <v>10</v>
      </c>
      <c r="D262" t="s">
        <v>11</v>
      </c>
      <c r="E262" t="s">
        <v>165</v>
      </c>
      <c r="G262" t="s">
        <v>464</v>
      </c>
      <c r="H262" t="s">
        <v>402</v>
      </c>
      <c r="I262" t="s">
        <v>464</v>
      </c>
      <c r="J262" t="s">
        <v>402</v>
      </c>
      <c r="AP262">
        <v>9.6999999999999993</v>
      </c>
      <c r="AS262">
        <v>5.04</v>
      </c>
      <c r="AT262">
        <v>11.78</v>
      </c>
      <c r="AW262">
        <v>6.61</v>
      </c>
      <c r="AX262">
        <v>10.96</v>
      </c>
      <c r="AY262">
        <v>8.32</v>
      </c>
      <c r="BA262">
        <v>8.32</v>
      </c>
      <c r="BF262">
        <v>11.48</v>
      </c>
      <c r="BG262">
        <v>8.91</v>
      </c>
      <c r="BH262">
        <v>7.23</v>
      </c>
      <c r="BI262">
        <v>8.91</v>
      </c>
      <c r="BK262" t="s">
        <v>159</v>
      </c>
      <c r="BM262" t="s">
        <v>924</v>
      </c>
      <c r="BN262" s="36">
        <v>76629</v>
      </c>
    </row>
    <row r="263" spans="1:66">
      <c r="A263" t="s">
        <v>992</v>
      </c>
      <c r="C263" t="s">
        <v>10</v>
      </c>
      <c r="D263" t="s">
        <v>11</v>
      </c>
      <c r="E263" t="s">
        <v>165</v>
      </c>
      <c r="G263" t="s">
        <v>464</v>
      </c>
      <c r="H263" t="s">
        <v>402</v>
      </c>
      <c r="I263" t="s">
        <v>464</v>
      </c>
      <c r="J263" t="s">
        <v>402</v>
      </c>
      <c r="AH263">
        <v>7.18</v>
      </c>
      <c r="AK263">
        <v>9.7799999999999994</v>
      </c>
      <c r="BK263" t="s">
        <v>159</v>
      </c>
      <c r="BM263" t="s">
        <v>924</v>
      </c>
      <c r="BN263" s="36">
        <v>76629</v>
      </c>
    </row>
    <row r="264" spans="1:66">
      <c r="A264" t="s">
        <v>960</v>
      </c>
      <c r="C264" t="s">
        <v>10</v>
      </c>
      <c r="D264" t="s">
        <v>11</v>
      </c>
      <c r="E264" t="s">
        <v>165</v>
      </c>
      <c r="G264" t="s">
        <v>464</v>
      </c>
      <c r="H264" t="s">
        <v>402</v>
      </c>
      <c r="I264" t="s">
        <v>464</v>
      </c>
      <c r="J264" t="s">
        <v>402</v>
      </c>
      <c r="AX264">
        <v>9.8699999999999992</v>
      </c>
      <c r="AY264">
        <v>6.58</v>
      </c>
      <c r="AZ264">
        <v>7.55</v>
      </c>
      <c r="BA264">
        <v>7.55</v>
      </c>
      <c r="BB264">
        <v>11.05</v>
      </c>
      <c r="BC264">
        <v>8.59</v>
      </c>
      <c r="BD264">
        <v>8.64</v>
      </c>
      <c r="BE264">
        <v>8.64</v>
      </c>
      <c r="BF264">
        <v>11.44</v>
      </c>
      <c r="BG264">
        <v>7.5</v>
      </c>
      <c r="BH264">
        <v>6.55</v>
      </c>
      <c r="BI264">
        <v>7.5</v>
      </c>
      <c r="BK264" t="s">
        <v>159</v>
      </c>
      <c r="BM264" t="s">
        <v>924</v>
      </c>
      <c r="BN264" s="36">
        <v>76629</v>
      </c>
    </row>
    <row r="265" spans="1:66">
      <c r="A265" t="s">
        <v>1001</v>
      </c>
      <c r="C265" t="s">
        <v>10</v>
      </c>
      <c r="D265" t="s">
        <v>11</v>
      </c>
      <c r="E265" t="s">
        <v>165</v>
      </c>
      <c r="G265" t="s">
        <v>464</v>
      </c>
      <c r="H265" t="s">
        <v>402</v>
      </c>
      <c r="I265" t="s">
        <v>464</v>
      </c>
      <c r="J265" t="s">
        <v>402</v>
      </c>
      <c r="R265">
        <v>9.81</v>
      </c>
      <c r="U265">
        <v>6.91</v>
      </c>
      <c r="V265">
        <v>10.51</v>
      </c>
      <c r="Y265">
        <v>9.76</v>
      </c>
      <c r="Z265">
        <v>10.32</v>
      </c>
      <c r="AD265">
        <v>11.33</v>
      </c>
      <c r="AH265">
        <v>8.75</v>
      </c>
      <c r="AK265">
        <v>11.38</v>
      </c>
      <c r="BK265" t="s">
        <v>159</v>
      </c>
      <c r="BM265" t="s">
        <v>924</v>
      </c>
      <c r="BN265" s="36">
        <v>76629</v>
      </c>
    </row>
    <row r="266" spans="1:66">
      <c r="A266" t="s">
        <v>950</v>
      </c>
      <c r="C266" t="s">
        <v>10</v>
      </c>
      <c r="D266" t="s">
        <v>11</v>
      </c>
      <c r="E266" t="s">
        <v>165</v>
      </c>
      <c r="G266" t="s">
        <v>464</v>
      </c>
      <c r="H266" t="s">
        <v>402</v>
      </c>
      <c r="I266" t="s">
        <v>464</v>
      </c>
      <c r="J266" t="s">
        <v>402</v>
      </c>
      <c r="AP266">
        <v>9.65</v>
      </c>
      <c r="AS266">
        <v>5.57</v>
      </c>
      <c r="BK266" t="s">
        <v>159</v>
      </c>
      <c r="BM266" t="s">
        <v>924</v>
      </c>
      <c r="BN266" s="36">
        <v>76629</v>
      </c>
    </row>
    <row r="267" spans="1:66">
      <c r="A267" t="s">
        <v>961</v>
      </c>
      <c r="C267" t="s">
        <v>10</v>
      </c>
      <c r="D267" t="s">
        <v>11</v>
      </c>
      <c r="E267" t="s">
        <v>165</v>
      </c>
      <c r="G267" t="s">
        <v>464</v>
      </c>
      <c r="H267" t="s">
        <v>402</v>
      </c>
      <c r="I267" t="s">
        <v>464</v>
      </c>
      <c r="J267" t="s">
        <v>402</v>
      </c>
      <c r="AT267">
        <v>11.79</v>
      </c>
      <c r="AW267">
        <v>6.36</v>
      </c>
      <c r="AX267">
        <f>AVERAGE(11.11,11.4)</f>
        <v>11.254999999999999</v>
      </c>
      <c r="AY267">
        <f>AVERAGE(7.48,7.18)</f>
        <v>7.33</v>
      </c>
      <c r="AZ267">
        <f>AVERAGE(8.86,8.73)</f>
        <v>8.7949999999999999</v>
      </c>
      <c r="BA267">
        <f>MAX(AY267:AZ267)</f>
        <v>8.7949999999999999</v>
      </c>
      <c r="BB267">
        <f>AVERAGE(11.87,12.3)</f>
        <v>12.085000000000001</v>
      </c>
      <c r="BC267">
        <f>AVERAGE(9.92,10.09)</f>
        <v>10.004999999999999</v>
      </c>
      <c r="BD267">
        <f>AVERAGE(10.34,10.33)</f>
        <v>10.335000000000001</v>
      </c>
      <c r="BE267">
        <f>MAX(BC267:BD267)</f>
        <v>10.335000000000001</v>
      </c>
      <c r="BF267">
        <v>12.08</v>
      </c>
      <c r="BG267">
        <v>8.83</v>
      </c>
      <c r="BH267">
        <v>7.25</v>
      </c>
      <c r="BI267">
        <v>8.83</v>
      </c>
      <c r="BK267" t="s">
        <v>159</v>
      </c>
      <c r="BM267" t="s">
        <v>924</v>
      </c>
      <c r="BN267" s="36">
        <v>76629</v>
      </c>
    </row>
    <row r="268" spans="1:66">
      <c r="A268" t="s">
        <v>951</v>
      </c>
      <c r="C268" t="s">
        <v>10</v>
      </c>
      <c r="D268" t="s">
        <v>11</v>
      </c>
      <c r="E268" t="s">
        <v>165</v>
      </c>
      <c r="G268" t="s">
        <v>464</v>
      </c>
      <c r="H268" t="s">
        <v>402</v>
      </c>
      <c r="I268" t="s">
        <v>464</v>
      </c>
      <c r="J268" t="s">
        <v>402</v>
      </c>
      <c r="BF268">
        <v>10.84</v>
      </c>
      <c r="BG268">
        <v>7.28</v>
      </c>
      <c r="BH268">
        <v>7.06</v>
      </c>
      <c r="BI268">
        <v>7.28</v>
      </c>
      <c r="BK268" t="s">
        <v>159</v>
      </c>
      <c r="BM268" t="s">
        <v>924</v>
      </c>
      <c r="BN268" s="36">
        <v>76629</v>
      </c>
    </row>
    <row r="269" spans="1:66">
      <c r="A269" t="s">
        <v>962</v>
      </c>
      <c r="C269" t="s">
        <v>10</v>
      </c>
      <c r="D269" t="s">
        <v>11</v>
      </c>
      <c r="E269" t="s">
        <v>165</v>
      </c>
      <c r="G269" t="s">
        <v>464</v>
      </c>
      <c r="H269" t="s">
        <v>402</v>
      </c>
      <c r="I269" t="s">
        <v>464</v>
      </c>
      <c r="J269" t="s">
        <v>402</v>
      </c>
      <c r="AP269">
        <v>9.5299999999999994</v>
      </c>
      <c r="AS269">
        <v>4.96</v>
      </c>
      <c r="AT269">
        <f>AVERAGE(12.19,14.43)</f>
        <v>13.309999999999999</v>
      </c>
      <c r="AW269">
        <f>AVERAGE(6.74,7.13)</f>
        <v>6.9350000000000005</v>
      </c>
      <c r="AX269">
        <f>AVERAGE(11.3,11.28)</f>
        <v>11.29</v>
      </c>
      <c r="AY269">
        <f>AVERAGE(7.66,7.69)</f>
        <v>7.6750000000000007</v>
      </c>
      <c r="AZ269">
        <f>AVERAGE(9.31,9.28)</f>
        <v>9.2949999999999999</v>
      </c>
      <c r="BA269">
        <f>MAX(AY269:AZ269)</f>
        <v>9.2949999999999999</v>
      </c>
      <c r="BB269">
        <f>AVERAGE(12.23,12.61)</f>
        <v>12.42</v>
      </c>
      <c r="BC269">
        <f>AVERAGE(10.43,10.27)</f>
        <v>10.35</v>
      </c>
      <c r="BD269">
        <f>AVERAGE(10.54,10.95)</f>
        <v>10.744999999999999</v>
      </c>
      <c r="BE269">
        <f>MAX(BC269:BD269)</f>
        <v>10.744999999999999</v>
      </c>
      <c r="BF269">
        <f>AVERAGE(14.43,14.4)</f>
        <v>14.414999999999999</v>
      </c>
      <c r="BG269">
        <f>AVERAGE(9.49,9.52)</f>
        <v>9.504999999999999</v>
      </c>
      <c r="BH269">
        <f>AVERAGE(7.87,7.75)</f>
        <v>7.8100000000000005</v>
      </c>
      <c r="BI269">
        <f>MAX(BG269:BH269)</f>
        <v>9.504999999999999</v>
      </c>
      <c r="BK269" t="s">
        <v>159</v>
      </c>
      <c r="BM269" t="s">
        <v>924</v>
      </c>
      <c r="BN269" s="36">
        <v>76629</v>
      </c>
    </row>
    <row r="270" spans="1:66">
      <c r="A270" t="s">
        <v>993</v>
      </c>
      <c r="C270" t="s">
        <v>10</v>
      </c>
      <c r="D270" t="s">
        <v>11</v>
      </c>
      <c r="E270" t="s">
        <v>165</v>
      </c>
      <c r="G270" t="s">
        <v>464</v>
      </c>
      <c r="H270" t="s">
        <v>402</v>
      </c>
      <c r="I270" t="s">
        <v>464</v>
      </c>
      <c r="J270" t="s">
        <v>402</v>
      </c>
      <c r="Y270">
        <v>9.18</v>
      </c>
      <c r="BK270" t="s">
        <v>159</v>
      </c>
      <c r="BM270" t="s">
        <v>924</v>
      </c>
      <c r="BN270" s="36">
        <v>76629</v>
      </c>
    </row>
    <row r="271" spans="1:66">
      <c r="A271" t="s">
        <v>994</v>
      </c>
      <c r="C271" t="s">
        <v>10</v>
      </c>
      <c r="D271" t="s">
        <v>11</v>
      </c>
      <c r="E271" t="s">
        <v>165</v>
      </c>
      <c r="G271" t="s">
        <v>464</v>
      </c>
      <c r="H271" t="s">
        <v>402</v>
      </c>
      <c r="I271" t="s">
        <v>464</v>
      </c>
      <c r="J271" t="s">
        <v>402</v>
      </c>
      <c r="AH271">
        <v>7.23</v>
      </c>
      <c r="AK271">
        <v>10.46</v>
      </c>
      <c r="BK271" t="s">
        <v>159</v>
      </c>
      <c r="BM271" t="s">
        <v>924</v>
      </c>
      <c r="BN271" s="36">
        <v>76629</v>
      </c>
    </row>
    <row r="272" spans="1:66">
      <c r="A272" t="s">
        <v>995</v>
      </c>
      <c r="C272" t="s">
        <v>10</v>
      </c>
      <c r="D272" t="s">
        <v>11</v>
      </c>
      <c r="E272" t="s">
        <v>165</v>
      </c>
      <c r="G272" t="s">
        <v>464</v>
      </c>
      <c r="H272" t="s">
        <v>402</v>
      </c>
      <c r="I272" t="s">
        <v>464</v>
      </c>
      <c r="J272" t="s">
        <v>402</v>
      </c>
      <c r="AH272">
        <v>8.01</v>
      </c>
      <c r="AK272">
        <v>11.02</v>
      </c>
      <c r="BK272" s="3" t="s">
        <v>159</v>
      </c>
      <c r="BL272" s="3"/>
      <c r="BM272" t="s">
        <v>924</v>
      </c>
      <c r="BN272" s="36">
        <v>76629</v>
      </c>
    </row>
    <row r="273" spans="1:70">
      <c r="A273" t="s">
        <v>963</v>
      </c>
      <c r="C273" t="s">
        <v>10</v>
      </c>
      <c r="D273" t="s">
        <v>11</v>
      </c>
      <c r="E273" t="s">
        <v>165</v>
      </c>
      <c r="G273" t="s">
        <v>464</v>
      </c>
      <c r="H273" t="s">
        <v>402</v>
      </c>
      <c r="I273" t="s">
        <v>464</v>
      </c>
      <c r="J273" t="s">
        <v>402</v>
      </c>
      <c r="BB273">
        <v>12.8</v>
      </c>
      <c r="BC273">
        <v>10.51</v>
      </c>
      <c r="BD273">
        <v>9.8000000000000007</v>
      </c>
      <c r="BE273">
        <v>10.51</v>
      </c>
      <c r="BF273">
        <v>12.98</v>
      </c>
      <c r="BG273">
        <v>8.84</v>
      </c>
      <c r="BH273">
        <v>6.45</v>
      </c>
      <c r="BI273">
        <v>8.84</v>
      </c>
      <c r="BK273" t="s">
        <v>159</v>
      </c>
      <c r="BM273" t="s">
        <v>924</v>
      </c>
      <c r="BN273" s="36">
        <v>76629</v>
      </c>
    </row>
    <row r="274" spans="1:70">
      <c r="A274" t="s">
        <v>964</v>
      </c>
      <c r="C274" t="s">
        <v>10</v>
      </c>
      <c r="D274" t="s">
        <v>11</v>
      </c>
      <c r="E274" t="s">
        <v>165</v>
      </c>
      <c r="G274" t="s">
        <v>464</v>
      </c>
      <c r="H274" t="s">
        <v>402</v>
      </c>
      <c r="I274" t="s">
        <v>464</v>
      </c>
      <c r="J274" t="s">
        <v>402</v>
      </c>
      <c r="BB274">
        <v>14.65</v>
      </c>
      <c r="BC274">
        <v>10.17</v>
      </c>
      <c r="BD274">
        <v>11</v>
      </c>
      <c r="BE274">
        <v>11</v>
      </c>
      <c r="BK274" t="s">
        <v>159</v>
      </c>
      <c r="BM274" t="s">
        <v>924</v>
      </c>
      <c r="BN274" s="36">
        <v>76629</v>
      </c>
    </row>
    <row r="275" spans="1:70" s="14" customFormat="1">
      <c r="A275" t="s">
        <v>965</v>
      </c>
      <c r="B275"/>
      <c r="C275" t="s">
        <v>10</v>
      </c>
      <c r="D275" t="s">
        <v>11</v>
      </c>
      <c r="E275" t="s">
        <v>165</v>
      </c>
      <c r="F275"/>
      <c r="G275" t="s">
        <v>464</v>
      </c>
      <c r="H275" t="s">
        <v>402</v>
      </c>
      <c r="I275" t="s">
        <v>464</v>
      </c>
      <c r="J275" t="s">
        <v>402</v>
      </c>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v>13.27</v>
      </c>
      <c r="BC275">
        <v>10.11</v>
      </c>
      <c r="BD275">
        <v>10.49</v>
      </c>
      <c r="BE275">
        <v>10.49</v>
      </c>
      <c r="BF275"/>
      <c r="BG275"/>
      <c r="BH275"/>
      <c r="BI275"/>
      <c r="BJ275"/>
      <c r="BK275" t="s">
        <v>159</v>
      </c>
      <c r="BL275"/>
      <c r="BM275" t="s">
        <v>924</v>
      </c>
      <c r="BN275" s="36">
        <v>76629</v>
      </c>
      <c r="BO275"/>
      <c r="BP275"/>
      <c r="BQ275"/>
      <c r="BR275"/>
    </row>
    <row r="276" spans="1:70">
      <c r="A276" t="s">
        <v>1002</v>
      </c>
      <c r="C276" t="s">
        <v>10</v>
      </c>
      <c r="D276" t="s">
        <v>11</v>
      </c>
      <c r="E276" t="s">
        <v>165</v>
      </c>
      <c r="G276" t="s">
        <v>464</v>
      </c>
      <c r="H276" t="s">
        <v>402</v>
      </c>
      <c r="I276" t="s">
        <v>464</v>
      </c>
      <c r="J276" t="s">
        <v>402</v>
      </c>
      <c r="Z276">
        <v>10.84</v>
      </c>
      <c r="AD276">
        <v>12.62</v>
      </c>
      <c r="BK276" t="s">
        <v>159</v>
      </c>
      <c r="BM276" t="s">
        <v>924</v>
      </c>
      <c r="BN276" s="36">
        <v>76629</v>
      </c>
    </row>
    <row r="277" spans="1:70">
      <c r="A277" s="14" t="s">
        <v>946</v>
      </c>
      <c r="B277" s="14"/>
      <c r="C277" s="14" t="s">
        <v>10</v>
      </c>
      <c r="D277" s="14" t="s">
        <v>11</v>
      </c>
      <c r="E277" s="14" t="s">
        <v>165</v>
      </c>
      <c r="F277" s="14"/>
      <c r="G277" s="14" t="s">
        <v>464</v>
      </c>
      <c r="H277" s="14" t="s">
        <v>402</v>
      </c>
      <c r="I277" s="14" t="s">
        <v>464</v>
      </c>
      <c r="J277" s="14" t="s">
        <v>402</v>
      </c>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t="s">
        <v>159</v>
      </c>
      <c r="BL277" s="14"/>
      <c r="BM277" s="14" t="s">
        <v>924</v>
      </c>
      <c r="BN277" s="34">
        <v>76629</v>
      </c>
      <c r="BO277" s="14"/>
      <c r="BP277" s="14"/>
      <c r="BQ277" s="14"/>
      <c r="BR277" s="14"/>
    </row>
    <row r="278" spans="1:70">
      <c r="A278" t="s">
        <v>990</v>
      </c>
      <c r="C278" t="s">
        <v>10</v>
      </c>
      <c r="D278" t="s">
        <v>11</v>
      </c>
      <c r="E278" t="s">
        <v>165</v>
      </c>
      <c r="G278" t="s">
        <v>464</v>
      </c>
      <c r="H278" t="s">
        <v>402</v>
      </c>
      <c r="I278" t="s">
        <v>464</v>
      </c>
      <c r="J278" t="s">
        <v>402</v>
      </c>
      <c r="R278">
        <v>8.18</v>
      </c>
      <c r="U278">
        <v>6.3</v>
      </c>
      <c r="BK278" t="s">
        <v>159</v>
      </c>
      <c r="BM278" t="s">
        <v>924</v>
      </c>
      <c r="BN278" s="36">
        <v>76629</v>
      </c>
    </row>
    <row r="279" spans="1:70">
      <c r="A279" t="s">
        <v>996</v>
      </c>
      <c r="C279" t="s">
        <v>10</v>
      </c>
      <c r="D279" t="s">
        <v>11</v>
      </c>
      <c r="E279" s="3" t="s">
        <v>165</v>
      </c>
      <c r="G279" t="s">
        <v>464</v>
      </c>
      <c r="H279" t="s">
        <v>402</v>
      </c>
      <c r="I279" t="s">
        <v>464</v>
      </c>
      <c r="J279" t="s">
        <v>402</v>
      </c>
      <c r="R279">
        <f>AVERAGE(9.04,8.95)</f>
        <v>8.9949999999999992</v>
      </c>
      <c r="U279">
        <f>AVERAGE(6.18,5.85)</f>
        <v>6.0149999999999997</v>
      </c>
      <c r="V279">
        <f>AVERAGE(9.77,9.95)</f>
        <v>9.86</v>
      </c>
      <c r="Y279">
        <f>AVERAGE(8.69,8.58)</f>
        <v>8.6349999999999998</v>
      </c>
      <c r="Z279">
        <f>AVERAGE(10.48,10.56)</f>
        <v>10.52</v>
      </c>
      <c r="AC279">
        <f>AVERAGE(11.23,12.01)</f>
        <v>11.620000000000001</v>
      </c>
      <c r="AD279">
        <f>AVERAGE(11.05,11.45)</f>
        <v>11.25</v>
      </c>
      <c r="AG279">
        <f>AVERAGE(15.13,14.96)</f>
        <v>15.045000000000002</v>
      </c>
      <c r="AH279">
        <f>AVERAGE(9,9.4)</f>
        <v>9.1999999999999993</v>
      </c>
      <c r="AK279">
        <f>AVERAGE(11.99,12.14)</f>
        <v>12.065000000000001</v>
      </c>
      <c r="BK279" s="3" t="s">
        <v>159</v>
      </c>
      <c r="BL279" s="3"/>
      <c r="BM279" t="s">
        <v>924</v>
      </c>
      <c r="BN279" s="36">
        <v>76629</v>
      </c>
      <c r="BO279" t="s">
        <v>362</v>
      </c>
      <c r="BP279" t="s">
        <v>924</v>
      </c>
    </row>
    <row r="280" spans="1:70">
      <c r="A280" t="s">
        <v>947</v>
      </c>
      <c r="C280" t="s">
        <v>10</v>
      </c>
      <c r="D280" t="s">
        <v>11</v>
      </c>
      <c r="E280" t="s">
        <v>165</v>
      </c>
      <c r="G280" t="s">
        <v>464</v>
      </c>
      <c r="H280" t="s">
        <v>402</v>
      </c>
      <c r="I280" t="s">
        <v>464</v>
      </c>
      <c r="J280" t="s">
        <v>402</v>
      </c>
      <c r="BB280">
        <v>13.29</v>
      </c>
      <c r="BC280">
        <v>9.7200000000000006</v>
      </c>
      <c r="BD280">
        <v>10.02</v>
      </c>
      <c r="BE280">
        <v>10.02</v>
      </c>
      <c r="BK280" s="3" t="s">
        <v>159</v>
      </c>
      <c r="BL280" s="3"/>
      <c r="BM280" t="s">
        <v>924</v>
      </c>
      <c r="BN280" s="36">
        <v>76629</v>
      </c>
    </row>
    <row r="281" spans="1:70" s="10" customFormat="1">
      <c r="A281" t="s">
        <v>982</v>
      </c>
      <c r="B281"/>
      <c r="C281" t="s">
        <v>10</v>
      </c>
      <c r="D281" t="s">
        <v>11</v>
      </c>
      <c r="E281" t="s">
        <v>165</v>
      </c>
      <c r="F281" s="3"/>
      <c r="G281" t="s">
        <v>464</v>
      </c>
      <c r="H281" t="s">
        <v>402</v>
      </c>
      <c r="I281" t="s">
        <v>464</v>
      </c>
      <c r="J281" t="s">
        <v>402</v>
      </c>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v>16.5</v>
      </c>
      <c r="BC281">
        <v>14.8</v>
      </c>
      <c r="BD281">
        <v>13.6</v>
      </c>
      <c r="BE281">
        <v>14.8</v>
      </c>
      <c r="BF281"/>
      <c r="BG281"/>
      <c r="BH281"/>
      <c r="BI281"/>
      <c r="BJ281"/>
      <c r="BK281" t="s">
        <v>159</v>
      </c>
      <c r="BL281"/>
      <c r="BM281" t="s">
        <v>924</v>
      </c>
      <c r="BN281" s="36">
        <v>76629</v>
      </c>
      <c r="BO281"/>
      <c r="BP281"/>
      <c r="BQ281"/>
      <c r="BR281"/>
    </row>
    <row r="282" spans="1:70">
      <c r="A282" t="s">
        <v>421</v>
      </c>
      <c r="C282" t="s">
        <v>10</v>
      </c>
      <c r="D282" t="s">
        <v>11</v>
      </c>
      <c r="E282" t="s">
        <v>165</v>
      </c>
      <c r="G282" t="s">
        <v>464</v>
      </c>
      <c r="H282" t="s">
        <v>402</v>
      </c>
      <c r="I282" t="s">
        <v>464</v>
      </c>
      <c r="J282" t="s">
        <v>405</v>
      </c>
      <c r="AD282">
        <v>8.9</v>
      </c>
      <c r="AG282">
        <v>12.6</v>
      </c>
      <c r="AH282">
        <v>6.79</v>
      </c>
      <c r="AK282">
        <v>10.17</v>
      </c>
      <c r="BK282" t="s">
        <v>159</v>
      </c>
      <c r="BM282" t="s">
        <v>924</v>
      </c>
      <c r="BN282" s="36">
        <v>76629</v>
      </c>
    </row>
    <row r="283" spans="1:70">
      <c r="A283" t="s">
        <v>967</v>
      </c>
      <c r="C283" t="s">
        <v>10</v>
      </c>
      <c r="D283" t="s">
        <v>11</v>
      </c>
      <c r="E283" t="s">
        <v>165</v>
      </c>
      <c r="G283" t="s">
        <v>464</v>
      </c>
      <c r="H283" t="s">
        <v>402</v>
      </c>
      <c r="I283" t="s">
        <v>464</v>
      </c>
      <c r="J283" t="s">
        <v>402</v>
      </c>
      <c r="BB283">
        <v>12.3</v>
      </c>
      <c r="BC283">
        <v>9.3000000000000007</v>
      </c>
      <c r="BD283">
        <v>9.8000000000000007</v>
      </c>
      <c r="BE283">
        <v>9.8000000000000007</v>
      </c>
      <c r="BK283" t="s">
        <v>159</v>
      </c>
      <c r="BM283" t="s">
        <v>924</v>
      </c>
      <c r="BN283" s="36">
        <v>76629</v>
      </c>
    </row>
    <row r="284" spans="1:70">
      <c r="A284" t="s">
        <v>968</v>
      </c>
      <c r="C284" t="s">
        <v>10</v>
      </c>
      <c r="D284" t="s">
        <v>11</v>
      </c>
      <c r="E284" t="s">
        <v>165</v>
      </c>
      <c r="G284" t="s">
        <v>464</v>
      </c>
      <c r="H284" t="s">
        <v>402</v>
      </c>
      <c r="I284" t="s">
        <v>464</v>
      </c>
      <c r="J284" t="s">
        <v>402</v>
      </c>
      <c r="BB284">
        <v>13.2</v>
      </c>
      <c r="BC284">
        <v>9.6999999999999993</v>
      </c>
      <c r="BD284">
        <v>9.9</v>
      </c>
      <c r="BE284">
        <v>9.9</v>
      </c>
      <c r="BK284" t="s">
        <v>159</v>
      </c>
      <c r="BM284" t="s">
        <v>924</v>
      </c>
      <c r="BN284" s="36">
        <v>76629</v>
      </c>
    </row>
    <row r="285" spans="1:70">
      <c r="A285" t="s">
        <v>969</v>
      </c>
      <c r="C285" t="s">
        <v>10</v>
      </c>
      <c r="D285" t="s">
        <v>11</v>
      </c>
      <c r="E285" t="s">
        <v>165</v>
      </c>
      <c r="G285" t="s">
        <v>464</v>
      </c>
      <c r="H285" t="s">
        <v>402</v>
      </c>
      <c r="I285" t="s">
        <v>464</v>
      </c>
      <c r="J285" t="s">
        <v>402</v>
      </c>
      <c r="AL285">
        <v>5.9</v>
      </c>
      <c r="AO285">
        <v>3.4</v>
      </c>
      <c r="AP285">
        <v>9.1999999999999993</v>
      </c>
      <c r="AS285">
        <v>4.2</v>
      </c>
      <c r="BF285">
        <v>12.9</v>
      </c>
      <c r="BG285">
        <v>8.6</v>
      </c>
      <c r="BH285">
        <v>7.8</v>
      </c>
      <c r="BI285">
        <v>8.6</v>
      </c>
      <c r="BK285" t="s">
        <v>159</v>
      </c>
      <c r="BM285" t="s">
        <v>924</v>
      </c>
      <c r="BN285" s="36">
        <v>76629</v>
      </c>
    </row>
    <row r="286" spans="1:70">
      <c r="A286" t="s">
        <v>970</v>
      </c>
      <c r="C286" t="s">
        <v>10</v>
      </c>
      <c r="D286" t="s">
        <v>11</v>
      </c>
      <c r="E286" t="s">
        <v>165</v>
      </c>
      <c r="G286" t="s">
        <v>464</v>
      </c>
      <c r="H286" t="s">
        <v>402</v>
      </c>
      <c r="I286" t="s">
        <v>464</v>
      </c>
      <c r="J286" t="s">
        <v>402</v>
      </c>
      <c r="AX286">
        <v>11.8</v>
      </c>
      <c r="AY286">
        <v>7.2</v>
      </c>
      <c r="AZ286">
        <v>8.1999999999999993</v>
      </c>
      <c r="BA286">
        <v>8.1999999999999993</v>
      </c>
      <c r="BK286" t="s">
        <v>159</v>
      </c>
      <c r="BM286" t="s">
        <v>924</v>
      </c>
      <c r="BN286" s="36">
        <v>76629</v>
      </c>
    </row>
    <row r="287" spans="1:70">
      <c r="A287" t="s">
        <v>1014</v>
      </c>
      <c r="C287" t="s">
        <v>10</v>
      </c>
      <c r="D287" t="s">
        <v>11</v>
      </c>
      <c r="E287" t="s">
        <v>165</v>
      </c>
      <c r="G287" t="s">
        <v>464</v>
      </c>
      <c r="H287" t="s">
        <v>402</v>
      </c>
      <c r="I287" t="s">
        <v>464</v>
      </c>
      <c r="J287" t="s">
        <v>405</v>
      </c>
      <c r="AX287">
        <v>9.3000000000000007</v>
      </c>
      <c r="AY287">
        <v>5.9</v>
      </c>
      <c r="AZ287">
        <v>6.2</v>
      </c>
      <c r="BA287">
        <v>6.2</v>
      </c>
      <c r="BK287" t="s">
        <v>159</v>
      </c>
      <c r="BM287" t="s">
        <v>924</v>
      </c>
      <c r="BN287" s="36">
        <v>76629</v>
      </c>
    </row>
    <row r="288" spans="1:70">
      <c r="A288" t="s">
        <v>822</v>
      </c>
      <c r="C288" t="s">
        <v>10</v>
      </c>
      <c r="D288" t="s">
        <v>11</v>
      </c>
      <c r="E288" t="s">
        <v>165</v>
      </c>
      <c r="G288" t="s">
        <v>464</v>
      </c>
      <c r="H288" t="s">
        <v>402</v>
      </c>
      <c r="I288" t="s">
        <v>464</v>
      </c>
      <c r="J288" t="s">
        <v>405</v>
      </c>
      <c r="BB288">
        <v>9.6999999999999993</v>
      </c>
      <c r="BC288">
        <v>7.2</v>
      </c>
      <c r="BD288">
        <v>6</v>
      </c>
      <c r="BE288">
        <v>7.2</v>
      </c>
      <c r="BF288">
        <v>9.4</v>
      </c>
      <c r="BG288">
        <v>6</v>
      </c>
      <c r="BH288">
        <v>5.2</v>
      </c>
      <c r="BI288">
        <v>6</v>
      </c>
      <c r="BK288" t="s">
        <v>159</v>
      </c>
      <c r="BM288" t="s">
        <v>924</v>
      </c>
      <c r="BN288" s="36">
        <v>76629</v>
      </c>
    </row>
    <row r="289" spans="1:70">
      <c r="A289" t="s">
        <v>971</v>
      </c>
      <c r="C289" t="s">
        <v>10</v>
      </c>
      <c r="D289" t="s">
        <v>11</v>
      </c>
      <c r="E289" t="s">
        <v>165</v>
      </c>
      <c r="G289" t="s">
        <v>464</v>
      </c>
      <c r="H289" t="s">
        <v>402</v>
      </c>
      <c r="I289" t="s">
        <v>464</v>
      </c>
      <c r="J289" t="s">
        <v>402</v>
      </c>
      <c r="BC289">
        <v>9.1999999999999993</v>
      </c>
      <c r="BE289">
        <v>9.1999999999999993</v>
      </c>
      <c r="BG289">
        <v>8.6</v>
      </c>
      <c r="BH289">
        <v>7.1</v>
      </c>
      <c r="BI289">
        <v>8.6</v>
      </c>
      <c r="BK289" t="s">
        <v>159</v>
      </c>
      <c r="BM289" t="s">
        <v>924</v>
      </c>
      <c r="BN289" s="36">
        <v>76629</v>
      </c>
    </row>
    <row r="290" spans="1:70">
      <c r="A290" t="s">
        <v>1003</v>
      </c>
      <c r="C290" t="s">
        <v>10</v>
      </c>
      <c r="D290" t="s">
        <v>11</v>
      </c>
      <c r="E290" t="s">
        <v>165</v>
      </c>
      <c r="G290" t="s">
        <v>464</v>
      </c>
      <c r="H290" t="s">
        <v>402</v>
      </c>
      <c r="I290" t="s">
        <v>464</v>
      </c>
      <c r="J290" t="s">
        <v>402</v>
      </c>
      <c r="AD290">
        <v>10.8</v>
      </c>
      <c r="AG290">
        <v>15</v>
      </c>
      <c r="AH290">
        <v>7.4</v>
      </c>
      <c r="AK290">
        <v>11.7</v>
      </c>
      <c r="BK290" t="s">
        <v>159</v>
      </c>
      <c r="BM290" t="s">
        <v>924</v>
      </c>
      <c r="BN290" s="36">
        <v>76629</v>
      </c>
    </row>
    <row r="291" spans="1:70">
      <c r="A291" t="s">
        <v>972</v>
      </c>
      <c r="C291" t="s">
        <v>10</v>
      </c>
      <c r="D291" t="s">
        <v>11</v>
      </c>
      <c r="E291" t="s">
        <v>165</v>
      </c>
      <c r="G291" t="s">
        <v>464</v>
      </c>
      <c r="H291" t="s">
        <v>402</v>
      </c>
      <c r="I291" t="s">
        <v>464</v>
      </c>
      <c r="J291" t="s">
        <v>402</v>
      </c>
      <c r="AP291">
        <v>10.8</v>
      </c>
      <c r="AS291">
        <v>4.9000000000000004</v>
      </c>
      <c r="BF291">
        <v>13.1</v>
      </c>
      <c r="BG291">
        <v>9</v>
      </c>
      <c r="BH291">
        <v>7.6</v>
      </c>
      <c r="BI291">
        <v>9</v>
      </c>
      <c r="BK291" t="s">
        <v>159</v>
      </c>
      <c r="BM291" t="s">
        <v>924</v>
      </c>
      <c r="BN291" s="36">
        <v>76629</v>
      </c>
    </row>
    <row r="292" spans="1:70">
      <c r="A292" t="s">
        <v>1015</v>
      </c>
      <c r="C292" t="s">
        <v>10</v>
      </c>
      <c r="D292" t="s">
        <v>11</v>
      </c>
      <c r="E292" t="s">
        <v>165</v>
      </c>
      <c r="G292" t="s">
        <v>464</v>
      </c>
      <c r="H292" t="s">
        <v>402</v>
      </c>
      <c r="I292" t="s">
        <v>464</v>
      </c>
      <c r="J292" t="s">
        <v>405</v>
      </c>
      <c r="BB292">
        <v>10</v>
      </c>
      <c r="BC292">
        <v>8.1999999999999993</v>
      </c>
      <c r="BD292">
        <v>8</v>
      </c>
      <c r="BE292">
        <v>8.1999999999999993</v>
      </c>
      <c r="BK292" t="s">
        <v>159</v>
      </c>
      <c r="BM292" t="s">
        <v>924</v>
      </c>
      <c r="BN292" s="36">
        <v>76629</v>
      </c>
    </row>
    <row r="293" spans="1:70">
      <c r="A293" t="s">
        <v>1004</v>
      </c>
      <c r="C293" t="s">
        <v>10</v>
      </c>
      <c r="D293" t="s">
        <v>11</v>
      </c>
      <c r="E293" t="s">
        <v>165</v>
      </c>
      <c r="G293" t="s">
        <v>464</v>
      </c>
      <c r="H293" t="s">
        <v>402</v>
      </c>
      <c r="I293" t="s">
        <v>464</v>
      </c>
      <c r="J293" t="s">
        <v>402</v>
      </c>
      <c r="Z293">
        <v>11.5</v>
      </c>
      <c r="AC293">
        <v>12.5</v>
      </c>
      <c r="AD293">
        <f>AVERAGE(11.2,11.9)</f>
        <v>11.55</v>
      </c>
      <c r="AG293">
        <f>AVERAGE(15,14)</f>
        <v>14.5</v>
      </c>
      <c r="AH293">
        <v>7.9</v>
      </c>
      <c r="AK293">
        <v>11.3</v>
      </c>
      <c r="BK293" t="s">
        <v>159</v>
      </c>
      <c r="BM293" t="s">
        <v>924</v>
      </c>
      <c r="BN293" s="36">
        <v>76629</v>
      </c>
    </row>
    <row r="294" spans="1:70" s="13" customFormat="1">
      <c r="A294" t="s">
        <v>1005</v>
      </c>
      <c r="B294"/>
      <c r="C294" t="s">
        <v>10</v>
      </c>
      <c r="D294" t="s">
        <v>11</v>
      </c>
      <c r="E294" t="s">
        <v>165</v>
      </c>
      <c r="F294"/>
      <c r="G294" t="s">
        <v>464</v>
      </c>
      <c r="H294" t="s">
        <v>402</v>
      </c>
      <c r="I294" t="s">
        <v>464</v>
      </c>
      <c r="J294" t="s">
        <v>402</v>
      </c>
      <c r="K294"/>
      <c r="L294"/>
      <c r="M294"/>
      <c r="N294">
        <v>5.8</v>
      </c>
      <c r="O294"/>
      <c r="P294"/>
      <c r="Q294">
        <v>2.9</v>
      </c>
      <c r="R294">
        <v>8.6</v>
      </c>
      <c r="S294"/>
      <c r="T294"/>
      <c r="U294">
        <v>6.8</v>
      </c>
      <c r="V294">
        <f>AVERAGE(9.4,9.5)</f>
        <v>9.4499999999999993</v>
      </c>
      <c r="W294"/>
      <c r="X294"/>
      <c r="Y294">
        <f>AVERAGE(9.2,9.3)</f>
        <v>9.25</v>
      </c>
      <c r="Z294">
        <f>AVERAGE(9.9,10.7)</f>
        <v>10.3</v>
      </c>
      <c r="AA294"/>
      <c r="AB294"/>
      <c r="AC294">
        <f>AVERAGE(11.9,11.01)</f>
        <v>11.455</v>
      </c>
      <c r="AD294">
        <f>AVERAGE(11,11.1)</f>
        <v>11.05</v>
      </c>
      <c r="AE294"/>
      <c r="AF294"/>
      <c r="AG294">
        <f>AVERAGE(13.6,14.1)</f>
        <v>13.85</v>
      </c>
      <c r="AH294">
        <f>AVERAGE(8.4,8.5)</f>
        <v>8.4499999999999993</v>
      </c>
      <c r="AI294"/>
      <c r="AJ294"/>
      <c r="AK294">
        <f>AVERAGE(10.9,10.9)</f>
        <v>10.9</v>
      </c>
      <c r="AL294"/>
      <c r="AM294"/>
      <c r="AN294"/>
      <c r="AO294"/>
      <c r="AP294"/>
      <c r="AQ294"/>
      <c r="AR294"/>
      <c r="AS294"/>
      <c r="AT294"/>
      <c r="AU294"/>
      <c r="AV294"/>
      <c r="AW294"/>
      <c r="AX294"/>
      <c r="AY294"/>
      <c r="AZ294"/>
      <c r="BA294"/>
      <c r="BB294"/>
      <c r="BC294"/>
      <c r="BD294"/>
      <c r="BE294"/>
      <c r="BF294"/>
      <c r="BG294"/>
      <c r="BH294"/>
      <c r="BI294"/>
      <c r="BJ294"/>
      <c r="BK294" t="s">
        <v>159</v>
      </c>
      <c r="BL294"/>
      <c r="BM294" t="s">
        <v>924</v>
      </c>
      <c r="BN294" s="36">
        <v>76629</v>
      </c>
      <c r="BO294"/>
      <c r="BP294"/>
      <c r="BQ294"/>
      <c r="BR294"/>
    </row>
    <row r="295" spans="1:70">
      <c r="A295" t="s">
        <v>1006</v>
      </c>
      <c r="C295" t="s">
        <v>10</v>
      </c>
      <c r="D295" t="s">
        <v>11</v>
      </c>
      <c r="E295" t="s">
        <v>165</v>
      </c>
      <c r="G295" t="s">
        <v>464</v>
      </c>
      <c r="H295" t="s">
        <v>402</v>
      </c>
      <c r="I295" t="s">
        <v>464</v>
      </c>
      <c r="J295" t="s">
        <v>402</v>
      </c>
      <c r="AD295">
        <v>10.9</v>
      </c>
      <c r="AG295">
        <v>14.1</v>
      </c>
      <c r="BK295" t="s">
        <v>159</v>
      </c>
      <c r="BM295" t="s">
        <v>924</v>
      </c>
      <c r="BN295" s="36">
        <v>76629</v>
      </c>
    </row>
    <row r="296" spans="1:70">
      <c r="A296" t="s">
        <v>973</v>
      </c>
      <c r="C296" t="s">
        <v>10</v>
      </c>
      <c r="D296" t="s">
        <v>11</v>
      </c>
      <c r="E296" t="s">
        <v>165</v>
      </c>
      <c r="G296" t="s">
        <v>464</v>
      </c>
      <c r="H296" t="s">
        <v>402</v>
      </c>
      <c r="I296" t="s">
        <v>464</v>
      </c>
      <c r="J296" t="s">
        <v>402</v>
      </c>
      <c r="BF296">
        <v>13.4</v>
      </c>
      <c r="BG296">
        <v>9.4</v>
      </c>
      <c r="BH296">
        <v>7.5</v>
      </c>
      <c r="BI296">
        <v>9.4</v>
      </c>
      <c r="BK296" t="s">
        <v>159</v>
      </c>
      <c r="BM296" t="s">
        <v>924</v>
      </c>
      <c r="BN296" s="36">
        <v>76629</v>
      </c>
    </row>
    <row r="297" spans="1:70">
      <c r="A297" t="s">
        <v>1007</v>
      </c>
      <c r="C297" t="s">
        <v>10</v>
      </c>
      <c r="D297" t="s">
        <v>11</v>
      </c>
      <c r="E297" t="s">
        <v>165</v>
      </c>
      <c r="G297" t="s">
        <v>464</v>
      </c>
      <c r="H297" t="s">
        <v>402</v>
      </c>
      <c r="I297" t="s">
        <v>464</v>
      </c>
      <c r="J297" t="s">
        <v>402</v>
      </c>
      <c r="Z297">
        <v>11.1</v>
      </c>
      <c r="AC297">
        <v>12.2</v>
      </c>
      <c r="AD297">
        <v>13.1</v>
      </c>
      <c r="AG297">
        <v>16</v>
      </c>
      <c r="BK297" t="s">
        <v>159</v>
      </c>
      <c r="BM297" t="s">
        <v>924</v>
      </c>
      <c r="BN297" s="36">
        <v>76629</v>
      </c>
    </row>
    <row r="298" spans="1:70">
      <c r="A298" t="s">
        <v>974</v>
      </c>
      <c r="C298" t="s">
        <v>10</v>
      </c>
      <c r="D298" t="s">
        <v>11</v>
      </c>
      <c r="E298" t="s">
        <v>165</v>
      </c>
      <c r="G298" t="s">
        <v>464</v>
      </c>
      <c r="H298" t="s">
        <v>402</v>
      </c>
      <c r="I298" t="s">
        <v>464</v>
      </c>
      <c r="J298" t="s">
        <v>402</v>
      </c>
      <c r="BA298">
        <v>8.9</v>
      </c>
      <c r="BB298">
        <v>12.8</v>
      </c>
      <c r="BC298">
        <v>9.8000000000000007</v>
      </c>
      <c r="BD298">
        <v>10.4</v>
      </c>
      <c r="BE298">
        <v>10.4</v>
      </c>
      <c r="BF298">
        <v>12.9</v>
      </c>
      <c r="BG298">
        <v>8.9</v>
      </c>
      <c r="BH298">
        <v>7.9</v>
      </c>
      <c r="BI298">
        <v>8.9</v>
      </c>
      <c r="BK298" t="s">
        <v>159</v>
      </c>
      <c r="BM298" t="s">
        <v>924</v>
      </c>
      <c r="BN298" s="36">
        <v>76629</v>
      </c>
    </row>
    <row r="299" spans="1:70">
      <c r="A299" t="s">
        <v>975</v>
      </c>
      <c r="C299" t="s">
        <v>10</v>
      </c>
      <c r="D299" t="s">
        <v>11</v>
      </c>
      <c r="E299" t="s">
        <v>165</v>
      </c>
      <c r="G299" t="s">
        <v>464</v>
      </c>
      <c r="H299" t="s">
        <v>402</v>
      </c>
      <c r="I299" t="s">
        <v>464</v>
      </c>
      <c r="J299" t="s">
        <v>402</v>
      </c>
      <c r="BB299">
        <v>13.3</v>
      </c>
      <c r="BC299">
        <v>9.6999999999999993</v>
      </c>
      <c r="BD299">
        <v>9.9</v>
      </c>
      <c r="BE299">
        <v>9.9</v>
      </c>
      <c r="BK299" t="s">
        <v>159</v>
      </c>
      <c r="BM299" t="s">
        <v>924</v>
      </c>
      <c r="BN299" s="36">
        <v>76629</v>
      </c>
    </row>
    <row r="300" spans="1:70">
      <c r="A300" t="s">
        <v>976</v>
      </c>
      <c r="C300" t="s">
        <v>10</v>
      </c>
      <c r="D300" t="s">
        <v>11</v>
      </c>
      <c r="E300" t="s">
        <v>165</v>
      </c>
      <c r="G300" t="s">
        <v>464</v>
      </c>
      <c r="H300" t="s">
        <v>402</v>
      </c>
      <c r="I300" t="s">
        <v>464</v>
      </c>
      <c r="J300" t="s">
        <v>402</v>
      </c>
      <c r="BB300">
        <v>13</v>
      </c>
      <c r="BC300">
        <v>9</v>
      </c>
      <c r="BD300">
        <v>9.1</v>
      </c>
      <c r="BE300">
        <v>9.1</v>
      </c>
      <c r="BF300">
        <v>12.5</v>
      </c>
      <c r="BG300">
        <v>7.7</v>
      </c>
      <c r="BH300">
        <v>6.8</v>
      </c>
      <c r="BI300">
        <v>7.7</v>
      </c>
      <c r="BK300" t="s">
        <v>159</v>
      </c>
      <c r="BM300" t="s">
        <v>924</v>
      </c>
      <c r="BN300" s="36">
        <v>76629</v>
      </c>
    </row>
    <row r="301" spans="1:70">
      <c r="A301" t="s">
        <v>977</v>
      </c>
      <c r="C301" t="s">
        <v>10</v>
      </c>
      <c r="D301" t="s">
        <v>11</v>
      </c>
      <c r="E301" t="s">
        <v>165</v>
      </c>
      <c r="G301" t="s">
        <v>464</v>
      </c>
      <c r="H301" t="s">
        <v>402</v>
      </c>
      <c r="I301" t="s">
        <v>464</v>
      </c>
      <c r="J301" t="s">
        <v>402</v>
      </c>
      <c r="AT301">
        <v>11.34</v>
      </c>
      <c r="AW301">
        <v>5.68</v>
      </c>
      <c r="AX301">
        <v>10.39</v>
      </c>
      <c r="AY301">
        <v>6.76</v>
      </c>
      <c r="AZ301">
        <v>7.89</v>
      </c>
      <c r="BA301">
        <v>7.89</v>
      </c>
      <c r="BB301">
        <v>11.22</v>
      </c>
      <c r="BC301">
        <v>88.84</v>
      </c>
      <c r="BD301">
        <v>8.9</v>
      </c>
      <c r="BE301">
        <v>8.9</v>
      </c>
      <c r="BF301">
        <v>11.22</v>
      </c>
      <c r="BG301">
        <v>7.94</v>
      </c>
      <c r="BH301">
        <v>7.19</v>
      </c>
      <c r="BI301">
        <v>7.94</v>
      </c>
      <c r="BK301" t="s">
        <v>159</v>
      </c>
      <c r="BM301" t="s">
        <v>924</v>
      </c>
      <c r="BN301" s="36">
        <v>76629</v>
      </c>
      <c r="BO301" t="s">
        <v>362</v>
      </c>
      <c r="BP301" t="s">
        <v>924</v>
      </c>
    </row>
    <row r="302" spans="1:70">
      <c r="A302" t="s">
        <v>966</v>
      </c>
      <c r="C302" t="s">
        <v>10</v>
      </c>
      <c r="D302" t="s">
        <v>11</v>
      </c>
      <c r="E302" t="s">
        <v>165</v>
      </c>
      <c r="G302" t="s">
        <v>464</v>
      </c>
      <c r="H302" t="s">
        <v>402</v>
      </c>
      <c r="I302" t="s">
        <v>464</v>
      </c>
      <c r="J302" t="s">
        <v>402</v>
      </c>
      <c r="AT302">
        <v>11.4</v>
      </c>
      <c r="AW302">
        <v>6.3</v>
      </c>
      <c r="AX302">
        <v>11.1</v>
      </c>
      <c r="AY302">
        <v>8.6</v>
      </c>
      <c r="AZ302">
        <v>9.1999999999999993</v>
      </c>
      <c r="BA302">
        <v>9.1999999999999993</v>
      </c>
      <c r="BB302">
        <v>12.3</v>
      </c>
      <c r="BC302">
        <v>10.4</v>
      </c>
      <c r="BD302">
        <v>10.7</v>
      </c>
      <c r="BE302">
        <v>10.7</v>
      </c>
      <c r="BF302">
        <v>12.1</v>
      </c>
      <c r="BG302">
        <v>9</v>
      </c>
      <c r="BH302">
        <v>7.8</v>
      </c>
      <c r="BI302">
        <v>9</v>
      </c>
      <c r="BK302" t="s">
        <v>159</v>
      </c>
      <c r="BM302" t="s">
        <v>924</v>
      </c>
      <c r="BN302" s="36">
        <v>76629</v>
      </c>
    </row>
    <row r="303" spans="1:70">
      <c r="A303" t="s">
        <v>414</v>
      </c>
      <c r="C303" t="s">
        <v>10</v>
      </c>
      <c r="D303" t="s">
        <v>11</v>
      </c>
      <c r="E303" t="s">
        <v>165</v>
      </c>
      <c r="G303" t="s">
        <v>464</v>
      </c>
      <c r="H303" t="s">
        <v>402</v>
      </c>
      <c r="I303" t="s">
        <v>464</v>
      </c>
      <c r="J303" t="s">
        <v>405</v>
      </c>
      <c r="N303">
        <v>4.4000000000000004</v>
      </c>
      <c r="Q303">
        <v>2.1</v>
      </c>
      <c r="R303">
        <v>7.4</v>
      </c>
      <c r="U303">
        <v>5.3</v>
      </c>
      <c r="V303">
        <v>7.3</v>
      </c>
      <c r="Y303">
        <v>7.7</v>
      </c>
      <c r="Z303">
        <v>9.1</v>
      </c>
      <c r="AC303">
        <v>10.3</v>
      </c>
      <c r="AH303">
        <v>5.2</v>
      </c>
      <c r="AK303">
        <v>8.1</v>
      </c>
      <c r="AP303">
        <v>7.7</v>
      </c>
      <c r="AS303">
        <v>3.6</v>
      </c>
      <c r="AT303">
        <v>9.6</v>
      </c>
      <c r="AW303">
        <v>4.9000000000000004</v>
      </c>
      <c r="AX303">
        <v>9.1</v>
      </c>
      <c r="AY303">
        <v>6</v>
      </c>
      <c r="BA303">
        <v>6</v>
      </c>
      <c r="BB303">
        <v>8.6</v>
      </c>
      <c r="BC303">
        <v>7.1</v>
      </c>
      <c r="BD303">
        <v>7.3</v>
      </c>
      <c r="BE303">
        <v>7.3</v>
      </c>
      <c r="BF303">
        <v>9.4</v>
      </c>
      <c r="BG303">
        <v>6.7</v>
      </c>
      <c r="BH303">
        <v>5.7</v>
      </c>
      <c r="BI303">
        <v>6.7</v>
      </c>
      <c r="BK303" t="s">
        <v>159</v>
      </c>
      <c r="BM303" t="s">
        <v>924</v>
      </c>
      <c r="BN303" s="36">
        <v>76629</v>
      </c>
    </row>
    <row r="304" spans="1:70">
      <c r="A304" t="s">
        <v>1024</v>
      </c>
      <c r="C304" t="s">
        <v>10</v>
      </c>
      <c r="D304" t="s">
        <v>11</v>
      </c>
      <c r="E304" t="s">
        <v>165</v>
      </c>
      <c r="G304" t="s">
        <v>464</v>
      </c>
      <c r="H304" t="s">
        <v>402</v>
      </c>
      <c r="I304" t="s">
        <v>464</v>
      </c>
      <c r="J304" t="s">
        <v>405</v>
      </c>
      <c r="R304">
        <v>7.52</v>
      </c>
      <c r="U304">
        <v>5.12</v>
      </c>
      <c r="V304">
        <v>6.69</v>
      </c>
      <c r="Y304">
        <v>7.82</v>
      </c>
      <c r="Z304">
        <v>7.96</v>
      </c>
      <c r="AC304">
        <v>9.4</v>
      </c>
      <c r="AD304">
        <v>8.23</v>
      </c>
      <c r="AG304">
        <v>11.81</v>
      </c>
      <c r="AH304">
        <v>5.7</v>
      </c>
      <c r="AK304">
        <v>8.99</v>
      </c>
      <c r="BK304" t="s">
        <v>159</v>
      </c>
      <c r="BM304" t="s">
        <v>924</v>
      </c>
      <c r="BN304" s="36">
        <v>76629</v>
      </c>
    </row>
    <row r="305" spans="1:68">
      <c r="A305" t="s">
        <v>1013</v>
      </c>
      <c r="C305" t="s">
        <v>10</v>
      </c>
      <c r="D305" t="s">
        <v>11</v>
      </c>
      <c r="E305" t="s">
        <v>165</v>
      </c>
      <c r="G305" t="s">
        <v>464</v>
      </c>
      <c r="H305" t="s">
        <v>402</v>
      </c>
      <c r="I305" t="s">
        <v>464</v>
      </c>
      <c r="J305" t="s">
        <v>405</v>
      </c>
      <c r="BB305">
        <v>10.15</v>
      </c>
      <c r="BC305">
        <v>8.4499999999999993</v>
      </c>
      <c r="BD305">
        <v>8.2200000000000006</v>
      </c>
      <c r="BE305">
        <v>8.4499999999999993</v>
      </c>
      <c r="BF305">
        <v>9.91</v>
      </c>
      <c r="BG305">
        <v>7.59</v>
      </c>
      <c r="BH305">
        <v>6.2</v>
      </c>
      <c r="BI305">
        <v>7.59</v>
      </c>
      <c r="BK305" t="s">
        <v>159</v>
      </c>
      <c r="BM305" t="s">
        <v>924</v>
      </c>
      <c r="BN305" s="36">
        <v>76629</v>
      </c>
    </row>
    <row r="306" spans="1:68">
      <c r="A306" t="s">
        <v>1008</v>
      </c>
      <c r="C306" t="s">
        <v>10</v>
      </c>
      <c r="D306" t="s">
        <v>11</v>
      </c>
      <c r="E306" t="s">
        <v>165</v>
      </c>
      <c r="G306" t="s">
        <v>464</v>
      </c>
      <c r="H306" t="s">
        <v>402</v>
      </c>
      <c r="I306" t="s">
        <v>464</v>
      </c>
      <c r="J306" t="s">
        <v>402</v>
      </c>
      <c r="AC306">
        <v>12.9</v>
      </c>
      <c r="AD306">
        <v>11.4</v>
      </c>
      <c r="AG306">
        <v>14.1</v>
      </c>
      <c r="AH306">
        <v>7.4</v>
      </c>
      <c r="AK306">
        <v>11.6</v>
      </c>
      <c r="BK306" t="s">
        <v>159</v>
      </c>
      <c r="BM306" t="s">
        <v>924</v>
      </c>
      <c r="BN306" s="36">
        <v>76629</v>
      </c>
    </row>
    <row r="307" spans="1:68">
      <c r="A307" t="s">
        <v>1009</v>
      </c>
      <c r="C307" t="s">
        <v>10</v>
      </c>
      <c r="D307" t="s">
        <v>11</v>
      </c>
      <c r="E307" t="s">
        <v>165</v>
      </c>
      <c r="G307" t="s">
        <v>464</v>
      </c>
      <c r="H307" t="s">
        <v>402</v>
      </c>
      <c r="I307" t="s">
        <v>464</v>
      </c>
      <c r="J307" t="s">
        <v>402</v>
      </c>
      <c r="Z307">
        <v>10.6</v>
      </c>
      <c r="AC307">
        <v>11.9</v>
      </c>
      <c r="AD307">
        <v>11.4</v>
      </c>
      <c r="AG307">
        <v>14.9</v>
      </c>
      <c r="AH307">
        <v>7.5</v>
      </c>
      <c r="AK307">
        <v>11.8</v>
      </c>
      <c r="BK307" t="s">
        <v>159</v>
      </c>
      <c r="BM307" t="s">
        <v>924</v>
      </c>
      <c r="BN307" s="36">
        <v>76629</v>
      </c>
    </row>
    <row r="308" spans="1:68">
      <c r="A308" t="s">
        <v>1010</v>
      </c>
      <c r="C308" t="s">
        <v>10</v>
      </c>
      <c r="D308" t="s">
        <v>11</v>
      </c>
      <c r="E308" t="s">
        <v>165</v>
      </c>
      <c r="G308" t="s">
        <v>464</v>
      </c>
      <c r="H308" t="s">
        <v>402</v>
      </c>
      <c r="I308" t="s">
        <v>464</v>
      </c>
      <c r="J308" t="s">
        <v>402</v>
      </c>
      <c r="Z308">
        <v>10.5</v>
      </c>
      <c r="AC308">
        <v>11.8</v>
      </c>
      <c r="AD308">
        <v>10.1</v>
      </c>
      <c r="AG308">
        <v>13.2</v>
      </c>
      <c r="BK308" t="s">
        <v>159</v>
      </c>
      <c r="BM308" t="s">
        <v>924</v>
      </c>
      <c r="BN308" s="36">
        <v>76629</v>
      </c>
    </row>
    <row r="309" spans="1:68">
      <c r="A309" t="s">
        <v>1011</v>
      </c>
      <c r="C309" t="s">
        <v>10</v>
      </c>
      <c r="D309" t="s">
        <v>11</v>
      </c>
      <c r="E309" t="s">
        <v>165</v>
      </c>
      <c r="G309" t="s">
        <v>464</v>
      </c>
      <c r="H309" t="s">
        <v>402</v>
      </c>
      <c r="I309" t="s">
        <v>464</v>
      </c>
      <c r="J309" t="s">
        <v>402</v>
      </c>
      <c r="AD309">
        <v>10.3</v>
      </c>
      <c r="AG309">
        <v>13.11</v>
      </c>
      <c r="BK309" t="s">
        <v>159</v>
      </c>
      <c r="BM309" t="s">
        <v>924</v>
      </c>
      <c r="BN309" s="36">
        <v>76629</v>
      </c>
    </row>
    <row r="310" spans="1:68">
      <c r="A310" t="s">
        <v>1026</v>
      </c>
      <c r="C310" t="s">
        <v>10</v>
      </c>
      <c r="D310" t="s">
        <v>11</v>
      </c>
      <c r="E310" t="s">
        <v>165</v>
      </c>
      <c r="G310" t="s">
        <v>464</v>
      </c>
      <c r="H310" t="s">
        <v>402</v>
      </c>
      <c r="I310" t="s">
        <v>464</v>
      </c>
      <c r="J310" t="s">
        <v>405</v>
      </c>
      <c r="Z310">
        <v>9.5</v>
      </c>
      <c r="AC310">
        <v>11.4</v>
      </c>
      <c r="AD310">
        <v>9.6999999999999993</v>
      </c>
      <c r="AG310">
        <v>12.2</v>
      </c>
      <c r="AH310">
        <v>7.3</v>
      </c>
      <c r="AK310">
        <v>10.199999999999999</v>
      </c>
      <c r="BK310" t="s">
        <v>159</v>
      </c>
      <c r="BM310" t="s">
        <v>924</v>
      </c>
      <c r="BN310" s="36">
        <v>76629</v>
      </c>
    </row>
    <row r="311" spans="1:68">
      <c r="A311" t="s">
        <v>983</v>
      </c>
      <c r="C311" t="s">
        <v>10</v>
      </c>
      <c r="D311" t="s">
        <v>11</v>
      </c>
      <c r="E311" t="s">
        <v>165</v>
      </c>
      <c r="G311" t="s">
        <v>464</v>
      </c>
      <c r="H311" t="s">
        <v>402</v>
      </c>
      <c r="I311" t="s">
        <v>464</v>
      </c>
      <c r="J311" t="s">
        <v>402</v>
      </c>
      <c r="BF311">
        <v>15.1</v>
      </c>
      <c r="BG311">
        <v>9.8000000000000007</v>
      </c>
      <c r="BH311">
        <v>8.1</v>
      </c>
      <c r="BI311">
        <v>9.8000000000000007</v>
      </c>
      <c r="BK311" t="s">
        <v>159</v>
      </c>
      <c r="BM311" t="s">
        <v>924</v>
      </c>
      <c r="BN311" s="36">
        <v>76629</v>
      </c>
    </row>
    <row r="312" spans="1:68">
      <c r="A312" t="s">
        <v>978</v>
      </c>
      <c r="C312" t="s">
        <v>10</v>
      </c>
      <c r="D312" t="s">
        <v>11</v>
      </c>
      <c r="E312" t="s">
        <v>165</v>
      </c>
      <c r="G312" t="s">
        <v>464</v>
      </c>
      <c r="H312" t="s">
        <v>402</v>
      </c>
      <c r="I312" t="s">
        <v>464</v>
      </c>
      <c r="J312" t="s">
        <v>402</v>
      </c>
      <c r="AX312">
        <v>12.1</v>
      </c>
      <c r="AY312">
        <v>7.6</v>
      </c>
      <c r="AZ312">
        <v>9.3000000000000007</v>
      </c>
      <c r="BA312">
        <v>9.3000000000000007</v>
      </c>
      <c r="BK312" t="s">
        <v>159</v>
      </c>
      <c r="BM312" t="s">
        <v>924</v>
      </c>
      <c r="BN312" s="36">
        <v>76629</v>
      </c>
    </row>
    <row r="313" spans="1:68">
      <c r="A313" t="s">
        <v>979</v>
      </c>
      <c r="C313" t="s">
        <v>10</v>
      </c>
      <c r="D313" t="s">
        <v>11</v>
      </c>
      <c r="E313" t="s">
        <v>165</v>
      </c>
      <c r="G313" t="s">
        <v>464</v>
      </c>
      <c r="H313" t="s">
        <v>402</v>
      </c>
      <c r="I313" t="s">
        <v>464</v>
      </c>
      <c r="J313" t="s">
        <v>402</v>
      </c>
      <c r="AZ313">
        <v>9.6999999999999993</v>
      </c>
      <c r="BA313">
        <v>9.6999999999999993</v>
      </c>
      <c r="BB313">
        <v>12.2</v>
      </c>
      <c r="BC313">
        <v>10.5</v>
      </c>
      <c r="BD313">
        <v>9.9</v>
      </c>
      <c r="BE313">
        <v>10.5</v>
      </c>
      <c r="BF313">
        <v>11.4</v>
      </c>
      <c r="BG313">
        <v>8.3000000000000007</v>
      </c>
      <c r="BH313">
        <v>7.6</v>
      </c>
      <c r="BI313">
        <v>8.3000000000000007</v>
      </c>
      <c r="BK313" t="s">
        <v>159</v>
      </c>
      <c r="BM313" t="s">
        <v>924</v>
      </c>
      <c r="BN313" s="36">
        <v>76629</v>
      </c>
    </row>
    <row r="314" spans="1:68">
      <c r="A314" t="s">
        <v>1027</v>
      </c>
      <c r="C314" t="s">
        <v>10</v>
      </c>
      <c r="D314" t="s">
        <v>11</v>
      </c>
      <c r="E314" t="s">
        <v>165</v>
      </c>
      <c r="G314" t="s">
        <v>464</v>
      </c>
      <c r="H314" t="s">
        <v>402</v>
      </c>
      <c r="I314" t="s">
        <v>464</v>
      </c>
      <c r="J314" t="s">
        <v>405</v>
      </c>
      <c r="Z314">
        <v>9.1999999999999993</v>
      </c>
      <c r="AD314">
        <v>9.6999999999999993</v>
      </c>
      <c r="AG314">
        <v>12.5</v>
      </c>
      <c r="AH314">
        <v>7.7</v>
      </c>
      <c r="AK314">
        <v>10.6</v>
      </c>
      <c r="BK314" t="s">
        <v>159</v>
      </c>
      <c r="BM314" t="s">
        <v>924</v>
      </c>
      <c r="BN314" s="36">
        <v>76629</v>
      </c>
      <c r="BO314" t="s">
        <v>362</v>
      </c>
      <c r="BP314" t="s">
        <v>924</v>
      </c>
    </row>
    <row r="315" spans="1:68">
      <c r="A315" t="s">
        <v>1016</v>
      </c>
      <c r="C315" t="s">
        <v>10</v>
      </c>
      <c r="D315" t="s">
        <v>11</v>
      </c>
      <c r="E315" t="s">
        <v>165</v>
      </c>
      <c r="G315" t="s">
        <v>464</v>
      </c>
      <c r="H315" t="s">
        <v>402</v>
      </c>
      <c r="I315" t="s">
        <v>464</v>
      </c>
      <c r="J315" t="s">
        <v>405</v>
      </c>
      <c r="AT315">
        <v>10.5</v>
      </c>
      <c r="AW315">
        <v>5</v>
      </c>
      <c r="AX315">
        <v>9.4</v>
      </c>
      <c r="AY315">
        <v>6.1</v>
      </c>
      <c r="AZ315">
        <v>7.3</v>
      </c>
      <c r="BA315">
        <v>7.3</v>
      </c>
      <c r="BK315" t="s">
        <v>159</v>
      </c>
      <c r="BM315" t="s">
        <v>924</v>
      </c>
      <c r="BN315" s="36">
        <v>76629</v>
      </c>
    </row>
    <row r="316" spans="1:68">
      <c r="A316" t="s">
        <v>1017</v>
      </c>
      <c r="C316" t="s">
        <v>10</v>
      </c>
      <c r="D316" t="s">
        <v>11</v>
      </c>
      <c r="E316" t="s">
        <v>165</v>
      </c>
      <c r="G316" t="s">
        <v>464</v>
      </c>
      <c r="H316" t="s">
        <v>402</v>
      </c>
      <c r="I316" t="s">
        <v>464</v>
      </c>
      <c r="J316" t="s">
        <v>405</v>
      </c>
      <c r="AL316">
        <v>5.2</v>
      </c>
      <c r="AO316">
        <v>2.5</v>
      </c>
      <c r="AP316">
        <v>8.1</v>
      </c>
      <c r="AS316">
        <v>4.0999999999999996</v>
      </c>
      <c r="AT316">
        <v>11.1</v>
      </c>
      <c r="AW316">
        <v>5.2</v>
      </c>
      <c r="BK316" s="3" t="s">
        <v>159</v>
      </c>
      <c r="BL316" s="3"/>
      <c r="BM316" t="s">
        <v>924</v>
      </c>
      <c r="BN316" s="36">
        <v>76629</v>
      </c>
    </row>
    <row r="317" spans="1:68">
      <c r="A317" t="s">
        <v>980</v>
      </c>
      <c r="C317" t="s">
        <v>10</v>
      </c>
      <c r="D317" t="s">
        <v>11</v>
      </c>
      <c r="E317" t="s">
        <v>165</v>
      </c>
      <c r="G317" t="s">
        <v>464</v>
      </c>
      <c r="H317" t="s">
        <v>402</v>
      </c>
      <c r="I317" t="s">
        <v>464</v>
      </c>
      <c r="J317" t="s">
        <v>402</v>
      </c>
      <c r="AP317">
        <v>8.8000000000000007</v>
      </c>
      <c r="AS317">
        <v>4.0999999999999996</v>
      </c>
      <c r="AT317">
        <v>11.5</v>
      </c>
      <c r="AW317">
        <v>5.5</v>
      </c>
      <c r="AX317">
        <v>10.1</v>
      </c>
      <c r="AY317">
        <v>6.6</v>
      </c>
      <c r="AZ317">
        <v>7.8</v>
      </c>
      <c r="BA317">
        <v>7.8</v>
      </c>
      <c r="BK317" t="s">
        <v>159</v>
      </c>
      <c r="BM317" t="s">
        <v>924</v>
      </c>
      <c r="BN317" s="36">
        <v>76629</v>
      </c>
      <c r="BO317" t="s">
        <v>362</v>
      </c>
      <c r="BP317" t="s">
        <v>924</v>
      </c>
    </row>
    <row r="318" spans="1:68">
      <c r="A318" t="s">
        <v>1028</v>
      </c>
      <c r="C318" t="s">
        <v>10</v>
      </c>
      <c r="D318" t="s">
        <v>11</v>
      </c>
      <c r="E318" t="s">
        <v>165</v>
      </c>
      <c r="G318" t="s">
        <v>464</v>
      </c>
      <c r="H318" t="s">
        <v>402</v>
      </c>
      <c r="I318" t="s">
        <v>464</v>
      </c>
      <c r="J318" t="s">
        <v>405</v>
      </c>
      <c r="Z318">
        <v>8.3000000000000007</v>
      </c>
      <c r="AC318">
        <v>9.1</v>
      </c>
      <c r="AD318">
        <v>8.6</v>
      </c>
      <c r="AG318">
        <v>12.1</v>
      </c>
      <c r="AH318">
        <v>6.1</v>
      </c>
      <c r="AK318">
        <v>8.5</v>
      </c>
      <c r="BK318" t="s">
        <v>159</v>
      </c>
      <c r="BM318" t="s">
        <v>924</v>
      </c>
      <c r="BN318" s="36">
        <v>76629</v>
      </c>
      <c r="BO318" t="s">
        <v>362</v>
      </c>
      <c r="BP318" t="s">
        <v>924</v>
      </c>
    </row>
    <row r="319" spans="1:68">
      <c r="A319" t="s">
        <v>1030</v>
      </c>
      <c r="C319" t="s">
        <v>10</v>
      </c>
      <c r="D319" t="s">
        <v>11</v>
      </c>
      <c r="E319" t="s">
        <v>165</v>
      </c>
      <c r="G319" t="s">
        <v>464</v>
      </c>
      <c r="H319" t="s">
        <v>402</v>
      </c>
      <c r="I319" t="s">
        <v>464</v>
      </c>
      <c r="J319" t="s">
        <v>405</v>
      </c>
      <c r="V319">
        <v>7.7</v>
      </c>
      <c r="Y319">
        <v>8.6</v>
      </c>
      <c r="Z319">
        <v>8.6999999999999993</v>
      </c>
      <c r="AC319">
        <v>9.6999999999999993</v>
      </c>
      <c r="AD319">
        <v>9.9</v>
      </c>
      <c r="AG319">
        <v>12.7</v>
      </c>
      <c r="AH319">
        <v>6.6</v>
      </c>
      <c r="AK319">
        <v>10.4</v>
      </c>
      <c r="BK319" t="s">
        <v>159</v>
      </c>
      <c r="BM319" t="s">
        <v>924</v>
      </c>
      <c r="BN319" s="36">
        <v>76629</v>
      </c>
      <c r="BO319" t="s">
        <v>362</v>
      </c>
      <c r="BP319" t="s">
        <v>924</v>
      </c>
    </row>
    <row r="320" spans="1:68">
      <c r="A320" t="s">
        <v>981</v>
      </c>
      <c r="C320" t="s">
        <v>10</v>
      </c>
      <c r="D320" t="s">
        <v>11</v>
      </c>
      <c r="E320" t="s">
        <v>165</v>
      </c>
      <c r="G320" t="s">
        <v>464</v>
      </c>
      <c r="H320" t="s">
        <v>402</v>
      </c>
      <c r="I320" t="s">
        <v>464</v>
      </c>
      <c r="J320" t="s">
        <v>402</v>
      </c>
      <c r="BF320">
        <v>12</v>
      </c>
      <c r="BG320">
        <v>7.9</v>
      </c>
      <c r="BH320">
        <v>6.1</v>
      </c>
      <c r="BI320">
        <v>7.9</v>
      </c>
      <c r="BK320" t="s">
        <v>159</v>
      </c>
      <c r="BM320" t="s">
        <v>924</v>
      </c>
      <c r="BN320" s="36">
        <v>76629</v>
      </c>
      <c r="BO320" t="s">
        <v>362</v>
      </c>
      <c r="BP320" t="s">
        <v>924</v>
      </c>
    </row>
    <row r="321" spans="1:68">
      <c r="A321" t="s">
        <v>1029</v>
      </c>
      <c r="C321" t="s">
        <v>10</v>
      </c>
      <c r="D321" t="s">
        <v>11</v>
      </c>
      <c r="E321" t="s">
        <v>165</v>
      </c>
      <c r="G321" t="s">
        <v>464</v>
      </c>
      <c r="H321" t="s">
        <v>402</v>
      </c>
      <c r="I321" t="s">
        <v>464</v>
      </c>
      <c r="J321" t="s">
        <v>405</v>
      </c>
      <c r="Z321">
        <v>9.6</v>
      </c>
      <c r="AC321">
        <v>10.5</v>
      </c>
      <c r="AD321">
        <v>10.4</v>
      </c>
      <c r="AG321">
        <v>13.3</v>
      </c>
      <c r="AH321">
        <v>7.6</v>
      </c>
      <c r="AK321">
        <v>12.1</v>
      </c>
      <c r="BK321" t="s">
        <v>159</v>
      </c>
      <c r="BM321" t="s">
        <v>924</v>
      </c>
      <c r="BN321" s="36">
        <v>76629</v>
      </c>
      <c r="BO321" t="s">
        <v>362</v>
      </c>
      <c r="BP321" t="s">
        <v>924</v>
      </c>
    </row>
    <row r="322" spans="1:68">
      <c r="A322" t="s">
        <v>1018</v>
      </c>
      <c r="C322" t="s">
        <v>10</v>
      </c>
      <c r="D322" t="s">
        <v>11</v>
      </c>
      <c r="E322" t="s">
        <v>165</v>
      </c>
      <c r="G322" t="s">
        <v>464</v>
      </c>
      <c r="H322" t="s">
        <v>402</v>
      </c>
      <c r="I322" t="s">
        <v>464</v>
      </c>
      <c r="J322" t="s">
        <v>405</v>
      </c>
      <c r="AX322">
        <v>8.9</v>
      </c>
      <c r="AY322">
        <v>6.7</v>
      </c>
      <c r="AZ322">
        <v>7.3</v>
      </c>
      <c r="BA322">
        <v>7.3</v>
      </c>
      <c r="BB322">
        <v>9.8000000000000007</v>
      </c>
      <c r="BC322">
        <v>8.1999999999999993</v>
      </c>
      <c r="BD322">
        <v>7.4</v>
      </c>
      <c r="BE322">
        <v>8.1999999999999993</v>
      </c>
      <c r="BK322" t="s">
        <v>159</v>
      </c>
      <c r="BM322" t="s">
        <v>924</v>
      </c>
      <c r="BN322" s="36">
        <v>76629</v>
      </c>
    </row>
    <row r="323" spans="1:68">
      <c r="A323" t="s">
        <v>1019</v>
      </c>
      <c r="C323" t="s">
        <v>10</v>
      </c>
      <c r="D323" t="s">
        <v>11</v>
      </c>
      <c r="E323" t="s">
        <v>165</v>
      </c>
      <c r="G323" t="s">
        <v>464</v>
      </c>
      <c r="H323" t="s">
        <v>402</v>
      </c>
      <c r="I323" t="s">
        <v>464</v>
      </c>
      <c r="J323" t="s">
        <v>405</v>
      </c>
      <c r="AX323">
        <v>8.8000000000000007</v>
      </c>
      <c r="AY323">
        <v>6.4</v>
      </c>
      <c r="AZ323">
        <v>7.5</v>
      </c>
      <c r="BA323">
        <v>7.5</v>
      </c>
      <c r="BB323">
        <v>9.8000000000000007</v>
      </c>
      <c r="BC323">
        <v>8.5</v>
      </c>
      <c r="BD323">
        <v>8</v>
      </c>
      <c r="BE323">
        <v>8.5</v>
      </c>
      <c r="BF323">
        <v>9.3000000000000007</v>
      </c>
      <c r="BG323">
        <v>7.4</v>
      </c>
      <c r="BH323">
        <v>6.3</v>
      </c>
      <c r="BI323">
        <v>7.4</v>
      </c>
      <c r="BK323" t="s">
        <v>159</v>
      </c>
      <c r="BM323" t="s">
        <v>924</v>
      </c>
      <c r="BN323" s="36">
        <v>76629</v>
      </c>
    </row>
    <row r="324" spans="1:68">
      <c r="A324" t="s">
        <v>1031</v>
      </c>
      <c r="C324" t="s">
        <v>10</v>
      </c>
      <c r="D324" t="s">
        <v>11</v>
      </c>
      <c r="E324" t="s">
        <v>165</v>
      </c>
      <c r="G324" t="s">
        <v>464</v>
      </c>
      <c r="H324" t="s">
        <v>402</v>
      </c>
      <c r="I324" t="s">
        <v>464</v>
      </c>
      <c r="J324" t="s">
        <v>405</v>
      </c>
      <c r="AC324">
        <v>10.6</v>
      </c>
      <c r="BK324" t="s">
        <v>159</v>
      </c>
      <c r="BM324" t="s">
        <v>924</v>
      </c>
      <c r="BN324" s="36">
        <v>76629</v>
      </c>
    </row>
    <row r="325" spans="1:68">
      <c r="A325" t="s">
        <v>1020</v>
      </c>
      <c r="C325" t="s">
        <v>10</v>
      </c>
      <c r="D325" t="s">
        <v>11</v>
      </c>
      <c r="E325" t="s">
        <v>165</v>
      </c>
      <c r="G325" t="s">
        <v>464</v>
      </c>
      <c r="H325" t="s">
        <v>402</v>
      </c>
      <c r="I325" t="s">
        <v>464</v>
      </c>
      <c r="J325" t="s">
        <v>405</v>
      </c>
      <c r="AX325">
        <v>8.5</v>
      </c>
      <c r="AY325">
        <v>6.4</v>
      </c>
      <c r="AZ325">
        <v>6.9</v>
      </c>
      <c r="BA325">
        <v>6.9</v>
      </c>
      <c r="BB325">
        <v>9.1999999999999993</v>
      </c>
      <c r="BC325">
        <v>7.8</v>
      </c>
      <c r="BD325">
        <v>7.7</v>
      </c>
      <c r="BE325">
        <v>7.8</v>
      </c>
      <c r="BK325" t="s">
        <v>159</v>
      </c>
      <c r="BM325" t="s">
        <v>924</v>
      </c>
      <c r="BN325" s="36">
        <v>76629</v>
      </c>
    </row>
    <row r="326" spans="1:68">
      <c r="A326" t="s">
        <v>1021</v>
      </c>
      <c r="C326" t="s">
        <v>10</v>
      </c>
      <c r="D326" t="s">
        <v>11</v>
      </c>
      <c r="E326" t="s">
        <v>165</v>
      </c>
      <c r="G326" t="s">
        <v>464</v>
      </c>
      <c r="H326" t="s">
        <v>402</v>
      </c>
      <c r="I326" t="s">
        <v>464</v>
      </c>
      <c r="J326" t="s">
        <v>405</v>
      </c>
      <c r="BB326">
        <v>8.5</v>
      </c>
      <c r="BC326">
        <v>6.8</v>
      </c>
      <c r="BD326">
        <v>8</v>
      </c>
      <c r="BE326">
        <v>8</v>
      </c>
      <c r="BK326" t="s">
        <v>159</v>
      </c>
      <c r="BM326" t="s">
        <v>924</v>
      </c>
      <c r="BN326" s="36">
        <v>76629</v>
      </c>
    </row>
    <row r="327" spans="1:68">
      <c r="A327" t="s">
        <v>1022</v>
      </c>
      <c r="C327" t="s">
        <v>10</v>
      </c>
      <c r="D327" s="3" t="s">
        <v>11</v>
      </c>
      <c r="E327" t="s">
        <v>165</v>
      </c>
      <c r="G327" t="s">
        <v>464</v>
      </c>
      <c r="H327" t="s">
        <v>402</v>
      </c>
      <c r="I327" t="s">
        <v>464</v>
      </c>
      <c r="J327" t="s">
        <v>405</v>
      </c>
      <c r="BF327">
        <v>10.1</v>
      </c>
      <c r="BG327">
        <v>6.5</v>
      </c>
      <c r="BH327">
        <v>5.4</v>
      </c>
      <c r="BI327">
        <v>6.5</v>
      </c>
      <c r="BK327" t="s">
        <v>159</v>
      </c>
      <c r="BM327" t="s">
        <v>924</v>
      </c>
      <c r="BN327" s="36">
        <v>76629</v>
      </c>
    </row>
    <row r="328" spans="1:68">
      <c r="A328" t="s">
        <v>1023</v>
      </c>
      <c r="C328" t="s">
        <v>10</v>
      </c>
      <c r="D328" t="s">
        <v>11</v>
      </c>
      <c r="E328" t="s">
        <v>165</v>
      </c>
      <c r="G328" t="s">
        <v>464</v>
      </c>
      <c r="H328" t="s">
        <v>402</v>
      </c>
      <c r="I328" t="s">
        <v>464</v>
      </c>
      <c r="J328" t="s">
        <v>405</v>
      </c>
      <c r="V328">
        <v>8.1999999999999993</v>
      </c>
      <c r="Y328">
        <v>8.1</v>
      </c>
      <c r="Z328">
        <v>8.6</v>
      </c>
      <c r="AC328">
        <v>10.7</v>
      </c>
      <c r="AD328">
        <v>9.1</v>
      </c>
      <c r="AG328">
        <v>12.9</v>
      </c>
      <c r="BB328">
        <v>9.6</v>
      </c>
      <c r="BC328">
        <v>9.3000000000000007</v>
      </c>
      <c r="BD328">
        <v>8.1</v>
      </c>
      <c r="BE328">
        <v>9.3000000000000007</v>
      </c>
      <c r="BF328">
        <v>9.8000000000000007</v>
      </c>
      <c r="BG328">
        <v>7.1</v>
      </c>
      <c r="BH328">
        <v>6.1</v>
      </c>
      <c r="BI328">
        <v>7.1</v>
      </c>
      <c r="BK328" t="s">
        <v>159</v>
      </c>
      <c r="BM328" t="s">
        <v>924</v>
      </c>
      <c r="BN328" s="36">
        <v>76629</v>
      </c>
      <c r="BO328" t="s">
        <v>362</v>
      </c>
      <c r="BP328" t="s">
        <v>924</v>
      </c>
    </row>
    <row r="329" spans="1:68">
      <c r="A329" t="s">
        <v>1192</v>
      </c>
      <c r="C329" t="s">
        <v>10</v>
      </c>
      <c r="D329" t="s">
        <v>1039</v>
      </c>
      <c r="E329" t="s">
        <v>1040</v>
      </c>
      <c r="G329" t="s">
        <v>1165</v>
      </c>
      <c r="H329" t="s">
        <v>1166</v>
      </c>
      <c r="I329" t="s">
        <v>1165</v>
      </c>
      <c r="J329" t="s">
        <v>1193</v>
      </c>
      <c r="M329" s="18"/>
      <c r="N329">
        <v>6</v>
      </c>
      <c r="Q329">
        <v>4.8</v>
      </c>
      <c r="R329">
        <f>AVERAGE(5.9,6.1)</f>
        <v>6</v>
      </c>
      <c r="U329">
        <f>AVERAGE(5.9,6)</f>
        <v>5.95</v>
      </c>
      <c r="V329">
        <f>AVERAGE(6,6.1)</f>
        <v>6.05</v>
      </c>
      <c r="Y329">
        <f>AVERAGE(7.8,7.5)</f>
        <v>7.65</v>
      </c>
      <c r="Z329">
        <f>AVERAGE(6.6,6.9)</f>
        <v>6.75</v>
      </c>
      <c r="AC329">
        <f>AVERAGE(8.9,8.5)</f>
        <v>8.6999999999999993</v>
      </c>
      <c r="AD329">
        <f>AVERAGE(7.1,7.1)</f>
        <v>7.1</v>
      </c>
      <c r="AG329">
        <f>AVERAGE(9.1,9.4)</f>
        <v>9.25</v>
      </c>
      <c r="AH329">
        <f>AVERAGE(5.5,5.7)</f>
        <v>5.6</v>
      </c>
      <c r="AK329">
        <f>AVERAGE(7.8,7.5)</f>
        <v>7.65</v>
      </c>
      <c r="AL329">
        <f>AVERAGE(5.7,5.7)</f>
        <v>5.7</v>
      </c>
      <c r="AM329">
        <f>AVERAGE(3,3.1)</f>
        <v>3.05</v>
      </c>
      <c r="AO329">
        <v>3.05</v>
      </c>
      <c r="AP329">
        <f>AVERAGE(6.2,6)</f>
        <v>6.1</v>
      </c>
      <c r="AQ329">
        <f>AVERAGE(4.3)</f>
        <v>4.3</v>
      </c>
      <c r="AS329">
        <v>4.3</v>
      </c>
      <c r="AX329">
        <f>AVERAGE(7,8)</f>
        <v>7.5</v>
      </c>
      <c r="AY329">
        <f>AVERAGE(6.5,6.2)</f>
        <v>6.35</v>
      </c>
      <c r="AZ329">
        <f>AVERAGE(6.4)</f>
        <v>6.4</v>
      </c>
      <c r="BA329">
        <v>6.4</v>
      </c>
      <c r="BB329">
        <f>AVERAGE(7.8,8.1)</f>
        <v>7.9499999999999993</v>
      </c>
      <c r="BC329">
        <f>AVERAGE(7)</f>
        <v>7</v>
      </c>
      <c r="BE329">
        <v>7</v>
      </c>
      <c r="BF329">
        <f>AVERAGE(8.2,7.3)</f>
        <v>7.75</v>
      </c>
      <c r="BG329">
        <f>AVERAGE(4.8,6)</f>
        <v>5.4</v>
      </c>
      <c r="BH329">
        <f>AVERAGE(4,5.1)</f>
        <v>4.55</v>
      </c>
      <c r="BI329">
        <v>5.4</v>
      </c>
      <c r="BJ329" t="s">
        <v>1194</v>
      </c>
      <c r="BK329" t="s">
        <v>273</v>
      </c>
      <c r="BM329" t="s">
        <v>1195</v>
      </c>
      <c r="BN329" s="33">
        <v>45973</v>
      </c>
      <c r="BO329" t="s">
        <v>362</v>
      </c>
      <c r="BP329" t="s">
        <v>1195</v>
      </c>
    </row>
    <row r="330" spans="1:68" s="55" customFormat="1">
      <c r="A330" s="55" t="s">
        <v>311</v>
      </c>
      <c r="C330" s="55" t="s">
        <v>10</v>
      </c>
      <c r="D330" s="55" t="s">
        <v>11</v>
      </c>
      <c r="E330" s="55" t="s">
        <v>165</v>
      </c>
      <c r="G330" s="55" t="s">
        <v>464</v>
      </c>
      <c r="H330" s="55" t="s">
        <v>402</v>
      </c>
      <c r="I330" s="55" t="s">
        <v>401</v>
      </c>
      <c r="J330" s="55" t="s">
        <v>405</v>
      </c>
      <c r="AD330" s="55">
        <f>0.01*1000</f>
        <v>10</v>
      </c>
      <c r="AG330" s="55">
        <f>0.0118*1000</f>
        <v>11.799999999999999</v>
      </c>
      <c r="BK330" s="55" t="s">
        <v>273</v>
      </c>
      <c r="BM330" s="55" t="s">
        <v>613</v>
      </c>
      <c r="BN330" s="55">
        <v>7016</v>
      </c>
    </row>
    <row r="331" spans="1:68" s="55" customFormat="1">
      <c r="A331" s="55" t="s">
        <v>311</v>
      </c>
      <c r="C331" s="55" t="s">
        <v>10</v>
      </c>
      <c r="D331" s="55" t="s">
        <v>11</v>
      </c>
      <c r="E331" s="55" t="s">
        <v>165</v>
      </c>
      <c r="G331" s="55" t="s">
        <v>464</v>
      </c>
      <c r="H331" s="55" t="s">
        <v>402</v>
      </c>
      <c r="I331" s="55" t="s">
        <v>63</v>
      </c>
      <c r="J331" s="55" t="s">
        <v>402</v>
      </c>
      <c r="AD331" s="55">
        <f>0.013*1000</f>
        <v>13</v>
      </c>
      <c r="AG331" s="55">
        <f>0.015*1000</f>
        <v>15</v>
      </c>
      <c r="BK331" s="55" t="s">
        <v>273</v>
      </c>
      <c r="BM331" s="55" t="s">
        <v>613</v>
      </c>
      <c r="BN331" s="55">
        <v>7016</v>
      </c>
    </row>
    <row r="332" spans="1:68" s="55" customFormat="1">
      <c r="A332" s="55" t="s">
        <v>311</v>
      </c>
      <c r="C332" s="55" t="s">
        <v>10</v>
      </c>
      <c r="D332" s="55" t="s">
        <v>11</v>
      </c>
      <c r="E332" s="55" t="s">
        <v>165</v>
      </c>
      <c r="G332" s="55" t="s">
        <v>232</v>
      </c>
      <c r="H332" s="55" t="s">
        <v>612</v>
      </c>
      <c r="I332" s="55" t="s">
        <v>63</v>
      </c>
      <c r="J332" s="55" t="s">
        <v>612</v>
      </c>
      <c r="AD332" s="55">
        <f>0.008*1000</f>
        <v>8</v>
      </c>
      <c r="AG332" s="55">
        <f>0.011*1000</f>
        <v>11</v>
      </c>
      <c r="BK332" s="55" t="s">
        <v>273</v>
      </c>
      <c r="BM332" s="55" t="s">
        <v>613</v>
      </c>
      <c r="BN332" s="55">
        <v>7016</v>
      </c>
    </row>
    <row r="333" spans="1:68">
      <c r="A333" t="s">
        <v>615</v>
      </c>
      <c r="C333" t="s">
        <v>10</v>
      </c>
      <c r="D333" t="s">
        <v>11</v>
      </c>
      <c r="E333" t="s">
        <v>165</v>
      </c>
      <c r="G333" t="s">
        <v>487</v>
      </c>
      <c r="H333" t="s">
        <v>82</v>
      </c>
      <c r="I333" t="s">
        <v>487</v>
      </c>
      <c r="J333" t="s">
        <v>82</v>
      </c>
      <c r="V333">
        <v>5.2</v>
      </c>
      <c r="W333">
        <v>5.9</v>
      </c>
      <c r="Y333">
        <v>5.9</v>
      </c>
      <c r="Z333">
        <v>6.1</v>
      </c>
      <c r="AA333">
        <v>7</v>
      </c>
      <c r="AC333">
        <v>7</v>
      </c>
      <c r="AD333">
        <v>6.9</v>
      </c>
      <c r="AE333">
        <v>8.3000000000000007</v>
      </c>
      <c r="AG333">
        <v>8.3000000000000007</v>
      </c>
      <c r="AH333">
        <v>5.0999999999999996</v>
      </c>
      <c r="AI333">
        <v>7.5</v>
      </c>
      <c r="AK333">
        <v>7.5</v>
      </c>
      <c r="AL333">
        <v>6</v>
      </c>
      <c r="AM333">
        <v>1.8</v>
      </c>
      <c r="AO333">
        <v>1.8</v>
      </c>
      <c r="AP333">
        <v>6</v>
      </c>
      <c r="AQ333">
        <v>2.2999999999999998</v>
      </c>
      <c r="AS333">
        <v>2.2999999999999998</v>
      </c>
      <c r="AT333">
        <v>6</v>
      </c>
      <c r="AU333">
        <v>3.6</v>
      </c>
      <c r="AW333">
        <v>3.6</v>
      </c>
      <c r="AX333">
        <v>6.3</v>
      </c>
      <c r="AY333">
        <v>5.0999999999999996</v>
      </c>
      <c r="BA333">
        <v>5.0999999999999996</v>
      </c>
      <c r="BF333">
        <v>7.7</v>
      </c>
      <c r="BG333">
        <v>5</v>
      </c>
      <c r="BI333">
        <v>5</v>
      </c>
      <c r="BK333" t="s">
        <v>273</v>
      </c>
      <c r="BM333" t="s">
        <v>613</v>
      </c>
      <c r="BN333" s="33">
        <v>7016</v>
      </c>
    </row>
    <row r="334" spans="1:68">
      <c r="A334" t="s">
        <v>619</v>
      </c>
      <c r="C334" t="s">
        <v>10</v>
      </c>
      <c r="D334" t="s">
        <v>11</v>
      </c>
      <c r="E334" t="s">
        <v>165</v>
      </c>
      <c r="G334" t="s">
        <v>487</v>
      </c>
      <c r="H334" t="s">
        <v>82</v>
      </c>
      <c r="I334" t="s">
        <v>487</v>
      </c>
      <c r="J334" t="s">
        <v>82</v>
      </c>
      <c r="AX334">
        <v>7.3</v>
      </c>
      <c r="AY334">
        <v>5.6</v>
      </c>
      <c r="BA334">
        <v>5.6</v>
      </c>
      <c r="BB334">
        <v>7</v>
      </c>
      <c r="BC334">
        <v>6.5</v>
      </c>
      <c r="BE334">
        <v>6.5</v>
      </c>
      <c r="BF334">
        <v>7.1</v>
      </c>
      <c r="BG334">
        <v>5</v>
      </c>
      <c r="BI334">
        <v>5</v>
      </c>
      <c r="BK334" t="s">
        <v>273</v>
      </c>
      <c r="BM334" t="s">
        <v>613</v>
      </c>
      <c r="BN334" s="33">
        <v>7016</v>
      </c>
    </row>
    <row r="335" spans="1:68">
      <c r="A335" t="s">
        <v>621</v>
      </c>
      <c r="C335" t="s">
        <v>10</v>
      </c>
      <c r="D335" t="s">
        <v>11</v>
      </c>
      <c r="E335" t="s">
        <v>165</v>
      </c>
      <c r="G335" t="s">
        <v>487</v>
      </c>
      <c r="H335" t="s">
        <v>82</v>
      </c>
      <c r="I335" t="s">
        <v>487</v>
      </c>
      <c r="J335" t="s">
        <v>82</v>
      </c>
      <c r="AT335">
        <v>6</v>
      </c>
      <c r="AU335">
        <v>3.1</v>
      </c>
      <c r="AW335">
        <v>3.1</v>
      </c>
      <c r="AX335">
        <v>6.9</v>
      </c>
      <c r="AY335">
        <v>4.3</v>
      </c>
      <c r="BA335">
        <v>4.3</v>
      </c>
      <c r="BB335">
        <v>7.1</v>
      </c>
      <c r="BC335">
        <v>5.2</v>
      </c>
      <c r="BE335">
        <v>5.2</v>
      </c>
      <c r="BK335" t="s">
        <v>273</v>
      </c>
      <c r="BM335" t="s">
        <v>613</v>
      </c>
      <c r="BN335" s="33">
        <v>7016</v>
      </c>
    </row>
    <row r="336" spans="1:68">
      <c r="A336" t="s">
        <v>620</v>
      </c>
      <c r="C336" t="s">
        <v>10</v>
      </c>
      <c r="D336" t="s">
        <v>11</v>
      </c>
      <c r="E336" t="s">
        <v>165</v>
      </c>
      <c r="G336" t="s">
        <v>487</v>
      </c>
      <c r="H336" t="s">
        <v>82</v>
      </c>
      <c r="I336" t="s">
        <v>487</v>
      </c>
      <c r="J336" t="s">
        <v>82</v>
      </c>
      <c r="AT336">
        <v>5.8</v>
      </c>
      <c r="AU336">
        <v>3.9</v>
      </c>
      <c r="AW336">
        <v>3.9</v>
      </c>
      <c r="AX336">
        <v>6.5</v>
      </c>
      <c r="AY336">
        <v>4.3</v>
      </c>
      <c r="BA336">
        <v>4.3</v>
      </c>
      <c r="BB336">
        <v>7.1</v>
      </c>
      <c r="BC336">
        <v>5.2</v>
      </c>
      <c r="BE336">
        <v>5.2</v>
      </c>
      <c r="BK336" t="s">
        <v>273</v>
      </c>
      <c r="BM336" t="s">
        <v>613</v>
      </c>
      <c r="BN336" s="33">
        <v>7016</v>
      </c>
    </row>
    <row r="337" spans="1:70">
      <c r="A337" t="s">
        <v>614</v>
      </c>
      <c r="C337" t="s">
        <v>10</v>
      </c>
      <c r="D337" t="s">
        <v>11</v>
      </c>
      <c r="E337" t="s">
        <v>165</v>
      </c>
      <c r="G337" t="s">
        <v>487</v>
      </c>
      <c r="H337" t="s">
        <v>82</v>
      </c>
      <c r="I337" t="s">
        <v>487</v>
      </c>
      <c r="J337" t="s">
        <v>82</v>
      </c>
      <c r="R337">
        <v>6</v>
      </c>
      <c r="S337">
        <v>4.9000000000000004</v>
      </c>
      <c r="U337">
        <v>4.9000000000000004</v>
      </c>
      <c r="V337">
        <v>5.5</v>
      </c>
      <c r="W337">
        <v>5.7</v>
      </c>
      <c r="Y337">
        <v>5.7</v>
      </c>
      <c r="Z337">
        <v>6.6</v>
      </c>
      <c r="AA337">
        <v>6.9</v>
      </c>
      <c r="AC337">
        <v>6.9</v>
      </c>
      <c r="AD337">
        <v>7.2</v>
      </c>
      <c r="AE337">
        <v>8.8000000000000007</v>
      </c>
      <c r="AG337">
        <v>8.8000000000000007</v>
      </c>
      <c r="AH337">
        <v>5</v>
      </c>
      <c r="AI337">
        <v>7.7</v>
      </c>
      <c r="AK337">
        <v>7.7</v>
      </c>
      <c r="AX337">
        <v>6.5</v>
      </c>
      <c r="AY337">
        <v>5.8</v>
      </c>
      <c r="BA337">
        <v>5.8</v>
      </c>
      <c r="BB337">
        <v>7.1</v>
      </c>
      <c r="BC337">
        <v>6.3</v>
      </c>
      <c r="BE337">
        <v>6.3</v>
      </c>
      <c r="BK337" t="s">
        <v>273</v>
      </c>
      <c r="BM337" t="s">
        <v>613</v>
      </c>
      <c r="BN337" s="33">
        <v>7016</v>
      </c>
    </row>
    <row r="338" spans="1:70">
      <c r="A338" t="s">
        <v>616</v>
      </c>
      <c r="C338" t="s">
        <v>10</v>
      </c>
      <c r="D338" t="s">
        <v>11</v>
      </c>
      <c r="E338" t="s">
        <v>165</v>
      </c>
      <c r="G338" t="s">
        <v>487</v>
      </c>
      <c r="H338" t="s">
        <v>82</v>
      </c>
      <c r="I338" t="s">
        <v>487</v>
      </c>
      <c r="J338" t="s">
        <v>82</v>
      </c>
      <c r="N338">
        <v>4.9000000000000004</v>
      </c>
      <c r="O338">
        <v>4.0999999999999996</v>
      </c>
      <c r="Q338">
        <v>4.0999999999999996</v>
      </c>
      <c r="Z338">
        <v>6.2</v>
      </c>
      <c r="AA338">
        <v>6.9</v>
      </c>
      <c r="AC338">
        <v>6.9</v>
      </c>
      <c r="AD338">
        <v>6.3</v>
      </c>
      <c r="AE338">
        <v>8.1</v>
      </c>
      <c r="AG338">
        <v>8.1</v>
      </c>
      <c r="AH338">
        <v>5.3</v>
      </c>
      <c r="AI338">
        <v>7.2</v>
      </c>
      <c r="AK338">
        <v>7.2</v>
      </c>
      <c r="AX338">
        <v>6.5</v>
      </c>
      <c r="AY338">
        <v>5.2</v>
      </c>
      <c r="BA338">
        <v>5.2</v>
      </c>
      <c r="BB338">
        <v>6.3</v>
      </c>
      <c r="BC338">
        <v>5.7</v>
      </c>
      <c r="BE338">
        <v>5.7</v>
      </c>
      <c r="BF338">
        <v>7</v>
      </c>
      <c r="BG338">
        <v>4.8</v>
      </c>
      <c r="BI338">
        <v>4.8</v>
      </c>
      <c r="BK338" t="s">
        <v>273</v>
      </c>
      <c r="BM338" t="s">
        <v>613</v>
      </c>
      <c r="BN338" s="33">
        <v>7016</v>
      </c>
    </row>
    <row r="339" spans="1:70">
      <c r="A339" t="s">
        <v>622</v>
      </c>
      <c r="C339" t="s">
        <v>10</v>
      </c>
      <c r="D339" t="s">
        <v>11</v>
      </c>
      <c r="E339" t="s">
        <v>165</v>
      </c>
      <c r="G339" t="s">
        <v>487</v>
      </c>
      <c r="H339" t="s">
        <v>82</v>
      </c>
      <c r="I339" t="s">
        <v>487</v>
      </c>
      <c r="J339" t="s">
        <v>82</v>
      </c>
      <c r="AT339">
        <v>6.2</v>
      </c>
      <c r="AU339">
        <v>4</v>
      </c>
      <c r="AW339">
        <v>4</v>
      </c>
      <c r="AX339">
        <v>6.1</v>
      </c>
      <c r="AY339">
        <v>5</v>
      </c>
      <c r="BA339">
        <v>5</v>
      </c>
      <c r="BB339">
        <v>7</v>
      </c>
      <c r="BC339">
        <v>6.5</v>
      </c>
      <c r="BE339">
        <v>6.5</v>
      </c>
      <c r="BF339">
        <v>6.9</v>
      </c>
      <c r="BG339">
        <v>5.0999999999999996</v>
      </c>
      <c r="BI339">
        <v>5.0999999999999996</v>
      </c>
      <c r="BK339" t="s">
        <v>273</v>
      </c>
      <c r="BM339" t="s">
        <v>613</v>
      </c>
      <c r="BN339" s="33">
        <v>7016</v>
      </c>
    </row>
    <row r="340" spans="1:70">
      <c r="A340" t="s">
        <v>618</v>
      </c>
      <c r="C340" t="s">
        <v>10</v>
      </c>
      <c r="D340" t="s">
        <v>11</v>
      </c>
      <c r="E340" t="s">
        <v>165</v>
      </c>
      <c r="G340" t="s">
        <v>487</v>
      </c>
      <c r="H340" t="s">
        <v>82</v>
      </c>
      <c r="I340" t="s">
        <v>487</v>
      </c>
      <c r="J340" t="s">
        <v>82</v>
      </c>
      <c r="Z340">
        <v>7</v>
      </c>
      <c r="AA340">
        <v>7.4</v>
      </c>
      <c r="AC340">
        <v>7.4</v>
      </c>
      <c r="AD340">
        <v>7.1</v>
      </c>
      <c r="AE340">
        <v>8.8000000000000007</v>
      </c>
      <c r="AG340">
        <v>8.8000000000000007</v>
      </c>
      <c r="AH340">
        <v>5.2</v>
      </c>
      <c r="AI340">
        <v>7.3</v>
      </c>
      <c r="AK340">
        <v>7.3</v>
      </c>
      <c r="BK340" t="s">
        <v>273</v>
      </c>
      <c r="BM340" t="s">
        <v>613</v>
      </c>
      <c r="BN340" s="33">
        <v>7016</v>
      </c>
    </row>
    <row r="341" spans="1:70">
      <c r="A341" t="s">
        <v>617</v>
      </c>
      <c r="C341" t="s">
        <v>10</v>
      </c>
      <c r="D341" t="s">
        <v>11</v>
      </c>
      <c r="E341" t="s">
        <v>165</v>
      </c>
      <c r="G341" t="s">
        <v>487</v>
      </c>
      <c r="H341" t="s">
        <v>82</v>
      </c>
      <c r="I341" t="s">
        <v>487</v>
      </c>
      <c r="J341" t="s">
        <v>82</v>
      </c>
      <c r="AL341">
        <v>6.1</v>
      </c>
      <c r="AM341">
        <v>3</v>
      </c>
      <c r="AO341">
        <v>3</v>
      </c>
      <c r="AP341">
        <v>5.8</v>
      </c>
      <c r="AQ341">
        <v>3.4</v>
      </c>
      <c r="AS341">
        <v>3.4</v>
      </c>
      <c r="AT341">
        <v>5.5</v>
      </c>
      <c r="AU341">
        <v>4</v>
      </c>
      <c r="AW341">
        <v>4</v>
      </c>
      <c r="AX341">
        <v>7</v>
      </c>
      <c r="AY341">
        <v>5.8</v>
      </c>
      <c r="BA341">
        <v>5.8</v>
      </c>
      <c r="BB341">
        <v>7.5</v>
      </c>
      <c r="BC341">
        <v>6.7</v>
      </c>
      <c r="BE341">
        <v>6.7</v>
      </c>
      <c r="BF341">
        <v>8</v>
      </c>
      <c r="BG341">
        <v>5.9</v>
      </c>
      <c r="BI341">
        <v>5.9</v>
      </c>
      <c r="BK341" t="s">
        <v>273</v>
      </c>
      <c r="BM341" t="s">
        <v>613</v>
      </c>
      <c r="BN341" s="33">
        <v>7016</v>
      </c>
    </row>
    <row r="342" spans="1:70">
      <c r="A342" t="s">
        <v>623</v>
      </c>
      <c r="C342" t="s">
        <v>10</v>
      </c>
      <c r="D342" t="s">
        <v>11</v>
      </c>
      <c r="E342" t="s">
        <v>165</v>
      </c>
      <c r="G342" t="s">
        <v>487</v>
      </c>
      <c r="H342" t="s">
        <v>82</v>
      </c>
      <c r="I342" t="s">
        <v>487</v>
      </c>
      <c r="J342" t="s">
        <v>82</v>
      </c>
      <c r="AP342">
        <v>5.8</v>
      </c>
      <c r="AQ342">
        <v>3.7</v>
      </c>
      <c r="AS342">
        <v>3.7</v>
      </c>
      <c r="AT342">
        <v>6</v>
      </c>
      <c r="AU342">
        <v>3.9</v>
      </c>
      <c r="AW342">
        <v>3.9</v>
      </c>
      <c r="AX342">
        <v>7.1</v>
      </c>
      <c r="AY342">
        <v>5.8</v>
      </c>
      <c r="BA342">
        <v>5.8</v>
      </c>
      <c r="BF342">
        <v>8.1999999999999993</v>
      </c>
      <c r="BG342">
        <v>5.5</v>
      </c>
      <c r="BI342">
        <v>5.5</v>
      </c>
      <c r="BK342" t="s">
        <v>273</v>
      </c>
      <c r="BM342" t="s">
        <v>613</v>
      </c>
      <c r="BN342" s="33">
        <v>7016</v>
      </c>
    </row>
    <row r="343" spans="1:70">
      <c r="A343" t="s">
        <v>624</v>
      </c>
      <c r="C343" t="s">
        <v>10</v>
      </c>
      <c r="D343" t="s">
        <v>11</v>
      </c>
      <c r="E343" t="s">
        <v>165</v>
      </c>
      <c r="G343" t="s">
        <v>487</v>
      </c>
      <c r="H343" t="s">
        <v>82</v>
      </c>
      <c r="I343" t="s">
        <v>487</v>
      </c>
      <c r="J343" t="s">
        <v>82</v>
      </c>
      <c r="AL343">
        <v>5.0999999999999996</v>
      </c>
      <c r="AP343">
        <v>5.2</v>
      </c>
      <c r="AT343">
        <v>5.5</v>
      </c>
      <c r="AU343">
        <v>3.9</v>
      </c>
      <c r="AW343">
        <v>3.9</v>
      </c>
      <c r="AX343">
        <v>6.1</v>
      </c>
      <c r="AY343">
        <v>4.8</v>
      </c>
      <c r="BA343">
        <v>4.8</v>
      </c>
      <c r="BF343">
        <v>7.3</v>
      </c>
      <c r="BG343">
        <v>4.8</v>
      </c>
      <c r="BI343">
        <v>4.8</v>
      </c>
      <c r="BK343" t="s">
        <v>273</v>
      </c>
      <c r="BM343" t="s">
        <v>613</v>
      </c>
      <c r="BN343" s="33">
        <v>7016</v>
      </c>
    </row>
    <row r="344" spans="1:70">
      <c r="A344" t="s">
        <v>629</v>
      </c>
      <c r="C344" t="s">
        <v>10</v>
      </c>
      <c r="D344" t="s">
        <v>11</v>
      </c>
      <c r="E344" t="s">
        <v>165</v>
      </c>
      <c r="G344" t="s">
        <v>474</v>
      </c>
      <c r="H344" t="s">
        <v>630</v>
      </c>
      <c r="I344" t="s">
        <v>474</v>
      </c>
      <c r="J344" t="s">
        <v>630</v>
      </c>
      <c r="AP344">
        <v>6.9</v>
      </c>
      <c r="AS344">
        <v>2.2000000000000002</v>
      </c>
      <c r="AX344">
        <v>5.3</v>
      </c>
      <c r="BA344">
        <v>4</v>
      </c>
      <c r="BB344">
        <v>6</v>
      </c>
      <c r="BE344">
        <v>4.7</v>
      </c>
      <c r="BF344">
        <v>6</v>
      </c>
      <c r="BI344">
        <v>3.8</v>
      </c>
      <c r="BK344" t="s">
        <v>273</v>
      </c>
      <c r="BM344" t="s">
        <v>613</v>
      </c>
      <c r="BN344" s="33">
        <v>7016</v>
      </c>
    </row>
    <row r="345" spans="1:70">
      <c r="A345" t="s">
        <v>631</v>
      </c>
      <c r="C345" t="s">
        <v>10</v>
      </c>
      <c r="D345" t="s">
        <v>11</v>
      </c>
      <c r="E345" t="s">
        <v>165</v>
      </c>
      <c r="G345" t="s">
        <v>474</v>
      </c>
      <c r="H345" t="s">
        <v>630</v>
      </c>
      <c r="I345" t="s">
        <v>474</v>
      </c>
      <c r="J345" t="s">
        <v>630</v>
      </c>
      <c r="AD345">
        <v>6.6</v>
      </c>
      <c r="AG345">
        <v>8.9</v>
      </c>
      <c r="AH345">
        <v>4.2</v>
      </c>
      <c r="AK345">
        <v>7.3</v>
      </c>
      <c r="BB345">
        <v>6.8</v>
      </c>
      <c r="BE345">
        <v>5</v>
      </c>
      <c r="BF345">
        <v>6.2</v>
      </c>
      <c r="BI345">
        <v>4.7</v>
      </c>
      <c r="BK345" t="s">
        <v>273</v>
      </c>
      <c r="BM345" t="s">
        <v>613</v>
      </c>
      <c r="BN345" s="33">
        <v>7016</v>
      </c>
    </row>
    <row r="346" spans="1:70">
      <c r="A346" t="s">
        <v>632</v>
      </c>
      <c r="C346" t="s">
        <v>10</v>
      </c>
      <c r="D346" t="s">
        <v>11</v>
      </c>
      <c r="E346" t="s">
        <v>165</v>
      </c>
      <c r="G346" t="s">
        <v>474</v>
      </c>
      <c r="H346" t="s">
        <v>630</v>
      </c>
      <c r="I346" t="s">
        <v>474</v>
      </c>
      <c r="J346" t="s">
        <v>630</v>
      </c>
      <c r="AD346">
        <v>6.7</v>
      </c>
      <c r="AG346">
        <v>8.8000000000000007</v>
      </c>
      <c r="AH346">
        <v>4.2</v>
      </c>
      <c r="AK346">
        <v>6.3</v>
      </c>
      <c r="BK346" t="s">
        <v>273</v>
      </c>
      <c r="BM346" t="s">
        <v>613</v>
      </c>
      <c r="BN346" s="33">
        <v>7016</v>
      </c>
      <c r="BO346" t="s">
        <v>362</v>
      </c>
      <c r="BP346" t="s">
        <v>613</v>
      </c>
    </row>
    <row r="347" spans="1:70">
      <c r="A347" s="13" t="s">
        <v>625</v>
      </c>
      <c r="B347" s="13"/>
      <c r="C347" s="13" t="s">
        <v>10</v>
      </c>
      <c r="D347" s="13" t="s">
        <v>11</v>
      </c>
      <c r="E347" s="13" t="s">
        <v>165</v>
      </c>
      <c r="F347" s="13"/>
      <c r="G347" s="13" t="s">
        <v>502</v>
      </c>
      <c r="H347" s="13" t="s">
        <v>43</v>
      </c>
      <c r="I347" s="13" t="s">
        <v>626</v>
      </c>
      <c r="J347" s="13" t="s">
        <v>627</v>
      </c>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v>4.7</v>
      </c>
      <c r="AQ347" s="13"/>
      <c r="AR347" s="13"/>
      <c r="AS347" s="13">
        <v>2.9</v>
      </c>
      <c r="AT347" s="13"/>
      <c r="AU347" s="13"/>
      <c r="AV347" s="13"/>
      <c r="AW347" s="13"/>
      <c r="AX347" s="13">
        <v>4.8</v>
      </c>
      <c r="AY347" s="13"/>
      <c r="AZ347" s="13"/>
      <c r="BA347" s="13">
        <v>3.1</v>
      </c>
      <c r="BB347" s="13">
        <v>5</v>
      </c>
      <c r="BC347" s="13"/>
      <c r="BD347" s="13"/>
      <c r="BE347" s="13">
        <v>3.9</v>
      </c>
      <c r="BF347" s="13">
        <v>6.5</v>
      </c>
      <c r="BG347" s="13"/>
      <c r="BH347" s="13"/>
      <c r="BI347" s="13">
        <v>3.5</v>
      </c>
      <c r="BJ347" s="13" t="s">
        <v>628</v>
      </c>
      <c r="BK347" s="13" t="s">
        <v>273</v>
      </c>
      <c r="BL347" s="13"/>
      <c r="BM347" s="13" t="s">
        <v>613</v>
      </c>
      <c r="BN347" s="42">
        <v>7016</v>
      </c>
      <c r="BO347" s="13" t="s">
        <v>362</v>
      </c>
      <c r="BP347" s="13" t="s">
        <v>613</v>
      </c>
      <c r="BQ347" s="13"/>
      <c r="BR347" s="13"/>
    </row>
    <row r="348" spans="1:70">
      <c r="A348" t="s">
        <v>633</v>
      </c>
      <c r="C348" t="s">
        <v>10</v>
      </c>
      <c r="D348" t="s">
        <v>480</v>
      </c>
      <c r="E348" t="s">
        <v>715</v>
      </c>
      <c r="G348" t="s">
        <v>203</v>
      </c>
      <c r="H348" t="s">
        <v>634</v>
      </c>
      <c r="I348" t="s">
        <v>203</v>
      </c>
      <c r="J348" t="s">
        <v>634</v>
      </c>
      <c r="V348">
        <f>0.0074*1000</f>
        <v>7.4</v>
      </c>
      <c r="Y348">
        <f>0.0076*1000</f>
        <v>7.6</v>
      </c>
      <c r="AD348">
        <f>0.0087*1000</f>
        <v>8.6999999999999993</v>
      </c>
      <c r="AG348">
        <f>0.01*1000</f>
        <v>10</v>
      </c>
      <c r="BJ348" t="s">
        <v>635</v>
      </c>
      <c r="BK348" t="s">
        <v>273</v>
      </c>
      <c r="BM348" t="s">
        <v>613</v>
      </c>
      <c r="BN348" s="33">
        <v>7016</v>
      </c>
    </row>
    <row r="349" spans="1:70">
      <c r="A349" t="s">
        <v>655</v>
      </c>
      <c r="C349" s="7" t="s">
        <v>10</v>
      </c>
      <c r="D349" s="7" t="s">
        <v>11</v>
      </c>
      <c r="E349" t="s">
        <v>293</v>
      </c>
      <c r="G349" t="s">
        <v>63</v>
      </c>
      <c r="H349" t="s">
        <v>67</v>
      </c>
      <c r="I349" t="s">
        <v>63</v>
      </c>
      <c r="J349" t="s">
        <v>67</v>
      </c>
      <c r="N349">
        <v>5.8</v>
      </c>
      <c r="Q349">
        <v>4.2</v>
      </c>
      <c r="R349">
        <v>6.8</v>
      </c>
      <c r="U349">
        <v>6.8</v>
      </c>
      <c r="V349">
        <v>6.2</v>
      </c>
      <c r="Y349">
        <v>8.4</v>
      </c>
      <c r="Z349">
        <v>6.5</v>
      </c>
      <c r="AC349">
        <v>7.8</v>
      </c>
      <c r="AD349">
        <v>6</v>
      </c>
      <c r="AG349">
        <v>9.5</v>
      </c>
      <c r="AH349">
        <v>3.5</v>
      </c>
      <c r="AK349">
        <v>5.3</v>
      </c>
      <c r="AP349">
        <v>7.5</v>
      </c>
      <c r="AS349">
        <v>5.2</v>
      </c>
      <c r="AT349">
        <v>7.2</v>
      </c>
      <c r="AW349">
        <v>5.8</v>
      </c>
      <c r="AX349">
        <v>6.5</v>
      </c>
      <c r="BA349">
        <v>6.2</v>
      </c>
      <c r="BB349">
        <v>6.7</v>
      </c>
      <c r="BE349">
        <v>6.5</v>
      </c>
      <c r="BF349">
        <v>6.1</v>
      </c>
      <c r="BI349">
        <v>4.5999999999999996</v>
      </c>
      <c r="BK349" t="s">
        <v>273</v>
      </c>
      <c r="BM349" t="s">
        <v>613</v>
      </c>
      <c r="BN349" s="33">
        <v>7016</v>
      </c>
    </row>
    <row r="350" spans="1:70">
      <c r="A350" t="s">
        <v>656</v>
      </c>
      <c r="C350" s="7" t="s">
        <v>10</v>
      </c>
      <c r="D350" s="7" t="s">
        <v>11</v>
      </c>
      <c r="E350" t="s">
        <v>293</v>
      </c>
      <c r="G350" t="s">
        <v>63</v>
      </c>
      <c r="H350" t="s">
        <v>67</v>
      </c>
      <c r="I350" t="s">
        <v>63</v>
      </c>
      <c r="J350" t="s">
        <v>67</v>
      </c>
      <c r="R350">
        <v>6.1</v>
      </c>
      <c r="U350">
        <v>7</v>
      </c>
      <c r="V350">
        <v>6.8</v>
      </c>
      <c r="Y350">
        <v>7.9</v>
      </c>
      <c r="Z350">
        <v>5.7</v>
      </c>
      <c r="AC350">
        <v>8.3000000000000007</v>
      </c>
      <c r="AD350">
        <v>5.7</v>
      </c>
      <c r="AG350">
        <v>9.5</v>
      </c>
      <c r="AH350">
        <v>3.5</v>
      </c>
      <c r="AK350">
        <v>5.3</v>
      </c>
      <c r="AP350">
        <v>7.2</v>
      </c>
      <c r="AS350">
        <v>4.9000000000000004</v>
      </c>
      <c r="AT350">
        <v>6.4</v>
      </c>
      <c r="AW350">
        <v>5.0999999999999996</v>
      </c>
      <c r="AX350">
        <v>6.3</v>
      </c>
      <c r="BA350">
        <v>5.8</v>
      </c>
      <c r="BB350">
        <v>6.7</v>
      </c>
      <c r="BE350">
        <v>6.4</v>
      </c>
      <c r="BK350" t="s">
        <v>273</v>
      </c>
      <c r="BM350" t="s">
        <v>613</v>
      </c>
      <c r="BN350" s="33">
        <v>7016</v>
      </c>
    </row>
    <row r="351" spans="1:70">
      <c r="A351" t="s">
        <v>651</v>
      </c>
      <c r="C351" s="7" t="s">
        <v>10</v>
      </c>
      <c r="D351" s="7" t="s">
        <v>11</v>
      </c>
      <c r="E351" t="s">
        <v>293</v>
      </c>
      <c r="G351" t="s">
        <v>63</v>
      </c>
      <c r="H351" t="s">
        <v>67</v>
      </c>
      <c r="I351" t="s">
        <v>63</v>
      </c>
      <c r="J351" t="s">
        <v>67</v>
      </c>
      <c r="V351">
        <v>5.8</v>
      </c>
      <c r="Y351">
        <v>7.4</v>
      </c>
      <c r="Z351">
        <v>5.8</v>
      </c>
      <c r="AC351">
        <v>7.3</v>
      </c>
      <c r="AD351">
        <v>5.6</v>
      </c>
      <c r="AG351">
        <v>9.3000000000000007</v>
      </c>
      <c r="AT351">
        <v>6.7</v>
      </c>
      <c r="AW351">
        <v>5.5</v>
      </c>
      <c r="AX351">
        <v>6.1</v>
      </c>
      <c r="BA351">
        <v>5.6</v>
      </c>
      <c r="BB351">
        <v>6.3</v>
      </c>
      <c r="BE351">
        <v>6.1</v>
      </c>
      <c r="BF351">
        <v>5.7</v>
      </c>
      <c r="BI351">
        <v>4.2</v>
      </c>
      <c r="BJ351" t="s">
        <v>200</v>
      </c>
      <c r="BK351" t="s">
        <v>273</v>
      </c>
      <c r="BM351" t="s">
        <v>613</v>
      </c>
      <c r="BN351" s="33">
        <v>7016</v>
      </c>
    </row>
    <row r="352" spans="1:70">
      <c r="A352" t="s">
        <v>657</v>
      </c>
      <c r="C352" s="7" t="s">
        <v>10</v>
      </c>
      <c r="D352" s="7" t="s">
        <v>11</v>
      </c>
      <c r="E352" t="s">
        <v>293</v>
      </c>
      <c r="G352" t="s">
        <v>63</v>
      </c>
      <c r="H352" t="s">
        <v>67</v>
      </c>
      <c r="I352" t="s">
        <v>63</v>
      </c>
      <c r="J352" t="s">
        <v>67</v>
      </c>
      <c r="Z352">
        <v>5.9</v>
      </c>
      <c r="AC352">
        <v>8.6</v>
      </c>
      <c r="AD352">
        <v>6.1</v>
      </c>
      <c r="AG352">
        <v>10.199999999999999</v>
      </c>
      <c r="AH352">
        <v>4.2</v>
      </c>
      <c r="AK352">
        <v>6.2</v>
      </c>
      <c r="AL352">
        <v>6.4</v>
      </c>
      <c r="AO352">
        <v>3.8</v>
      </c>
      <c r="AP352">
        <v>7.8</v>
      </c>
      <c r="AS352">
        <v>5.3</v>
      </c>
      <c r="AT352">
        <v>7.7</v>
      </c>
      <c r="AW352">
        <v>6.8</v>
      </c>
      <c r="AX352">
        <v>6.9</v>
      </c>
      <c r="BA352">
        <v>6</v>
      </c>
      <c r="BB352">
        <v>6.9</v>
      </c>
      <c r="BE352">
        <v>6.7</v>
      </c>
      <c r="BF352">
        <v>6.7</v>
      </c>
      <c r="BI352">
        <v>4.7</v>
      </c>
      <c r="BK352" t="s">
        <v>273</v>
      </c>
      <c r="BM352" t="s">
        <v>613</v>
      </c>
      <c r="BN352" s="33">
        <v>7016</v>
      </c>
    </row>
    <row r="353" spans="1:70" s="9" customFormat="1">
      <c r="A353" t="s">
        <v>653</v>
      </c>
      <c r="B353"/>
      <c r="C353" s="7" t="s">
        <v>10</v>
      </c>
      <c r="D353" s="7" t="s">
        <v>11</v>
      </c>
      <c r="E353" t="s">
        <v>293</v>
      </c>
      <c r="F353"/>
      <c r="G353" t="s">
        <v>63</v>
      </c>
      <c r="H353" t="s">
        <v>67</v>
      </c>
      <c r="I353" t="s">
        <v>63</v>
      </c>
      <c r="J353" t="s">
        <v>67</v>
      </c>
      <c r="K353"/>
      <c r="L353"/>
      <c r="M353"/>
      <c r="N353">
        <v>4.8</v>
      </c>
      <c r="O353"/>
      <c r="P353"/>
      <c r="Q353">
        <v>3.3</v>
      </c>
      <c r="R353">
        <v>5.5</v>
      </c>
      <c r="S353"/>
      <c r="T353"/>
      <c r="U353">
        <v>6</v>
      </c>
      <c r="V353">
        <v>5.4</v>
      </c>
      <c r="W353"/>
      <c r="X353"/>
      <c r="Y353">
        <v>6.8</v>
      </c>
      <c r="Z353">
        <v>5.7</v>
      </c>
      <c r="AA353"/>
      <c r="AB353"/>
      <c r="AC353">
        <v>6.6</v>
      </c>
      <c r="AD353">
        <v>5.2</v>
      </c>
      <c r="AE353"/>
      <c r="AF353"/>
      <c r="AG353">
        <v>7.8</v>
      </c>
      <c r="AH353">
        <v>3.3</v>
      </c>
      <c r="AI353"/>
      <c r="AJ353"/>
      <c r="AK353">
        <v>5.4</v>
      </c>
      <c r="AL353"/>
      <c r="AM353"/>
      <c r="AN353"/>
      <c r="AO353"/>
      <c r="AP353"/>
      <c r="AQ353"/>
      <c r="AR353"/>
      <c r="AS353"/>
      <c r="AT353"/>
      <c r="AU353"/>
      <c r="AV353"/>
      <c r="AW353"/>
      <c r="AX353"/>
      <c r="AY353"/>
      <c r="AZ353"/>
      <c r="BA353"/>
      <c r="BB353"/>
      <c r="BC353"/>
      <c r="BD353"/>
      <c r="BE353"/>
      <c r="BF353"/>
      <c r="BG353"/>
      <c r="BH353"/>
      <c r="BI353"/>
      <c r="BJ353"/>
      <c r="BK353" t="s">
        <v>273</v>
      </c>
      <c r="BL353"/>
      <c r="BM353" t="s">
        <v>613</v>
      </c>
      <c r="BN353" s="33">
        <v>7016</v>
      </c>
      <c r="BO353"/>
      <c r="BP353"/>
      <c r="BQ353"/>
      <c r="BR353"/>
    </row>
    <row r="354" spans="1:70" s="9" customFormat="1">
      <c r="A354" t="s">
        <v>654</v>
      </c>
      <c r="B354"/>
      <c r="C354" s="7" t="s">
        <v>10</v>
      </c>
      <c r="D354" s="7" t="s">
        <v>11</v>
      </c>
      <c r="E354" t="s">
        <v>293</v>
      </c>
      <c r="F354"/>
      <c r="G354" t="s">
        <v>63</v>
      </c>
      <c r="H354" t="s">
        <v>67</v>
      </c>
      <c r="I354" t="s">
        <v>63</v>
      </c>
      <c r="J354" t="s">
        <v>67</v>
      </c>
      <c r="K354"/>
      <c r="L354"/>
      <c r="M354"/>
      <c r="N354">
        <v>5.4</v>
      </c>
      <c r="O354"/>
      <c r="P354"/>
      <c r="Q354">
        <v>4</v>
      </c>
      <c r="R354">
        <v>6.3</v>
      </c>
      <c r="S354"/>
      <c r="T354"/>
      <c r="U354">
        <v>7</v>
      </c>
      <c r="V354">
        <v>6.3</v>
      </c>
      <c r="W354"/>
      <c r="X354"/>
      <c r="Y354">
        <v>8.1</v>
      </c>
      <c r="Z354">
        <v>5.5</v>
      </c>
      <c r="AA354"/>
      <c r="AB354"/>
      <c r="AC354">
        <v>7.2</v>
      </c>
      <c r="AD354">
        <v>6.1</v>
      </c>
      <c r="AE354"/>
      <c r="AF354"/>
      <c r="AG354">
        <v>9.6999999999999993</v>
      </c>
      <c r="AH354">
        <v>3.7</v>
      </c>
      <c r="AI354"/>
      <c r="AJ354"/>
      <c r="AK354">
        <v>5.9</v>
      </c>
      <c r="AL354">
        <v>5.9</v>
      </c>
      <c r="AM354"/>
      <c r="AN354"/>
      <c r="AO354">
        <v>3.6</v>
      </c>
      <c r="AP354">
        <v>7</v>
      </c>
      <c r="AQ354"/>
      <c r="AR354"/>
      <c r="AS354">
        <v>5.3</v>
      </c>
      <c r="AT354">
        <v>6.8</v>
      </c>
      <c r="AU354"/>
      <c r="AV354"/>
      <c r="AW354">
        <v>5.8</v>
      </c>
      <c r="AX354">
        <v>6.3</v>
      </c>
      <c r="AY354"/>
      <c r="AZ354"/>
      <c r="BA354">
        <v>5.5</v>
      </c>
      <c r="BB354">
        <v>6.8</v>
      </c>
      <c r="BC354"/>
      <c r="BD354"/>
      <c r="BE354">
        <v>7.2</v>
      </c>
      <c r="BF354">
        <v>6.2</v>
      </c>
      <c r="BG354"/>
      <c r="BH354"/>
      <c r="BI354">
        <v>4.4000000000000004</v>
      </c>
      <c r="BJ354"/>
      <c r="BK354" t="s">
        <v>273</v>
      </c>
      <c r="BL354"/>
      <c r="BM354" t="s">
        <v>613</v>
      </c>
      <c r="BN354" s="33">
        <v>7016</v>
      </c>
      <c r="BO354" t="s">
        <v>362</v>
      </c>
      <c r="BP354" t="s">
        <v>613</v>
      </c>
      <c r="BQ354"/>
      <c r="BR354"/>
    </row>
    <row r="355" spans="1:70" s="9" customFormat="1">
      <c r="A355" t="s">
        <v>652</v>
      </c>
      <c r="B355"/>
      <c r="C355" s="7" t="s">
        <v>10</v>
      </c>
      <c r="D355" s="7" t="s">
        <v>11</v>
      </c>
      <c r="E355" t="s">
        <v>293</v>
      </c>
      <c r="F355"/>
      <c r="G355" t="s">
        <v>63</v>
      </c>
      <c r="H355" t="s">
        <v>67</v>
      </c>
      <c r="I355" t="s">
        <v>63</v>
      </c>
      <c r="J355" t="s">
        <v>67</v>
      </c>
      <c r="K355"/>
      <c r="L355"/>
      <c r="M355"/>
      <c r="N355"/>
      <c r="O355"/>
      <c r="P355"/>
      <c r="Q355"/>
      <c r="R355">
        <v>6</v>
      </c>
      <c r="S355"/>
      <c r="T355"/>
      <c r="U355">
        <v>7.1</v>
      </c>
      <c r="V355">
        <v>6.1</v>
      </c>
      <c r="W355"/>
      <c r="X355"/>
      <c r="Y355">
        <v>7.5</v>
      </c>
      <c r="Z355">
        <v>5.7</v>
      </c>
      <c r="AA355"/>
      <c r="AB355"/>
      <c r="AC355">
        <v>7.1</v>
      </c>
      <c r="AD355">
        <v>5.9</v>
      </c>
      <c r="AE355"/>
      <c r="AF355"/>
      <c r="AG355">
        <v>9</v>
      </c>
      <c r="AH355">
        <v>4.0999999999999996</v>
      </c>
      <c r="AI355"/>
      <c r="AJ355"/>
      <c r="AK355">
        <v>5.5</v>
      </c>
      <c r="AL355">
        <v>5.9</v>
      </c>
      <c r="AM355"/>
      <c r="AN355"/>
      <c r="AO355">
        <v>3.6</v>
      </c>
      <c r="AP355">
        <v>7</v>
      </c>
      <c r="AQ355"/>
      <c r="AR355"/>
      <c r="AS355">
        <v>4.8</v>
      </c>
      <c r="AT355">
        <v>7.5</v>
      </c>
      <c r="AU355"/>
      <c r="AV355"/>
      <c r="AW355">
        <v>5.4</v>
      </c>
      <c r="AX355">
        <v>6.2</v>
      </c>
      <c r="AY355"/>
      <c r="AZ355"/>
      <c r="BA355">
        <v>5.4</v>
      </c>
      <c r="BB355">
        <v>6.1</v>
      </c>
      <c r="BC355"/>
      <c r="BD355"/>
      <c r="BE355">
        <v>5.9</v>
      </c>
      <c r="BF355">
        <v>6.6</v>
      </c>
      <c r="BG355"/>
      <c r="BH355"/>
      <c r="BI355">
        <v>4.8</v>
      </c>
      <c r="BJ355"/>
      <c r="BK355" t="s">
        <v>273</v>
      </c>
      <c r="BL355"/>
      <c r="BM355" t="s">
        <v>613</v>
      </c>
      <c r="BN355" s="33">
        <v>7016</v>
      </c>
      <c r="BO355"/>
      <c r="BP355"/>
      <c r="BQ355"/>
      <c r="BR355"/>
    </row>
    <row r="356" spans="1:70" s="9" customFormat="1">
      <c r="A356" s="14" t="s">
        <v>1214</v>
      </c>
      <c r="B356" s="14"/>
      <c r="C356" s="14" t="s">
        <v>10</v>
      </c>
      <c r="D356" s="14" t="s">
        <v>11</v>
      </c>
      <c r="E356" s="14" t="s">
        <v>293</v>
      </c>
      <c r="F356" s="14"/>
      <c r="G356" s="14" t="s">
        <v>70</v>
      </c>
      <c r="H356" s="14" t="s">
        <v>56</v>
      </c>
      <c r="I356" s="14" t="s">
        <v>53</v>
      </c>
      <c r="J356" s="14" t="s">
        <v>56</v>
      </c>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t="s">
        <v>273</v>
      </c>
      <c r="BL356" s="14"/>
      <c r="BM356" s="14" t="s">
        <v>613</v>
      </c>
      <c r="BN356" s="34">
        <v>7016</v>
      </c>
      <c r="BO356" s="14" t="s">
        <v>174</v>
      </c>
      <c r="BP356" s="14" t="s">
        <v>613</v>
      </c>
      <c r="BQ356" s="14"/>
      <c r="BR356" s="14"/>
    </row>
    <row r="357" spans="1:70" s="9" customFormat="1">
      <c r="A357" s="14" t="s">
        <v>792</v>
      </c>
      <c r="B357" s="14"/>
      <c r="C357" s="14" t="s">
        <v>10</v>
      </c>
      <c r="D357" s="14" t="s">
        <v>11</v>
      </c>
      <c r="E357" s="14" t="s">
        <v>293</v>
      </c>
      <c r="F357" s="14"/>
      <c r="G357" s="14" t="s">
        <v>70</v>
      </c>
      <c r="H357" s="14" t="s">
        <v>56</v>
      </c>
      <c r="I357" s="14" t="s">
        <v>53</v>
      </c>
      <c r="J357" s="14" t="s">
        <v>56</v>
      </c>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t="s">
        <v>273</v>
      </c>
      <c r="BL357" s="14"/>
      <c r="BM357" s="14" t="s">
        <v>613</v>
      </c>
      <c r="BN357" s="34">
        <v>7016</v>
      </c>
      <c r="BO357" s="14" t="s">
        <v>174</v>
      </c>
      <c r="BP357" s="14" t="s">
        <v>613</v>
      </c>
      <c r="BQ357" s="14"/>
      <c r="BR357" s="14"/>
    </row>
    <row r="358" spans="1:70" s="9" customFormat="1">
      <c r="A358" t="s">
        <v>643</v>
      </c>
      <c r="B358"/>
      <c r="C358" s="7" t="s">
        <v>10</v>
      </c>
      <c r="D358" s="7" t="s">
        <v>11</v>
      </c>
      <c r="E358" t="s">
        <v>473</v>
      </c>
      <c r="F358"/>
      <c r="G358" t="s">
        <v>517</v>
      </c>
      <c r="H358" t="s">
        <v>516</v>
      </c>
      <c r="I358" t="s">
        <v>515</v>
      </c>
      <c r="J358" t="s">
        <v>516</v>
      </c>
      <c r="K358"/>
      <c r="L358"/>
      <c r="M358"/>
      <c r="N358"/>
      <c r="O358"/>
      <c r="P358"/>
      <c r="Q358"/>
      <c r="R358">
        <v>7</v>
      </c>
      <c r="S358"/>
      <c r="T358"/>
      <c r="U358">
        <v>7.6</v>
      </c>
      <c r="V358">
        <v>6.4</v>
      </c>
      <c r="W358"/>
      <c r="X358"/>
      <c r="Y358">
        <v>9</v>
      </c>
      <c r="Z358">
        <v>5.2</v>
      </c>
      <c r="AA358"/>
      <c r="AB358"/>
      <c r="AC358">
        <v>9</v>
      </c>
      <c r="AD358">
        <v>5</v>
      </c>
      <c r="AE358"/>
      <c r="AF358"/>
      <c r="AG358">
        <v>10.199999999999999</v>
      </c>
      <c r="AH358">
        <v>3.5</v>
      </c>
      <c r="AI358"/>
      <c r="AJ358"/>
      <c r="AK358">
        <v>8</v>
      </c>
      <c r="AL358">
        <v>5.9</v>
      </c>
      <c r="AM358"/>
      <c r="AN358"/>
      <c r="AO358">
        <v>4.8</v>
      </c>
      <c r="AP358">
        <v>6.9</v>
      </c>
      <c r="AQ358"/>
      <c r="AR358"/>
      <c r="AS358">
        <v>5.4</v>
      </c>
      <c r="AT358">
        <v>6.9</v>
      </c>
      <c r="AU358"/>
      <c r="AV358"/>
      <c r="AW358">
        <v>5.4</v>
      </c>
      <c r="AX358">
        <v>5.5</v>
      </c>
      <c r="AY358"/>
      <c r="AZ358"/>
      <c r="BA358">
        <v>5</v>
      </c>
      <c r="BB358">
        <v>5.3</v>
      </c>
      <c r="BC358"/>
      <c r="BD358"/>
      <c r="BE358">
        <v>5</v>
      </c>
      <c r="BF358">
        <v>5.9</v>
      </c>
      <c r="BG358"/>
      <c r="BH358"/>
      <c r="BI358">
        <v>4.2</v>
      </c>
      <c r="BJ358"/>
      <c r="BK358" t="s">
        <v>273</v>
      </c>
      <c r="BL358"/>
      <c r="BM358" t="s">
        <v>613</v>
      </c>
      <c r="BN358" s="33">
        <v>7016</v>
      </c>
      <c r="BO358"/>
      <c r="BP358"/>
      <c r="BQ358"/>
      <c r="BR358"/>
    </row>
    <row r="359" spans="1:70" s="9" customFormat="1">
      <c r="A359" t="s">
        <v>642</v>
      </c>
      <c r="B359"/>
      <c r="C359" s="7" t="s">
        <v>10</v>
      </c>
      <c r="D359" s="7" t="s">
        <v>11</v>
      </c>
      <c r="E359" t="s">
        <v>473</v>
      </c>
      <c r="F359"/>
      <c r="G359" t="s">
        <v>517</v>
      </c>
      <c r="H359" t="s">
        <v>516</v>
      </c>
      <c r="I359" t="s">
        <v>515</v>
      </c>
      <c r="J359" t="s">
        <v>516</v>
      </c>
      <c r="K359"/>
      <c r="L359"/>
      <c r="M359"/>
      <c r="N359">
        <v>6.2</v>
      </c>
      <c r="O359"/>
      <c r="P359"/>
      <c r="Q359"/>
      <c r="R359">
        <v>7</v>
      </c>
      <c r="S359"/>
      <c r="T359"/>
      <c r="U359">
        <v>8.1999999999999993</v>
      </c>
      <c r="V359">
        <v>6.9</v>
      </c>
      <c r="W359"/>
      <c r="X359"/>
      <c r="Y359">
        <v>9.5</v>
      </c>
      <c r="Z359">
        <v>5.3</v>
      </c>
      <c r="AA359"/>
      <c r="AB359"/>
      <c r="AC359">
        <v>9.4</v>
      </c>
      <c r="AD359">
        <v>5</v>
      </c>
      <c r="AE359"/>
      <c r="AF359"/>
      <c r="AG359">
        <v>10.7</v>
      </c>
      <c r="AH359">
        <v>4</v>
      </c>
      <c r="AI359"/>
      <c r="AJ359"/>
      <c r="AK359">
        <v>9</v>
      </c>
      <c r="AL359">
        <v>6.3</v>
      </c>
      <c r="AM359"/>
      <c r="AN359"/>
      <c r="AO359">
        <v>4.5</v>
      </c>
      <c r="AP359">
        <v>6.8</v>
      </c>
      <c r="AQ359"/>
      <c r="AR359"/>
      <c r="AS359">
        <v>5.5</v>
      </c>
      <c r="AT359"/>
      <c r="AU359"/>
      <c r="AV359"/>
      <c r="AW359"/>
      <c r="AX359"/>
      <c r="AY359"/>
      <c r="AZ359"/>
      <c r="BA359"/>
      <c r="BB359"/>
      <c r="BC359"/>
      <c r="BD359"/>
      <c r="BE359"/>
      <c r="BF359"/>
      <c r="BG359"/>
      <c r="BH359"/>
      <c r="BI359"/>
      <c r="BJ359"/>
      <c r="BK359" t="s">
        <v>273</v>
      </c>
      <c r="BL359"/>
      <c r="BM359" t="s">
        <v>613</v>
      </c>
      <c r="BN359" s="33">
        <v>7016</v>
      </c>
      <c r="BO359"/>
      <c r="BP359"/>
      <c r="BQ359"/>
      <c r="BR359"/>
    </row>
    <row r="360" spans="1:70" s="9" customFormat="1">
      <c r="A360" t="s">
        <v>644</v>
      </c>
      <c r="B360"/>
      <c r="C360" s="7" t="s">
        <v>10</v>
      </c>
      <c r="D360" s="7" t="s">
        <v>11</v>
      </c>
      <c r="E360" t="s">
        <v>473</v>
      </c>
      <c r="F360"/>
      <c r="G360" t="s">
        <v>517</v>
      </c>
      <c r="H360" t="s">
        <v>516</v>
      </c>
      <c r="I360" t="s">
        <v>515</v>
      </c>
      <c r="J360" t="s">
        <v>516</v>
      </c>
      <c r="K360"/>
      <c r="L360"/>
      <c r="M360"/>
      <c r="N360">
        <v>5.8</v>
      </c>
      <c r="O360"/>
      <c r="P360"/>
      <c r="Q360">
        <v>5.3</v>
      </c>
      <c r="R360">
        <v>7.3</v>
      </c>
      <c r="S360"/>
      <c r="T360"/>
      <c r="U360">
        <v>7.3</v>
      </c>
      <c r="V360">
        <v>6</v>
      </c>
      <c r="W360"/>
      <c r="X360"/>
      <c r="Y360">
        <v>8.8000000000000007</v>
      </c>
      <c r="Z360">
        <v>5.4</v>
      </c>
      <c r="AA360"/>
      <c r="AB360"/>
      <c r="AC360">
        <v>8.6999999999999993</v>
      </c>
      <c r="AD360">
        <v>4.7</v>
      </c>
      <c r="AE360"/>
      <c r="AF360"/>
      <c r="AG360">
        <v>10</v>
      </c>
      <c r="AH360">
        <v>3.9</v>
      </c>
      <c r="AI360"/>
      <c r="AJ360"/>
      <c r="AK360">
        <v>8.1999999999999993</v>
      </c>
      <c r="AL360"/>
      <c r="AM360"/>
      <c r="AN360"/>
      <c r="AO360"/>
      <c r="AP360"/>
      <c r="AQ360"/>
      <c r="AR360"/>
      <c r="AS360"/>
      <c r="AT360"/>
      <c r="AU360"/>
      <c r="AV360"/>
      <c r="AW360"/>
      <c r="AX360"/>
      <c r="AY360"/>
      <c r="AZ360"/>
      <c r="BA360"/>
      <c r="BB360"/>
      <c r="BC360"/>
      <c r="BD360"/>
      <c r="BE360"/>
      <c r="BF360"/>
      <c r="BG360"/>
      <c r="BH360"/>
      <c r="BI360"/>
      <c r="BJ360"/>
      <c r="BK360" t="s">
        <v>273</v>
      </c>
      <c r="BL360"/>
      <c r="BM360" t="s">
        <v>613</v>
      </c>
      <c r="BN360" s="33">
        <v>7016</v>
      </c>
      <c r="BO360"/>
      <c r="BP360"/>
      <c r="BQ360"/>
      <c r="BR360"/>
    </row>
    <row r="361" spans="1:70" s="9" customFormat="1">
      <c r="A361" t="s">
        <v>650</v>
      </c>
      <c r="B361"/>
      <c r="C361" s="7" t="s">
        <v>10</v>
      </c>
      <c r="D361" s="7" t="s">
        <v>11</v>
      </c>
      <c r="E361" t="s">
        <v>473</v>
      </c>
      <c r="F361"/>
      <c r="G361" t="s">
        <v>517</v>
      </c>
      <c r="H361" t="s">
        <v>516</v>
      </c>
      <c r="I361" t="s">
        <v>515</v>
      </c>
      <c r="J361" t="s">
        <v>516</v>
      </c>
      <c r="K361"/>
      <c r="L361"/>
      <c r="M361"/>
      <c r="N361"/>
      <c r="O361"/>
      <c r="P361"/>
      <c r="Q361"/>
      <c r="R361"/>
      <c r="S361"/>
      <c r="T361"/>
      <c r="U361"/>
      <c r="V361"/>
      <c r="W361"/>
      <c r="X361"/>
      <c r="Y361"/>
      <c r="Z361"/>
      <c r="AA361"/>
      <c r="AB361"/>
      <c r="AC361"/>
      <c r="AD361"/>
      <c r="AE361"/>
      <c r="AF361"/>
      <c r="AG361"/>
      <c r="AH361"/>
      <c r="AI361"/>
      <c r="AJ361"/>
      <c r="AK361"/>
      <c r="AL361">
        <v>5.9</v>
      </c>
      <c r="AM361"/>
      <c r="AN361"/>
      <c r="AO361">
        <v>4.5</v>
      </c>
      <c r="AP361">
        <v>6.6</v>
      </c>
      <c r="AQ361"/>
      <c r="AR361"/>
      <c r="AS361">
        <v>5</v>
      </c>
      <c r="AT361">
        <v>6.7</v>
      </c>
      <c r="AU361"/>
      <c r="AV361"/>
      <c r="AW361">
        <v>5</v>
      </c>
      <c r="AX361">
        <v>5.6</v>
      </c>
      <c r="AY361"/>
      <c r="AZ361"/>
      <c r="BA361">
        <v>4.4000000000000004</v>
      </c>
      <c r="BB361">
        <v>5.5</v>
      </c>
      <c r="BC361"/>
      <c r="BD361"/>
      <c r="BE361">
        <v>4.5999999999999996</v>
      </c>
      <c r="BF361">
        <v>5.9</v>
      </c>
      <c r="BG361"/>
      <c r="BH361"/>
      <c r="BI361">
        <v>4</v>
      </c>
      <c r="BJ361"/>
      <c r="BK361" t="s">
        <v>273</v>
      </c>
      <c r="BL361"/>
      <c r="BM361" t="s">
        <v>613</v>
      </c>
      <c r="BN361" s="33">
        <v>7016</v>
      </c>
      <c r="BO361"/>
      <c r="BP361"/>
      <c r="BQ361"/>
      <c r="BR361"/>
    </row>
    <row r="362" spans="1:70" s="9" customFormat="1">
      <c r="A362" t="s">
        <v>648</v>
      </c>
      <c r="B362"/>
      <c r="C362" s="7" t="s">
        <v>10</v>
      </c>
      <c r="D362" s="7" t="s">
        <v>11</v>
      </c>
      <c r="E362" t="s">
        <v>473</v>
      </c>
      <c r="F362"/>
      <c r="G362" t="s">
        <v>517</v>
      </c>
      <c r="H362" t="s">
        <v>516</v>
      </c>
      <c r="I362" t="s">
        <v>515</v>
      </c>
      <c r="J362" t="s">
        <v>516</v>
      </c>
      <c r="K362"/>
      <c r="L362"/>
      <c r="M362"/>
      <c r="N362"/>
      <c r="O362"/>
      <c r="P362"/>
      <c r="Q362"/>
      <c r="R362"/>
      <c r="S362"/>
      <c r="T362"/>
      <c r="U362"/>
      <c r="V362"/>
      <c r="W362"/>
      <c r="X362"/>
      <c r="Y362"/>
      <c r="Z362"/>
      <c r="AA362"/>
      <c r="AB362"/>
      <c r="AC362"/>
      <c r="AD362"/>
      <c r="AE362"/>
      <c r="AF362"/>
      <c r="AG362"/>
      <c r="AH362"/>
      <c r="AI362"/>
      <c r="AJ362"/>
      <c r="AK362"/>
      <c r="AL362">
        <v>5.8</v>
      </c>
      <c r="AM362"/>
      <c r="AN362"/>
      <c r="AO362">
        <v>4</v>
      </c>
      <c r="AP362">
        <v>6.7</v>
      </c>
      <c r="AQ362"/>
      <c r="AR362"/>
      <c r="AS362">
        <v>4.7</v>
      </c>
      <c r="AT362">
        <v>6.4</v>
      </c>
      <c r="AU362"/>
      <c r="AV362"/>
      <c r="AW362">
        <v>4.7</v>
      </c>
      <c r="AX362">
        <v>5.7</v>
      </c>
      <c r="AY362"/>
      <c r="AZ362"/>
      <c r="BA362">
        <v>4.4000000000000004</v>
      </c>
      <c r="BB362">
        <v>5.2</v>
      </c>
      <c r="BC362"/>
      <c r="BD362"/>
      <c r="BE362">
        <v>4.5</v>
      </c>
      <c r="BF362">
        <v>6.1</v>
      </c>
      <c r="BG362"/>
      <c r="BH362"/>
      <c r="BI362">
        <v>4</v>
      </c>
      <c r="BJ362"/>
      <c r="BK362" t="s">
        <v>273</v>
      </c>
      <c r="BL362"/>
      <c r="BM362" t="s">
        <v>613</v>
      </c>
      <c r="BN362" s="33">
        <v>7016</v>
      </c>
      <c r="BO362"/>
      <c r="BP362"/>
      <c r="BQ362"/>
      <c r="BR362"/>
    </row>
    <row r="363" spans="1:70" s="9" customFormat="1">
      <c r="A363" t="s">
        <v>649</v>
      </c>
      <c r="B363"/>
      <c r="C363" s="7" t="s">
        <v>10</v>
      </c>
      <c r="D363" s="7" t="s">
        <v>11</v>
      </c>
      <c r="E363" t="s">
        <v>473</v>
      </c>
      <c r="F363"/>
      <c r="G363" t="s">
        <v>517</v>
      </c>
      <c r="H363" t="s">
        <v>516</v>
      </c>
      <c r="I363" t="s">
        <v>515</v>
      </c>
      <c r="J363" t="s">
        <v>516</v>
      </c>
      <c r="K363"/>
      <c r="L363"/>
      <c r="M363"/>
      <c r="N363"/>
      <c r="O363"/>
      <c r="P363"/>
      <c r="Q363"/>
      <c r="R363"/>
      <c r="S363"/>
      <c r="T363"/>
      <c r="U363"/>
      <c r="V363"/>
      <c r="W363"/>
      <c r="X363"/>
      <c r="Y363"/>
      <c r="Z363"/>
      <c r="AA363"/>
      <c r="AB363"/>
      <c r="AC363"/>
      <c r="AD363"/>
      <c r="AE363"/>
      <c r="AF363"/>
      <c r="AG363"/>
      <c r="AH363"/>
      <c r="AI363"/>
      <c r="AJ363"/>
      <c r="AK363"/>
      <c r="AL363"/>
      <c r="AM363"/>
      <c r="AN363"/>
      <c r="AO363"/>
      <c r="AP363">
        <v>6.2</v>
      </c>
      <c r="AQ363"/>
      <c r="AR363"/>
      <c r="AS363">
        <v>5</v>
      </c>
      <c r="AT363">
        <v>6.4</v>
      </c>
      <c r="AU363"/>
      <c r="AV363"/>
      <c r="AW363">
        <v>5.3</v>
      </c>
      <c r="AX363">
        <v>5.3</v>
      </c>
      <c r="AY363"/>
      <c r="AZ363"/>
      <c r="BA363">
        <v>4.5</v>
      </c>
      <c r="BB363">
        <v>4.7</v>
      </c>
      <c r="BC363"/>
      <c r="BD363"/>
      <c r="BE363">
        <v>4.8</v>
      </c>
      <c r="BF363">
        <v>5.6</v>
      </c>
      <c r="BG363"/>
      <c r="BH363"/>
      <c r="BI363">
        <v>4.0999999999999996</v>
      </c>
      <c r="BJ363"/>
      <c r="BK363" t="s">
        <v>273</v>
      </c>
      <c r="BL363"/>
      <c r="BM363" t="s">
        <v>613</v>
      </c>
      <c r="BN363" s="33">
        <v>7016</v>
      </c>
      <c r="BO363"/>
      <c r="BP363"/>
      <c r="BQ363"/>
      <c r="BR363"/>
    </row>
    <row r="364" spans="1:70" s="9" customFormat="1">
      <c r="A364" t="s">
        <v>647</v>
      </c>
      <c r="B364"/>
      <c r="C364" s="7" t="s">
        <v>10</v>
      </c>
      <c r="D364" s="7" t="s">
        <v>11</v>
      </c>
      <c r="E364" t="s">
        <v>473</v>
      </c>
      <c r="F364"/>
      <c r="G364" t="s">
        <v>517</v>
      </c>
      <c r="H364" t="s">
        <v>516</v>
      </c>
      <c r="I364" t="s">
        <v>515</v>
      </c>
      <c r="J364" t="s">
        <v>516</v>
      </c>
      <c r="K364"/>
      <c r="L364"/>
      <c r="M364"/>
      <c r="N364">
        <v>6.2</v>
      </c>
      <c r="O364"/>
      <c r="P364"/>
      <c r="Q364">
        <v>6.9</v>
      </c>
      <c r="R364"/>
      <c r="S364"/>
      <c r="T364"/>
      <c r="U364"/>
      <c r="V364"/>
      <c r="W364"/>
      <c r="X364"/>
      <c r="Y364"/>
      <c r="Z364"/>
      <c r="AA364"/>
      <c r="AB364"/>
      <c r="AC364"/>
      <c r="AD364"/>
      <c r="AE364"/>
      <c r="AF364"/>
      <c r="AG364"/>
      <c r="AH364"/>
      <c r="AI364"/>
      <c r="AJ364"/>
      <c r="AK364"/>
      <c r="AL364"/>
      <c r="AM364"/>
      <c r="AN364"/>
      <c r="AO364"/>
      <c r="AP364">
        <v>7.5</v>
      </c>
      <c r="AQ364"/>
      <c r="AR364"/>
      <c r="AS364">
        <v>5.9</v>
      </c>
      <c r="AT364">
        <v>7</v>
      </c>
      <c r="AU364"/>
      <c r="AV364"/>
      <c r="AW364">
        <v>5.8</v>
      </c>
      <c r="AX364">
        <v>5.6</v>
      </c>
      <c r="AY364"/>
      <c r="AZ364"/>
      <c r="BA364">
        <v>4.8</v>
      </c>
      <c r="BB364">
        <v>5.4</v>
      </c>
      <c r="BC364"/>
      <c r="BD364"/>
      <c r="BE364">
        <v>5</v>
      </c>
      <c r="BF364"/>
      <c r="BG364"/>
      <c r="BH364"/>
      <c r="BI364"/>
      <c r="BJ364"/>
      <c r="BK364" t="s">
        <v>273</v>
      </c>
      <c r="BL364"/>
      <c r="BM364" t="s">
        <v>613</v>
      </c>
      <c r="BN364" s="33">
        <v>7016</v>
      </c>
      <c r="BO364"/>
      <c r="BP364"/>
      <c r="BQ364"/>
      <c r="BR364"/>
    </row>
    <row r="365" spans="1:70" s="9" customFormat="1">
      <c r="A365" t="s">
        <v>639</v>
      </c>
      <c r="B365"/>
      <c r="C365" s="7" t="s">
        <v>10</v>
      </c>
      <c r="D365" s="7" t="s">
        <v>11</v>
      </c>
      <c r="E365" t="s">
        <v>473</v>
      </c>
      <c r="F365"/>
      <c r="G365" t="s">
        <v>517</v>
      </c>
      <c r="H365" t="s">
        <v>516</v>
      </c>
      <c r="I365" t="s">
        <v>515</v>
      </c>
      <c r="J365" t="s">
        <v>516</v>
      </c>
      <c r="K365"/>
      <c r="L365"/>
      <c r="M365"/>
      <c r="N365"/>
      <c r="O365"/>
      <c r="P365"/>
      <c r="Q365"/>
      <c r="R365">
        <v>6.7</v>
      </c>
      <c r="S365"/>
      <c r="T365"/>
      <c r="U365">
        <v>7.2</v>
      </c>
      <c r="V365">
        <v>6.3</v>
      </c>
      <c r="W365"/>
      <c r="X365"/>
      <c r="Y365">
        <v>8.1</v>
      </c>
      <c r="Z365">
        <v>5.2</v>
      </c>
      <c r="AA365"/>
      <c r="AB365"/>
      <c r="AC365">
        <v>8.5</v>
      </c>
      <c r="AD365">
        <v>5</v>
      </c>
      <c r="AE365"/>
      <c r="AF365"/>
      <c r="AG365">
        <v>8</v>
      </c>
      <c r="AH365">
        <v>3.6</v>
      </c>
      <c r="AI365"/>
      <c r="AJ365"/>
      <c r="AK365">
        <v>7.9</v>
      </c>
      <c r="AL365"/>
      <c r="AM365"/>
      <c r="AN365"/>
      <c r="AO365"/>
      <c r="AP365"/>
      <c r="AQ365"/>
      <c r="AR365"/>
      <c r="AS365"/>
      <c r="AT365"/>
      <c r="AU365"/>
      <c r="AV365"/>
      <c r="AW365"/>
      <c r="AX365"/>
      <c r="AY365"/>
      <c r="AZ365"/>
      <c r="BA365"/>
      <c r="BB365"/>
      <c r="BC365"/>
      <c r="BD365"/>
      <c r="BE365"/>
      <c r="BF365"/>
      <c r="BG365"/>
      <c r="BH365"/>
      <c r="BI365">
        <v>4</v>
      </c>
      <c r="BJ365"/>
      <c r="BK365" t="s">
        <v>273</v>
      </c>
      <c r="BL365"/>
      <c r="BM365" t="s">
        <v>613</v>
      </c>
      <c r="BN365" s="33">
        <v>7016</v>
      </c>
      <c r="BO365"/>
      <c r="BP365"/>
      <c r="BQ365"/>
      <c r="BR365"/>
    </row>
    <row r="366" spans="1:70" s="9" customFormat="1">
      <c r="A366" t="s">
        <v>640</v>
      </c>
      <c r="B366"/>
      <c r="C366" s="7" t="s">
        <v>10</v>
      </c>
      <c r="D366" s="7" t="s">
        <v>11</v>
      </c>
      <c r="E366" t="s">
        <v>473</v>
      </c>
      <c r="F366"/>
      <c r="G366" t="s">
        <v>517</v>
      </c>
      <c r="H366" t="s">
        <v>516</v>
      </c>
      <c r="I366" t="s">
        <v>515</v>
      </c>
      <c r="J366" t="s">
        <v>516</v>
      </c>
      <c r="K366"/>
      <c r="L366"/>
      <c r="M366"/>
      <c r="N366">
        <v>5.9</v>
      </c>
      <c r="O366"/>
      <c r="P366"/>
      <c r="Q366">
        <v>5.5</v>
      </c>
      <c r="R366">
        <v>6.4</v>
      </c>
      <c r="S366"/>
      <c r="T366"/>
      <c r="U366">
        <v>7.1</v>
      </c>
      <c r="V366">
        <v>6.4</v>
      </c>
      <c r="W366"/>
      <c r="X366"/>
      <c r="Y366">
        <v>8.6</v>
      </c>
      <c r="Z366">
        <v>5.2</v>
      </c>
      <c r="AA366"/>
      <c r="AB366"/>
      <c r="AC366">
        <v>8.8000000000000007</v>
      </c>
      <c r="AD366">
        <v>5</v>
      </c>
      <c r="AE366"/>
      <c r="AF366"/>
      <c r="AG366">
        <v>9.6999999999999993</v>
      </c>
      <c r="AH366"/>
      <c r="AI366"/>
      <c r="AJ366"/>
      <c r="AK366"/>
      <c r="AL366">
        <v>6</v>
      </c>
      <c r="AM366"/>
      <c r="AN366"/>
      <c r="AO366">
        <v>4.4000000000000004</v>
      </c>
      <c r="AP366">
        <v>6.9</v>
      </c>
      <c r="AQ366"/>
      <c r="AR366"/>
      <c r="AS366">
        <v>4.7</v>
      </c>
      <c r="AT366">
        <v>6.6</v>
      </c>
      <c r="AU366"/>
      <c r="AV366"/>
      <c r="AW366">
        <v>5</v>
      </c>
      <c r="AX366"/>
      <c r="AY366"/>
      <c r="AZ366"/>
      <c r="BA366"/>
      <c r="BB366"/>
      <c r="BC366"/>
      <c r="BD366"/>
      <c r="BE366"/>
      <c r="BF366"/>
      <c r="BG366"/>
      <c r="BH366"/>
      <c r="BI366"/>
      <c r="BJ366"/>
      <c r="BK366" t="s">
        <v>273</v>
      </c>
      <c r="BL366"/>
      <c r="BM366" t="s">
        <v>613</v>
      </c>
      <c r="BN366" s="33">
        <v>7016</v>
      </c>
      <c r="BO366" t="s">
        <v>362</v>
      </c>
      <c r="BP366" t="s">
        <v>613</v>
      </c>
      <c r="BQ366"/>
      <c r="BR366"/>
    </row>
    <row r="367" spans="1:70" s="9" customFormat="1">
      <c r="A367" t="s">
        <v>645</v>
      </c>
      <c r="B367"/>
      <c r="C367" s="7" t="s">
        <v>10</v>
      </c>
      <c r="D367" s="7" t="s">
        <v>11</v>
      </c>
      <c r="E367" t="s">
        <v>473</v>
      </c>
      <c r="F367"/>
      <c r="G367" t="s">
        <v>517</v>
      </c>
      <c r="H367" t="s">
        <v>516</v>
      </c>
      <c r="I367" t="s">
        <v>515</v>
      </c>
      <c r="J367" t="s">
        <v>516</v>
      </c>
      <c r="K367"/>
      <c r="L367"/>
      <c r="M367"/>
      <c r="N367"/>
      <c r="O367"/>
      <c r="P367"/>
      <c r="Q367"/>
      <c r="R367"/>
      <c r="S367"/>
      <c r="T367"/>
      <c r="U367"/>
      <c r="V367">
        <v>6.4</v>
      </c>
      <c r="W367"/>
      <c r="X367"/>
      <c r="Y367">
        <v>8</v>
      </c>
      <c r="Z367">
        <v>5.4</v>
      </c>
      <c r="AA367"/>
      <c r="AB367"/>
      <c r="AC367">
        <v>8.6999999999999993</v>
      </c>
      <c r="AD367">
        <v>4.8</v>
      </c>
      <c r="AE367"/>
      <c r="AF367"/>
      <c r="AG367">
        <v>10</v>
      </c>
      <c r="AH367">
        <v>4</v>
      </c>
      <c r="AI367"/>
      <c r="AJ367"/>
      <c r="AK367">
        <v>8.1999999999999993</v>
      </c>
      <c r="AL367"/>
      <c r="AM367"/>
      <c r="AN367"/>
      <c r="AO367"/>
      <c r="AP367">
        <v>7</v>
      </c>
      <c r="AQ367"/>
      <c r="AR367"/>
      <c r="AS367">
        <v>5</v>
      </c>
      <c r="AT367">
        <v>6.5</v>
      </c>
      <c r="AU367"/>
      <c r="AV367"/>
      <c r="AW367">
        <v>4.9000000000000004</v>
      </c>
      <c r="AX367"/>
      <c r="AY367"/>
      <c r="AZ367"/>
      <c r="BA367"/>
      <c r="BB367">
        <v>4.9000000000000004</v>
      </c>
      <c r="BC367"/>
      <c r="BD367"/>
      <c r="BE367">
        <v>4.5999999999999996</v>
      </c>
      <c r="BF367">
        <v>5.0999999999999996</v>
      </c>
      <c r="BG367"/>
      <c r="BH367"/>
      <c r="BI367">
        <v>3.6</v>
      </c>
      <c r="BJ367"/>
      <c r="BK367" t="s">
        <v>273</v>
      </c>
      <c r="BL367"/>
      <c r="BM367" t="s">
        <v>613</v>
      </c>
      <c r="BN367" s="33">
        <v>7016</v>
      </c>
      <c r="BO367"/>
      <c r="BP367"/>
      <c r="BQ367"/>
      <c r="BR367"/>
    </row>
    <row r="368" spans="1:70" s="9" customFormat="1">
      <c r="A368" t="s">
        <v>646</v>
      </c>
      <c r="B368"/>
      <c r="C368" s="7" t="s">
        <v>10</v>
      </c>
      <c r="D368" s="7" t="s">
        <v>11</v>
      </c>
      <c r="E368" t="s">
        <v>473</v>
      </c>
      <c r="F368"/>
      <c r="G368" t="s">
        <v>517</v>
      </c>
      <c r="H368" t="s">
        <v>516</v>
      </c>
      <c r="I368" t="s">
        <v>515</v>
      </c>
      <c r="J368" t="s">
        <v>516</v>
      </c>
      <c r="K368"/>
      <c r="L368"/>
      <c r="M368"/>
      <c r="N368"/>
      <c r="O368"/>
      <c r="P368"/>
      <c r="Q368"/>
      <c r="R368">
        <v>7</v>
      </c>
      <c r="S368"/>
      <c r="T368"/>
      <c r="U368">
        <v>7.3</v>
      </c>
      <c r="V368"/>
      <c r="W368"/>
      <c r="X368"/>
      <c r="Y368"/>
      <c r="Z368"/>
      <c r="AA368"/>
      <c r="AB368"/>
      <c r="AC368"/>
      <c r="AD368"/>
      <c r="AE368"/>
      <c r="AF368"/>
      <c r="AG368"/>
      <c r="AH368"/>
      <c r="AI368"/>
      <c r="AJ368"/>
      <c r="AK368"/>
      <c r="AL368">
        <v>5.5</v>
      </c>
      <c r="AM368"/>
      <c r="AN368"/>
      <c r="AO368">
        <v>4</v>
      </c>
      <c r="AP368">
        <v>6.5</v>
      </c>
      <c r="AQ368"/>
      <c r="AR368"/>
      <c r="AS368">
        <v>4.8</v>
      </c>
      <c r="AT368">
        <v>6.5</v>
      </c>
      <c r="AU368"/>
      <c r="AV368"/>
      <c r="AW368">
        <v>5.0999999999999996</v>
      </c>
      <c r="AX368">
        <v>5.7</v>
      </c>
      <c r="AY368"/>
      <c r="AZ368"/>
      <c r="BA368">
        <v>4.4000000000000004</v>
      </c>
      <c r="BB368">
        <v>5.2</v>
      </c>
      <c r="BC368"/>
      <c r="BD368"/>
      <c r="BE368">
        <v>4.8</v>
      </c>
      <c r="BF368">
        <v>6.2</v>
      </c>
      <c r="BG368"/>
      <c r="BH368"/>
      <c r="BI368">
        <v>4.0999999999999996</v>
      </c>
      <c r="BJ368"/>
      <c r="BK368" t="s">
        <v>273</v>
      </c>
      <c r="BL368"/>
      <c r="BM368" t="s">
        <v>613</v>
      </c>
      <c r="BN368" s="33">
        <v>7016</v>
      </c>
      <c r="BO368" t="s">
        <v>362</v>
      </c>
      <c r="BP368" t="s">
        <v>613</v>
      </c>
      <c r="BQ368"/>
      <c r="BR368"/>
    </row>
    <row r="369" spans="1:70" s="9" customFormat="1">
      <c r="A369" t="s">
        <v>641</v>
      </c>
      <c r="B369"/>
      <c r="C369" s="7" t="s">
        <v>10</v>
      </c>
      <c r="D369" s="7" t="s">
        <v>11</v>
      </c>
      <c r="E369" t="s">
        <v>473</v>
      </c>
      <c r="F369"/>
      <c r="G369" t="s">
        <v>517</v>
      </c>
      <c r="H369" t="s">
        <v>516</v>
      </c>
      <c r="I369" t="s">
        <v>515</v>
      </c>
      <c r="J369" t="s">
        <v>516</v>
      </c>
      <c r="K369"/>
      <c r="L369"/>
      <c r="M369"/>
      <c r="N369"/>
      <c r="O369"/>
      <c r="P369"/>
      <c r="Q369"/>
      <c r="R369">
        <v>7</v>
      </c>
      <c r="S369"/>
      <c r="T369"/>
      <c r="U369">
        <v>7.4</v>
      </c>
      <c r="V369">
        <v>6.5</v>
      </c>
      <c r="W369"/>
      <c r="X369"/>
      <c r="Y369">
        <v>9.1</v>
      </c>
      <c r="Z369">
        <v>5.0999999999999996</v>
      </c>
      <c r="AA369"/>
      <c r="AB369"/>
      <c r="AC369">
        <v>9.3000000000000007</v>
      </c>
      <c r="AD369">
        <v>4.8</v>
      </c>
      <c r="AE369"/>
      <c r="AF369"/>
      <c r="AG369">
        <v>10</v>
      </c>
      <c r="AH369"/>
      <c r="AI369"/>
      <c r="AJ369"/>
      <c r="AK369"/>
      <c r="AL369"/>
      <c r="AM369"/>
      <c r="AN369"/>
      <c r="AO369"/>
      <c r="AP369"/>
      <c r="AQ369"/>
      <c r="AR369"/>
      <c r="AS369"/>
      <c r="AT369"/>
      <c r="AU369"/>
      <c r="AV369"/>
      <c r="AW369"/>
      <c r="AX369"/>
      <c r="AY369"/>
      <c r="AZ369"/>
      <c r="BA369"/>
      <c r="BB369"/>
      <c r="BC369"/>
      <c r="BD369"/>
      <c r="BE369"/>
      <c r="BF369"/>
      <c r="BG369"/>
      <c r="BH369"/>
      <c r="BI369"/>
      <c r="BJ369"/>
      <c r="BK369" t="s">
        <v>273</v>
      </c>
      <c r="BL369"/>
      <c r="BM369" t="s">
        <v>613</v>
      </c>
      <c r="BN369" s="33">
        <v>7016</v>
      </c>
      <c r="BO369"/>
      <c r="BP369"/>
      <c r="BQ369"/>
      <c r="BR369"/>
    </row>
    <row r="370" spans="1:70" s="9" customFormat="1">
      <c r="A370" t="s">
        <v>638</v>
      </c>
      <c r="B370"/>
      <c r="C370" t="s">
        <v>10</v>
      </c>
      <c r="D370" t="s">
        <v>11</v>
      </c>
      <c r="E370" t="s">
        <v>473</v>
      </c>
      <c r="F370"/>
      <c r="G370" t="s">
        <v>525</v>
      </c>
      <c r="H370" t="s">
        <v>658</v>
      </c>
      <c r="I370" t="s">
        <v>525</v>
      </c>
      <c r="J370" t="s">
        <v>636</v>
      </c>
      <c r="K370"/>
      <c r="L370"/>
      <c r="M370"/>
      <c r="N370"/>
      <c r="O370"/>
      <c r="P370"/>
      <c r="Q370"/>
      <c r="R370">
        <f>0.012*1000</f>
        <v>12</v>
      </c>
      <c r="S370"/>
      <c r="T370"/>
      <c r="U370">
        <f>0.012*1000</f>
        <v>12</v>
      </c>
      <c r="V370"/>
      <c r="W370"/>
      <c r="X370"/>
      <c r="Y370"/>
      <c r="Z370"/>
      <c r="AA370"/>
      <c r="AB370"/>
      <c r="AC370">
        <f>0.01*1000</f>
        <v>10</v>
      </c>
      <c r="AD370"/>
      <c r="AE370"/>
      <c r="AF370"/>
      <c r="AG370"/>
      <c r="AH370">
        <f>0.01*1000</f>
        <v>10</v>
      </c>
      <c r="AI370"/>
      <c r="AJ370"/>
      <c r="AK370">
        <f>0.009*1000</f>
        <v>9</v>
      </c>
      <c r="AL370"/>
      <c r="AM370"/>
      <c r="AN370"/>
      <c r="AO370"/>
      <c r="AP370"/>
      <c r="AQ370"/>
      <c r="AR370"/>
      <c r="AS370"/>
      <c r="AT370">
        <f>0.012*1000</f>
        <v>12</v>
      </c>
      <c r="AU370"/>
      <c r="AV370"/>
      <c r="AW370">
        <f>0.012*1000</f>
        <v>12</v>
      </c>
      <c r="AX370"/>
      <c r="AY370"/>
      <c r="AZ370"/>
      <c r="BA370"/>
      <c r="BB370"/>
      <c r="BC370"/>
      <c r="BD370"/>
      <c r="BE370"/>
      <c r="BF370">
        <f>0.0115*1000</f>
        <v>11.5</v>
      </c>
      <c r="BG370"/>
      <c r="BH370"/>
      <c r="BI370">
        <f>0.009*1000</f>
        <v>9</v>
      </c>
      <c r="BJ370" t="s">
        <v>637</v>
      </c>
      <c r="BK370" t="s">
        <v>273</v>
      </c>
      <c r="BL370"/>
      <c r="BM370" t="s">
        <v>613</v>
      </c>
      <c r="BN370" s="33">
        <v>7016</v>
      </c>
      <c r="BO370"/>
      <c r="BP370"/>
      <c r="BQ370"/>
      <c r="BR370"/>
    </row>
    <row r="371" spans="1:70" s="9" customFormat="1">
      <c r="A371" t="s">
        <v>1243</v>
      </c>
      <c r="B371"/>
      <c r="C371" s="7" t="s">
        <v>10</v>
      </c>
      <c r="D371" s="7" t="s">
        <v>11</v>
      </c>
      <c r="E371" t="s">
        <v>473</v>
      </c>
      <c r="F371"/>
      <c r="G371"/>
      <c r="H371"/>
      <c r="I371" t="s">
        <v>112</v>
      </c>
      <c r="J371" t="s">
        <v>1244</v>
      </c>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f>0.005*1000</f>
        <v>5</v>
      </c>
      <c r="AU371"/>
      <c r="AV371"/>
      <c r="AW371">
        <f>0.007*1000</f>
        <v>7</v>
      </c>
      <c r="AX371"/>
      <c r="AY371"/>
      <c r="AZ371"/>
      <c r="BA371"/>
      <c r="BB371">
        <f>0.0046*1000</f>
        <v>4.5999999999999996</v>
      </c>
      <c r="BC371"/>
      <c r="BD371"/>
      <c r="BE371">
        <f>0.007*1000</f>
        <v>7</v>
      </c>
      <c r="BF371"/>
      <c r="BG371"/>
      <c r="BH371"/>
      <c r="BI371"/>
      <c r="BJ371" t="s">
        <v>1245</v>
      </c>
      <c r="BK371" t="s">
        <v>273</v>
      </c>
      <c r="BL371" s="26">
        <v>44796</v>
      </c>
      <c r="BM371" t="s">
        <v>613</v>
      </c>
      <c r="BN371" s="33">
        <v>7016</v>
      </c>
      <c r="BO371" s="33" t="s">
        <v>362</v>
      </c>
      <c r="BP371" s="33" t="s">
        <v>613</v>
      </c>
      <c r="BQ371"/>
      <c r="BR371"/>
    </row>
    <row r="372" spans="1:70" s="9" customFormat="1">
      <c r="A372" s="14" t="s">
        <v>368</v>
      </c>
      <c r="B372" s="14" t="s">
        <v>200</v>
      </c>
      <c r="C372" s="14" t="s">
        <v>10</v>
      </c>
      <c r="D372" s="14" t="s">
        <v>11</v>
      </c>
      <c r="E372" s="14" t="s">
        <v>165</v>
      </c>
      <c r="F372" s="14"/>
      <c r="G372" s="14" t="s">
        <v>476</v>
      </c>
      <c r="H372" s="14" t="s">
        <v>369</v>
      </c>
      <c r="I372" s="14" t="s">
        <v>476</v>
      </c>
      <c r="J372" s="14" t="s">
        <v>369</v>
      </c>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t="s">
        <v>273</v>
      </c>
      <c r="BL372" s="14"/>
      <c r="BM372" s="14" t="s">
        <v>361</v>
      </c>
      <c r="BN372" s="34">
        <v>2469</v>
      </c>
      <c r="BO372" s="14" t="s">
        <v>362</v>
      </c>
      <c r="BP372" s="14" t="s">
        <v>361</v>
      </c>
      <c r="BQ372" s="14"/>
      <c r="BR372" s="14"/>
    </row>
    <row r="373" spans="1:70" s="9" customFormat="1">
      <c r="A373" s="14" t="s">
        <v>366</v>
      </c>
      <c r="B373" s="14"/>
      <c r="C373" s="14" t="s">
        <v>10</v>
      </c>
      <c r="D373" s="14" t="s">
        <v>11</v>
      </c>
      <c r="E373" s="14" t="s">
        <v>165</v>
      </c>
      <c r="F373" s="14"/>
      <c r="G373" s="14" t="s">
        <v>476</v>
      </c>
      <c r="H373" s="14" t="s">
        <v>367</v>
      </c>
      <c r="I373" s="14" t="s">
        <v>476</v>
      </c>
      <c r="J373" s="14" t="s">
        <v>367</v>
      </c>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t="s">
        <v>273</v>
      </c>
      <c r="BL373" s="14"/>
      <c r="BM373" s="14" t="s">
        <v>361</v>
      </c>
      <c r="BN373" s="34">
        <v>2469</v>
      </c>
      <c r="BO373" s="14" t="s">
        <v>362</v>
      </c>
      <c r="BP373" s="14" t="s">
        <v>361</v>
      </c>
      <c r="BQ373" s="14"/>
      <c r="BR373" s="14"/>
    </row>
    <row r="374" spans="1:70" s="9" customFormat="1">
      <c r="A374" s="14" t="s">
        <v>365</v>
      </c>
      <c r="B374" s="14" t="s">
        <v>200</v>
      </c>
      <c r="C374" s="14" t="s">
        <v>10</v>
      </c>
      <c r="D374" s="14" t="s">
        <v>11</v>
      </c>
      <c r="E374" s="14" t="s">
        <v>165</v>
      </c>
      <c r="F374" s="14" t="s">
        <v>157</v>
      </c>
      <c r="G374" s="14" t="s">
        <v>166</v>
      </c>
      <c r="H374" s="14" t="s">
        <v>264</v>
      </c>
      <c r="I374" s="14" t="s">
        <v>166</v>
      </c>
      <c r="J374" s="14" t="s">
        <v>264</v>
      </c>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t="s">
        <v>273</v>
      </c>
      <c r="BL374" s="14"/>
      <c r="BM374" s="14" t="s">
        <v>361</v>
      </c>
      <c r="BN374" s="34">
        <v>2469</v>
      </c>
      <c r="BO374" s="14" t="s">
        <v>362</v>
      </c>
      <c r="BP374" s="14" t="s">
        <v>361</v>
      </c>
      <c r="BQ374" s="14"/>
      <c r="BR374" s="14"/>
    </row>
    <row r="375" spans="1:70" s="22" customFormat="1">
      <c r="A375" t="s">
        <v>363</v>
      </c>
      <c r="B375" s="22" t="s">
        <v>200</v>
      </c>
      <c r="C375" t="s">
        <v>10</v>
      </c>
      <c r="D375" t="s">
        <v>11</v>
      </c>
      <c r="E375" t="s">
        <v>165</v>
      </c>
      <c r="F375"/>
      <c r="G375" t="s">
        <v>358</v>
      </c>
      <c r="H375" t="s">
        <v>360</v>
      </c>
      <c r="I375" t="s">
        <v>358</v>
      </c>
      <c r="J375" t="s">
        <v>359</v>
      </c>
      <c r="K375"/>
      <c r="L375"/>
      <c r="M375"/>
      <c r="N375"/>
      <c r="O375"/>
      <c r="P375"/>
      <c r="Q375"/>
      <c r="R375">
        <v>4.5</v>
      </c>
      <c r="S375"/>
      <c r="T375"/>
      <c r="U375">
        <v>4.0999999999999996</v>
      </c>
      <c r="V375">
        <v>5.8</v>
      </c>
      <c r="W375"/>
      <c r="X375"/>
      <c r="Y375">
        <v>6.5</v>
      </c>
      <c r="Z375">
        <v>6.8</v>
      </c>
      <c r="AA375"/>
      <c r="AB375"/>
      <c r="AC375">
        <v>8.1999999999999993</v>
      </c>
      <c r="AD375">
        <v>6.7</v>
      </c>
      <c r="AE375"/>
      <c r="AF375"/>
      <c r="AG375">
        <v>8.8000000000000007</v>
      </c>
      <c r="AH375">
        <v>5</v>
      </c>
      <c r="AI375"/>
      <c r="AJ375"/>
      <c r="AK375">
        <v>7</v>
      </c>
      <c r="AL375"/>
      <c r="AM375"/>
      <c r="AN375"/>
      <c r="AO375"/>
      <c r="AP375"/>
      <c r="AQ375"/>
      <c r="AR375"/>
      <c r="AS375"/>
      <c r="AT375"/>
      <c r="AU375"/>
      <c r="AV375"/>
      <c r="AW375"/>
      <c r="AX375"/>
      <c r="AY375"/>
      <c r="AZ375"/>
      <c r="BA375"/>
      <c r="BB375"/>
      <c r="BC375"/>
      <c r="BD375"/>
      <c r="BE375"/>
      <c r="BF375"/>
      <c r="BG375"/>
      <c r="BH375"/>
      <c r="BI375"/>
      <c r="BJ375"/>
      <c r="BK375" t="s">
        <v>273</v>
      </c>
      <c r="BL375"/>
      <c r="BM375" t="s">
        <v>361</v>
      </c>
      <c r="BN375" s="36">
        <v>2469</v>
      </c>
      <c r="BO375" t="s">
        <v>362</v>
      </c>
      <c r="BP375" t="s">
        <v>361</v>
      </c>
      <c r="BQ375"/>
      <c r="BR375"/>
    </row>
    <row r="376" spans="1:70" s="22" customFormat="1">
      <c r="A376" s="14" t="s">
        <v>364</v>
      </c>
      <c r="B376" s="14" t="s">
        <v>200</v>
      </c>
      <c r="C376" s="14" t="s">
        <v>10</v>
      </c>
      <c r="D376" s="14" t="s">
        <v>11</v>
      </c>
      <c r="E376" s="14" t="s">
        <v>165</v>
      </c>
      <c r="F376" s="14"/>
      <c r="G376" s="14" t="s">
        <v>358</v>
      </c>
      <c r="H376" s="14" t="s">
        <v>360</v>
      </c>
      <c r="I376" s="14" t="s">
        <v>358</v>
      </c>
      <c r="J376" s="14" t="s">
        <v>360</v>
      </c>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t="s">
        <v>273</v>
      </c>
      <c r="BL376" s="14"/>
      <c r="BM376" s="14" t="s">
        <v>361</v>
      </c>
      <c r="BN376" s="34">
        <v>2469</v>
      </c>
      <c r="BO376" s="14" t="s">
        <v>362</v>
      </c>
      <c r="BP376" s="14" t="s">
        <v>361</v>
      </c>
      <c r="BQ376" s="14"/>
      <c r="BR376" s="14"/>
    </row>
    <row r="377" spans="1:70" s="22" customFormat="1">
      <c r="A377" s="14" t="s">
        <v>1213</v>
      </c>
      <c r="B377" s="14"/>
      <c r="C377" s="14" t="s">
        <v>10</v>
      </c>
      <c r="D377" s="14" t="s">
        <v>11</v>
      </c>
      <c r="E377" s="14" t="s">
        <v>165</v>
      </c>
      <c r="F377" s="14"/>
      <c r="G377" s="14" t="s">
        <v>358</v>
      </c>
      <c r="H377" s="14" t="s">
        <v>360</v>
      </c>
      <c r="I377" s="14" t="s">
        <v>358</v>
      </c>
      <c r="J377" s="14" t="s">
        <v>359</v>
      </c>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t="s">
        <v>273</v>
      </c>
      <c r="BL377" s="14"/>
      <c r="BM377" s="14" t="s">
        <v>361</v>
      </c>
      <c r="BN377" s="34">
        <v>2469</v>
      </c>
      <c r="BO377" s="14" t="s">
        <v>362</v>
      </c>
      <c r="BP377" s="14" t="s">
        <v>361</v>
      </c>
      <c r="BQ377" s="14"/>
      <c r="BR377" s="14"/>
    </row>
    <row r="378" spans="1:70" s="9" customFormat="1">
      <c r="A378" s="14" t="s">
        <v>904</v>
      </c>
      <c r="B378" s="14"/>
      <c r="C378" s="14" t="s">
        <v>10</v>
      </c>
      <c r="D378" s="14" t="s">
        <v>11</v>
      </c>
      <c r="E378" s="14" t="s">
        <v>165</v>
      </c>
      <c r="F378" s="14"/>
      <c r="G378" s="14" t="s">
        <v>490</v>
      </c>
      <c r="H378" s="14" t="s">
        <v>903</v>
      </c>
      <c r="I378" s="14" t="s">
        <v>490</v>
      </c>
      <c r="J378" s="14" t="s">
        <v>903</v>
      </c>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t="s">
        <v>159</v>
      </c>
      <c r="BL378" s="14"/>
      <c r="BM378" s="14" t="s">
        <v>870</v>
      </c>
      <c r="BN378" s="34">
        <v>19561</v>
      </c>
      <c r="BO378" s="14"/>
      <c r="BP378" s="14"/>
      <c r="BQ378" s="14"/>
      <c r="BR378" s="14"/>
    </row>
    <row r="379" spans="1:70" s="22" customFormat="1">
      <c r="A379" s="14" t="s">
        <v>902</v>
      </c>
      <c r="B379" s="14"/>
      <c r="C379" s="14" t="s">
        <v>10</v>
      </c>
      <c r="D379" s="14" t="s">
        <v>11</v>
      </c>
      <c r="E379" s="14" t="s">
        <v>165</v>
      </c>
      <c r="F379" s="14"/>
      <c r="G379" s="14" t="s">
        <v>490</v>
      </c>
      <c r="H379" s="14" t="s">
        <v>903</v>
      </c>
      <c r="I379" s="14" t="s">
        <v>490</v>
      </c>
      <c r="J379" s="14" t="s">
        <v>903</v>
      </c>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t="s">
        <v>159</v>
      </c>
      <c r="BL379" s="14"/>
      <c r="BM379" s="14" t="s">
        <v>870</v>
      </c>
      <c r="BN379" s="34">
        <v>19561</v>
      </c>
      <c r="BO379" s="14"/>
      <c r="BP379" s="14"/>
      <c r="BQ379" s="14"/>
      <c r="BR379" s="14"/>
    </row>
    <row r="380" spans="1:70" s="22" customFormat="1">
      <c r="A380" t="s">
        <v>918</v>
      </c>
      <c r="B380"/>
      <c r="C380" t="s">
        <v>10</v>
      </c>
      <c r="D380" t="s">
        <v>11</v>
      </c>
      <c r="E380" t="s">
        <v>473</v>
      </c>
      <c r="F380"/>
      <c r="G380" t="s">
        <v>765</v>
      </c>
      <c r="H380" t="s">
        <v>774</v>
      </c>
      <c r="I380" t="s">
        <v>765</v>
      </c>
      <c r="J380" t="s">
        <v>774</v>
      </c>
      <c r="K380"/>
      <c r="L380"/>
      <c r="M380"/>
      <c r="N380"/>
      <c r="O380"/>
      <c r="P380"/>
      <c r="Q380"/>
      <c r="R380"/>
      <c r="S380"/>
      <c r="T380"/>
      <c r="U380"/>
      <c r="V380"/>
      <c r="W380"/>
      <c r="X380"/>
      <c r="Y380"/>
      <c r="Z380"/>
      <c r="AA380"/>
      <c r="AB380"/>
      <c r="AC380"/>
      <c r="AD380"/>
      <c r="AE380"/>
      <c r="AF380"/>
      <c r="AG380"/>
      <c r="AH380"/>
      <c r="AI380"/>
      <c r="AJ380"/>
      <c r="AK380"/>
      <c r="AL380">
        <v>4.7</v>
      </c>
      <c r="AM380"/>
      <c r="AN380"/>
      <c r="AO380">
        <v>3.5</v>
      </c>
      <c r="AP380">
        <v>5.0999999999999996</v>
      </c>
      <c r="AQ380"/>
      <c r="AR380"/>
      <c r="AS380">
        <v>3.9</v>
      </c>
      <c r="AT380">
        <v>5.5</v>
      </c>
      <c r="AU380"/>
      <c r="AV380"/>
      <c r="AW380">
        <v>4.4000000000000004</v>
      </c>
      <c r="AX380"/>
      <c r="AY380"/>
      <c r="AZ380">
        <v>4.5999999999999996</v>
      </c>
      <c r="BA380">
        <v>4.5999999999999996</v>
      </c>
      <c r="BB380">
        <v>6.2</v>
      </c>
      <c r="BC380">
        <v>5.7</v>
      </c>
      <c r="BD380">
        <v>5.4</v>
      </c>
      <c r="BE380">
        <v>5.7</v>
      </c>
      <c r="BF380">
        <v>6.2</v>
      </c>
      <c r="BG380">
        <v>4.4000000000000004</v>
      </c>
      <c r="BH380">
        <v>3.9</v>
      </c>
      <c r="BI380">
        <v>4.4000000000000004</v>
      </c>
      <c r="BJ380"/>
      <c r="BK380" t="s">
        <v>159</v>
      </c>
      <c r="BL380"/>
      <c r="BM380" t="s">
        <v>870</v>
      </c>
      <c r="BN380" s="36">
        <v>19561</v>
      </c>
      <c r="BO380" t="s">
        <v>362</v>
      </c>
      <c r="BP380" t="s">
        <v>870</v>
      </c>
      <c r="BQ380"/>
      <c r="BR380"/>
    </row>
    <row r="381" spans="1:70" s="9" customFormat="1">
      <c r="A381" t="s">
        <v>921</v>
      </c>
      <c r="B381"/>
      <c r="C381" t="s">
        <v>10</v>
      </c>
      <c r="D381" t="s">
        <v>11</v>
      </c>
      <c r="E381" t="s">
        <v>473</v>
      </c>
      <c r="F381"/>
      <c r="G381" t="s">
        <v>765</v>
      </c>
      <c r="H381" t="s">
        <v>774</v>
      </c>
      <c r="I381" t="s">
        <v>765</v>
      </c>
      <c r="J381" t="s">
        <v>774</v>
      </c>
      <c r="K381"/>
      <c r="L381"/>
      <c r="M381"/>
      <c r="N381"/>
      <c r="O381"/>
      <c r="P381"/>
      <c r="Q381"/>
      <c r="R381"/>
      <c r="S381"/>
      <c r="T381"/>
      <c r="U381"/>
      <c r="V381"/>
      <c r="W381"/>
      <c r="X381"/>
      <c r="Y381"/>
      <c r="Z381"/>
      <c r="AA381"/>
      <c r="AB381"/>
      <c r="AC381"/>
      <c r="AD381"/>
      <c r="AE381"/>
      <c r="AF381"/>
      <c r="AG381"/>
      <c r="AH381"/>
      <c r="AI381"/>
      <c r="AJ381"/>
      <c r="AK381"/>
      <c r="AL381"/>
      <c r="AM381"/>
      <c r="AN381"/>
      <c r="AO381"/>
      <c r="AP381">
        <v>5.2</v>
      </c>
      <c r="AQ381"/>
      <c r="AR381"/>
      <c r="AS381">
        <v>4.2</v>
      </c>
      <c r="AT381"/>
      <c r="AU381"/>
      <c r="AV381"/>
      <c r="AW381"/>
      <c r="AX381"/>
      <c r="AY381"/>
      <c r="AZ381"/>
      <c r="BA381"/>
      <c r="BB381"/>
      <c r="BC381"/>
      <c r="BD381"/>
      <c r="BE381"/>
      <c r="BF381"/>
      <c r="BG381"/>
      <c r="BH381"/>
      <c r="BI381"/>
      <c r="BJ381"/>
      <c r="BK381" t="s">
        <v>159</v>
      </c>
      <c r="BL381"/>
      <c r="BM381" t="s">
        <v>870</v>
      </c>
      <c r="BN381" s="36">
        <v>19561</v>
      </c>
      <c r="BO381"/>
      <c r="BP381"/>
      <c r="BQ381"/>
      <c r="BR381"/>
    </row>
    <row r="382" spans="1:70" s="9" customFormat="1">
      <c r="A382" t="s">
        <v>922</v>
      </c>
      <c r="B382"/>
      <c r="C382" t="s">
        <v>10</v>
      </c>
      <c r="D382" t="s">
        <v>11</v>
      </c>
      <c r="E382" t="s">
        <v>473</v>
      </c>
      <c r="F382"/>
      <c r="G382" t="s">
        <v>765</v>
      </c>
      <c r="H382" t="s">
        <v>774</v>
      </c>
      <c r="I382" t="s">
        <v>765</v>
      </c>
      <c r="J382" t="s">
        <v>774</v>
      </c>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v>5.7</v>
      </c>
      <c r="AU382"/>
      <c r="AV382"/>
      <c r="AW382">
        <v>4.3</v>
      </c>
      <c r="AX382"/>
      <c r="AY382"/>
      <c r="AZ382"/>
      <c r="BA382"/>
      <c r="BB382"/>
      <c r="BC382"/>
      <c r="BD382"/>
      <c r="BE382"/>
      <c r="BF382"/>
      <c r="BG382"/>
      <c r="BH382"/>
      <c r="BI382"/>
      <c r="BJ382"/>
      <c r="BK382" t="s">
        <v>159</v>
      </c>
      <c r="BL382"/>
      <c r="BM382" t="s">
        <v>870</v>
      </c>
      <c r="BN382" s="36">
        <v>19561</v>
      </c>
      <c r="BO382"/>
      <c r="BP382"/>
      <c r="BQ382"/>
      <c r="BR382"/>
    </row>
    <row r="383" spans="1:70" s="9" customFormat="1">
      <c r="A383" t="s">
        <v>914</v>
      </c>
      <c r="B383"/>
      <c r="C383" t="s">
        <v>10</v>
      </c>
      <c r="D383" t="s">
        <v>11</v>
      </c>
      <c r="E383" t="s">
        <v>473</v>
      </c>
      <c r="F383"/>
      <c r="G383" t="s">
        <v>515</v>
      </c>
      <c r="H383" t="s">
        <v>668</v>
      </c>
      <c r="I383" t="s">
        <v>515</v>
      </c>
      <c r="J383" t="s">
        <v>668</v>
      </c>
      <c r="K383"/>
      <c r="L383"/>
      <c r="M383"/>
      <c r="N383"/>
      <c r="O383"/>
      <c r="P383"/>
      <c r="Q383"/>
      <c r="R383"/>
      <c r="S383"/>
      <c r="T383"/>
      <c r="U383"/>
      <c r="V383"/>
      <c r="W383"/>
      <c r="X383"/>
      <c r="Y383"/>
      <c r="Z383"/>
      <c r="AA383"/>
      <c r="AB383"/>
      <c r="AC383"/>
      <c r="AD383"/>
      <c r="AE383"/>
      <c r="AF383"/>
      <c r="AG383"/>
      <c r="AH383"/>
      <c r="AI383"/>
      <c r="AJ383"/>
      <c r="AK383"/>
      <c r="AL383">
        <v>4.5</v>
      </c>
      <c r="AM383"/>
      <c r="AN383"/>
      <c r="AO383">
        <v>3</v>
      </c>
      <c r="AP383">
        <v>5.2</v>
      </c>
      <c r="AQ383"/>
      <c r="AR383"/>
      <c r="AS383">
        <v>3.6</v>
      </c>
      <c r="AT383">
        <v>5.5</v>
      </c>
      <c r="AU383"/>
      <c r="AV383"/>
      <c r="AW383">
        <v>4</v>
      </c>
      <c r="AX383">
        <v>6</v>
      </c>
      <c r="AY383">
        <v>3.7</v>
      </c>
      <c r="AZ383">
        <v>4</v>
      </c>
      <c r="BA383">
        <v>4</v>
      </c>
      <c r="BB383">
        <v>5.9</v>
      </c>
      <c r="BC383">
        <v>4.4000000000000004</v>
      </c>
      <c r="BD383">
        <v>4.3</v>
      </c>
      <c r="BE383">
        <v>4.4000000000000004</v>
      </c>
      <c r="BF383">
        <v>5.7</v>
      </c>
      <c r="BG383">
        <v>3.9</v>
      </c>
      <c r="BH383">
        <v>3.3</v>
      </c>
      <c r="BI383">
        <v>3.9</v>
      </c>
      <c r="BJ383" t="s">
        <v>915</v>
      </c>
      <c r="BK383" t="s">
        <v>159</v>
      </c>
      <c r="BL383"/>
      <c r="BM383" t="s">
        <v>870</v>
      </c>
      <c r="BN383" s="36">
        <v>19561</v>
      </c>
      <c r="BO383" t="s">
        <v>362</v>
      </c>
      <c r="BP383" t="s">
        <v>870</v>
      </c>
      <c r="BQ383"/>
      <c r="BR383"/>
    </row>
    <row r="384" spans="1:70" s="9" customFormat="1">
      <c r="A384" t="s">
        <v>916</v>
      </c>
      <c r="B384"/>
      <c r="C384" t="s">
        <v>10</v>
      </c>
      <c r="D384" t="s">
        <v>11</v>
      </c>
      <c r="E384" t="s">
        <v>473</v>
      </c>
      <c r="F384"/>
      <c r="G384" t="s">
        <v>515</v>
      </c>
      <c r="H384" t="s">
        <v>668</v>
      </c>
      <c r="I384" t="s">
        <v>515</v>
      </c>
      <c r="J384" t="s">
        <v>668</v>
      </c>
      <c r="K384"/>
      <c r="L384"/>
      <c r="M384"/>
      <c r="N384"/>
      <c r="O384"/>
      <c r="P384"/>
      <c r="Q384"/>
      <c r="R384"/>
      <c r="S384"/>
      <c r="T384"/>
      <c r="U384"/>
      <c r="V384"/>
      <c r="W384"/>
      <c r="X384"/>
      <c r="Y384"/>
      <c r="Z384"/>
      <c r="AA384"/>
      <c r="AB384"/>
      <c r="AC384"/>
      <c r="AD384"/>
      <c r="AE384"/>
      <c r="AF384"/>
      <c r="AG384"/>
      <c r="AH384"/>
      <c r="AI384"/>
      <c r="AJ384"/>
      <c r="AK384"/>
      <c r="AL384">
        <v>4.4000000000000004</v>
      </c>
      <c r="AM384"/>
      <c r="AN384"/>
      <c r="AO384">
        <v>3</v>
      </c>
      <c r="AP384">
        <v>5.3</v>
      </c>
      <c r="AQ384"/>
      <c r="AR384"/>
      <c r="AS384">
        <v>4</v>
      </c>
      <c r="AT384"/>
      <c r="AU384"/>
      <c r="AV384"/>
      <c r="AW384">
        <v>4.5</v>
      </c>
      <c r="AX384"/>
      <c r="AY384"/>
      <c r="AZ384"/>
      <c r="BA384"/>
      <c r="BB384">
        <v>6.2</v>
      </c>
      <c r="BC384">
        <v>5</v>
      </c>
      <c r="BD384">
        <v>4.4000000000000004</v>
      </c>
      <c r="BE384">
        <v>5</v>
      </c>
      <c r="BF384">
        <v>6.1</v>
      </c>
      <c r="BG384">
        <v>4.2</v>
      </c>
      <c r="BH384">
        <v>3.3</v>
      </c>
      <c r="BI384">
        <v>4.2</v>
      </c>
      <c r="BJ384" t="s">
        <v>915</v>
      </c>
      <c r="BK384" t="s">
        <v>159</v>
      </c>
      <c r="BL384"/>
      <c r="BM384" t="s">
        <v>870</v>
      </c>
      <c r="BN384" s="36">
        <v>19561</v>
      </c>
      <c r="BO384"/>
      <c r="BP384"/>
      <c r="BQ384"/>
      <c r="BR384"/>
    </row>
    <row r="385" spans="1:70" s="9" customFormat="1">
      <c r="A385" t="s">
        <v>919</v>
      </c>
      <c r="B385"/>
      <c r="C385" t="s">
        <v>10</v>
      </c>
      <c r="D385" t="s">
        <v>11</v>
      </c>
      <c r="E385" t="s">
        <v>473</v>
      </c>
      <c r="F385"/>
      <c r="G385" t="s">
        <v>515</v>
      </c>
      <c r="H385" t="s">
        <v>668</v>
      </c>
      <c r="I385" t="s">
        <v>515</v>
      </c>
      <c r="J385" t="s">
        <v>668</v>
      </c>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v>6.1</v>
      </c>
      <c r="AU385"/>
      <c r="AV385"/>
      <c r="AW385">
        <v>4.7</v>
      </c>
      <c r="AX385">
        <v>6.3</v>
      </c>
      <c r="AY385">
        <v>4.8</v>
      </c>
      <c r="AZ385">
        <v>5.2</v>
      </c>
      <c r="BA385">
        <v>5.2</v>
      </c>
      <c r="BB385"/>
      <c r="BC385"/>
      <c r="BD385"/>
      <c r="BE385"/>
      <c r="BF385"/>
      <c r="BG385"/>
      <c r="BH385"/>
      <c r="BI385"/>
      <c r="BJ385"/>
      <c r="BK385" t="s">
        <v>159</v>
      </c>
      <c r="BL385"/>
      <c r="BM385" t="s">
        <v>870</v>
      </c>
      <c r="BN385" s="36">
        <v>19561</v>
      </c>
      <c r="BO385"/>
      <c r="BP385"/>
      <c r="BQ385"/>
      <c r="BR385"/>
    </row>
    <row r="386" spans="1:70" s="9" customFormat="1">
      <c r="A386" t="s">
        <v>920</v>
      </c>
      <c r="B386"/>
      <c r="C386" t="s">
        <v>10</v>
      </c>
      <c r="D386" t="s">
        <v>11</v>
      </c>
      <c r="E386" t="s">
        <v>473</v>
      </c>
      <c r="F386"/>
      <c r="G386" t="s">
        <v>515</v>
      </c>
      <c r="H386" t="s">
        <v>668</v>
      </c>
      <c r="I386" t="s">
        <v>515</v>
      </c>
      <c r="J386" t="s">
        <v>668</v>
      </c>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v>5.7</v>
      </c>
      <c r="AU386"/>
      <c r="AV386"/>
      <c r="AW386">
        <v>4.2</v>
      </c>
      <c r="AX386"/>
      <c r="AY386"/>
      <c r="AZ386"/>
      <c r="BA386"/>
      <c r="BB386"/>
      <c r="BC386"/>
      <c r="BD386"/>
      <c r="BE386"/>
      <c r="BF386"/>
      <c r="BG386"/>
      <c r="BH386"/>
      <c r="BI386"/>
      <c r="BJ386"/>
      <c r="BK386" t="s">
        <v>159</v>
      </c>
      <c r="BL386"/>
      <c r="BM386" t="s">
        <v>870</v>
      </c>
      <c r="BN386" s="36">
        <v>19561</v>
      </c>
      <c r="BO386"/>
      <c r="BP386"/>
      <c r="BQ386"/>
      <c r="BR386"/>
    </row>
    <row r="387" spans="1:70" s="9" customFormat="1">
      <c r="A387" t="s">
        <v>917</v>
      </c>
      <c r="B387"/>
      <c r="C387" t="s">
        <v>10</v>
      </c>
      <c r="D387" t="s">
        <v>11</v>
      </c>
      <c r="E387" t="s">
        <v>473</v>
      </c>
      <c r="F387"/>
      <c r="G387" t="s">
        <v>515</v>
      </c>
      <c r="H387" t="s">
        <v>668</v>
      </c>
      <c r="I387" t="s">
        <v>515</v>
      </c>
      <c r="J387" t="s">
        <v>668</v>
      </c>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v>5.9</v>
      </c>
      <c r="AY387">
        <v>4.3</v>
      </c>
      <c r="AZ387">
        <v>4.5999999999999996</v>
      </c>
      <c r="BA387">
        <v>4.5999999999999996</v>
      </c>
      <c r="BB387"/>
      <c r="BC387"/>
      <c r="BD387"/>
      <c r="BE387"/>
      <c r="BF387"/>
      <c r="BG387"/>
      <c r="BH387"/>
      <c r="BI387"/>
      <c r="BJ387"/>
      <c r="BK387" t="s">
        <v>159</v>
      </c>
      <c r="BL387"/>
      <c r="BM387" t="s">
        <v>870</v>
      </c>
      <c r="BN387" s="36">
        <v>19561</v>
      </c>
      <c r="BO387"/>
      <c r="BP387"/>
      <c r="BQ387"/>
      <c r="BR387"/>
    </row>
    <row r="388" spans="1:70" s="9" customFormat="1">
      <c r="A388" t="s">
        <v>905</v>
      </c>
      <c r="B388"/>
      <c r="C388" t="s">
        <v>10</v>
      </c>
      <c r="D388" t="s">
        <v>11</v>
      </c>
      <c r="E388" t="s">
        <v>473</v>
      </c>
      <c r="F388"/>
      <c r="G388" t="s">
        <v>89</v>
      </c>
      <c r="H388" t="s">
        <v>777</v>
      </c>
      <c r="I388" t="s">
        <v>89</v>
      </c>
      <c r="J388" t="s">
        <v>777</v>
      </c>
      <c r="K388"/>
      <c r="L388"/>
      <c r="M388"/>
      <c r="N388"/>
      <c r="O388"/>
      <c r="P388"/>
      <c r="Q388"/>
      <c r="R388"/>
      <c r="S388"/>
      <c r="T388"/>
      <c r="U388"/>
      <c r="V388">
        <v>4.4000000000000004</v>
      </c>
      <c r="W388"/>
      <c r="X388"/>
      <c r="Y388">
        <v>4.8</v>
      </c>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t="s">
        <v>159</v>
      </c>
      <c r="BL388"/>
      <c r="BM388" t="s">
        <v>870</v>
      </c>
      <c r="BN388" s="36">
        <v>19561</v>
      </c>
      <c r="BO388"/>
      <c r="BP388"/>
      <c r="BQ388"/>
      <c r="BR388"/>
    </row>
    <row r="389" spans="1:70" s="9" customFormat="1">
      <c r="A389" t="s">
        <v>906</v>
      </c>
      <c r="B389"/>
      <c r="C389" t="s">
        <v>10</v>
      </c>
      <c r="D389" t="s">
        <v>11</v>
      </c>
      <c r="E389" t="s">
        <v>473</v>
      </c>
      <c r="F389"/>
      <c r="G389" t="s">
        <v>89</v>
      </c>
      <c r="H389" t="s">
        <v>777</v>
      </c>
      <c r="I389" t="s">
        <v>89</v>
      </c>
      <c r="J389" t="s">
        <v>777</v>
      </c>
      <c r="K389"/>
      <c r="L389"/>
      <c r="M389"/>
      <c r="N389"/>
      <c r="O389"/>
      <c r="P389"/>
      <c r="Q389"/>
      <c r="R389">
        <v>3.8</v>
      </c>
      <c r="S389"/>
      <c r="T389"/>
      <c r="U389">
        <v>3.8</v>
      </c>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t="s">
        <v>907</v>
      </c>
      <c r="BK389" t="s">
        <v>159</v>
      </c>
      <c r="BL389"/>
      <c r="BM389" t="s">
        <v>870</v>
      </c>
      <c r="BN389" s="36">
        <v>19561</v>
      </c>
      <c r="BO389"/>
      <c r="BP389"/>
      <c r="BQ389"/>
      <c r="BR389"/>
    </row>
    <row r="390" spans="1:70" s="9" customFormat="1">
      <c r="A390" t="s">
        <v>910</v>
      </c>
      <c r="B390"/>
      <c r="C390" t="s">
        <v>10</v>
      </c>
      <c r="D390" t="s">
        <v>11</v>
      </c>
      <c r="E390" t="s">
        <v>473</v>
      </c>
      <c r="F390"/>
      <c r="G390" t="s">
        <v>89</v>
      </c>
      <c r="H390" t="s">
        <v>777</v>
      </c>
      <c r="I390" t="s">
        <v>89</v>
      </c>
      <c r="J390" t="s">
        <v>777</v>
      </c>
      <c r="K390"/>
      <c r="L390"/>
      <c r="M390"/>
      <c r="N390"/>
      <c r="O390"/>
      <c r="P390"/>
      <c r="Q390"/>
      <c r="R390"/>
      <c r="S390"/>
      <c r="T390"/>
      <c r="U390"/>
      <c r="V390"/>
      <c r="W390"/>
      <c r="X390"/>
      <c r="Y390"/>
      <c r="Z390"/>
      <c r="AA390"/>
      <c r="AB390"/>
      <c r="AC390"/>
      <c r="AD390"/>
      <c r="AE390"/>
      <c r="AF390"/>
      <c r="AG390"/>
      <c r="AH390"/>
      <c r="AI390"/>
      <c r="AJ390"/>
      <c r="AK390"/>
      <c r="AL390"/>
      <c r="AM390"/>
      <c r="AN390"/>
      <c r="AO390"/>
      <c r="AP390">
        <v>4.3</v>
      </c>
      <c r="AQ390"/>
      <c r="AR390"/>
      <c r="AS390">
        <v>2.5</v>
      </c>
      <c r="AT390">
        <v>4.4000000000000004</v>
      </c>
      <c r="AU390"/>
      <c r="AV390"/>
      <c r="AW390">
        <v>3.1</v>
      </c>
      <c r="AX390">
        <v>4.4000000000000004</v>
      </c>
      <c r="AY390">
        <v>3.4</v>
      </c>
      <c r="AZ390">
        <v>3.5</v>
      </c>
      <c r="BA390">
        <v>3.5</v>
      </c>
      <c r="BB390">
        <v>4.3</v>
      </c>
      <c r="BC390">
        <v>3.7</v>
      </c>
      <c r="BD390">
        <v>3.5</v>
      </c>
      <c r="BE390">
        <v>3.7</v>
      </c>
      <c r="BF390">
        <v>4.7</v>
      </c>
      <c r="BG390">
        <v>3.1</v>
      </c>
      <c r="BH390">
        <v>2.7</v>
      </c>
      <c r="BI390">
        <v>3.1</v>
      </c>
      <c r="BJ390" t="s">
        <v>911</v>
      </c>
      <c r="BK390" t="s">
        <v>159</v>
      </c>
      <c r="BL390"/>
      <c r="BM390" t="s">
        <v>870</v>
      </c>
      <c r="BN390" s="36">
        <v>19561</v>
      </c>
      <c r="BO390"/>
      <c r="BP390"/>
      <c r="BQ390"/>
      <c r="BR390"/>
    </row>
    <row r="391" spans="1:70" s="9" customFormat="1">
      <c r="A391" t="s">
        <v>908</v>
      </c>
      <c r="B391"/>
      <c r="C391" t="s">
        <v>10</v>
      </c>
      <c r="D391" t="s">
        <v>11</v>
      </c>
      <c r="E391" t="s">
        <v>473</v>
      </c>
      <c r="F391"/>
      <c r="G391" t="s">
        <v>89</v>
      </c>
      <c r="H391" t="s">
        <v>777</v>
      </c>
      <c r="I391" t="s">
        <v>89</v>
      </c>
      <c r="J391" t="s">
        <v>777</v>
      </c>
      <c r="K391"/>
      <c r="L391"/>
      <c r="M391"/>
      <c r="N391"/>
      <c r="O391"/>
      <c r="P391"/>
      <c r="Q391"/>
      <c r="R391"/>
      <c r="S391"/>
      <c r="T391"/>
      <c r="U391"/>
      <c r="V391">
        <v>4.2</v>
      </c>
      <c r="W391"/>
      <c r="X391"/>
      <c r="Y391">
        <v>5.3</v>
      </c>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t="s">
        <v>886</v>
      </c>
      <c r="BK391" t="s">
        <v>159</v>
      </c>
      <c r="BL391"/>
      <c r="BM391" t="s">
        <v>870</v>
      </c>
      <c r="BN391" s="36">
        <v>19561</v>
      </c>
      <c r="BO391"/>
      <c r="BP391"/>
      <c r="BQ391"/>
      <c r="BR391"/>
    </row>
    <row r="392" spans="1:70" s="9" customFormat="1">
      <c r="A392" t="s">
        <v>909</v>
      </c>
      <c r="B392"/>
      <c r="C392" t="s">
        <v>10</v>
      </c>
      <c r="D392" t="s">
        <v>11</v>
      </c>
      <c r="E392" t="s">
        <v>473</v>
      </c>
      <c r="F392"/>
      <c r="G392" t="s">
        <v>89</v>
      </c>
      <c r="H392" t="s">
        <v>777</v>
      </c>
      <c r="I392" t="s">
        <v>89</v>
      </c>
      <c r="J392" t="s">
        <v>777</v>
      </c>
      <c r="K392"/>
      <c r="L392"/>
      <c r="M392"/>
      <c r="N392"/>
      <c r="O392"/>
      <c r="P392"/>
      <c r="Q392"/>
      <c r="R392"/>
      <c r="S392"/>
      <c r="T392"/>
      <c r="U392"/>
      <c r="V392">
        <v>4.4000000000000004</v>
      </c>
      <c r="W392"/>
      <c r="X392"/>
      <c r="Y392">
        <v>5.6</v>
      </c>
      <c r="Z392">
        <v>4.5999999999999996</v>
      </c>
      <c r="AA392"/>
      <c r="AB392">
        <v>6.1</v>
      </c>
      <c r="AC392">
        <v>6.1</v>
      </c>
      <c r="AD392">
        <v>4.3</v>
      </c>
      <c r="AE392">
        <v>7.2</v>
      </c>
      <c r="AF392">
        <v>7.2</v>
      </c>
      <c r="AG392">
        <v>7.2</v>
      </c>
      <c r="AH392">
        <v>3.1</v>
      </c>
      <c r="AI392">
        <v>6</v>
      </c>
      <c r="AJ392">
        <v>5</v>
      </c>
      <c r="AK392">
        <v>6</v>
      </c>
      <c r="AL392"/>
      <c r="AM392"/>
      <c r="AN392"/>
      <c r="AO392"/>
      <c r="AP392"/>
      <c r="AQ392"/>
      <c r="AR392"/>
      <c r="AS392"/>
      <c r="AT392"/>
      <c r="AU392"/>
      <c r="AV392"/>
      <c r="AW392"/>
      <c r="AX392"/>
      <c r="AY392"/>
      <c r="AZ392"/>
      <c r="BA392"/>
      <c r="BB392"/>
      <c r="BC392"/>
      <c r="BD392"/>
      <c r="BE392"/>
      <c r="BF392"/>
      <c r="BG392"/>
      <c r="BH392"/>
      <c r="BI392"/>
      <c r="BJ392" t="s">
        <v>886</v>
      </c>
      <c r="BK392" t="s">
        <v>159</v>
      </c>
      <c r="BL392"/>
      <c r="BM392" t="s">
        <v>870</v>
      </c>
      <c r="BN392" s="36">
        <v>19561</v>
      </c>
      <c r="BO392"/>
      <c r="BP392"/>
      <c r="BQ392"/>
      <c r="BR392"/>
    </row>
    <row r="393" spans="1:70" s="9" customFormat="1">
      <c r="A393" t="s">
        <v>912</v>
      </c>
      <c r="B393"/>
      <c r="C393" t="s">
        <v>10</v>
      </c>
      <c r="D393" t="s">
        <v>11</v>
      </c>
      <c r="E393" t="s">
        <v>473</v>
      </c>
      <c r="F393"/>
      <c r="G393" t="s">
        <v>89</v>
      </c>
      <c r="H393" t="s">
        <v>777</v>
      </c>
      <c r="I393" t="s">
        <v>89</v>
      </c>
      <c r="J393" t="s">
        <v>777</v>
      </c>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v>4.4000000000000004</v>
      </c>
      <c r="BC393">
        <v>3.5</v>
      </c>
      <c r="BD393">
        <v>3.2</v>
      </c>
      <c r="BE393">
        <v>3.5</v>
      </c>
      <c r="BF393">
        <v>4.5999999999999996</v>
      </c>
      <c r="BG393">
        <v>3.1</v>
      </c>
      <c r="BH393">
        <v>2.6</v>
      </c>
      <c r="BI393">
        <v>3.1</v>
      </c>
      <c r="BJ393" t="s">
        <v>913</v>
      </c>
      <c r="BK393" t="s">
        <v>159</v>
      </c>
      <c r="BL393"/>
      <c r="BM393" t="s">
        <v>870</v>
      </c>
      <c r="BN393" s="36">
        <v>19561</v>
      </c>
      <c r="BO393"/>
      <c r="BP393"/>
      <c r="BQ393"/>
      <c r="BR393"/>
    </row>
    <row r="394" spans="1:70" s="9" customFormat="1">
      <c r="A394" t="s">
        <v>869</v>
      </c>
      <c r="B394"/>
      <c r="C394" t="s">
        <v>483</v>
      </c>
      <c r="D394"/>
      <c r="E394"/>
      <c r="F394"/>
      <c r="G394" t="s">
        <v>474</v>
      </c>
      <c r="H394" t="s">
        <v>714</v>
      </c>
      <c r="I394" t="s">
        <v>474</v>
      </c>
      <c r="J394" t="s">
        <v>714</v>
      </c>
      <c r="K394"/>
      <c r="L394"/>
      <c r="M394"/>
      <c r="N394"/>
      <c r="O394"/>
      <c r="P394"/>
      <c r="Q394"/>
      <c r="R394"/>
      <c r="S394"/>
      <c r="T394"/>
      <c r="U394"/>
      <c r="V394"/>
      <c r="W394"/>
      <c r="X394"/>
      <c r="Y394"/>
      <c r="Z394">
        <v>4.05</v>
      </c>
      <c r="AA394">
        <v>4.3</v>
      </c>
      <c r="AB394">
        <v>4.6500000000000004</v>
      </c>
      <c r="AC394">
        <v>4.6500000000000004</v>
      </c>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t="s">
        <v>159</v>
      </c>
      <c r="BL394"/>
      <c r="BM394" t="s">
        <v>870</v>
      </c>
      <c r="BN394" s="36">
        <v>19561</v>
      </c>
      <c r="BO394"/>
      <c r="BP394"/>
      <c r="BQ394"/>
      <c r="BR394"/>
    </row>
    <row r="395" spans="1:70" s="9" customFormat="1">
      <c r="A395" t="s">
        <v>876</v>
      </c>
      <c r="B395"/>
      <c r="C395" t="s">
        <v>483</v>
      </c>
      <c r="D395"/>
      <c r="E395"/>
      <c r="F395"/>
      <c r="G395" t="s">
        <v>474</v>
      </c>
      <c r="H395" t="s">
        <v>714</v>
      </c>
      <c r="I395" t="s">
        <v>474</v>
      </c>
      <c r="J395" t="s">
        <v>714</v>
      </c>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v>2.85</v>
      </c>
      <c r="BA395">
        <v>2.85</v>
      </c>
      <c r="BB395">
        <v>3.7</v>
      </c>
      <c r="BC395">
        <v>3.18</v>
      </c>
      <c r="BD395">
        <v>2.98</v>
      </c>
      <c r="BE395">
        <v>3.18</v>
      </c>
      <c r="BF395">
        <v>4.3499999999999996</v>
      </c>
      <c r="BG395">
        <v>2.9</v>
      </c>
      <c r="BH395">
        <v>2.46</v>
      </c>
      <c r="BI395">
        <v>2.9</v>
      </c>
      <c r="BJ395"/>
      <c r="BK395" t="s">
        <v>159</v>
      </c>
      <c r="BL395"/>
      <c r="BM395" t="s">
        <v>870</v>
      </c>
      <c r="BN395" s="36">
        <v>19561</v>
      </c>
      <c r="BO395"/>
      <c r="BP395"/>
      <c r="BQ395"/>
      <c r="BR395"/>
    </row>
    <row r="396" spans="1:70" s="9" customFormat="1">
      <c r="A396" t="s">
        <v>871</v>
      </c>
      <c r="B396"/>
      <c r="C396" t="s">
        <v>483</v>
      </c>
      <c r="D396"/>
      <c r="E396"/>
      <c r="F396"/>
      <c r="G396" t="s">
        <v>474</v>
      </c>
      <c r="H396" t="s">
        <v>714</v>
      </c>
      <c r="I396" t="s">
        <v>474</v>
      </c>
      <c r="J396" t="s">
        <v>714</v>
      </c>
      <c r="K396"/>
      <c r="L396"/>
      <c r="M396"/>
      <c r="N396"/>
      <c r="O396"/>
      <c r="P396"/>
      <c r="Q396"/>
      <c r="R396"/>
      <c r="S396"/>
      <c r="T396"/>
      <c r="U396"/>
      <c r="V396"/>
      <c r="W396"/>
      <c r="X396"/>
      <c r="Y396"/>
      <c r="Z396">
        <v>3.8</v>
      </c>
      <c r="AA396">
        <v>4.55</v>
      </c>
      <c r="AB396">
        <v>4.5999999999999996</v>
      </c>
      <c r="AC396">
        <v>4.5999999999999996</v>
      </c>
      <c r="AD396">
        <v>4.33</v>
      </c>
      <c r="AE396">
        <v>5.52</v>
      </c>
      <c r="AF396">
        <v>5.55</v>
      </c>
      <c r="AG396">
        <v>5.55</v>
      </c>
      <c r="AH396"/>
      <c r="AI396"/>
      <c r="AJ396"/>
      <c r="AK396"/>
      <c r="AL396"/>
      <c r="AM396"/>
      <c r="AN396"/>
      <c r="AO396"/>
      <c r="AP396"/>
      <c r="AQ396"/>
      <c r="AR396"/>
      <c r="AS396"/>
      <c r="AT396"/>
      <c r="AU396"/>
      <c r="AV396"/>
      <c r="AW396"/>
      <c r="AX396"/>
      <c r="AY396"/>
      <c r="AZ396"/>
      <c r="BA396"/>
      <c r="BB396"/>
      <c r="BC396"/>
      <c r="BD396"/>
      <c r="BE396"/>
      <c r="BF396"/>
      <c r="BG396"/>
      <c r="BH396"/>
      <c r="BI396"/>
      <c r="BJ396" t="s">
        <v>200</v>
      </c>
      <c r="BK396" t="s">
        <v>159</v>
      </c>
      <c r="BL396"/>
      <c r="BM396" t="s">
        <v>870</v>
      </c>
      <c r="BN396" s="36">
        <v>19561</v>
      </c>
      <c r="BO396" t="s">
        <v>362</v>
      </c>
      <c r="BP396" t="s">
        <v>870</v>
      </c>
      <c r="BQ396"/>
      <c r="BR396"/>
    </row>
    <row r="397" spans="1:70" s="9" customFormat="1">
      <c r="A397" t="s">
        <v>877</v>
      </c>
      <c r="B397"/>
      <c r="C397" t="s">
        <v>483</v>
      </c>
      <c r="D397"/>
      <c r="E397"/>
      <c r="F397"/>
      <c r="G397" t="s">
        <v>474</v>
      </c>
      <c r="H397" t="s">
        <v>714</v>
      </c>
      <c r="I397" t="s">
        <v>474</v>
      </c>
      <c r="J397" t="s">
        <v>714</v>
      </c>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v>3.5</v>
      </c>
      <c r="AY397">
        <v>2.4</v>
      </c>
      <c r="AZ397">
        <v>2.4700000000000002</v>
      </c>
      <c r="BA397">
        <v>2.4700000000000002</v>
      </c>
      <c r="BB397"/>
      <c r="BC397"/>
      <c r="BD397"/>
      <c r="BE397"/>
      <c r="BF397"/>
      <c r="BG397"/>
      <c r="BH397"/>
      <c r="BI397"/>
      <c r="BJ397"/>
      <c r="BK397" t="s">
        <v>159</v>
      </c>
      <c r="BL397"/>
      <c r="BM397" t="s">
        <v>870</v>
      </c>
      <c r="BN397" s="36">
        <v>19561</v>
      </c>
      <c r="BO397"/>
      <c r="BP397"/>
      <c r="BQ397"/>
      <c r="BR397"/>
    </row>
    <row r="398" spans="1:70" s="9" customFormat="1">
      <c r="A398" t="s">
        <v>878</v>
      </c>
      <c r="B398"/>
      <c r="C398" t="s">
        <v>483</v>
      </c>
      <c r="D398"/>
      <c r="E398"/>
      <c r="F398"/>
      <c r="G398" t="s">
        <v>474</v>
      </c>
      <c r="H398" t="s">
        <v>714</v>
      </c>
      <c r="I398" t="s">
        <v>474</v>
      </c>
      <c r="J398" t="s">
        <v>714</v>
      </c>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v>3.84</v>
      </c>
      <c r="AY398">
        <v>2.57</v>
      </c>
      <c r="AZ398">
        <v>2.86</v>
      </c>
      <c r="BA398">
        <v>2.86</v>
      </c>
      <c r="BB398"/>
      <c r="BC398"/>
      <c r="BD398"/>
      <c r="BE398"/>
      <c r="BF398"/>
      <c r="BG398"/>
      <c r="BH398"/>
      <c r="BI398"/>
      <c r="BJ398"/>
      <c r="BK398" t="s">
        <v>159</v>
      </c>
      <c r="BL398"/>
      <c r="BM398" t="s">
        <v>870</v>
      </c>
      <c r="BN398" s="36">
        <v>19561</v>
      </c>
      <c r="BO398"/>
      <c r="BP398"/>
      <c r="BQ398"/>
      <c r="BR398"/>
    </row>
    <row r="399" spans="1:70" s="9" customFormat="1">
      <c r="A399" t="s">
        <v>879</v>
      </c>
      <c r="B399"/>
      <c r="C399" t="s">
        <v>483</v>
      </c>
      <c r="D399"/>
      <c r="E399"/>
      <c r="F399"/>
      <c r="G399" t="s">
        <v>474</v>
      </c>
      <c r="H399" t="s">
        <v>714</v>
      </c>
      <c r="I399" t="s">
        <v>474</v>
      </c>
      <c r="J399" t="s">
        <v>714</v>
      </c>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v>4.05</v>
      </c>
      <c r="BC399">
        <v>3.2</v>
      </c>
      <c r="BD399">
        <v>3.2</v>
      </c>
      <c r="BE399">
        <v>3.2</v>
      </c>
      <c r="BF399"/>
      <c r="BG399"/>
      <c r="BH399"/>
      <c r="BI399"/>
      <c r="BJ399"/>
      <c r="BK399" t="s">
        <v>159</v>
      </c>
      <c r="BL399"/>
      <c r="BM399" t="s">
        <v>870</v>
      </c>
      <c r="BN399" s="36">
        <v>19561</v>
      </c>
      <c r="BO399"/>
      <c r="BP399"/>
      <c r="BQ399"/>
      <c r="BR399"/>
    </row>
    <row r="400" spans="1:70" s="9" customFormat="1">
      <c r="A400" t="s">
        <v>880</v>
      </c>
      <c r="B400"/>
      <c r="C400" t="s">
        <v>483</v>
      </c>
      <c r="D400"/>
      <c r="E400"/>
      <c r="F400"/>
      <c r="G400" t="s">
        <v>474</v>
      </c>
      <c r="H400" t="s">
        <v>714</v>
      </c>
      <c r="I400" t="s">
        <v>474</v>
      </c>
      <c r="J400" t="s">
        <v>714</v>
      </c>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v>3.62</v>
      </c>
      <c r="AY400">
        <v>2.5299999999999998</v>
      </c>
      <c r="AZ400">
        <v>2.75</v>
      </c>
      <c r="BA400">
        <v>2.75</v>
      </c>
      <c r="BB400">
        <v>4.0599999999999996</v>
      </c>
      <c r="BC400">
        <v>3.07</v>
      </c>
      <c r="BD400"/>
      <c r="BE400">
        <v>3.07</v>
      </c>
      <c r="BF400"/>
      <c r="BG400"/>
      <c r="BH400"/>
      <c r="BI400"/>
      <c r="BJ400" t="s">
        <v>881</v>
      </c>
      <c r="BK400" t="s">
        <v>159</v>
      </c>
      <c r="BL400"/>
      <c r="BM400" t="s">
        <v>870</v>
      </c>
      <c r="BN400" s="36">
        <v>19561</v>
      </c>
      <c r="BO400"/>
      <c r="BP400"/>
      <c r="BQ400"/>
      <c r="BR400"/>
    </row>
    <row r="401" spans="1:70" s="9" customFormat="1">
      <c r="A401" t="s">
        <v>882</v>
      </c>
      <c r="B401"/>
      <c r="C401" t="s">
        <v>483</v>
      </c>
      <c r="D401"/>
      <c r="E401"/>
      <c r="F401"/>
      <c r="G401" t="s">
        <v>474</v>
      </c>
      <c r="H401" t="s">
        <v>714</v>
      </c>
      <c r="I401" t="s">
        <v>474</v>
      </c>
      <c r="J401" t="s">
        <v>714</v>
      </c>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v>2.78</v>
      </c>
      <c r="BA401">
        <v>2.78</v>
      </c>
      <c r="BB401">
        <v>4.0999999999999996</v>
      </c>
      <c r="BC401">
        <v>3</v>
      </c>
      <c r="BD401">
        <v>2.98</v>
      </c>
      <c r="BE401">
        <v>3</v>
      </c>
      <c r="BF401"/>
      <c r="BG401"/>
      <c r="BH401"/>
      <c r="BI401"/>
      <c r="BJ401"/>
      <c r="BK401" t="s">
        <v>159</v>
      </c>
      <c r="BL401"/>
      <c r="BM401" t="s">
        <v>870</v>
      </c>
      <c r="BN401" s="36">
        <v>19561</v>
      </c>
      <c r="BO401"/>
      <c r="BP401"/>
      <c r="BQ401"/>
      <c r="BR401"/>
    </row>
    <row r="402" spans="1:70" s="9" customFormat="1">
      <c r="A402" t="s">
        <v>883</v>
      </c>
      <c r="B402"/>
      <c r="C402" t="s">
        <v>483</v>
      </c>
      <c r="D402"/>
      <c r="E402"/>
      <c r="F402"/>
      <c r="G402" t="s">
        <v>474</v>
      </c>
      <c r="H402" t="s">
        <v>714</v>
      </c>
      <c r="I402" t="s">
        <v>474</v>
      </c>
      <c r="J402" t="s">
        <v>714</v>
      </c>
      <c r="K402"/>
      <c r="L402"/>
      <c r="M402"/>
      <c r="N402"/>
      <c r="O402"/>
      <c r="P402"/>
      <c r="Q402"/>
      <c r="R402"/>
      <c r="S402"/>
      <c r="T402"/>
      <c r="U402"/>
      <c r="V402"/>
      <c r="W402"/>
      <c r="X402"/>
      <c r="Y402"/>
      <c r="Z402"/>
      <c r="AA402"/>
      <c r="AB402"/>
      <c r="AC402"/>
      <c r="AD402"/>
      <c r="AE402"/>
      <c r="AF402"/>
      <c r="AG402"/>
      <c r="AH402"/>
      <c r="AI402"/>
      <c r="AJ402"/>
      <c r="AK402"/>
      <c r="AL402"/>
      <c r="AM402"/>
      <c r="AN402"/>
      <c r="AO402"/>
      <c r="AP402">
        <v>3</v>
      </c>
      <c r="AQ402"/>
      <c r="AR402"/>
      <c r="AS402">
        <v>1.65</v>
      </c>
      <c r="AT402">
        <v>3.15</v>
      </c>
      <c r="AU402"/>
      <c r="AV402"/>
      <c r="AW402">
        <v>1.97</v>
      </c>
      <c r="AX402">
        <v>3.58</v>
      </c>
      <c r="AY402">
        <v>2.5499999999999998</v>
      </c>
      <c r="AZ402">
        <v>2.7</v>
      </c>
      <c r="BA402">
        <v>2.7</v>
      </c>
      <c r="BB402">
        <v>3.91</v>
      </c>
      <c r="BC402">
        <v>3.2</v>
      </c>
      <c r="BD402">
        <v>3.13</v>
      </c>
      <c r="BE402">
        <v>3.2</v>
      </c>
      <c r="BF402">
        <v>4.45</v>
      </c>
      <c r="BG402">
        <v>2.9</v>
      </c>
      <c r="BH402">
        <v>2.5</v>
      </c>
      <c r="BI402">
        <v>2.9</v>
      </c>
      <c r="BJ402" t="s">
        <v>886</v>
      </c>
      <c r="BK402" t="s">
        <v>159</v>
      </c>
      <c r="BL402"/>
      <c r="BM402" t="s">
        <v>870</v>
      </c>
      <c r="BN402" s="36">
        <v>19561</v>
      </c>
      <c r="BO402"/>
      <c r="BP402"/>
      <c r="BQ402"/>
      <c r="BR402"/>
    </row>
    <row r="403" spans="1:70" s="9" customFormat="1">
      <c r="A403" t="s">
        <v>884</v>
      </c>
      <c r="B403"/>
      <c r="C403" t="s">
        <v>483</v>
      </c>
      <c r="D403"/>
      <c r="E403"/>
      <c r="F403"/>
      <c r="G403" t="s">
        <v>474</v>
      </c>
      <c r="H403" t="s">
        <v>714</v>
      </c>
      <c r="I403" t="s">
        <v>474</v>
      </c>
      <c r="J403" t="s">
        <v>714</v>
      </c>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v>3.97</v>
      </c>
      <c r="BC403">
        <v>3.05</v>
      </c>
      <c r="BD403">
        <v>3.13</v>
      </c>
      <c r="BE403">
        <v>3.13</v>
      </c>
      <c r="BF403"/>
      <c r="BG403"/>
      <c r="BH403"/>
      <c r="BI403"/>
      <c r="BJ403"/>
      <c r="BK403" t="s">
        <v>159</v>
      </c>
      <c r="BL403"/>
      <c r="BM403" t="s">
        <v>870</v>
      </c>
      <c r="BN403" s="36">
        <v>19561</v>
      </c>
      <c r="BO403"/>
      <c r="BP403"/>
      <c r="BQ403"/>
      <c r="BR403"/>
    </row>
    <row r="404" spans="1:70" s="9" customFormat="1">
      <c r="A404" t="s">
        <v>885</v>
      </c>
      <c r="B404"/>
      <c r="C404" t="s">
        <v>483</v>
      </c>
      <c r="D404"/>
      <c r="E404"/>
      <c r="F404"/>
      <c r="G404" t="s">
        <v>474</v>
      </c>
      <c r="H404" t="s">
        <v>714</v>
      </c>
      <c r="I404" t="s">
        <v>474</v>
      </c>
      <c r="J404" t="s">
        <v>714</v>
      </c>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v>3.38</v>
      </c>
      <c r="AU404"/>
      <c r="AV404"/>
      <c r="AW404">
        <v>2.06</v>
      </c>
      <c r="AX404">
        <v>3.55</v>
      </c>
      <c r="AY404">
        <v>2.6</v>
      </c>
      <c r="AZ404">
        <v>2.9</v>
      </c>
      <c r="BA404">
        <v>2.9</v>
      </c>
      <c r="BB404">
        <v>3.75</v>
      </c>
      <c r="BC404">
        <v>3.18</v>
      </c>
      <c r="BD404">
        <v>3.28</v>
      </c>
      <c r="BE404">
        <v>3.28</v>
      </c>
      <c r="BF404">
        <v>4.32</v>
      </c>
      <c r="BG404">
        <v>2.95</v>
      </c>
      <c r="BH404">
        <v>2.5499999999999998</v>
      </c>
      <c r="BI404">
        <v>2.95</v>
      </c>
      <c r="BJ404"/>
      <c r="BK404" t="s">
        <v>159</v>
      </c>
      <c r="BL404"/>
      <c r="BM404" t="s">
        <v>870</v>
      </c>
      <c r="BN404" s="36">
        <v>19561</v>
      </c>
      <c r="BO404"/>
      <c r="BP404"/>
      <c r="BQ404"/>
      <c r="BR404"/>
    </row>
    <row r="405" spans="1:70" s="9" customFormat="1">
      <c r="A405" t="s">
        <v>887</v>
      </c>
      <c r="B405"/>
      <c r="C405" t="s">
        <v>483</v>
      </c>
      <c r="D405"/>
      <c r="E405"/>
      <c r="F405"/>
      <c r="G405" t="s">
        <v>474</v>
      </c>
      <c r="H405" t="s">
        <v>714</v>
      </c>
      <c r="I405" t="s">
        <v>474</v>
      </c>
      <c r="J405" t="s">
        <v>714</v>
      </c>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v>3.52</v>
      </c>
      <c r="AY405">
        <v>2.59</v>
      </c>
      <c r="AZ405">
        <v>2.79</v>
      </c>
      <c r="BA405">
        <v>2.79</v>
      </c>
      <c r="BB405">
        <v>3.55</v>
      </c>
      <c r="BC405">
        <v>2.97</v>
      </c>
      <c r="BD405">
        <v>2.9</v>
      </c>
      <c r="BE405">
        <v>2.97</v>
      </c>
      <c r="BF405">
        <v>3.8</v>
      </c>
      <c r="BG405">
        <v>2.48</v>
      </c>
      <c r="BH405">
        <v>2.2000000000000002</v>
      </c>
      <c r="BI405">
        <v>2.48</v>
      </c>
      <c r="BJ405"/>
      <c r="BK405" t="s">
        <v>159</v>
      </c>
      <c r="BL405"/>
      <c r="BM405" t="s">
        <v>870</v>
      </c>
      <c r="BN405" s="36">
        <v>19561</v>
      </c>
      <c r="BO405" t="s">
        <v>362</v>
      </c>
      <c r="BP405" t="s">
        <v>870</v>
      </c>
      <c r="BQ405"/>
      <c r="BR405"/>
    </row>
    <row r="406" spans="1:70" s="9" customFormat="1">
      <c r="A406" t="s">
        <v>888</v>
      </c>
      <c r="B406"/>
      <c r="C406" t="s">
        <v>483</v>
      </c>
      <c r="D406"/>
      <c r="E406"/>
      <c r="F406"/>
      <c r="G406" t="s">
        <v>474</v>
      </c>
      <c r="H406" t="s">
        <v>714</v>
      </c>
      <c r="I406" t="s">
        <v>474</v>
      </c>
      <c r="J406" t="s">
        <v>714</v>
      </c>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v>3.58</v>
      </c>
      <c r="AY406">
        <v>2.35</v>
      </c>
      <c r="AZ406">
        <v>2.64</v>
      </c>
      <c r="BA406">
        <v>2.64</v>
      </c>
      <c r="BB406"/>
      <c r="BC406"/>
      <c r="BD406"/>
      <c r="BE406"/>
      <c r="BF406"/>
      <c r="BG406"/>
      <c r="BH406"/>
      <c r="BI406"/>
      <c r="BJ406"/>
      <c r="BK406" t="s">
        <v>159</v>
      </c>
      <c r="BL406"/>
      <c r="BM406" t="s">
        <v>870</v>
      </c>
      <c r="BN406" s="36">
        <v>19561</v>
      </c>
      <c r="BO406"/>
      <c r="BP406"/>
      <c r="BQ406"/>
      <c r="BR406"/>
    </row>
    <row r="407" spans="1:70" s="9" customFormat="1">
      <c r="A407" t="s">
        <v>889</v>
      </c>
      <c r="B407"/>
      <c r="C407" t="s">
        <v>483</v>
      </c>
      <c r="D407"/>
      <c r="E407"/>
      <c r="F407"/>
      <c r="G407" t="s">
        <v>474</v>
      </c>
      <c r="H407" t="s">
        <v>714</v>
      </c>
      <c r="I407" t="s">
        <v>474</v>
      </c>
      <c r="J407" t="s">
        <v>714</v>
      </c>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v>4.2</v>
      </c>
      <c r="BG407">
        <v>2.61</v>
      </c>
      <c r="BH407">
        <v>2.2999999999999998</v>
      </c>
      <c r="BI407">
        <v>2.61</v>
      </c>
      <c r="BJ407"/>
      <c r="BK407" s="3" t="s">
        <v>159</v>
      </c>
      <c r="BL407" s="3"/>
      <c r="BM407" t="s">
        <v>870</v>
      </c>
      <c r="BN407" s="36">
        <v>19561</v>
      </c>
      <c r="BO407"/>
      <c r="BP407"/>
      <c r="BQ407"/>
      <c r="BR407"/>
    </row>
    <row r="408" spans="1:70" s="9" customFormat="1">
      <c r="A408" t="s">
        <v>890</v>
      </c>
      <c r="B408"/>
      <c r="C408" t="s">
        <v>483</v>
      </c>
      <c r="D408"/>
      <c r="E408"/>
      <c r="F408"/>
      <c r="G408" t="s">
        <v>474</v>
      </c>
      <c r="H408" t="s">
        <v>714</v>
      </c>
      <c r="I408" t="s">
        <v>474</v>
      </c>
      <c r="J408" t="s">
        <v>714</v>
      </c>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v>3.6</v>
      </c>
      <c r="AY408">
        <v>2.54</v>
      </c>
      <c r="AZ408">
        <v>2.82</v>
      </c>
      <c r="BA408">
        <v>2.82</v>
      </c>
      <c r="BB408">
        <v>3.68</v>
      </c>
      <c r="BC408">
        <v>3</v>
      </c>
      <c r="BD408">
        <v>3</v>
      </c>
      <c r="BE408">
        <v>3</v>
      </c>
      <c r="BF408">
        <v>4.33</v>
      </c>
      <c r="BG408">
        <v>2.68</v>
      </c>
      <c r="BH408">
        <v>2.35</v>
      </c>
      <c r="BI408">
        <v>2.68</v>
      </c>
      <c r="BJ408"/>
      <c r="BK408" t="s">
        <v>159</v>
      </c>
      <c r="BL408"/>
      <c r="BM408" t="s">
        <v>870</v>
      </c>
      <c r="BN408" s="36">
        <v>19561</v>
      </c>
      <c r="BO408"/>
      <c r="BP408"/>
      <c r="BQ408"/>
      <c r="BR408"/>
    </row>
    <row r="409" spans="1:70" s="9" customFormat="1">
      <c r="A409" t="s">
        <v>891</v>
      </c>
      <c r="B409"/>
      <c r="C409" t="s">
        <v>483</v>
      </c>
      <c r="D409"/>
      <c r="E409"/>
      <c r="F409"/>
      <c r="G409" t="s">
        <v>474</v>
      </c>
      <c r="H409" t="s">
        <v>714</v>
      </c>
      <c r="I409" t="s">
        <v>474</v>
      </c>
      <c r="J409" t="s">
        <v>714</v>
      </c>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v>3.9</v>
      </c>
      <c r="BG409">
        <v>2.5</v>
      </c>
      <c r="BH409"/>
      <c r="BI409">
        <v>2.5</v>
      </c>
      <c r="BJ409"/>
      <c r="BK409" t="s">
        <v>159</v>
      </c>
      <c r="BL409"/>
      <c r="BM409" t="s">
        <v>870</v>
      </c>
      <c r="BN409" s="36">
        <v>19561</v>
      </c>
      <c r="BO409"/>
      <c r="BP409"/>
      <c r="BQ409"/>
      <c r="BR409"/>
    </row>
    <row r="410" spans="1:70" s="9" customFormat="1">
      <c r="A410" t="s">
        <v>892</v>
      </c>
      <c r="B410"/>
      <c r="C410" t="s">
        <v>483</v>
      </c>
      <c r="D410"/>
      <c r="E410"/>
      <c r="F410"/>
      <c r="G410" t="s">
        <v>474</v>
      </c>
      <c r="H410" t="s">
        <v>714</v>
      </c>
      <c r="I410" t="s">
        <v>474</v>
      </c>
      <c r="J410" t="s">
        <v>714</v>
      </c>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v>3.35</v>
      </c>
      <c r="AU410">
        <v>2.08</v>
      </c>
      <c r="AV410"/>
      <c r="AW410">
        <v>2.08</v>
      </c>
      <c r="AX410"/>
      <c r="AY410"/>
      <c r="AZ410">
        <v>2.83</v>
      </c>
      <c r="BA410">
        <v>2.83</v>
      </c>
      <c r="BB410">
        <v>3.95</v>
      </c>
      <c r="BC410">
        <v>3.05</v>
      </c>
      <c r="BD410">
        <v>3.18</v>
      </c>
      <c r="BE410">
        <v>3.18</v>
      </c>
      <c r="BF410">
        <v>4.3499999999999996</v>
      </c>
      <c r="BG410">
        <v>2.7</v>
      </c>
      <c r="BH410">
        <v>2.4</v>
      </c>
      <c r="BI410">
        <v>2.7</v>
      </c>
      <c r="BJ410" t="s">
        <v>894</v>
      </c>
      <c r="BK410" t="s">
        <v>159</v>
      </c>
      <c r="BL410"/>
      <c r="BM410" t="s">
        <v>870</v>
      </c>
      <c r="BN410" s="36">
        <v>19561</v>
      </c>
      <c r="BO410"/>
      <c r="BP410"/>
      <c r="BQ410"/>
      <c r="BR410"/>
    </row>
    <row r="411" spans="1:70" s="9" customFormat="1">
      <c r="A411" t="s">
        <v>893</v>
      </c>
      <c r="B411"/>
      <c r="C411" t="s">
        <v>483</v>
      </c>
      <c r="D411"/>
      <c r="E411"/>
      <c r="F411"/>
      <c r="G411" t="s">
        <v>474</v>
      </c>
      <c r="H411" t="s">
        <v>714</v>
      </c>
      <c r="I411" t="s">
        <v>474</v>
      </c>
      <c r="J411" t="s">
        <v>714</v>
      </c>
      <c r="K411"/>
      <c r="L411"/>
      <c r="M411"/>
      <c r="N411"/>
      <c r="O411"/>
      <c r="P411"/>
      <c r="Q411"/>
      <c r="R411"/>
      <c r="S411"/>
      <c r="T411"/>
      <c r="U411"/>
      <c r="V411"/>
      <c r="W411"/>
      <c r="X411"/>
      <c r="Y411"/>
      <c r="Z411"/>
      <c r="AA411"/>
      <c r="AB411"/>
      <c r="AC411"/>
      <c r="AD411"/>
      <c r="AE411"/>
      <c r="AF411"/>
      <c r="AG411"/>
      <c r="AH411"/>
      <c r="AI411"/>
      <c r="AJ411"/>
      <c r="AK411"/>
      <c r="AL411">
        <v>2.35</v>
      </c>
      <c r="AM411"/>
      <c r="AN411"/>
      <c r="AO411">
        <v>1.3</v>
      </c>
      <c r="AP411"/>
      <c r="AQ411"/>
      <c r="AR411"/>
      <c r="AS411"/>
      <c r="AT411"/>
      <c r="AU411"/>
      <c r="AV411"/>
      <c r="AW411">
        <v>1.85</v>
      </c>
      <c r="AX411"/>
      <c r="AY411"/>
      <c r="AZ411">
        <v>2.65</v>
      </c>
      <c r="BA411">
        <v>2.65</v>
      </c>
      <c r="BB411">
        <v>3.47</v>
      </c>
      <c r="BC411">
        <v>2.9</v>
      </c>
      <c r="BD411">
        <v>3</v>
      </c>
      <c r="BE411">
        <v>3</v>
      </c>
      <c r="BF411">
        <v>3.75</v>
      </c>
      <c r="BG411">
        <v>2.54</v>
      </c>
      <c r="BH411">
        <v>2.25</v>
      </c>
      <c r="BI411">
        <v>2.54</v>
      </c>
      <c r="BJ411"/>
      <c r="BK411" t="s">
        <v>159</v>
      </c>
      <c r="BL411"/>
      <c r="BM411" t="s">
        <v>870</v>
      </c>
      <c r="BN411" s="36">
        <v>19561</v>
      </c>
      <c r="BO411"/>
      <c r="BP411"/>
      <c r="BQ411"/>
      <c r="BR411"/>
    </row>
    <row r="412" spans="1:70" s="9" customFormat="1">
      <c r="A412" t="s">
        <v>895</v>
      </c>
      <c r="B412"/>
      <c r="C412" t="s">
        <v>483</v>
      </c>
      <c r="D412"/>
      <c r="E412"/>
      <c r="F412"/>
      <c r="G412" t="s">
        <v>474</v>
      </c>
      <c r="H412" t="s">
        <v>714</v>
      </c>
      <c r="I412" t="s">
        <v>474</v>
      </c>
      <c r="J412" t="s">
        <v>714</v>
      </c>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v>3.55</v>
      </c>
      <c r="AU412"/>
      <c r="AV412"/>
      <c r="AW412">
        <v>2.15</v>
      </c>
      <c r="AX412">
        <v>3.85</v>
      </c>
      <c r="AY412">
        <v>2.68</v>
      </c>
      <c r="AZ412">
        <v>2.84</v>
      </c>
      <c r="BA412">
        <v>2.84</v>
      </c>
      <c r="BB412"/>
      <c r="BC412"/>
      <c r="BD412"/>
      <c r="BE412"/>
      <c r="BF412"/>
      <c r="BG412"/>
      <c r="BH412"/>
      <c r="BI412"/>
      <c r="BJ412"/>
      <c r="BK412" t="s">
        <v>159</v>
      </c>
      <c r="BL412"/>
      <c r="BM412" t="s">
        <v>870</v>
      </c>
      <c r="BN412" s="36">
        <v>19561</v>
      </c>
      <c r="BO412"/>
      <c r="BP412"/>
      <c r="BQ412"/>
      <c r="BR412"/>
    </row>
    <row r="413" spans="1:70" s="9" customFormat="1">
      <c r="A413" t="s">
        <v>872</v>
      </c>
      <c r="B413"/>
      <c r="C413" t="s">
        <v>483</v>
      </c>
      <c r="D413"/>
      <c r="E413"/>
      <c r="F413"/>
      <c r="G413" t="s">
        <v>474</v>
      </c>
      <c r="H413" t="s">
        <v>714</v>
      </c>
      <c r="I413" t="s">
        <v>474</v>
      </c>
      <c r="J413" t="s">
        <v>714</v>
      </c>
      <c r="K413"/>
      <c r="L413"/>
      <c r="M413"/>
      <c r="N413"/>
      <c r="O413"/>
      <c r="P413"/>
      <c r="Q413"/>
      <c r="R413"/>
      <c r="S413"/>
      <c r="T413"/>
      <c r="U413"/>
      <c r="V413"/>
      <c r="W413"/>
      <c r="X413"/>
      <c r="Y413"/>
      <c r="Z413">
        <v>3</v>
      </c>
      <c r="AA413">
        <v>4.62</v>
      </c>
      <c r="AB413">
        <v>5</v>
      </c>
      <c r="AC413">
        <v>5</v>
      </c>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t="s">
        <v>873</v>
      </c>
      <c r="BK413" t="s">
        <v>159</v>
      </c>
      <c r="BL413"/>
      <c r="BM413" t="s">
        <v>870</v>
      </c>
      <c r="BN413" s="36">
        <v>19561</v>
      </c>
      <c r="BO413"/>
      <c r="BP413"/>
      <c r="BQ413"/>
      <c r="BR413"/>
    </row>
    <row r="414" spans="1:70" s="9" customFormat="1">
      <c r="A414" t="s">
        <v>896</v>
      </c>
      <c r="B414"/>
      <c r="C414" t="s">
        <v>483</v>
      </c>
      <c r="D414"/>
      <c r="E414"/>
      <c r="F414"/>
      <c r="G414" t="s">
        <v>474</v>
      </c>
      <c r="H414" t="s">
        <v>714</v>
      </c>
      <c r="I414" t="s">
        <v>474</v>
      </c>
      <c r="J414" t="s">
        <v>714</v>
      </c>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v>3.6</v>
      </c>
      <c r="BC414">
        <v>2.9</v>
      </c>
      <c r="BD414">
        <v>2.9</v>
      </c>
      <c r="BE414">
        <v>2.9</v>
      </c>
      <c r="BF414"/>
      <c r="BG414"/>
      <c r="BH414"/>
      <c r="BI414"/>
      <c r="BJ414"/>
      <c r="BK414" t="s">
        <v>159</v>
      </c>
      <c r="BL414"/>
      <c r="BM414" t="s">
        <v>870</v>
      </c>
      <c r="BN414" s="36">
        <v>19561</v>
      </c>
      <c r="BO414"/>
      <c r="BP414"/>
      <c r="BQ414"/>
      <c r="BR414"/>
    </row>
    <row r="415" spans="1:70" s="9" customFormat="1">
      <c r="A415" t="s">
        <v>897</v>
      </c>
      <c r="B415"/>
      <c r="C415" t="s">
        <v>483</v>
      </c>
      <c r="D415"/>
      <c r="E415"/>
      <c r="F415"/>
      <c r="G415" t="s">
        <v>474</v>
      </c>
      <c r="H415" t="s">
        <v>714</v>
      </c>
      <c r="I415" t="s">
        <v>474</v>
      </c>
      <c r="J415" t="s">
        <v>714</v>
      </c>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v>3.84</v>
      </c>
      <c r="AU415"/>
      <c r="AV415"/>
      <c r="AW415">
        <v>2.23</v>
      </c>
      <c r="AX415"/>
      <c r="AY415"/>
      <c r="AZ415"/>
      <c r="BA415"/>
      <c r="BB415"/>
      <c r="BC415"/>
      <c r="BD415"/>
      <c r="BE415"/>
      <c r="BF415"/>
      <c r="BG415"/>
      <c r="BH415"/>
      <c r="BI415"/>
      <c r="BJ415"/>
      <c r="BK415" t="s">
        <v>159</v>
      </c>
      <c r="BL415"/>
      <c r="BM415" t="s">
        <v>870</v>
      </c>
      <c r="BN415" s="36">
        <v>19561</v>
      </c>
      <c r="BO415"/>
      <c r="BP415"/>
      <c r="BQ415"/>
      <c r="BR415"/>
    </row>
    <row r="416" spans="1:70" s="9" customFormat="1">
      <c r="A416" t="s">
        <v>898</v>
      </c>
      <c r="B416"/>
      <c r="C416" t="s">
        <v>483</v>
      </c>
      <c r="D416"/>
      <c r="E416"/>
      <c r="F416"/>
      <c r="G416" t="s">
        <v>474</v>
      </c>
      <c r="H416" t="s">
        <v>714</v>
      </c>
      <c r="I416" t="s">
        <v>474</v>
      </c>
      <c r="J416" t="s">
        <v>714</v>
      </c>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v>2</v>
      </c>
      <c r="AX416"/>
      <c r="AY416"/>
      <c r="AZ416"/>
      <c r="BA416"/>
      <c r="BB416"/>
      <c r="BC416"/>
      <c r="BD416"/>
      <c r="BE416"/>
      <c r="BF416"/>
      <c r="BG416"/>
      <c r="BH416"/>
      <c r="BI416"/>
      <c r="BJ416" t="s">
        <v>899</v>
      </c>
      <c r="BK416" t="s">
        <v>159</v>
      </c>
      <c r="BL416"/>
      <c r="BM416" t="s">
        <v>870</v>
      </c>
      <c r="BN416" s="36">
        <v>19561</v>
      </c>
      <c r="BO416"/>
      <c r="BP416"/>
      <c r="BQ416"/>
      <c r="BR416"/>
    </row>
    <row r="417" spans="1:70" s="9" customFormat="1">
      <c r="A417" t="s">
        <v>874</v>
      </c>
      <c r="B417"/>
      <c r="C417" t="s">
        <v>483</v>
      </c>
      <c r="D417"/>
      <c r="E417"/>
      <c r="F417"/>
      <c r="G417" t="s">
        <v>474</v>
      </c>
      <c r="H417" t="s">
        <v>714</v>
      </c>
      <c r="I417" t="s">
        <v>474</v>
      </c>
      <c r="J417" t="s">
        <v>714</v>
      </c>
      <c r="K417"/>
      <c r="L417"/>
      <c r="M417"/>
      <c r="N417"/>
      <c r="O417"/>
      <c r="P417"/>
      <c r="Q417"/>
      <c r="R417"/>
      <c r="S417"/>
      <c r="T417"/>
      <c r="U417"/>
      <c r="V417"/>
      <c r="W417"/>
      <c r="X417"/>
      <c r="Y417"/>
      <c r="Z417"/>
      <c r="AA417"/>
      <c r="AB417"/>
      <c r="AC417"/>
      <c r="AD417"/>
      <c r="AE417"/>
      <c r="AF417"/>
      <c r="AG417"/>
      <c r="AH417">
        <v>3.24</v>
      </c>
      <c r="AI417">
        <v>4.78</v>
      </c>
      <c r="AJ417">
        <v>4.2</v>
      </c>
      <c r="AK417">
        <v>4.78</v>
      </c>
      <c r="AL417"/>
      <c r="AM417"/>
      <c r="AN417"/>
      <c r="AO417"/>
      <c r="AP417"/>
      <c r="AQ417"/>
      <c r="AR417"/>
      <c r="AS417"/>
      <c r="AT417"/>
      <c r="AU417"/>
      <c r="AV417"/>
      <c r="AW417"/>
      <c r="AX417"/>
      <c r="AY417"/>
      <c r="AZ417"/>
      <c r="BA417"/>
      <c r="BB417"/>
      <c r="BC417"/>
      <c r="BD417"/>
      <c r="BE417"/>
      <c r="BF417"/>
      <c r="BG417"/>
      <c r="BH417"/>
      <c r="BI417"/>
      <c r="BJ417"/>
      <c r="BK417" t="s">
        <v>159</v>
      </c>
      <c r="BL417"/>
      <c r="BM417" t="s">
        <v>870</v>
      </c>
      <c r="BN417" s="36">
        <v>19561</v>
      </c>
      <c r="BO417"/>
      <c r="BP417"/>
      <c r="BQ417"/>
      <c r="BR417"/>
    </row>
    <row r="418" spans="1:70" s="9" customFormat="1">
      <c r="A418" t="s">
        <v>875</v>
      </c>
      <c r="B418"/>
      <c r="C418" t="s">
        <v>483</v>
      </c>
      <c r="D418"/>
      <c r="E418"/>
      <c r="F418"/>
      <c r="G418" t="s">
        <v>474</v>
      </c>
      <c r="H418" t="s">
        <v>714</v>
      </c>
      <c r="I418" t="s">
        <v>474</v>
      </c>
      <c r="J418" t="s">
        <v>714</v>
      </c>
      <c r="K418"/>
      <c r="L418"/>
      <c r="M418"/>
      <c r="N418"/>
      <c r="O418"/>
      <c r="P418"/>
      <c r="Q418"/>
      <c r="R418"/>
      <c r="S418"/>
      <c r="T418"/>
      <c r="U418"/>
      <c r="V418"/>
      <c r="W418"/>
      <c r="X418"/>
      <c r="Y418"/>
      <c r="Z418">
        <v>3.7</v>
      </c>
      <c r="AA418">
        <v>4.12</v>
      </c>
      <c r="AB418">
        <v>4.3499999999999996</v>
      </c>
      <c r="AC418">
        <v>4.3499999999999996</v>
      </c>
      <c r="AD418">
        <v>3.85</v>
      </c>
      <c r="AE418">
        <v>4.95</v>
      </c>
      <c r="AF418">
        <v>5.3</v>
      </c>
      <c r="AG418">
        <v>5.3</v>
      </c>
      <c r="AH418"/>
      <c r="AI418"/>
      <c r="AJ418"/>
      <c r="AK418"/>
      <c r="AL418"/>
      <c r="AM418"/>
      <c r="AN418"/>
      <c r="AO418"/>
      <c r="AP418"/>
      <c r="AQ418"/>
      <c r="AR418"/>
      <c r="AS418"/>
      <c r="AT418"/>
      <c r="AU418"/>
      <c r="AV418"/>
      <c r="AW418"/>
      <c r="AX418"/>
      <c r="AY418"/>
      <c r="AZ418"/>
      <c r="BA418"/>
      <c r="BB418"/>
      <c r="BC418"/>
      <c r="BD418"/>
      <c r="BE418"/>
      <c r="BF418"/>
      <c r="BG418"/>
      <c r="BH418"/>
      <c r="BI418"/>
      <c r="BJ418"/>
      <c r="BK418" t="s">
        <v>159</v>
      </c>
      <c r="BL418"/>
      <c r="BM418" t="s">
        <v>870</v>
      </c>
      <c r="BN418" s="36">
        <v>19561</v>
      </c>
      <c r="BO418"/>
      <c r="BP418"/>
      <c r="BQ418"/>
      <c r="BR418"/>
    </row>
    <row r="419" spans="1:70" s="9" customFormat="1">
      <c r="A419" t="s">
        <v>900</v>
      </c>
      <c r="B419"/>
      <c r="C419" t="s">
        <v>483</v>
      </c>
      <c r="D419"/>
      <c r="E419"/>
      <c r="F419"/>
      <c r="G419" t="s">
        <v>474</v>
      </c>
      <c r="H419" t="s">
        <v>714</v>
      </c>
      <c r="I419" t="s">
        <v>474</v>
      </c>
      <c r="J419" t="s">
        <v>714</v>
      </c>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v>3.82</v>
      </c>
      <c r="BC419">
        <v>3.09</v>
      </c>
      <c r="BD419">
        <v>2.96</v>
      </c>
      <c r="BE419">
        <v>3.09</v>
      </c>
      <c r="BF419"/>
      <c r="BG419"/>
      <c r="BH419"/>
      <c r="BI419"/>
      <c r="BJ419"/>
      <c r="BK419" t="s">
        <v>159</v>
      </c>
      <c r="BL419"/>
      <c r="BM419" t="s">
        <v>870</v>
      </c>
      <c r="BN419" s="36">
        <v>19561</v>
      </c>
      <c r="BO419"/>
      <c r="BP419"/>
      <c r="BQ419"/>
      <c r="BR419"/>
    </row>
    <row r="420" spans="1:70" s="9" customFormat="1">
      <c r="A420" t="s">
        <v>901</v>
      </c>
      <c r="B420"/>
      <c r="C420" t="s">
        <v>483</v>
      </c>
      <c r="D420"/>
      <c r="E420"/>
      <c r="F420"/>
      <c r="G420" t="s">
        <v>474</v>
      </c>
      <c r="H420" t="s">
        <v>714</v>
      </c>
      <c r="I420" t="s">
        <v>474</v>
      </c>
      <c r="J420" t="s">
        <v>714</v>
      </c>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v>4.12</v>
      </c>
      <c r="BC420">
        <v>3.02</v>
      </c>
      <c r="BD420">
        <v>3.03</v>
      </c>
      <c r="BE420">
        <v>3.03</v>
      </c>
      <c r="BF420"/>
      <c r="BG420"/>
      <c r="BH420"/>
      <c r="BI420"/>
      <c r="BJ420"/>
      <c r="BK420" t="s">
        <v>159</v>
      </c>
      <c r="BL420"/>
      <c r="BM420" t="s">
        <v>870</v>
      </c>
      <c r="BN420" s="36">
        <v>19561</v>
      </c>
      <c r="BO420"/>
      <c r="BP420"/>
      <c r="BQ420"/>
      <c r="BR420"/>
    </row>
    <row r="421" spans="1:70" s="9" customFormat="1" ht="16">
      <c r="A421" t="s">
        <v>1104</v>
      </c>
      <c r="B421"/>
      <c r="C421" t="s">
        <v>10</v>
      </c>
      <c r="D421" t="s">
        <v>1039</v>
      </c>
      <c r="E421" t="s">
        <v>1040</v>
      </c>
      <c r="F421"/>
      <c r="G421" t="s">
        <v>1095</v>
      </c>
      <c r="H421" t="s">
        <v>1096</v>
      </c>
      <c r="I421" t="s">
        <v>1097</v>
      </c>
      <c r="J421" t="s">
        <v>1242</v>
      </c>
      <c r="K421"/>
      <c r="L421" t="s">
        <v>1051</v>
      </c>
      <c r="M421" s="18" t="s">
        <v>1052</v>
      </c>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v>7.3</v>
      </c>
      <c r="BC421"/>
      <c r="BD421"/>
      <c r="BE421">
        <v>5.9</v>
      </c>
      <c r="BF421"/>
      <c r="BG421"/>
      <c r="BH421"/>
      <c r="BI421"/>
      <c r="BJ421"/>
      <c r="BK421" t="s">
        <v>273</v>
      </c>
      <c r="BL421"/>
      <c r="BM421" t="s">
        <v>1053</v>
      </c>
      <c r="BN421" s="33">
        <v>2672</v>
      </c>
      <c r="BO421"/>
      <c r="BP421"/>
      <c r="BQ421"/>
      <c r="BR421"/>
    </row>
    <row r="422" spans="1:70" s="9" customFormat="1" ht="16">
      <c r="A422" t="s">
        <v>1049</v>
      </c>
      <c r="B422"/>
      <c r="C422" t="s">
        <v>10</v>
      </c>
      <c r="D422" t="s">
        <v>1039</v>
      </c>
      <c r="E422" t="s">
        <v>1040</v>
      </c>
      <c r="F422" t="s">
        <v>1041</v>
      </c>
      <c r="G422" t="s">
        <v>1042</v>
      </c>
      <c r="H422" t="s">
        <v>1050</v>
      </c>
      <c r="I422" t="s">
        <v>1042</v>
      </c>
      <c r="J422" t="s">
        <v>1050</v>
      </c>
      <c r="K422"/>
      <c r="L422" t="s">
        <v>1051</v>
      </c>
      <c r="M422" s="18" t="s">
        <v>1052</v>
      </c>
      <c r="N422">
        <v>5.77</v>
      </c>
      <c r="O422"/>
      <c r="P422"/>
      <c r="Q422">
        <v>4.1500000000000004</v>
      </c>
      <c r="R422">
        <v>7.42</v>
      </c>
      <c r="S422"/>
      <c r="T422"/>
      <c r="U422">
        <v>7.39</v>
      </c>
      <c r="V422">
        <v>7.35</v>
      </c>
      <c r="W422"/>
      <c r="X422"/>
      <c r="Y422">
        <v>8.59</v>
      </c>
      <c r="Z422"/>
      <c r="AA422"/>
      <c r="AB422"/>
      <c r="AC422"/>
      <c r="AD422">
        <f>AVERAGE(8.15,8.33)</f>
        <v>8.24</v>
      </c>
      <c r="AE422"/>
      <c r="AF422"/>
      <c r="AG422">
        <f>AVERAGE(11.09,10.83)</f>
        <v>10.96</v>
      </c>
      <c r="AH422">
        <f>AVERAGE(7.5,7.52)</f>
        <v>7.51</v>
      </c>
      <c r="AI422"/>
      <c r="AJ422"/>
      <c r="AK422"/>
      <c r="AL422"/>
      <c r="AM422"/>
      <c r="AN422"/>
      <c r="AO422"/>
      <c r="AP422"/>
      <c r="AQ422"/>
      <c r="AR422"/>
      <c r="AS422"/>
      <c r="AT422"/>
      <c r="AU422"/>
      <c r="AV422"/>
      <c r="AW422"/>
      <c r="AX422"/>
      <c r="AY422"/>
      <c r="AZ422"/>
      <c r="BA422"/>
      <c r="BB422"/>
      <c r="BC422"/>
      <c r="BD422"/>
      <c r="BE422"/>
      <c r="BF422"/>
      <c r="BG422"/>
      <c r="BH422"/>
      <c r="BI422"/>
      <c r="BJ422"/>
      <c r="BK422" t="s">
        <v>273</v>
      </c>
      <c r="BL422"/>
      <c r="BM422" t="s">
        <v>1053</v>
      </c>
      <c r="BN422" s="33">
        <v>2672</v>
      </c>
      <c r="BO422" t="s">
        <v>174</v>
      </c>
      <c r="BP422" t="s">
        <v>1053</v>
      </c>
      <c r="BQ422"/>
      <c r="BR422"/>
    </row>
    <row r="423" spans="1:70" s="9" customFormat="1" ht="16">
      <c r="A423" t="s">
        <v>1105</v>
      </c>
      <c r="B423"/>
      <c r="C423" t="s">
        <v>10</v>
      </c>
      <c r="D423" t="s">
        <v>1039</v>
      </c>
      <c r="E423" t="s">
        <v>1040</v>
      </c>
      <c r="F423"/>
      <c r="G423" t="s">
        <v>1042</v>
      </c>
      <c r="H423" t="s">
        <v>60</v>
      </c>
      <c r="I423" t="s">
        <v>1042</v>
      </c>
      <c r="J423" t="s">
        <v>60</v>
      </c>
      <c r="K423"/>
      <c r="L423" t="s">
        <v>1051</v>
      </c>
      <c r="M423" s="18" t="s">
        <v>1052</v>
      </c>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v>7</v>
      </c>
      <c r="BC423"/>
      <c r="BD423"/>
      <c r="BE423">
        <v>6</v>
      </c>
      <c r="BF423"/>
      <c r="BG423"/>
      <c r="BH423"/>
      <c r="BI423"/>
      <c r="BJ423"/>
      <c r="BK423" t="s">
        <v>273</v>
      </c>
      <c r="BL423"/>
      <c r="BM423" t="s">
        <v>1053</v>
      </c>
      <c r="BN423" s="33">
        <v>2672</v>
      </c>
      <c r="BO423"/>
      <c r="BP423"/>
      <c r="BQ423"/>
      <c r="BR423"/>
    </row>
    <row r="424" spans="1:70" s="9" customFormat="1">
      <c r="A424" t="s">
        <v>1085</v>
      </c>
      <c r="B424"/>
      <c r="C424" t="s">
        <v>10</v>
      </c>
      <c r="D424" t="s">
        <v>1039</v>
      </c>
      <c r="E424" t="s">
        <v>1040</v>
      </c>
      <c r="F424" t="s">
        <v>1041</v>
      </c>
      <c r="G424" t="s">
        <v>1082</v>
      </c>
      <c r="H424" t="s">
        <v>1086</v>
      </c>
      <c r="I424" t="s">
        <v>1082</v>
      </c>
      <c r="J424" t="s">
        <v>1087</v>
      </c>
      <c r="K424"/>
      <c r="L424"/>
      <c r="M424" s="18"/>
      <c r="N424"/>
      <c r="O424"/>
      <c r="P424"/>
      <c r="Q424"/>
      <c r="R424"/>
      <c r="S424"/>
      <c r="T424"/>
      <c r="U424"/>
      <c r="V424"/>
      <c r="W424"/>
      <c r="X424"/>
      <c r="Y424"/>
      <c r="Z424"/>
      <c r="AA424"/>
      <c r="AB424"/>
      <c r="AC424"/>
      <c r="AD424">
        <f>AVERAGE(6.39,6.34)</f>
        <v>6.3650000000000002</v>
      </c>
      <c r="AE424"/>
      <c r="AF424"/>
      <c r="AG424">
        <f>AVERAGE(7.84,7.71)</f>
        <v>7.7750000000000004</v>
      </c>
      <c r="AH424">
        <v>5.39</v>
      </c>
      <c r="AI424"/>
      <c r="AJ424"/>
      <c r="AK424"/>
      <c r="AL424"/>
      <c r="AM424"/>
      <c r="AN424"/>
      <c r="AO424"/>
      <c r="AP424"/>
      <c r="AQ424"/>
      <c r="AR424"/>
      <c r="AS424"/>
      <c r="AT424"/>
      <c r="AU424"/>
      <c r="AV424"/>
      <c r="AW424"/>
      <c r="AX424"/>
      <c r="AY424"/>
      <c r="AZ424"/>
      <c r="BA424"/>
      <c r="BB424"/>
      <c r="BC424"/>
      <c r="BD424"/>
      <c r="BE424"/>
      <c r="BF424">
        <v>6.5</v>
      </c>
      <c r="BG424"/>
      <c r="BH424"/>
      <c r="BI424">
        <f>AVERAGE(3.88,3.8)</f>
        <v>3.84</v>
      </c>
      <c r="BJ424"/>
      <c r="BK424" t="s">
        <v>273</v>
      </c>
      <c r="BL424"/>
      <c r="BM424" t="s">
        <v>1053</v>
      </c>
      <c r="BN424" s="33">
        <v>2672</v>
      </c>
      <c r="BO424" t="s">
        <v>174</v>
      </c>
      <c r="BP424" t="s">
        <v>1053</v>
      </c>
      <c r="BQ424"/>
      <c r="BR424"/>
    </row>
    <row r="425" spans="1:70" s="9" customFormat="1">
      <c r="A425" t="s">
        <v>1088</v>
      </c>
      <c r="B425"/>
      <c r="C425" t="s">
        <v>10</v>
      </c>
      <c r="D425" t="s">
        <v>1039</v>
      </c>
      <c r="E425" t="s">
        <v>1040</v>
      </c>
      <c r="F425" t="s">
        <v>1041</v>
      </c>
      <c r="G425" t="s">
        <v>1082</v>
      </c>
      <c r="H425" t="s">
        <v>1086</v>
      </c>
      <c r="I425" t="s">
        <v>1082</v>
      </c>
      <c r="J425" t="s">
        <v>1087</v>
      </c>
      <c r="K425"/>
      <c r="L425"/>
      <c r="M425" s="18"/>
      <c r="N425"/>
      <c r="O425"/>
      <c r="P425"/>
      <c r="Q425"/>
      <c r="R425"/>
      <c r="S425"/>
      <c r="T425"/>
      <c r="U425"/>
      <c r="V425">
        <v>4.1500000000000004</v>
      </c>
      <c r="W425"/>
      <c r="X425"/>
      <c r="Y425"/>
      <c r="Z425">
        <v>5.24</v>
      </c>
      <c r="AA425"/>
      <c r="AB425"/>
      <c r="AC425"/>
      <c r="AD425">
        <v>6.05</v>
      </c>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t="s">
        <v>1089</v>
      </c>
      <c r="BK425" t="s">
        <v>273</v>
      </c>
      <c r="BL425"/>
      <c r="BM425" t="s">
        <v>1053</v>
      </c>
      <c r="BN425" s="33">
        <v>2672</v>
      </c>
      <c r="BO425" t="s">
        <v>174</v>
      </c>
      <c r="BP425" t="s">
        <v>1053</v>
      </c>
      <c r="BQ425"/>
      <c r="BR425"/>
    </row>
    <row r="426" spans="1:70" s="9" customFormat="1">
      <c r="A426" t="s">
        <v>1090</v>
      </c>
      <c r="B426"/>
      <c r="C426" t="s">
        <v>10</v>
      </c>
      <c r="D426" t="s">
        <v>1039</v>
      </c>
      <c r="E426" t="s">
        <v>1040</v>
      </c>
      <c r="F426" t="s">
        <v>1041</v>
      </c>
      <c r="G426" t="s">
        <v>1082</v>
      </c>
      <c r="H426" t="s">
        <v>1086</v>
      </c>
      <c r="I426" t="s">
        <v>1082</v>
      </c>
      <c r="J426" t="s">
        <v>1087</v>
      </c>
      <c r="K426"/>
      <c r="L426"/>
      <c r="M426" s="18"/>
      <c r="N426"/>
      <c r="O426"/>
      <c r="P426"/>
      <c r="Q426"/>
      <c r="R426"/>
      <c r="S426"/>
      <c r="T426"/>
      <c r="U426"/>
      <c r="V426"/>
      <c r="W426"/>
      <c r="X426"/>
      <c r="Y426"/>
      <c r="Z426">
        <v>5.61</v>
      </c>
      <c r="AA426"/>
      <c r="AB426"/>
      <c r="AC426"/>
      <c r="AD426">
        <v>6.67</v>
      </c>
      <c r="AE426"/>
      <c r="AF426"/>
      <c r="AG426">
        <v>7.92</v>
      </c>
      <c r="AH426"/>
      <c r="AI426"/>
      <c r="AJ426"/>
      <c r="AK426"/>
      <c r="AL426"/>
      <c r="AM426"/>
      <c r="AN426"/>
      <c r="AO426"/>
      <c r="AP426"/>
      <c r="AQ426"/>
      <c r="AR426"/>
      <c r="AS426"/>
      <c r="AT426"/>
      <c r="AU426"/>
      <c r="AV426"/>
      <c r="AW426"/>
      <c r="AX426"/>
      <c r="AY426"/>
      <c r="AZ426"/>
      <c r="BA426"/>
      <c r="BB426"/>
      <c r="BC426"/>
      <c r="BD426"/>
      <c r="BE426"/>
      <c r="BF426"/>
      <c r="BG426"/>
      <c r="BH426"/>
      <c r="BI426"/>
      <c r="BJ426"/>
      <c r="BK426" t="s">
        <v>273</v>
      </c>
      <c r="BL426"/>
      <c r="BM426" t="s">
        <v>1053</v>
      </c>
      <c r="BN426" s="33">
        <v>2672</v>
      </c>
      <c r="BO426" t="s">
        <v>174</v>
      </c>
      <c r="BP426" t="s">
        <v>1053</v>
      </c>
      <c r="BQ426"/>
      <c r="BR426"/>
    </row>
    <row r="427" spans="1:70" s="9" customFormat="1">
      <c r="A427" t="s">
        <v>1091</v>
      </c>
      <c r="B427"/>
      <c r="C427" t="s">
        <v>10</v>
      </c>
      <c r="D427" t="s">
        <v>1039</v>
      </c>
      <c r="E427" t="s">
        <v>1040</v>
      </c>
      <c r="F427" t="s">
        <v>1041</v>
      </c>
      <c r="G427" t="s">
        <v>1082</v>
      </c>
      <c r="H427" t="s">
        <v>1086</v>
      </c>
      <c r="I427" t="s">
        <v>1082</v>
      </c>
      <c r="J427" t="s">
        <v>1087</v>
      </c>
      <c r="K427"/>
      <c r="L427"/>
      <c r="M427" s="18"/>
      <c r="N427"/>
      <c r="O427"/>
      <c r="P427"/>
      <c r="Q427"/>
      <c r="R427"/>
      <c r="S427"/>
      <c r="T427"/>
      <c r="U427"/>
      <c r="V427"/>
      <c r="W427"/>
      <c r="X427"/>
      <c r="Y427"/>
      <c r="Z427"/>
      <c r="AA427"/>
      <c r="AB427"/>
      <c r="AC427"/>
      <c r="AD427"/>
      <c r="AE427"/>
      <c r="AF427"/>
      <c r="AG427"/>
      <c r="AH427">
        <v>5.29</v>
      </c>
      <c r="AI427"/>
      <c r="AJ427"/>
      <c r="AK427">
        <v>8.4700000000000006</v>
      </c>
      <c r="AL427"/>
      <c r="AM427"/>
      <c r="AN427"/>
      <c r="AO427"/>
      <c r="AP427"/>
      <c r="AQ427"/>
      <c r="AR427"/>
      <c r="AS427"/>
      <c r="AT427"/>
      <c r="AU427"/>
      <c r="AV427"/>
      <c r="AW427"/>
      <c r="AX427"/>
      <c r="AY427"/>
      <c r="AZ427"/>
      <c r="BA427"/>
      <c r="BB427"/>
      <c r="BC427"/>
      <c r="BD427"/>
      <c r="BE427"/>
      <c r="BF427"/>
      <c r="BG427"/>
      <c r="BH427"/>
      <c r="BI427"/>
      <c r="BJ427"/>
      <c r="BK427" t="s">
        <v>273</v>
      </c>
      <c r="BL427"/>
      <c r="BM427" t="s">
        <v>1053</v>
      </c>
      <c r="BN427" s="33">
        <v>2672</v>
      </c>
      <c r="BO427" t="s">
        <v>174</v>
      </c>
      <c r="BP427" t="s">
        <v>1053</v>
      </c>
      <c r="BQ427"/>
      <c r="BR427"/>
    </row>
    <row r="428" spans="1:70" s="9" customFormat="1">
      <c r="A428" t="s">
        <v>1092</v>
      </c>
      <c r="B428"/>
      <c r="C428" t="s">
        <v>10</v>
      </c>
      <c r="D428" t="s">
        <v>1039</v>
      </c>
      <c r="E428" t="s">
        <v>1040</v>
      </c>
      <c r="F428" t="s">
        <v>1041</v>
      </c>
      <c r="G428" t="s">
        <v>1082</v>
      </c>
      <c r="H428" t="s">
        <v>1086</v>
      </c>
      <c r="I428" t="s">
        <v>1082</v>
      </c>
      <c r="J428" t="s">
        <v>1087</v>
      </c>
      <c r="K428"/>
      <c r="L428"/>
      <c r="M428" s="18"/>
      <c r="N428"/>
      <c r="O428"/>
      <c r="P428"/>
      <c r="Q428"/>
      <c r="R428"/>
      <c r="S428"/>
      <c r="T428"/>
      <c r="U428"/>
      <c r="V428"/>
      <c r="W428"/>
      <c r="X428"/>
      <c r="Y428"/>
      <c r="Z428"/>
      <c r="AA428"/>
      <c r="AB428"/>
      <c r="AC428"/>
      <c r="AD428">
        <v>6.42</v>
      </c>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t="s">
        <v>273</v>
      </c>
      <c r="BL428"/>
      <c r="BM428" t="s">
        <v>1053</v>
      </c>
      <c r="BN428" s="33">
        <v>2672</v>
      </c>
      <c r="BO428" t="s">
        <v>174</v>
      </c>
      <c r="BP428" t="s">
        <v>1053</v>
      </c>
      <c r="BQ428"/>
      <c r="BR428"/>
    </row>
    <row r="429" spans="1:70" s="9" customFormat="1">
      <c r="A429" t="s">
        <v>1093</v>
      </c>
      <c r="B429"/>
      <c r="C429" t="s">
        <v>10</v>
      </c>
      <c r="D429" t="s">
        <v>1039</v>
      </c>
      <c r="E429" t="s">
        <v>1040</v>
      </c>
      <c r="F429" t="s">
        <v>1041</v>
      </c>
      <c r="G429" t="s">
        <v>1082</v>
      </c>
      <c r="H429" t="s">
        <v>1086</v>
      </c>
      <c r="I429" t="s">
        <v>1082</v>
      </c>
      <c r="J429" t="s">
        <v>1087</v>
      </c>
      <c r="K429"/>
      <c r="L429"/>
      <c r="M429" s="18"/>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v>4.7</v>
      </c>
      <c r="AY429"/>
      <c r="AZ429"/>
      <c r="BA429">
        <v>4</v>
      </c>
      <c r="BB429"/>
      <c r="BC429"/>
      <c r="BD429"/>
      <c r="BE429"/>
      <c r="BF429"/>
      <c r="BG429"/>
      <c r="BH429"/>
      <c r="BI429"/>
      <c r="BJ429"/>
      <c r="BK429" t="s">
        <v>273</v>
      </c>
      <c r="BL429"/>
      <c r="BM429" t="s">
        <v>1053</v>
      </c>
      <c r="BN429" s="33">
        <v>2672</v>
      </c>
      <c r="BO429" t="s">
        <v>174</v>
      </c>
      <c r="BP429" t="s">
        <v>1053</v>
      </c>
      <c r="BQ429"/>
      <c r="BR429"/>
    </row>
    <row r="430" spans="1:70" s="9" customFormat="1" ht="16">
      <c r="A430" t="s">
        <v>1143</v>
      </c>
      <c r="B430"/>
      <c r="C430" t="s">
        <v>10</v>
      </c>
      <c r="D430" t="s">
        <v>1039</v>
      </c>
      <c r="E430" t="s">
        <v>1040</v>
      </c>
      <c r="F430"/>
      <c r="G430" t="s">
        <v>1097</v>
      </c>
      <c r="H430" t="s">
        <v>60</v>
      </c>
      <c r="I430" t="s">
        <v>1097</v>
      </c>
      <c r="J430" t="s">
        <v>60</v>
      </c>
      <c r="K430"/>
      <c r="L430" t="s">
        <v>1051</v>
      </c>
      <c r="M430" s="18" t="s">
        <v>1052</v>
      </c>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v>8.9</v>
      </c>
      <c r="BC430"/>
      <c r="BD430"/>
      <c r="BE430">
        <v>7.8</v>
      </c>
      <c r="BF430"/>
      <c r="BG430"/>
      <c r="BH430"/>
      <c r="BI430"/>
      <c r="BJ430"/>
      <c r="BK430" t="s">
        <v>273</v>
      </c>
      <c r="BL430"/>
      <c r="BM430" t="s">
        <v>1053</v>
      </c>
      <c r="BN430" s="33">
        <v>2672</v>
      </c>
      <c r="BO430"/>
      <c r="BP430"/>
      <c r="BQ430"/>
      <c r="BR430"/>
    </row>
    <row r="431" spans="1:70" s="9" customFormat="1" ht="16">
      <c r="A431" t="s">
        <v>1144</v>
      </c>
      <c r="B431"/>
      <c r="C431" t="s">
        <v>10</v>
      </c>
      <c r="D431" t="s">
        <v>1039</v>
      </c>
      <c r="E431" t="s">
        <v>1040</v>
      </c>
      <c r="F431"/>
      <c r="G431" t="s">
        <v>1097</v>
      </c>
      <c r="H431" t="s">
        <v>60</v>
      </c>
      <c r="I431" t="s">
        <v>1097</v>
      </c>
      <c r="J431" t="s">
        <v>60</v>
      </c>
      <c r="K431"/>
      <c r="L431" t="s">
        <v>1051</v>
      </c>
      <c r="M431" s="18" t="s">
        <v>1052</v>
      </c>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v>7</v>
      </c>
      <c r="BC431"/>
      <c r="BD431"/>
      <c r="BE431">
        <v>6</v>
      </c>
      <c r="BF431"/>
      <c r="BG431"/>
      <c r="BH431"/>
      <c r="BI431"/>
      <c r="BJ431"/>
      <c r="BK431" t="s">
        <v>273</v>
      </c>
      <c r="BL431"/>
      <c r="BM431" t="s">
        <v>1053</v>
      </c>
      <c r="BN431" s="33">
        <v>2672</v>
      </c>
      <c r="BO431"/>
      <c r="BP431"/>
      <c r="BQ431"/>
      <c r="BR431"/>
    </row>
    <row r="432" spans="1:70" s="9" customFormat="1" ht="16">
      <c r="A432" t="s">
        <v>1145</v>
      </c>
      <c r="B432"/>
      <c r="C432" t="s">
        <v>10</v>
      </c>
      <c r="D432" t="s">
        <v>1039</v>
      </c>
      <c r="E432" t="s">
        <v>1040</v>
      </c>
      <c r="F432"/>
      <c r="G432" t="s">
        <v>1097</v>
      </c>
      <c r="H432" t="s">
        <v>60</v>
      </c>
      <c r="I432" t="s">
        <v>1097</v>
      </c>
      <c r="J432" t="s">
        <v>60</v>
      </c>
      <c r="K432"/>
      <c r="L432" t="s">
        <v>1051</v>
      </c>
      <c r="M432" s="18" t="s">
        <v>1052</v>
      </c>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v>9.4</v>
      </c>
      <c r="BC432"/>
      <c r="BD432"/>
      <c r="BE432">
        <v>8</v>
      </c>
      <c r="BF432"/>
      <c r="BG432"/>
      <c r="BH432"/>
      <c r="BI432"/>
      <c r="BJ432"/>
      <c r="BK432" t="s">
        <v>273</v>
      </c>
      <c r="BL432"/>
      <c r="BM432" t="s">
        <v>1053</v>
      </c>
      <c r="BN432" s="33">
        <v>2672</v>
      </c>
      <c r="BO432"/>
      <c r="BP432"/>
      <c r="BQ432"/>
      <c r="BR432"/>
    </row>
    <row r="433" spans="1:70" s="9" customFormat="1" ht="16">
      <c r="A433" t="s">
        <v>1146</v>
      </c>
      <c r="B433"/>
      <c r="C433" t="s">
        <v>10</v>
      </c>
      <c r="D433" t="s">
        <v>1039</v>
      </c>
      <c r="E433" t="s">
        <v>1040</v>
      </c>
      <c r="F433"/>
      <c r="G433" t="s">
        <v>1097</v>
      </c>
      <c r="H433" t="s">
        <v>60</v>
      </c>
      <c r="I433" t="s">
        <v>1097</v>
      </c>
      <c r="J433" t="s">
        <v>60</v>
      </c>
      <c r="K433"/>
      <c r="L433" t="s">
        <v>1051</v>
      </c>
      <c r="M433" s="18" t="s">
        <v>1052</v>
      </c>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v>11.9</v>
      </c>
      <c r="BC433"/>
      <c r="BD433"/>
      <c r="BE433">
        <v>10</v>
      </c>
      <c r="BF433"/>
      <c r="BG433"/>
      <c r="BH433"/>
      <c r="BI433"/>
      <c r="BJ433"/>
      <c r="BK433" t="s">
        <v>273</v>
      </c>
      <c r="BL433"/>
      <c r="BM433" t="s">
        <v>1053</v>
      </c>
      <c r="BN433" s="33">
        <v>2672</v>
      </c>
      <c r="BO433"/>
      <c r="BP433"/>
      <c r="BQ433"/>
      <c r="BR433"/>
    </row>
    <row r="434" spans="1:70" s="14" customFormat="1" ht="16">
      <c r="A434" t="s">
        <v>1154</v>
      </c>
      <c r="B434"/>
      <c r="C434" t="s">
        <v>10</v>
      </c>
      <c r="D434" t="s">
        <v>1039</v>
      </c>
      <c r="E434" t="s">
        <v>1040</v>
      </c>
      <c r="F434"/>
      <c r="G434" t="s">
        <v>1097</v>
      </c>
      <c r="H434" t="s">
        <v>1149</v>
      </c>
      <c r="I434" t="s">
        <v>1097</v>
      </c>
      <c r="J434" t="s">
        <v>1155</v>
      </c>
      <c r="K434"/>
      <c r="L434" t="s">
        <v>1051</v>
      </c>
      <c r="M434" s="18" t="s">
        <v>1052</v>
      </c>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v>9.4</v>
      </c>
      <c r="BG434"/>
      <c r="BH434"/>
      <c r="BI434">
        <v>6.1</v>
      </c>
      <c r="BJ434"/>
      <c r="BK434" t="s">
        <v>273</v>
      </c>
      <c r="BL434"/>
      <c r="BM434" t="s">
        <v>1053</v>
      </c>
      <c r="BN434" s="33">
        <v>2672</v>
      </c>
      <c r="BO434" t="s">
        <v>174</v>
      </c>
      <c r="BP434" t="s">
        <v>1053</v>
      </c>
      <c r="BQ434"/>
      <c r="BR434"/>
    </row>
    <row r="435" spans="1:70" s="14" customFormat="1">
      <c r="A435" s="14" t="s">
        <v>1250</v>
      </c>
      <c r="C435" s="14" t="s">
        <v>10</v>
      </c>
      <c r="D435" s="14" t="s">
        <v>11</v>
      </c>
      <c r="E435" s="14" t="s">
        <v>165</v>
      </c>
      <c r="G435" s="14" t="s">
        <v>358</v>
      </c>
      <c r="H435" s="14" t="s">
        <v>772</v>
      </c>
      <c r="I435" s="14" t="s">
        <v>358</v>
      </c>
      <c r="J435" s="14" t="s">
        <v>772</v>
      </c>
      <c r="M435" s="49"/>
      <c r="BK435" s="14" t="s">
        <v>273</v>
      </c>
      <c r="BL435" s="48">
        <v>44796</v>
      </c>
      <c r="BM435" s="14" t="s">
        <v>185</v>
      </c>
      <c r="BN435" s="34">
        <v>7614</v>
      </c>
      <c r="BO435" s="14" t="s">
        <v>174</v>
      </c>
      <c r="BP435" s="14" t="s">
        <v>185</v>
      </c>
    </row>
    <row r="436" spans="1:70" s="14" customFormat="1">
      <c r="A436" s="14" t="s">
        <v>1251</v>
      </c>
      <c r="B436" s="14" t="s">
        <v>1248</v>
      </c>
      <c r="C436" s="14" t="s">
        <v>10</v>
      </c>
      <c r="D436" s="14" t="s">
        <v>11</v>
      </c>
      <c r="E436" s="14" t="s">
        <v>165</v>
      </c>
      <c r="G436" s="14" t="s">
        <v>358</v>
      </c>
      <c r="H436" s="14" t="s">
        <v>772</v>
      </c>
      <c r="I436" s="14" t="s">
        <v>358</v>
      </c>
      <c r="J436" s="14" t="s">
        <v>772</v>
      </c>
      <c r="M436" s="49"/>
      <c r="BK436" s="14" t="s">
        <v>273</v>
      </c>
      <c r="BL436" s="48">
        <v>44796</v>
      </c>
      <c r="BM436" s="14" t="s">
        <v>185</v>
      </c>
      <c r="BN436" s="34">
        <v>7614</v>
      </c>
      <c r="BO436" s="14" t="s">
        <v>174</v>
      </c>
      <c r="BP436" s="14" t="s">
        <v>185</v>
      </c>
    </row>
    <row r="437" spans="1:70" s="14" customFormat="1">
      <c r="A437" s="50" t="s">
        <v>1252</v>
      </c>
      <c r="B437" s="50"/>
      <c r="C437" s="50" t="s">
        <v>10</v>
      </c>
      <c r="D437" s="50" t="s">
        <v>11</v>
      </c>
      <c r="E437" s="50" t="s">
        <v>165</v>
      </c>
      <c r="F437" s="50"/>
      <c r="G437" s="50" t="s">
        <v>358</v>
      </c>
      <c r="H437" s="50" t="s">
        <v>772</v>
      </c>
      <c r="I437" s="50" t="s">
        <v>358</v>
      </c>
      <c r="J437" s="50" t="s">
        <v>772</v>
      </c>
      <c r="K437" s="50"/>
      <c r="L437" s="50"/>
      <c r="M437" s="51"/>
      <c r="N437" s="50"/>
      <c r="O437" s="50"/>
      <c r="P437" s="50"/>
      <c r="Q437" s="50"/>
      <c r="R437" s="50"/>
      <c r="S437" s="50"/>
      <c r="T437" s="50"/>
      <c r="U437" s="50"/>
      <c r="V437" s="50"/>
      <c r="W437" s="50"/>
      <c r="X437" s="50"/>
      <c r="Y437" s="50"/>
      <c r="Z437" s="50"/>
      <c r="AA437" s="50"/>
      <c r="AB437" s="50"/>
      <c r="AC437" s="50"/>
      <c r="AD437" s="50"/>
      <c r="AE437" s="50"/>
      <c r="AF437" s="50"/>
      <c r="AG437" s="50"/>
      <c r="AH437" s="50"/>
      <c r="AI437" s="50"/>
      <c r="AJ437" s="50"/>
      <c r="AK437" s="50"/>
      <c r="AL437" s="50"/>
      <c r="AM437" s="50"/>
      <c r="AN437" s="50"/>
      <c r="AO437" s="50"/>
      <c r="AP437" s="50"/>
      <c r="AQ437" s="50"/>
      <c r="AR437" s="50"/>
      <c r="AS437" s="50"/>
      <c r="AT437" s="50"/>
      <c r="AU437" s="50"/>
      <c r="AV437" s="50"/>
      <c r="AW437" s="50"/>
      <c r="AX437" s="50"/>
      <c r="AY437" s="50"/>
      <c r="AZ437" s="50"/>
      <c r="BA437" s="50"/>
      <c r="BB437" s="50"/>
      <c r="BC437" s="50"/>
      <c r="BD437" s="50"/>
      <c r="BE437" s="50"/>
      <c r="BF437" s="50"/>
      <c r="BG437" s="50"/>
      <c r="BH437" s="50"/>
      <c r="BI437" s="50"/>
      <c r="BJ437" s="50"/>
      <c r="BK437" s="50" t="s">
        <v>273</v>
      </c>
      <c r="BL437" s="52">
        <v>44796</v>
      </c>
      <c r="BM437" s="50" t="s">
        <v>185</v>
      </c>
      <c r="BN437" s="50">
        <v>7614</v>
      </c>
      <c r="BO437" s="50" t="s">
        <v>174</v>
      </c>
      <c r="BP437" s="50" t="s">
        <v>185</v>
      </c>
      <c r="BQ437" s="50"/>
      <c r="BR437" s="50"/>
    </row>
    <row r="438" spans="1:70" s="14" customFormat="1">
      <c r="A438" s="50" t="s">
        <v>1253</v>
      </c>
      <c r="B438" s="50"/>
      <c r="C438" s="50" t="s">
        <v>10</v>
      </c>
      <c r="D438" s="50" t="s">
        <v>11</v>
      </c>
      <c r="E438" s="50" t="s">
        <v>165</v>
      </c>
      <c r="F438" s="50"/>
      <c r="G438" s="50" t="s">
        <v>358</v>
      </c>
      <c r="H438" s="50" t="s">
        <v>772</v>
      </c>
      <c r="I438" s="50" t="s">
        <v>358</v>
      </c>
      <c r="J438" s="50" t="s">
        <v>772</v>
      </c>
      <c r="K438" s="50"/>
      <c r="L438" s="50"/>
      <c r="M438" s="51"/>
      <c r="N438" s="50"/>
      <c r="O438" s="50"/>
      <c r="P438" s="50"/>
      <c r="Q438" s="50"/>
      <c r="R438" s="50"/>
      <c r="S438" s="50"/>
      <c r="T438" s="50"/>
      <c r="U438" s="50"/>
      <c r="V438" s="50"/>
      <c r="W438" s="50"/>
      <c r="X438" s="50"/>
      <c r="Y438" s="50"/>
      <c r="Z438" s="50"/>
      <c r="AA438" s="50"/>
      <c r="AB438" s="50"/>
      <c r="AC438" s="50"/>
      <c r="AD438" s="50"/>
      <c r="AE438" s="50"/>
      <c r="AF438" s="50"/>
      <c r="AG438" s="50"/>
      <c r="AH438" s="50"/>
      <c r="AI438" s="50"/>
      <c r="AJ438" s="50"/>
      <c r="AK438" s="50"/>
      <c r="AL438" s="50"/>
      <c r="AM438" s="50"/>
      <c r="AN438" s="50"/>
      <c r="AO438" s="50"/>
      <c r="AP438" s="50"/>
      <c r="AQ438" s="50"/>
      <c r="AR438" s="50"/>
      <c r="AS438" s="50"/>
      <c r="AT438" s="50"/>
      <c r="AU438" s="50"/>
      <c r="AV438" s="50"/>
      <c r="AW438" s="50"/>
      <c r="AX438" s="50"/>
      <c r="AY438" s="50"/>
      <c r="AZ438" s="50"/>
      <c r="BA438" s="50"/>
      <c r="BB438" s="50"/>
      <c r="BC438" s="50"/>
      <c r="BD438" s="50"/>
      <c r="BE438" s="50"/>
      <c r="BF438" s="50"/>
      <c r="BG438" s="50"/>
      <c r="BH438" s="50"/>
      <c r="BI438" s="50"/>
      <c r="BJ438" s="50"/>
      <c r="BK438" s="50" t="s">
        <v>273</v>
      </c>
      <c r="BL438" s="52">
        <v>44796</v>
      </c>
      <c r="BM438" s="50" t="s">
        <v>185</v>
      </c>
      <c r="BN438" s="50">
        <v>7614</v>
      </c>
      <c r="BO438" s="50" t="s">
        <v>174</v>
      </c>
      <c r="BP438" s="50" t="s">
        <v>185</v>
      </c>
      <c r="BQ438" s="50"/>
      <c r="BR438" s="50"/>
    </row>
    <row r="439" spans="1:70" s="22" customFormat="1">
      <c r="A439" s="22" t="s">
        <v>183</v>
      </c>
      <c r="C439" s="22" t="s">
        <v>484</v>
      </c>
      <c r="E439" s="22" t="s">
        <v>485</v>
      </c>
      <c r="G439" s="22" t="s">
        <v>184</v>
      </c>
      <c r="H439" s="22" t="s">
        <v>60</v>
      </c>
      <c r="I439" s="22" t="s">
        <v>184</v>
      </c>
      <c r="J439" s="22" t="s">
        <v>60</v>
      </c>
      <c r="L439" s="22" t="s">
        <v>158</v>
      </c>
      <c r="Z439" s="22">
        <v>2.7</v>
      </c>
      <c r="AC439" s="22">
        <v>3.3</v>
      </c>
      <c r="BK439" s="22" t="s">
        <v>273</v>
      </c>
      <c r="BM439" s="22" t="s">
        <v>160</v>
      </c>
      <c r="BN439" s="36">
        <v>7614</v>
      </c>
      <c r="BO439" s="22" t="s">
        <v>174</v>
      </c>
      <c r="BP439" s="22" t="s">
        <v>160</v>
      </c>
    </row>
    <row r="440" spans="1:70" s="55" customFormat="1">
      <c r="A440" s="55" t="s">
        <v>311</v>
      </c>
      <c r="C440" s="55" t="s">
        <v>484</v>
      </c>
      <c r="E440" s="55" t="s">
        <v>485</v>
      </c>
      <c r="G440" s="55" t="s">
        <v>184</v>
      </c>
      <c r="I440" s="55" t="s">
        <v>184</v>
      </c>
      <c r="J440" s="55" t="s">
        <v>1249</v>
      </c>
      <c r="V440" s="55">
        <v>3.3</v>
      </c>
      <c r="Y440" s="58">
        <v>4.4000000000000004</v>
      </c>
      <c r="Z440" s="55">
        <v>4.07</v>
      </c>
      <c r="AC440" s="55">
        <v>5.67</v>
      </c>
      <c r="AD440" s="55">
        <v>4.33</v>
      </c>
      <c r="AG440" s="55">
        <v>6.17</v>
      </c>
      <c r="AH440" s="55">
        <v>3.45</v>
      </c>
      <c r="AK440" s="55">
        <v>4.9000000000000004</v>
      </c>
      <c r="AX440" s="55">
        <v>4.0999999999999996</v>
      </c>
      <c r="AY440" s="55">
        <v>2.96</v>
      </c>
      <c r="AZ440" s="55">
        <v>3.03</v>
      </c>
      <c r="BA440" s="55">
        <v>3.03</v>
      </c>
      <c r="BB440" s="55">
        <v>4.38</v>
      </c>
      <c r="BC440" s="55">
        <v>3.66</v>
      </c>
      <c r="BD440" s="55">
        <v>3.63</v>
      </c>
      <c r="BE440" s="55">
        <v>3.66</v>
      </c>
      <c r="BF440" s="55">
        <v>4.4000000000000004</v>
      </c>
      <c r="BG440" s="55">
        <v>3</v>
      </c>
      <c r="BH440" s="55">
        <v>2.75</v>
      </c>
      <c r="BI440" s="55">
        <v>3</v>
      </c>
      <c r="BK440" s="55" t="s">
        <v>273</v>
      </c>
      <c r="BL440" s="59">
        <v>44796</v>
      </c>
      <c r="BM440" s="55" t="s">
        <v>185</v>
      </c>
      <c r="BN440" s="56">
        <v>7614</v>
      </c>
      <c r="BO440" s="55" t="s">
        <v>174</v>
      </c>
      <c r="BP440" s="55" t="s">
        <v>185</v>
      </c>
    </row>
    <row r="441" spans="1:70" s="9" customFormat="1">
      <c r="A441" t="s">
        <v>186</v>
      </c>
      <c r="B441"/>
      <c r="C441" t="s">
        <v>484</v>
      </c>
      <c r="D441"/>
      <c r="E441" t="s">
        <v>485</v>
      </c>
      <c r="F441"/>
      <c r="G441" t="s">
        <v>184</v>
      </c>
      <c r="H441" t="s">
        <v>60</v>
      </c>
      <c r="I441" t="s">
        <v>184</v>
      </c>
      <c r="J441" t="s">
        <v>60</v>
      </c>
      <c r="K441"/>
      <c r="L441" t="s">
        <v>158</v>
      </c>
      <c r="M441"/>
      <c r="N441"/>
      <c r="O441"/>
      <c r="P441"/>
      <c r="Q441"/>
      <c r="R441"/>
      <c r="S441"/>
      <c r="T441"/>
      <c r="U441"/>
      <c r="V441"/>
      <c r="W441"/>
      <c r="X441"/>
      <c r="Y441"/>
      <c r="Z441"/>
      <c r="AA441"/>
      <c r="AB441"/>
      <c r="AC441"/>
      <c r="AD441">
        <v>2.8</v>
      </c>
      <c r="AE441"/>
      <c r="AF441"/>
      <c r="AG441">
        <v>4</v>
      </c>
      <c r="AH441"/>
      <c r="AI441"/>
      <c r="AJ441"/>
      <c r="AK441"/>
      <c r="AL441"/>
      <c r="AM441"/>
      <c r="AN441"/>
      <c r="AO441"/>
      <c r="AP441"/>
      <c r="AQ441"/>
      <c r="AR441"/>
      <c r="AS441"/>
      <c r="AT441"/>
      <c r="AU441"/>
      <c r="AV441"/>
      <c r="AW441"/>
      <c r="AX441"/>
      <c r="AY441"/>
      <c r="AZ441"/>
      <c r="BA441"/>
      <c r="BB441"/>
      <c r="BC441"/>
      <c r="BD441"/>
      <c r="BE441"/>
      <c r="BF441"/>
      <c r="BG441"/>
      <c r="BH441"/>
      <c r="BI441"/>
      <c r="BJ441"/>
      <c r="BK441" t="s">
        <v>273</v>
      </c>
      <c r="BL441"/>
      <c r="BM441" t="s">
        <v>160</v>
      </c>
      <c r="BN441">
        <v>8868</v>
      </c>
      <c r="BO441" t="s">
        <v>174</v>
      </c>
      <c r="BP441" t="s">
        <v>160</v>
      </c>
      <c r="BQ441"/>
      <c r="BR441"/>
    </row>
    <row r="442" spans="1:70" s="9" customFormat="1" ht="16">
      <c r="A442" t="s">
        <v>164</v>
      </c>
      <c r="B442"/>
      <c r="C442" t="s">
        <v>10</v>
      </c>
      <c r="D442" t="s">
        <v>11</v>
      </c>
      <c r="E442" t="s">
        <v>165</v>
      </c>
      <c r="F442" t="s">
        <v>157</v>
      </c>
      <c r="G442" s="1" t="s">
        <v>166</v>
      </c>
      <c r="H442" s="2" t="s">
        <v>60</v>
      </c>
      <c r="I442" s="1" t="s">
        <v>167</v>
      </c>
      <c r="J442" s="2" t="s">
        <v>60</v>
      </c>
      <c r="K442"/>
      <c r="L442" t="s">
        <v>158</v>
      </c>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v>4.8</v>
      </c>
      <c r="AU442"/>
      <c r="AV442"/>
      <c r="AW442">
        <v>2.5</v>
      </c>
      <c r="AX442"/>
      <c r="AY442"/>
      <c r="AZ442"/>
      <c r="BA442"/>
      <c r="BB442"/>
      <c r="BC442"/>
      <c r="BD442"/>
      <c r="BE442"/>
      <c r="BF442"/>
      <c r="BG442"/>
      <c r="BH442"/>
      <c r="BI442"/>
      <c r="BJ442"/>
      <c r="BK442" t="s">
        <v>273</v>
      </c>
      <c r="BL442"/>
      <c r="BM442" t="s">
        <v>160</v>
      </c>
      <c r="BN442">
        <v>8868</v>
      </c>
      <c r="BO442"/>
      <c r="BP442" t="s">
        <v>160</v>
      </c>
      <c r="BQ442"/>
      <c r="BR442"/>
    </row>
    <row r="443" spans="1:70" s="9" customFormat="1" ht="16">
      <c r="A443" t="s">
        <v>156</v>
      </c>
      <c r="B443"/>
      <c r="C443" t="s">
        <v>10</v>
      </c>
      <c r="D443" t="s">
        <v>11</v>
      </c>
      <c r="E443" t="s">
        <v>165</v>
      </c>
      <c r="F443" t="s">
        <v>157</v>
      </c>
      <c r="G443" s="1" t="s">
        <v>13</v>
      </c>
      <c r="H443" s="2" t="s">
        <v>14</v>
      </c>
      <c r="I443" s="1" t="s">
        <v>13</v>
      </c>
      <c r="J443" s="2" t="s">
        <v>14</v>
      </c>
      <c r="K443"/>
      <c r="L443" t="s">
        <v>158</v>
      </c>
      <c r="M443"/>
      <c r="N443"/>
      <c r="O443"/>
      <c r="P443"/>
      <c r="Q443"/>
      <c r="R443"/>
      <c r="S443"/>
      <c r="T443"/>
      <c r="U443"/>
      <c r="V443"/>
      <c r="W443"/>
      <c r="X443"/>
      <c r="Y443"/>
      <c r="Z443"/>
      <c r="AA443"/>
      <c r="AB443"/>
      <c r="AC443"/>
      <c r="AD443"/>
      <c r="AE443"/>
      <c r="AF443"/>
      <c r="AG443"/>
      <c r="AH443"/>
      <c r="AI443"/>
      <c r="AJ443"/>
      <c r="AK443"/>
      <c r="AL443"/>
      <c r="AM443"/>
      <c r="AN443"/>
      <c r="AO443"/>
      <c r="AP443">
        <v>2.8</v>
      </c>
      <c r="AQ443"/>
      <c r="AR443"/>
      <c r="AS443">
        <v>2.8</v>
      </c>
      <c r="AT443"/>
      <c r="AU443"/>
      <c r="AV443"/>
      <c r="AW443"/>
      <c r="AX443"/>
      <c r="AY443"/>
      <c r="AZ443"/>
      <c r="BA443"/>
      <c r="BB443"/>
      <c r="BC443"/>
      <c r="BD443"/>
      <c r="BE443"/>
      <c r="BF443"/>
      <c r="BG443"/>
      <c r="BH443"/>
      <c r="BI443"/>
      <c r="BJ443"/>
      <c r="BK443" t="s">
        <v>273</v>
      </c>
      <c r="BL443"/>
      <c r="BM443" t="s">
        <v>160</v>
      </c>
      <c r="BN443">
        <v>8868</v>
      </c>
      <c r="BO443"/>
      <c r="BP443" t="s">
        <v>160</v>
      </c>
      <c r="BQ443"/>
      <c r="BR443"/>
    </row>
    <row r="444" spans="1:70" s="9" customFormat="1" ht="16">
      <c r="A444" t="s">
        <v>161</v>
      </c>
      <c r="B444"/>
      <c r="C444" t="s">
        <v>10</v>
      </c>
      <c r="D444" t="s">
        <v>11</v>
      </c>
      <c r="E444" t="s">
        <v>165</v>
      </c>
      <c r="F444" t="s">
        <v>157</v>
      </c>
      <c r="G444" s="1" t="s">
        <v>13</v>
      </c>
      <c r="H444" s="2" t="s">
        <v>14</v>
      </c>
      <c r="I444" t="s">
        <v>13</v>
      </c>
      <c r="J444" t="s">
        <v>14</v>
      </c>
      <c r="K444"/>
      <c r="L444" t="s">
        <v>158</v>
      </c>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v>3.4</v>
      </c>
      <c r="AU444"/>
      <c r="AV444"/>
      <c r="AW444">
        <v>1.8</v>
      </c>
      <c r="AX444"/>
      <c r="AY444"/>
      <c r="AZ444"/>
      <c r="BA444"/>
      <c r="BB444"/>
      <c r="BC444"/>
      <c r="BD444"/>
      <c r="BE444"/>
      <c r="BF444"/>
      <c r="BG444"/>
      <c r="BH444"/>
      <c r="BI444"/>
      <c r="BJ444"/>
      <c r="BK444" t="s">
        <v>273</v>
      </c>
      <c r="BL444"/>
      <c r="BM444" t="s">
        <v>160</v>
      </c>
      <c r="BN444">
        <v>8868</v>
      </c>
      <c r="BO444"/>
      <c r="BP444" t="s">
        <v>160</v>
      </c>
      <c r="BQ444"/>
      <c r="BR444"/>
    </row>
    <row r="445" spans="1:70" s="9" customFormat="1" ht="16">
      <c r="A445" t="s">
        <v>162</v>
      </c>
      <c r="B445"/>
      <c r="C445" t="s">
        <v>10</v>
      </c>
      <c r="D445" t="s">
        <v>11</v>
      </c>
      <c r="E445" t="s">
        <v>165</v>
      </c>
      <c r="F445" t="s">
        <v>157</v>
      </c>
      <c r="G445" s="1" t="s">
        <v>13</v>
      </c>
      <c r="H445" s="2" t="s">
        <v>14</v>
      </c>
      <c r="I445" t="s">
        <v>13</v>
      </c>
      <c r="J445" t="s">
        <v>14</v>
      </c>
      <c r="K445"/>
      <c r="L445" t="s">
        <v>158</v>
      </c>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v>4.0999999999999996</v>
      </c>
      <c r="AY445"/>
      <c r="AZ445"/>
      <c r="BA445">
        <v>2.6</v>
      </c>
      <c r="BB445"/>
      <c r="BC445"/>
      <c r="BD445"/>
      <c r="BE445"/>
      <c r="BF445"/>
      <c r="BG445"/>
      <c r="BH445"/>
      <c r="BI445"/>
      <c r="BJ445"/>
      <c r="BK445" t="s">
        <v>273</v>
      </c>
      <c r="BL445"/>
      <c r="BM445" t="s">
        <v>160</v>
      </c>
      <c r="BN445">
        <v>8868</v>
      </c>
      <c r="BO445"/>
      <c r="BP445" t="s">
        <v>160</v>
      </c>
      <c r="BQ445"/>
      <c r="BR445"/>
    </row>
    <row r="446" spans="1:70" s="9" customFormat="1" ht="16">
      <c r="A446" t="s">
        <v>163</v>
      </c>
      <c r="B446"/>
      <c r="C446" t="s">
        <v>10</v>
      </c>
      <c r="D446" t="s">
        <v>11</v>
      </c>
      <c r="E446" t="s">
        <v>165</v>
      </c>
      <c r="F446" t="s">
        <v>157</v>
      </c>
      <c r="G446" s="1" t="s">
        <v>13</v>
      </c>
      <c r="H446" s="2" t="s">
        <v>14</v>
      </c>
      <c r="I446" t="s">
        <v>13</v>
      </c>
      <c r="J446" t="s">
        <v>14</v>
      </c>
      <c r="K446"/>
      <c r="L446" t="s">
        <v>158</v>
      </c>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v>4</v>
      </c>
      <c r="BC446"/>
      <c r="BD446"/>
      <c r="BE446">
        <v>2.9</v>
      </c>
      <c r="BF446"/>
      <c r="BG446"/>
      <c r="BH446"/>
      <c r="BI446"/>
      <c r="BJ446"/>
      <c r="BK446" t="s">
        <v>273</v>
      </c>
      <c r="BL446"/>
      <c r="BM446" t="s">
        <v>160</v>
      </c>
      <c r="BN446">
        <v>8868</v>
      </c>
      <c r="BO446"/>
      <c r="BP446" t="s">
        <v>160</v>
      </c>
      <c r="BQ446"/>
      <c r="BR446"/>
    </row>
    <row r="447" spans="1:70" s="9" customFormat="1">
      <c r="A447" t="s">
        <v>172</v>
      </c>
      <c r="B447"/>
      <c r="C447" t="s">
        <v>10</v>
      </c>
      <c r="D447" t="s">
        <v>11</v>
      </c>
      <c r="E447" t="s">
        <v>293</v>
      </c>
      <c r="F447" t="s">
        <v>52</v>
      </c>
      <c r="G447" t="s">
        <v>70</v>
      </c>
      <c r="H447" t="s">
        <v>71</v>
      </c>
      <c r="I447" t="s">
        <v>70</v>
      </c>
      <c r="J447" t="s">
        <v>173</v>
      </c>
      <c r="K447"/>
      <c r="L447" t="s">
        <v>158</v>
      </c>
      <c r="M447"/>
      <c r="N447"/>
      <c r="O447"/>
      <c r="P447"/>
      <c r="Q447"/>
      <c r="R447"/>
      <c r="S447"/>
      <c r="T447"/>
      <c r="U447"/>
      <c r="V447"/>
      <c r="W447"/>
      <c r="X447"/>
      <c r="Y447"/>
      <c r="Z447"/>
      <c r="AA447"/>
      <c r="AB447"/>
      <c r="AC447"/>
      <c r="AD447">
        <v>2.8</v>
      </c>
      <c r="AE447"/>
      <c r="AF447"/>
      <c r="AG447">
        <v>3.6</v>
      </c>
      <c r="AH447"/>
      <c r="AI447"/>
      <c r="AJ447"/>
      <c r="AK447"/>
      <c r="AL447"/>
      <c r="AM447"/>
      <c r="AN447"/>
      <c r="AO447"/>
      <c r="AP447"/>
      <c r="AQ447"/>
      <c r="AR447"/>
      <c r="AS447"/>
      <c r="AT447"/>
      <c r="AU447"/>
      <c r="AV447"/>
      <c r="AW447"/>
      <c r="AX447"/>
      <c r="AY447"/>
      <c r="AZ447"/>
      <c r="BA447"/>
      <c r="BB447"/>
      <c r="BC447"/>
      <c r="BD447"/>
      <c r="BE447"/>
      <c r="BF447"/>
      <c r="BG447"/>
      <c r="BH447"/>
      <c r="BI447"/>
      <c r="BJ447"/>
      <c r="BK447" t="s">
        <v>273</v>
      </c>
      <c r="BL447"/>
      <c r="BM447" t="s">
        <v>160</v>
      </c>
      <c r="BN447">
        <v>8868</v>
      </c>
      <c r="BO447" t="s">
        <v>174</v>
      </c>
      <c r="BP447" t="s">
        <v>160</v>
      </c>
      <c r="BQ447"/>
      <c r="BR447"/>
    </row>
    <row r="448" spans="1:70" s="14" customFormat="1">
      <c r="A448" s="14" t="s">
        <v>175</v>
      </c>
      <c r="C448" s="14" t="s">
        <v>10</v>
      </c>
      <c r="D448" s="14" t="s">
        <v>11</v>
      </c>
      <c r="E448" s="14" t="s">
        <v>293</v>
      </c>
      <c r="F448" s="14" t="s">
        <v>52</v>
      </c>
      <c r="G448" s="14" t="s">
        <v>70</v>
      </c>
      <c r="H448" s="14" t="s">
        <v>71</v>
      </c>
      <c r="I448" s="14" t="s">
        <v>70</v>
      </c>
      <c r="J448" s="14" t="s">
        <v>173</v>
      </c>
      <c r="L448" s="14" t="s">
        <v>158</v>
      </c>
      <c r="BJ448" s="14" t="s">
        <v>176</v>
      </c>
      <c r="BK448" s="14" t="s">
        <v>273</v>
      </c>
      <c r="BM448" s="14" t="s">
        <v>160</v>
      </c>
      <c r="BN448" s="14">
        <v>8868</v>
      </c>
      <c r="BO448" s="14" t="s">
        <v>174</v>
      </c>
      <c r="BP448" s="14" t="s">
        <v>160</v>
      </c>
    </row>
    <row r="449" spans="1:70" s="14" customFormat="1">
      <c r="A449" s="14" t="s">
        <v>177</v>
      </c>
      <c r="C449" s="14" t="s">
        <v>10</v>
      </c>
      <c r="D449" s="14" t="s">
        <v>11</v>
      </c>
      <c r="E449" s="14" t="s">
        <v>293</v>
      </c>
      <c r="F449" s="14" t="s">
        <v>52</v>
      </c>
      <c r="G449" s="14" t="s">
        <v>70</v>
      </c>
      <c r="H449" s="14" t="s">
        <v>71</v>
      </c>
      <c r="I449" s="14" t="s">
        <v>70</v>
      </c>
      <c r="J449" s="14" t="s">
        <v>173</v>
      </c>
      <c r="L449" s="14" t="s">
        <v>158</v>
      </c>
      <c r="BJ449" s="14" t="s">
        <v>176</v>
      </c>
      <c r="BK449" s="14" t="s">
        <v>273</v>
      </c>
      <c r="BM449" s="14" t="s">
        <v>160</v>
      </c>
      <c r="BN449" s="14">
        <v>8868</v>
      </c>
      <c r="BO449" s="14" t="s">
        <v>174</v>
      </c>
      <c r="BP449" s="14" t="s">
        <v>160</v>
      </c>
    </row>
    <row r="450" spans="1:70" s="14" customFormat="1">
      <c r="A450" s="14" t="s">
        <v>178</v>
      </c>
      <c r="C450" s="14" t="s">
        <v>10</v>
      </c>
      <c r="D450" s="14" t="s">
        <v>11</v>
      </c>
      <c r="E450" s="14" t="s">
        <v>293</v>
      </c>
      <c r="F450" s="14" t="s">
        <v>52</v>
      </c>
      <c r="G450" s="14" t="s">
        <v>70</v>
      </c>
      <c r="H450" s="14" t="s">
        <v>71</v>
      </c>
      <c r="I450" s="14" t="s">
        <v>70</v>
      </c>
      <c r="J450" s="14" t="s">
        <v>173</v>
      </c>
      <c r="L450" s="14" t="s">
        <v>158</v>
      </c>
      <c r="BJ450" s="14" t="s">
        <v>176</v>
      </c>
      <c r="BK450" s="14" t="s">
        <v>273</v>
      </c>
      <c r="BM450" s="14" t="s">
        <v>160</v>
      </c>
      <c r="BN450" s="14">
        <v>8868</v>
      </c>
      <c r="BO450" s="14" t="s">
        <v>174</v>
      </c>
      <c r="BP450" s="14" t="s">
        <v>160</v>
      </c>
    </row>
    <row r="451" spans="1:70" s="14" customFormat="1">
      <c r="A451" s="14" t="s">
        <v>179</v>
      </c>
      <c r="C451" s="14" t="s">
        <v>10</v>
      </c>
      <c r="D451" s="14" t="s">
        <v>11</v>
      </c>
      <c r="E451" s="14" t="s">
        <v>293</v>
      </c>
      <c r="F451" s="14" t="s">
        <v>52</v>
      </c>
      <c r="G451" s="14" t="s">
        <v>70</v>
      </c>
      <c r="H451" s="14" t="s">
        <v>71</v>
      </c>
      <c r="I451" s="14" t="s">
        <v>70</v>
      </c>
      <c r="J451" s="14" t="s">
        <v>173</v>
      </c>
      <c r="L451" s="14" t="s">
        <v>158</v>
      </c>
      <c r="BJ451" s="14" t="s">
        <v>176</v>
      </c>
      <c r="BK451" s="14" t="s">
        <v>273</v>
      </c>
      <c r="BM451" s="14" t="s">
        <v>160</v>
      </c>
      <c r="BN451" s="14">
        <v>8868</v>
      </c>
      <c r="BO451" s="14" t="s">
        <v>174</v>
      </c>
      <c r="BP451" s="14" t="s">
        <v>160</v>
      </c>
    </row>
    <row r="452" spans="1:70" s="14" customFormat="1">
      <c r="A452" s="14" t="s">
        <v>180</v>
      </c>
      <c r="C452" s="14" t="s">
        <v>10</v>
      </c>
      <c r="D452" s="14" t="s">
        <v>11</v>
      </c>
      <c r="E452" s="14" t="s">
        <v>293</v>
      </c>
      <c r="F452" s="14" t="s">
        <v>52</v>
      </c>
      <c r="G452" s="14" t="s">
        <v>70</v>
      </c>
      <c r="H452" s="14" t="s">
        <v>71</v>
      </c>
      <c r="I452" s="14" t="s">
        <v>70</v>
      </c>
      <c r="J452" s="14" t="s">
        <v>173</v>
      </c>
      <c r="L452" s="14" t="s">
        <v>158</v>
      </c>
      <c r="BJ452" s="14" t="s">
        <v>176</v>
      </c>
      <c r="BK452" s="14" t="s">
        <v>273</v>
      </c>
      <c r="BM452" s="14" t="s">
        <v>160</v>
      </c>
      <c r="BN452" s="14">
        <v>8868</v>
      </c>
      <c r="BO452" s="14" t="s">
        <v>174</v>
      </c>
      <c r="BP452" s="14" t="s">
        <v>160</v>
      </c>
    </row>
    <row r="453" spans="1:70" s="14" customFormat="1">
      <c r="A453" s="14" t="s">
        <v>181</v>
      </c>
      <c r="C453" s="14" t="s">
        <v>10</v>
      </c>
      <c r="D453" s="14" t="s">
        <v>11</v>
      </c>
      <c r="E453" s="14" t="s">
        <v>293</v>
      </c>
      <c r="F453" s="14" t="s">
        <v>52</v>
      </c>
      <c r="G453" s="14" t="s">
        <v>70</v>
      </c>
      <c r="H453" s="14" t="s">
        <v>71</v>
      </c>
      <c r="I453" s="14" t="s">
        <v>70</v>
      </c>
      <c r="J453" s="14" t="s">
        <v>173</v>
      </c>
      <c r="L453" s="14" t="s">
        <v>158</v>
      </c>
      <c r="BJ453" s="14" t="s">
        <v>176</v>
      </c>
      <c r="BK453" s="14" t="s">
        <v>273</v>
      </c>
      <c r="BM453" s="14" t="s">
        <v>160</v>
      </c>
      <c r="BN453" s="14">
        <v>8868</v>
      </c>
      <c r="BO453" s="14" t="s">
        <v>174</v>
      </c>
      <c r="BP453" s="14" t="s">
        <v>160</v>
      </c>
    </row>
    <row r="454" spans="1:70" s="55" customFormat="1">
      <c r="A454" s="55" t="s">
        <v>182</v>
      </c>
      <c r="C454" s="55" t="s">
        <v>10</v>
      </c>
      <c r="D454" s="55" t="s">
        <v>11</v>
      </c>
      <c r="E454" s="55" t="s">
        <v>293</v>
      </c>
      <c r="F454" s="55" t="s">
        <v>52</v>
      </c>
      <c r="G454" s="55" t="s">
        <v>70</v>
      </c>
      <c r="H454" s="55" t="s">
        <v>71</v>
      </c>
      <c r="I454" s="55" t="s">
        <v>70</v>
      </c>
      <c r="J454" s="55" t="s">
        <v>173</v>
      </c>
      <c r="L454" s="55" t="s">
        <v>158</v>
      </c>
      <c r="AL454" s="55">
        <v>2.75</v>
      </c>
      <c r="AO454" s="55">
        <v>1.35</v>
      </c>
      <c r="AP454" s="55">
        <v>3.2</v>
      </c>
      <c r="AS454" s="55">
        <v>1.6</v>
      </c>
      <c r="AT454" s="55">
        <v>3.7</v>
      </c>
      <c r="AW454" s="55">
        <v>2.2000000000000002</v>
      </c>
      <c r="AX454" s="55">
        <v>2.8</v>
      </c>
      <c r="BA454" s="55">
        <v>1.6</v>
      </c>
      <c r="BB454" s="55">
        <v>3.23</v>
      </c>
      <c r="BE454" s="55">
        <v>1.87</v>
      </c>
      <c r="BI454" s="55">
        <v>2.5499999999999998</v>
      </c>
      <c r="BJ454" s="55" t="s">
        <v>182</v>
      </c>
      <c r="BK454" s="55" t="s">
        <v>273</v>
      </c>
      <c r="BM454" s="55" t="s">
        <v>160</v>
      </c>
      <c r="BN454" s="55">
        <v>8868</v>
      </c>
    </row>
    <row r="455" spans="1:70" s="9" customFormat="1">
      <c r="A455" t="s">
        <v>168</v>
      </c>
      <c r="B455"/>
      <c r="C455" t="s">
        <v>10</v>
      </c>
      <c r="D455" t="s">
        <v>11</v>
      </c>
      <c r="E455" t="s">
        <v>165</v>
      </c>
      <c r="F455" t="s">
        <v>169</v>
      </c>
      <c r="G455" t="s">
        <v>170</v>
      </c>
      <c r="H455" t="s">
        <v>171</v>
      </c>
      <c r="I455" t="s">
        <v>170</v>
      </c>
      <c r="J455" t="s">
        <v>821</v>
      </c>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v>8.5</v>
      </c>
      <c r="BG455">
        <v>4.8</v>
      </c>
      <c r="BH455">
        <v>4.5</v>
      </c>
      <c r="BI455">
        <v>4.8</v>
      </c>
      <c r="BJ455"/>
      <c r="BK455" t="s">
        <v>273</v>
      </c>
      <c r="BL455"/>
      <c r="BM455" t="s">
        <v>160</v>
      </c>
      <c r="BN455">
        <v>8868</v>
      </c>
      <c r="BO455" t="s">
        <v>174</v>
      </c>
      <c r="BP455" t="s">
        <v>160</v>
      </c>
      <c r="BQ455"/>
      <c r="BR455"/>
    </row>
    <row r="456" spans="1:70" s="9" customFormat="1">
      <c r="A456" t="s">
        <v>463</v>
      </c>
      <c r="B456"/>
      <c r="C456" t="s">
        <v>10</v>
      </c>
      <c r="D456" t="s">
        <v>11</v>
      </c>
      <c r="E456" t="s">
        <v>165</v>
      </c>
      <c r="F456" t="s">
        <v>169</v>
      </c>
      <c r="G456" t="s">
        <v>464</v>
      </c>
      <c r="H456" t="s">
        <v>402</v>
      </c>
      <c r="I456" t="s">
        <v>464</v>
      </c>
      <c r="J456" t="s">
        <v>402</v>
      </c>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v>8.35</v>
      </c>
      <c r="BE456"/>
      <c r="BF456"/>
      <c r="BG456"/>
      <c r="BH456"/>
      <c r="BI456"/>
      <c r="BJ456"/>
      <c r="BK456" t="s">
        <v>273</v>
      </c>
      <c r="BL456"/>
      <c r="BM456" t="s">
        <v>380</v>
      </c>
      <c r="BN456" s="22">
        <v>46399</v>
      </c>
      <c r="BO456" t="s">
        <v>362</v>
      </c>
      <c r="BP456" t="s">
        <v>380</v>
      </c>
      <c r="BQ456"/>
      <c r="BR456"/>
    </row>
    <row r="457" spans="1:70" s="9" customFormat="1">
      <c r="A457" t="s">
        <v>470</v>
      </c>
      <c r="B457"/>
      <c r="C457" t="s">
        <v>10</v>
      </c>
      <c r="D457" t="s">
        <v>11</v>
      </c>
      <c r="E457" t="s">
        <v>165</v>
      </c>
      <c r="F457" t="s">
        <v>157</v>
      </c>
      <c r="G457" t="s">
        <v>166</v>
      </c>
      <c r="H457" t="s">
        <v>430</v>
      </c>
      <c r="I457" t="s">
        <v>166</v>
      </c>
      <c r="J457" t="s">
        <v>430</v>
      </c>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v>4.2</v>
      </c>
      <c r="AU457"/>
      <c r="AV457"/>
      <c r="AW457">
        <v>2.6</v>
      </c>
      <c r="AX457"/>
      <c r="AY457"/>
      <c r="AZ457"/>
      <c r="BA457"/>
      <c r="BB457"/>
      <c r="BC457"/>
      <c r="BD457"/>
      <c r="BE457"/>
      <c r="BF457"/>
      <c r="BG457"/>
      <c r="BH457"/>
      <c r="BI457"/>
      <c r="BJ457"/>
      <c r="BK457" t="s">
        <v>273</v>
      </c>
      <c r="BL457"/>
      <c r="BM457" t="s">
        <v>380</v>
      </c>
      <c r="BN457" s="22">
        <v>46399</v>
      </c>
      <c r="BO457"/>
      <c r="BP457"/>
      <c r="BQ457"/>
      <c r="BR457"/>
    </row>
    <row r="458" spans="1:70" s="9" customFormat="1">
      <c r="A458" t="s">
        <v>467</v>
      </c>
      <c r="B458"/>
      <c r="C458" t="s">
        <v>10</v>
      </c>
      <c r="D458" t="s">
        <v>11</v>
      </c>
      <c r="E458" t="s">
        <v>165</v>
      </c>
      <c r="F458" t="s">
        <v>157</v>
      </c>
      <c r="G458" t="s">
        <v>166</v>
      </c>
      <c r="H458" t="s">
        <v>430</v>
      </c>
      <c r="I458" t="s">
        <v>166</v>
      </c>
      <c r="J458" t="s">
        <v>430</v>
      </c>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v>5.3</v>
      </c>
      <c r="AY458">
        <v>3.1</v>
      </c>
      <c r="AZ458">
        <v>3.6</v>
      </c>
      <c r="BA458">
        <v>3.6</v>
      </c>
      <c r="BB458"/>
      <c r="BC458"/>
      <c r="BD458"/>
      <c r="BE458"/>
      <c r="BF458"/>
      <c r="BG458"/>
      <c r="BH458"/>
      <c r="BI458"/>
      <c r="BJ458"/>
      <c r="BK458" t="s">
        <v>273</v>
      </c>
      <c r="BL458"/>
      <c r="BM458" t="s">
        <v>380</v>
      </c>
      <c r="BN458" s="22">
        <v>46399</v>
      </c>
      <c r="BO458"/>
      <c r="BP458"/>
      <c r="BQ458"/>
      <c r="BR458"/>
    </row>
    <row r="459" spans="1:70" s="9" customFormat="1">
      <c r="A459" t="s">
        <v>468</v>
      </c>
      <c r="B459"/>
      <c r="C459" t="s">
        <v>10</v>
      </c>
      <c r="D459" t="s">
        <v>11</v>
      </c>
      <c r="E459" t="s">
        <v>165</v>
      </c>
      <c r="F459" t="s">
        <v>157</v>
      </c>
      <c r="G459" t="s">
        <v>166</v>
      </c>
      <c r="H459" t="s">
        <v>430</v>
      </c>
      <c r="I459" t="s">
        <v>166</v>
      </c>
      <c r="J459" t="s">
        <v>430</v>
      </c>
      <c r="K459"/>
      <c r="L459"/>
      <c r="M459"/>
      <c r="N459"/>
      <c r="O459"/>
      <c r="P459"/>
      <c r="Q459"/>
      <c r="R459"/>
      <c r="S459"/>
      <c r="T459"/>
      <c r="U459"/>
      <c r="V459"/>
      <c r="W459"/>
      <c r="X459"/>
      <c r="Y459"/>
      <c r="Z459"/>
      <c r="AA459"/>
      <c r="AB459"/>
      <c r="AC459">
        <v>6.3</v>
      </c>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t="s">
        <v>469</v>
      </c>
      <c r="BK459" t="s">
        <v>273</v>
      </c>
      <c r="BL459"/>
      <c r="BM459" t="s">
        <v>380</v>
      </c>
      <c r="BN459" s="22">
        <v>46399</v>
      </c>
      <c r="BO459"/>
      <c r="BP459"/>
      <c r="BQ459"/>
      <c r="BR459"/>
    </row>
    <row r="460" spans="1:70" s="9" customFormat="1">
      <c r="A460" t="s">
        <v>466</v>
      </c>
      <c r="B460"/>
      <c r="C460" t="s">
        <v>10</v>
      </c>
      <c r="D460" t="s">
        <v>11</v>
      </c>
      <c r="E460" t="s">
        <v>165</v>
      </c>
      <c r="F460" t="s">
        <v>157</v>
      </c>
      <c r="G460" t="s">
        <v>13</v>
      </c>
      <c r="H460" t="s">
        <v>16</v>
      </c>
      <c r="I460" t="s">
        <v>13</v>
      </c>
      <c r="J460" t="s">
        <v>465</v>
      </c>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v>4.8</v>
      </c>
      <c r="BC460">
        <v>3.7</v>
      </c>
      <c r="BD460">
        <v>3.8</v>
      </c>
      <c r="BE460">
        <v>3.8</v>
      </c>
      <c r="BF460"/>
      <c r="BG460"/>
      <c r="BH460"/>
      <c r="BI460"/>
      <c r="BJ460"/>
      <c r="BK460" t="s">
        <v>273</v>
      </c>
      <c r="BL460"/>
      <c r="BM460" t="s">
        <v>380</v>
      </c>
      <c r="BN460" s="22">
        <v>46399</v>
      </c>
      <c r="BO460" t="s">
        <v>362</v>
      </c>
      <c r="BP460" t="s">
        <v>380</v>
      </c>
      <c r="BQ460"/>
      <c r="BR460"/>
    </row>
    <row r="461" spans="1:70" s="9" customFormat="1">
      <c r="A461" t="s">
        <v>384</v>
      </c>
      <c r="B461"/>
      <c r="C461" t="s">
        <v>10</v>
      </c>
      <c r="D461" t="s">
        <v>11</v>
      </c>
      <c r="E461" t="s">
        <v>293</v>
      </c>
      <c r="F461" t="s">
        <v>52</v>
      </c>
      <c r="G461" t="s">
        <v>70</v>
      </c>
      <c r="H461" t="s">
        <v>73</v>
      </c>
      <c r="I461" t="s">
        <v>70</v>
      </c>
      <c r="J461" t="s">
        <v>73</v>
      </c>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v>3.5</v>
      </c>
      <c r="BG461">
        <v>2.4</v>
      </c>
      <c r="BH461">
        <v>1.9</v>
      </c>
      <c r="BI461">
        <v>2.4</v>
      </c>
      <c r="BJ461"/>
      <c r="BK461" t="s">
        <v>273</v>
      </c>
      <c r="BL461"/>
      <c r="BM461" t="s">
        <v>380</v>
      </c>
      <c r="BN461" s="22">
        <v>46399</v>
      </c>
      <c r="BO461"/>
      <c r="BP461"/>
      <c r="BQ461"/>
      <c r="BR461"/>
    </row>
    <row r="462" spans="1:70" s="9" customFormat="1">
      <c r="A462" t="s">
        <v>382</v>
      </c>
      <c r="B462"/>
      <c r="C462" t="s">
        <v>10</v>
      </c>
      <c r="D462" t="s">
        <v>11</v>
      </c>
      <c r="E462" t="s">
        <v>293</v>
      </c>
      <c r="F462" t="s">
        <v>52</v>
      </c>
      <c r="G462" t="s">
        <v>70</v>
      </c>
      <c r="H462" t="s">
        <v>73</v>
      </c>
      <c r="I462" t="s">
        <v>70</v>
      </c>
      <c r="J462" t="s">
        <v>73</v>
      </c>
      <c r="K462"/>
      <c r="L462"/>
      <c r="M462"/>
      <c r="N462"/>
      <c r="O462"/>
      <c r="P462"/>
      <c r="Q462"/>
      <c r="R462"/>
      <c r="S462"/>
      <c r="T462"/>
      <c r="U462"/>
      <c r="V462"/>
      <c r="W462"/>
      <c r="X462"/>
      <c r="Y462"/>
      <c r="Z462"/>
      <c r="AA462"/>
      <c r="AB462"/>
      <c r="AC462"/>
      <c r="AD462">
        <v>2.9</v>
      </c>
      <c r="AE462"/>
      <c r="AF462"/>
      <c r="AG462">
        <v>4.3</v>
      </c>
      <c r="AH462"/>
      <c r="AI462"/>
      <c r="AJ462"/>
      <c r="AK462"/>
      <c r="AL462"/>
      <c r="AM462"/>
      <c r="AN462"/>
      <c r="AO462"/>
      <c r="AP462"/>
      <c r="AQ462"/>
      <c r="AR462"/>
      <c r="AS462"/>
      <c r="AT462"/>
      <c r="AU462"/>
      <c r="AV462"/>
      <c r="AW462"/>
      <c r="AX462"/>
      <c r="AY462"/>
      <c r="AZ462"/>
      <c r="BA462"/>
      <c r="BB462"/>
      <c r="BC462"/>
      <c r="BD462"/>
      <c r="BE462"/>
      <c r="BF462"/>
      <c r="BG462"/>
      <c r="BH462"/>
      <c r="BI462"/>
      <c r="BJ462"/>
      <c r="BK462" t="s">
        <v>273</v>
      </c>
      <c r="BL462"/>
      <c r="BM462" t="s">
        <v>380</v>
      </c>
      <c r="BN462" s="22">
        <v>46399</v>
      </c>
      <c r="BO462" t="s">
        <v>362</v>
      </c>
      <c r="BP462" t="s">
        <v>380</v>
      </c>
      <c r="BQ462"/>
      <c r="BR462"/>
    </row>
    <row r="463" spans="1:70" s="9" customFormat="1">
      <c r="A463" t="s">
        <v>381</v>
      </c>
      <c r="B463"/>
      <c r="C463" t="s">
        <v>10</v>
      </c>
      <c r="D463" t="s">
        <v>11</v>
      </c>
      <c r="E463" t="s">
        <v>293</v>
      </c>
      <c r="F463" t="s">
        <v>52</v>
      </c>
      <c r="G463" t="s">
        <v>70</v>
      </c>
      <c r="H463" t="s">
        <v>73</v>
      </c>
      <c r="I463" t="s">
        <v>70</v>
      </c>
      <c r="J463" t="s">
        <v>73</v>
      </c>
      <c r="K463"/>
      <c r="L463"/>
      <c r="M463"/>
      <c r="N463"/>
      <c r="O463"/>
      <c r="P463"/>
      <c r="Q463"/>
      <c r="R463"/>
      <c r="S463"/>
      <c r="T463"/>
      <c r="U463"/>
      <c r="V463">
        <v>2.9</v>
      </c>
      <c r="W463"/>
      <c r="X463"/>
      <c r="Y463">
        <v>3.5</v>
      </c>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t="s">
        <v>273</v>
      </c>
      <c r="BL463"/>
      <c r="BM463" t="s">
        <v>380</v>
      </c>
      <c r="BN463" s="22">
        <v>46399</v>
      </c>
      <c r="BO463" t="s">
        <v>362</v>
      </c>
      <c r="BP463" t="s">
        <v>380</v>
      </c>
      <c r="BQ463"/>
      <c r="BR463"/>
    </row>
    <row r="464" spans="1:70" s="9" customFormat="1">
      <c r="A464" t="s">
        <v>398</v>
      </c>
      <c r="B464"/>
      <c r="C464" t="s">
        <v>10</v>
      </c>
      <c r="D464" t="s">
        <v>11</v>
      </c>
      <c r="E464" t="s">
        <v>293</v>
      </c>
      <c r="F464" t="s">
        <v>52</v>
      </c>
      <c r="G464" t="s">
        <v>70</v>
      </c>
      <c r="H464" t="s">
        <v>73</v>
      </c>
      <c r="I464" t="s">
        <v>70</v>
      </c>
      <c r="J464" t="s">
        <v>73</v>
      </c>
      <c r="K464"/>
      <c r="L464"/>
      <c r="M464"/>
      <c r="N464"/>
      <c r="O464"/>
      <c r="P464"/>
      <c r="Q464"/>
      <c r="R464"/>
      <c r="S464"/>
      <c r="T464"/>
      <c r="U464"/>
      <c r="V464"/>
      <c r="W464"/>
      <c r="X464"/>
      <c r="Y464"/>
      <c r="Z464"/>
      <c r="AA464"/>
      <c r="AB464"/>
      <c r="AC464"/>
      <c r="AD464"/>
      <c r="AE464"/>
      <c r="AF464"/>
      <c r="AG464"/>
      <c r="AH464"/>
      <c r="AI464"/>
      <c r="AJ464"/>
      <c r="AK464"/>
      <c r="AL464"/>
      <c r="AM464"/>
      <c r="AN464"/>
      <c r="AO464"/>
      <c r="AP464">
        <v>3</v>
      </c>
      <c r="AQ464"/>
      <c r="AR464"/>
      <c r="AS464">
        <v>2</v>
      </c>
      <c r="AT464">
        <v>3.3</v>
      </c>
      <c r="AU464"/>
      <c r="AV464"/>
      <c r="AW464">
        <v>2.2999999999999998</v>
      </c>
      <c r="AX464">
        <v>3</v>
      </c>
      <c r="AY464">
        <v>2.5</v>
      </c>
      <c r="AZ464">
        <v>2.6</v>
      </c>
      <c r="BA464">
        <v>2.6</v>
      </c>
      <c r="BB464">
        <v>3.6</v>
      </c>
      <c r="BC464">
        <v>3</v>
      </c>
      <c r="BD464">
        <v>3.2</v>
      </c>
      <c r="BE464">
        <v>3.2</v>
      </c>
      <c r="BF464">
        <v>3.6</v>
      </c>
      <c r="BG464">
        <v>2.6</v>
      </c>
      <c r="BH464">
        <v>2.2999999999999998</v>
      </c>
      <c r="BI464">
        <v>2.6</v>
      </c>
      <c r="BJ464" t="s">
        <v>399</v>
      </c>
      <c r="BK464" t="s">
        <v>273</v>
      </c>
      <c r="BL464"/>
      <c r="BM464" t="s">
        <v>380</v>
      </c>
      <c r="BN464" s="22">
        <v>46399</v>
      </c>
      <c r="BO464" t="s">
        <v>362</v>
      </c>
      <c r="BP464" t="s">
        <v>380</v>
      </c>
      <c r="BQ464"/>
      <c r="BR464"/>
    </row>
    <row r="465" spans="1:70" s="9" customFormat="1">
      <c r="A465" t="s">
        <v>385</v>
      </c>
      <c r="B465"/>
      <c r="C465" t="s">
        <v>10</v>
      </c>
      <c r="D465" t="s">
        <v>11</v>
      </c>
      <c r="E465" t="s">
        <v>293</v>
      </c>
      <c r="F465" t="s">
        <v>52</v>
      </c>
      <c r="G465" t="s">
        <v>70</v>
      </c>
      <c r="H465" t="s">
        <v>73</v>
      </c>
      <c r="I465" t="s">
        <v>70</v>
      </c>
      <c r="J465" t="s">
        <v>73</v>
      </c>
      <c r="K465"/>
      <c r="L465"/>
      <c r="M465"/>
      <c r="N465"/>
      <c r="O465"/>
      <c r="P465"/>
      <c r="Q465"/>
      <c r="R465"/>
      <c r="S465"/>
      <c r="T465"/>
      <c r="U465"/>
      <c r="V465">
        <v>2.6</v>
      </c>
      <c r="W465"/>
      <c r="X465"/>
      <c r="Y465">
        <v>3</v>
      </c>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t="s">
        <v>273</v>
      </c>
      <c r="BL465"/>
      <c r="BM465" t="s">
        <v>380</v>
      </c>
      <c r="BN465" s="22">
        <v>46399</v>
      </c>
      <c r="BO465"/>
      <c r="BP465"/>
      <c r="BQ465"/>
      <c r="BR465"/>
    </row>
    <row r="466" spans="1:70" s="9" customFormat="1">
      <c r="A466" t="s">
        <v>392</v>
      </c>
      <c r="B466"/>
      <c r="C466" t="s">
        <v>10</v>
      </c>
      <c r="D466" t="s">
        <v>11</v>
      </c>
      <c r="E466" t="s">
        <v>293</v>
      </c>
      <c r="F466" t="s">
        <v>52</v>
      </c>
      <c r="G466" t="s">
        <v>70</v>
      </c>
      <c r="H466" t="s">
        <v>73</v>
      </c>
      <c r="I466" t="s">
        <v>70</v>
      </c>
      <c r="J466" t="s">
        <v>73</v>
      </c>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v>3.4</v>
      </c>
      <c r="AU466"/>
      <c r="AV466"/>
      <c r="AW466">
        <v>2</v>
      </c>
      <c r="AX466"/>
      <c r="AY466"/>
      <c r="AZ466"/>
      <c r="BA466"/>
      <c r="BB466"/>
      <c r="BC466"/>
      <c r="BD466"/>
      <c r="BE466"/>
      <c r="BF466"/>
      <c r="BG466"/>
      <c r="BH466"/>
      <c r="BI466"/>
      <c r="BJ466"/>
      <c r="BK466" t="s">
        <v>273</v>
      </c>
      <c r="BL466"/>
      <c r="BM466" t="s">
        <v>380</v>
      </c>
      <c r="BN466" s="22">
        <v>46399</v>
      </c>
      <c r="BO466"/>
      <c r="BP466"/>
      <c r="BQ466"/>
      <c r="BR466"/>
    </row>
    <row r="467" spans="1:70" s="9" customFormat="1">
      <c r="A467" t="s">
        <v>393</v>
      </c>
      <c r="B467"/>
      <c r="C467" t="s">
        <v>10</v>
      </c>
      <c r="D467" t="s">
        <v>11</v>
      </c>
      <c r="E467" t="s">
        <v>293</v>
      </c>
      <c r="F467" t="s">
        <v>52</v>
      </c>
      <c r="G467" t="s">
        <v>70</v>
      </c>
      <c r="H467" t="s">
        <v>73</v>
      </c>
      <c r="I467" t="s">
        <v>70</v>
      </c>
      <c r="J467" t="s">
        <v>73</v>
      </c>
      <c r="K467"/>
      <c r="L467"/>
      <c r="M467"/>
      <c r="N467"/>
      <c r="O467"/>
      <c r="P467"/>
      <c r="Q467"/>
      <c r="R467"/>
      <c r="S467"/>
      <c r="T467"/>
      <c r="U467"/>
      <c r="V467"/>
      <c r="W467"/>
      <c r="X467"/>
      <c r="Y467"/>
      <c r="Z467"/>
      <c r="AA467"/>
      <c r="AB467"/>
      <c r="AC467"/>
      <c r="AD467"/>
      <c r="AE467"/>
      <c r="AF467"/>
      <c r="AG467"/>
      <c r="AH467"/>
      <c r="AI467"/>
      <c r="AJ467"/>
      <c r="AK467"/>
      <c r="AL467">
        <v>2.2000000000000002</v>
      </c>
      <c r="AM467"/>
      <c r="AN467"/>
      <c r="AO467">
        <v>1.6</v>
      </c>
      <c r="AP467"/>
      <c r="AQ467"/>
      <c r="AR467"/>
      <c r="AS467"/>
      <c r="AT467"/>
      <c r="AU467"/>
      <c r="AV467"/>
      <c r="AW467"/>
      <c r="AX467"/>
      <c r="AY467"/>
      <c r="AZ467"/>
      <c r="BA467"/>
      <c r="BB467"/>
      <c r="BC467"/>
      <c r="BD467"/>
      <c r="BE467"/>
      <c r="BF467"/>
      <c r="BG467"/>
      <c r="BH467"/>
      <c r="BI467"/>
      <c r="BJ467" t="s">
        <v>394</v>
      </c>
      <c r="BK467" t="s">
        <v>273</v>
      </c>
      <c r="BL467"/>
      <c r="BM467" t="s">
        <v>380</v>
      </c>
      <c r="BN467" s="22">
        <v>46399</v>
      </c>
      <c r="BO467"/>
      <c r="BP467"/>
      <c r="BQ467"/>
      <c r="BR467"/>
    </row>
    <row r="468" spans="1:70" s="9" customFormat="1">
      <c r="A468" t="s">
        <v>387</v>
      </c>
      <c r="B468"/>
      <c r="C468" t="s">
        <v>10</v>
      </c>
      <c r="D468" t="s">
        <v>11</v>
      </c>
      <c r="E468" t="s">
        <v>293</v>
      </c>
      <c r="F468" t="s">
        <v>52</v>
      </c>
      <c r="G468" t="s">
        <v>70</v>
      </c>
      <c r="H468" t="s">
        <v>73</v>
      </c>
      <c r="I468" t="s">
        <v>70</v>
      </c>
      <c r="J468" t="s">
        <v>73</v>
      </c>
      <c r="K468"/>
      <c r="L468"/>
      <c r="M468"/>
      <c r="N468"/>
      <c r="O468"/>
      <c r="P468"/>
      <c r="Q468"/>
      <c r="R468"/>
      <c r="S468"/>
      <c r="T468"/>
      <c r="U468"/>
      <c r="V468"/>
      <c r="W468"/>
      <c r="X468"/>
      <c r="Y468"/>
      <c r="Z468">
        <v>2.8</v>
      </c>
      <c r="AA468"/>
      <c r="AB468"/>
      <c r="AC468">
        <v>3.7</v>
      </c>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t="s">
        <v>273</v>
      </c>
      <c r="BL468"/>
      <c r="BM468" t="s">
        <v>380</v>
      </c>
      <c r="BN468" s="22">
        <v>46399</v>
      </c>
      <c r="BO468" t="s">
        <v>362</v>
      </c>
      <c r="BP468" t="s">
        <v>380</v>
      </c>
      <c r="BQ468"/>
      <c r="BR468"/>
    </row>
    <row r="469" spans="1:70" s="9" customFormat="1">
      <c r="A469" t="s">
        <v>389</v>
      </c>
      <c r="B469"/>
      <c r="C469" t="s">
        <v>10</v>
      </c>
      <c r="D469" t="s">
        <v>11</v>
      </c>
      <c r="E469" t="s">
        <v>293</v>
      </c>
      <c r="F469" t="s">
        <v>52</v>
      </c>
      <c r="G469" t="s">
        <v>70</v>
      </c>
      <c r="H469" t="s">
        <v>73</v>
      </c>
      <c r="I469" t="s">
        <v>70</v>
      </c>
      <c r="J469" t="s">
        <v>73</v>
      </c>
      <c r="K469"/>
      <c r="L469"/>
      <c r="M469"/>
      <c r="N469"/>
      <c r="O469"/>
      <c r="P469"/>
      <c r="Q469"/>
      <c r="R469"/>
      <c r="S469"/>
      <c r="T469"/>
      <c r="U469"/>
      <c r="V469"/>
      <c r="W469"/>
      <c r="X469"/>
      <c r="Y469"/>
      <c r="Z469"/>
      <c r="AA469"/>
      <c r="AB469"/>
      <c r="AC469"/>
      <c r="AD469">
        <v>2.9</v>
      </c>
      <c r="AE469"/>
      <c r="AF469"/>
      <c r="AG469">
        <v>3.9</v>
      </c>
      <c r="AH469"/>
      <c r="AI469"/>
      <c r="AJ469"/>
      <c r="AK469"/>
      <c r="AL469"/>
      <c r="AM469"/>
      <c r="AN469"/>
      <c r="AO469"/>
      <c r="AP469"/>
      <c r="AQ469"/>
      <c r="AR469"/>
      <c r="AS469"/>
      <c r="AT469"/>
      <c r="AU469"/>
      <c r="AV469"/>
      <c r="AW469"/>
      <c r="AX469"/>
      <c r="AY469"/>
      <c r="AZ469"/>
      <c r="BA469"/>
      <c r="BB469"/>
      <c r="BC469"/>
      <c r="BD469"/>
      <c r="BE469"/>
      <c r="BF469"/>
      <c r="BG469"/>
      <c r="BH469"/>
      <c r="BI469"/>
      <c r="BJ469" t="s">
        <v>390</v>
      </c>
      <c r="BK469" t="s">
        <v>273</v>
      </c>
      <c r="BL469"/>
      <c r="BM469" t="s">
        <v>380</v>
      </c>
      <c r="BN469" s="22">
        <v>46399</v>
      </c>
      <c r="BO469"/>
      <c r="BP469"/>
      <c r="BQ469"/>
      <c r="BR469"/>
    </row>
    <row r="470" spans="1:70" s="22" customFormat="1">
      <c r="A470" t="s">
        <v>395</v>
      </c>
      <c r="B470"/>
      <c r="C470" t="s">
        <v>10</v>
      </c>
      <c r="D470" t="s">
        <v>11</v>
      </c>
      <c r="E470" t="s">
        <v>293</v>
      </c>
      <c r="F470" t="s">
        <v>52</v>
      </c>
      <c r="G470" t="s">
        <v>70</v>
      </c>
      <c r="H470" t="s">
        <v>73</v>
      </c>
      <c r="I470" t="s">
        <v>70</v>
      </c>
      <c r="J470" t="s">
        <v>73</v>
      </c>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v>3.6</v>
      </c>
      <c r="BG470">
        <v>2.4</v>
      </c>
      <c r="BH470">
        <v>2</v>
      </c>
      <c r="BI470">
        <v>2.4</v>
      </c>
      <c r="BJ470"/>
      <c r="BK470" t="s">
        <v>273</v>
      </c>
      <c r="BL470"/>
      <c r="BM470" t="s">
        <v>380</v>
      </c>
      <c r="BN470" s="22">
        <v>46399</v>
      </c>
      <c r="BO470"/>
      <c r="BP470"/>
      <c r="BQ470"/>
      <c r="BR470"/>
    </row>
    <row r="471" spans="1:70" s="22" customFormat="1">
      <c r="A471" t="s">
        <v>386</v>
      </c>
      <c r="B471"/>
      <c r="C471" t="s">
        <v>10</v>
      </c>
      <c r="D471" t="s">
        <v>11</v>
      </c>
      <c r="E471" t="s">
        <v>293</v>
      </c>
      <c r="F471" t="s">
        <v>52</v>
      </c>
      <c r="G471" t="s">
        <v>70</v>
      </c>
      <c r="H471" t="s">
        <v>73</v>
      </c>
      <c r="I471" t="s">
        <v>70</v>
      </c>
      <c r="J471" t="s">
        <v>73</v>
      </c>
      <c r="K471"/>
      <c r="L471"/>
      <c r="M471"/>
      <c r="N471"/>
      <c r="O471"/>
      <c r="P471"/>
      <c r="Q471"/>
      <c r="R471"/>
      <c r="S471"/>
      <c r="T471"/>
      <c r="U471"/>
      <c r="V471"/>
      <c r="W471"/>
      <c r="X471"/>
      <c r="Y471"/>
      <c r="Z471">
        <v>2.6</v>
      </c>
      <c r="AA471"/>
      <c r="AB471"/>
      <c r="AC471">
        <v>3.3</v>
      </c>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t="s">
        <v>273</v>
      </c>
      <c r="BL471"/>
      <c r="BM471" t="s">
        <v>380</v>
      </c>
      <c r="BN471" s="22">
        <v>46399</v>
      </c>
      <c r="BO471"/>
      <c r="BP471"/>
      <c r="BQ471"/>
      <c r="BR471"/>
    </row>
    <row r="472" spans="1:70" s="22" customFormat="1">
      <c r="A472" t="s">
        <v>396</v>
      </c>
      <c r="B472"/>
      <c r="C472" t="s">
        <v>10</v>
      </c>
      <c r="D472" t="s">
        <v>11</v>
      </c>
      <c r="E472" t="s">
        <v>293</v>
      </c>
      <c r="F472" t="s">
        <v>52</v>
      </c>
      <c r="G472" t="s">
        <v>70</v>
      </c>
      <c r="H472" t="s">
        <v>73</v>
      </c>
      <c r="I472" t="s">
        <v>70</v>
      </c>
      <c r="J472" t="s">
        <v>73</v>
      </c>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v>2.4</v>
      </c>
      <c r="BH472"/>
      <c r="BI472">
        <v>2.4</v>
      </c>
      <c r="BJ472" t="s">
        <v>397</v>
      </c>
      <c r="BK472" t="s">
        <v>273</v>
      </c>
      <c r="BL472"/>
      <c r="BM472" t="s">
        <v>380</v>
      </c>
      <c r="BN472" s="22">
        <v>46399</v>
      </c>
      <c r="BO472"/>
      <c r="BP472"/>
      <c r="BQ472"/>
      <c r="BR472"/>
    </row>
    <row r="473" spans="1:70">
      <c r="A473" t="s">
        <v>388</v>
      </c>
      <c r="C473" t="s">
        <v>10</v>
      </c>
      <c r="D473" t="s">
        <v>11</v>
      </c>
      <c r="E473" t="s">
        <v>293</v>
      </c>
      <c r="F473" t="s">
        <v>52</v>
      </c>
      <c r="G473" t="s">
        <v>70</v>
      </c>
      <c r="H473" t="s">
        <v>73</v>
      </c>
      <c r="I473" t="s">
        <v>70</v>
      </c>
      <c r="J473" t="s">
        <v>73</v>
      </c>
      <c r="Z473">
        <v>2.7</v>
      </c>
      <c r="AC473">
        <v>3.1</v>
      </c>
      <c r="BK473" t="s">
        <v>273</v>
      </c>
      <c r="BM473" t="s">
        <v>380</v>
      </c>
      <c r="BN473" s="22">
        <v>46399</v>
      </c>
    </row>
    <row r="474" spans="1:70">
      <c r="A474" t="s">
        <v>391</v>
      </c>
      <c r="C474" t="s">
        <v>10</v>
      </c>
      <c r="D474" t="s">
        <v>11</v>
      </c>
      <c r="E474" t="s">
        <v>293</v>
      </c>
      <c r="F474" t="s">
        <v>52</v>
      </c>
      <c r="G474" t="s">
        <v>70</v>
      </c>
      <c r="H474" t="s">
        <v>73</v>
      </c>
      <c r="I474" t="s">
        <v>70</v>
      </c>
      <c r="J474" t="s">
        <v>73</v>
      </c>
      <c r="AL474">
        <v>2.4</v>
      </c>
      <c r="AO474">
        <v>1.5</v>
      </c>
      <c r="BK474" t="s">
        <v>273</v>
      </c>
      <c r="BM474" t="s">
        <v>380</v>
      </c>
      <c r="BN474" s="22">
        <v>46399</v>
      </c>
    </row>
    <row r="475" spans="1:70">
      <c r="A475" t="s">
        <v>383</v>
      </c>
      <c r="C475" t="s">
        <v>10</v>
      </c>
      <c r="D475" t="s">
        <v>11</v>
      </c>
      <c r="E475" t="s">
        <v>293</v>
      </c>
      <c r="F475" t="s">
        <v>52</v>
      </c>
      <c r="G475" t="s">
        <v>70</v>
      </c>
      <c r="H475" t="s">
        <v>73</v>
      </c>
      <c r="I475" t="s">
        <v>70</v>
      </c>
      <c r="J475" t="s">
        <v>73</v>
      </c>
      <c r="AX475">
        <v>3</v>
      </c>
      <c r="AY475">
        <v>2.5</v>
      </c>
      <c r="AZ475">
        <v>2.5</v>
      </c>
      <c r="BA475">
        <v>2.5</v>
      </c>
      <c r="BK475" t="s">
        <v>273</v>
      </c>
      <c r="BM475" t="s">
        <v>380</v>
      </c>
      <c r="BN475" s="22">
        <v>46399</v>
      </c>
    </row>
    <row r="476" spans="1:70">
      <c r="A476" t="s">
        <v>1188</v>
      </c>
      <c r="C476" t="s">
        <v>10</v>
      </c>
      <c r="D476" t="s">
        <v>1039</v>
      </c>
      <c r="E476" t="s">
        <v>1040</v>
      </c>
      <c r="G476" t="s">
        <v>1165</v>
      </c>
      <c r="H476" t="s">
        <v>1166</v>
      </c>
      <c r="I476" t="s">
        <v>1165</v>
      </c>
      <c r="J476" t="s">
        <v>1166</v>
      </c>
      <c r="M476" s="18"/>
      <c r="V476">
        <v>8.3000000000000007</v>
      </c>
      <c r="Y476">
        <v>8.4</v>
      </c>
      <c r="BK476" t="s">
        <v>273</v>
      </c>
      <c r="BM476" t="s">
        <v>380</v>
      </c>
      <c r="BN476" s="22">
        <v>46399</v>
      </c>
    </row>
    <row r="477" spans="1:70">
      <c r="A477" t="s">
        <v>800</v>
      </c>
      <c r="C477" t="s">
        <v>484</v>
      </c>
      <c r="E477" t="s">
        <v>485</v>
      </c>
      <c r="G477" t="s">
        <v>184</v>
      </c>
      <c r="H477" t="s">
        <v>833</v>
      </c>
      <c r="I477" t="s">
        <v>184</v>
      </c>
      <c r="J477" t="s">
        <v>833</v>
      </c>
      <c r="M477" t="s">
        <v>801</v>
      </c>
      <c r="Z477">
        <v>3.3</v>
      </c>
      <c r="AC477">
        <v>4.7699999999999996</v>
      </c>
      <c r="BK477" t="s">
        <v>273</v>
      </c>
      <c r="BM477" t="s">
        <v>780</v>
      </c>
      <c r="BN477">
        <v>3096</v>
      </c>
    </row>
    <row r="478" spans="1:70">
      <c r="A478" t="s">
        <v>799</v>
      </c>
      <c r="C478" t="s">
        <v>484</v>
      </c>
      <c r="E478" t="s">
        <v>485</v>
      </c>
      <c r="G478" t="s">
        <v>184</v>
      </c>
      <c r="H478" t="s">
        <v>833</v>
      </c>
      <c r="I478" t="s">
        <v>184</v>
      </c>
      <c r="J478" t="s">
        <v>833</v>
      </c>
      <c r="M478" t="s">
        <v>802</v>
      </c>
      <c r="AD478">
        <v>3.65</v>
      </c>
      <c r="AG478">
        <v>5.3</v>
      </c>
      <c r="AH478">
        <v>2.77</v>
      </c>
      <c r="AK478">
        <v>4.7</v>
      </c>
      <c r="BJ478" t="s">
        <v>750</v>
      </c>
      <c r="BK478" t="s">
        <v>273</v>
      </c>
      <c r="BM478" t="s">
        <v>780</v>
      </c>
      <c r="BN478">
        <v>3096</v>
      </c>
    </row>
    <row r="479" spans="1:70">
      <c r="A479" t="s">
        <v>797</v>
      </c>
      <c r="C479" t="s">
        <v>484</v>
      </c>
      <c r="E479" t="s">
        <v>485</v>
      </c>
      <c r="G479" t="s">
        <v>184</v>
      </c>
      <c r="H479" t="s">
        <v>833</v>
      </c>
      <c r="I479" t="s">
        <v>184</v>
      </c>
      <c r="J479" t="s">
        <v>833</v>
      </c>
      <c r="BB479">
        <v>3.46</v>
      </c>
      <c r="BC479">
        <v>2.71</v>
      </c>
      <c r="BD479">
        <v>2.75</v>
      </c>
      <c r="BE479">
        <v>2.75</v>
      </c>
      <c r="BJ479" t="s">
        <v>798</v>
      </c>
      <c r="BK479" t="s">
        <v>273</v>
      </c>
      <c r="BM479" t="s">
        <v>780</v>
      </c>
      <c r="BN479">
        <v>3096</v>
      </c>
    </row>
    <row r="480" spans="1:70">
      <c r="A480" t="s">
        <v>796</v>
      </c>
      <c r="C480" t="s">
        <v>484</v>
      </c>
      <c r="E480" t="s">
        <v>485</v>
      </c>
      <c r="G480" t="s">
        <v>184</v>
      </c>
      <c r="H480" t="s">
        <v>833</v>
      </c>
      <c r="I480" t="s">
        <v>184</v>
      </c>
      <c r="J480" t="s">
        <v>833</v>
      </c>
      <c r="AD480">
        <v>3.49</v>
      </c>
      <c r="AG480">
        <v>4.72</v>
      </c>
      <c r="BK480" t="s">
        <v>273</v>
      </c>
      <c r="BM480" t="s">
        <v>780</v>
      </c>
      <c r="BN480">
        <v>3096</v>
      </c>
    </row>
    <row r="481" spans="1:66">
      <c r="A481" t="s">
        <v>1254</v>
      </c>
      <c r="C481" t="s">
        <v>10</v>
      </c>
      <c r="D481" t="s">
        <v>11</v>
      </c>
      <c r="E481" t="s">
        <v>165</v>
      </c>
      <c r="G481" t="s">
        <v>464</v>
      </c>
      <c r="H481" t="s">
        <v>769</v>
      </c>
      <c r="I481" t="s">
        <v>464</v>
      </c>
      <c r="J481" t="s">
        <v>766</v>
      </c>
      <c r="Z481">
        <v>14.4</v>
      </c>
      <c r="AC481">
        <v>16.600000000000001</v>
      </c>
      <c r="AD481">
        <v>15</v>
      </c>
      <c r="BK481" t="s">
        <v>273</v>
      </c>
      <c r="BM481" t="s">
        <v>780</v>
      </c>
      <c r="BN481">
        <v>3096</v>
      </c>
    </row>
    <row r="482" spans="1:66">
      <c r="A482" t="s">
        <v>782</v>
      </c>
      <c r="C482" t="s">
        <v>10</v>
      </c>
      <c r="D482" t="s">
        <v>11</v>
      </c>
      <c r="E482" t="s">
        <v>165</v>
      </c>
      <c r="G482" t="s">
        <v>358</v>
      </c>
      <c r="H482" t="s">
        <v>60</v>
      </c>
      <c r="I482" t="s">
        <v>358</v>
      </c>
      <c r="J482" t="s">
        <v>60</v>
      </c>
      <c r="AY482">
        <v>3.57</v>
      </c>
      <c r="BA482">
        <v>3.57</v>
      </c>
      <c r="BK482" t="s">
        <v>273</v>
      </c>
      <c r="BM482" t="s">
        <v>780</v>
      </c>
      <c r="BN482">
        <v>3096</v>
      </c>
    </row>
    <row r="483" spans="1:66">
      <c r="A483" t="s">
        <v>792</v>
      </c>
      <c r="C483" t="s">
        <v>10</v>
      </c>
      <c r="D483" t="s">
        <v>11</v>
      </c>
      <c r="E483" t="s">
        <v>293</v>
      </c>
      <c r="G483" t="s">
        <v>70</v>
      </c>
      <c r="H483" t="s">
        <v>56</v>
      </c>
      <c r="I483" t="s">
        <v>70</v>
      </c>
      <c r="J483" t="s">
        <v>56</v>
      </c>
      <c r="Z483">
        <f>AVERAGE(4.46,4.42,4.36)</f>
        <v>4.4133333333333331</v>
      </c>
      <c r="AC483">
        <f>AVERAGE(5.75,5.88,5.83)</f>
        <v>5.82</v>
      </c>
      <c r="AD483">
        <f>AVERAGE(3.91,4.09)</f>
        <v>4</v>
      </c>
      <c r="AG483">
        <f>AVERAGE(6.24,6.15)</f>
        <v>6.1950000000000003</v>
      </c>
      <c r="BK483" t="s">
        <v>273</v>
      </c>
      <c r="BM483" t="s">
        <v>780</v>
      </c>
      <c r="BN483">
        <v>3096</v>
      </c>
    </row>
    <row r="484" spans="1:66">
      <c r="A484" t="s">
        <v>790</v>
      </c>
      <c r="C484" t="s">
        <v>10</v>
      </c>
      <c r="D484" t="s">
        <v>11</v>
      </c>
      <c r="E484" t="s">
        <v>293</v>
      </c>
      <c r="G484" t="s">
        <v>70</v>
      </c>
      <c r="H484" t="s">
        <v>56</v>
      </c>
      <c r="I484" t="s">
        <v>70</v>
      </c>
      <c r="J484" t="s">
        <v>794</v>
      </c>
      <c r="AD484">
        <v>3.8</v>
      </c>
      <c r="AG484">
        <v>5.89</v>
      </c>
      <c r="BJ484" t="s">
        <v>788</v>
      </c>
      <c r="BK484" t="s">
        <v>273</v>
      </c>
      <c r="BM484" t="s">
        <v>780</v>
      </c>
      <c r="BN484">
        <v>3096</v>
      </c>
    </row>
    <row r="485" spans="1:66">
      <c r="A485" t="s">
        <v>791</v>
      </c>
      <c r="C485" t="s">
        <v>10</v>
      </c>
      <c r="D485" t="s">
        <v>11</v>
      </c>
      <c r="E485" t="s">
        <v>293</v>
      </c>
      <c r="G485" t="s">
        <v>70</v>
      </c>
      <c r="H485" t="s">
        <v>56</v>
      </c>
      <c r="I485" t="s">
        <v>70</v>
      </c>
      <c r="J485" t="s">
        <v>794</v>
      </c>
      <c r="Z485">
        <v>4.38</v>
      </c>
      <c r="AC485">
        <v>5.96</v>
      </c>
      <c r="BJ485" t="s">
        <v>795</v>
      </c>
      <c r="BK485" t="s">
        <v>273</v>
      </c>
      <c r="BM485" t="s">
        <v>780</v>
      </c>
      <c r="BN485">
        <v>3096</v>
      </c>
    </row>
    <row r="486" spans="1:66">
      <c r="A486" t="s">
        <v>793</v>
      </c>
      <c r="C486" t="s">
        <v>10</v>
      </c>
      <c r="D486" t="s">
        <v>11</v>
      </c>
      <c r="E486" t="s">
        <v>293</v>
      </c>
      <c r="G486" t="s">
        <v>70</v>
      </c>
      <c r="H486" t="s">
        <v>72</v>
      </c>
      <c r="I486" t="s">
        <v>70</v>
      </c>
      <c r="J486" t="s">
        <v>72</v>
      </c>
      <c r="AD486">
        <v>4</v>
      </c>
      <c r="AG486">
        <v>5.87</v>
      </c>
      <c r="BK486" t="s">
        <v>273</v>
      </c>
      <c r="BM486" t="s">
        <v>780</v>
      </c>
      <c r="BN486">
        <v>3096</v>
      </c>
    </row>
    <row r="487" spans="1:66">
      <c r="A487" t="s">
        <v>789</v>
      </c>
      <c r="C487" t="s">
        <v>10</v>
      </c>
      <c r="D487" t="s">
        <v>11</v>
      </c>
      <c r="E487" t="s">
        <v>473</v>
      </c>
      <c r="G487" t="s">
        <v>525</v>
      </c>
      <c r="H487" t="s">
        <v>658</v>
      </c>
      <c r="I487" t="s">
        <v>525</v>
      </c>
      <c r="J487" t="s">
        <v>784</v>
      </c>
      <c r="AT487">
        <v>11.4</v>
      </c>
      <c r="AW487">
        <v>8</v>
      </c>
      <c r="BK487" t="s">
        <v>273</v>
      </c>
      <c r="BM487" t="s">
        <v>780</v>
      </c>
      <c r="BN487">
        <v>3096</v>
      </c>
    </row>
    <row r="488" spans="1:66">
      <c r="A488" t="s">
        <v>787</v>
      </c>
      <c r="C488" t="s">
        <v>10</v>
      </c>
      <c r="D488" t="s">
        <v>11</v>
      </c>
      <c r="E488" t="s">
        <v>473</v>
      </c>
      <c r="G488" t="s">
        <v>525</v>
      </c>
      <c r="H488" t="s">
        <v>658</v>
      </c>
      <c r="I488" t="s">
        <v>525</v>
      </c>
      <c r="J488" t="s">
        <v>784</v>
      </c>
      <c r="BK488" t="s">
        <v>273</v>
      </c>
      <c r="BM488" t="s">
        <v>780</v>
      </c>
      <c r="BN488">
        <v>3096</v>
      </c>
    </row>
    <row r="489" spans="1:66">
      <c r="A489" t="s">
        <v>785</v>
      </c>
      <c r="C489" t="s">
        <v>10</v>
      </c>
      <c r="D489" t="s">
        <v>11</v>
      </c>
      <c r="E489" t="s">
        <v>473</v>
      </c>
      <c r="G489" t="s">
        <v>525</v>
      </c>
      <c r="H489" t="s">
        <v>658</v>
      </c>
      <c r="I489" t="s">
        <v>525</v>
      </c>
      <c r="J489" t="s">
        <v>784</v>
      </c>
      <c r="AT489">
        <v>11.6</v>
      </c>
      <c r="AW489">
        <v>8</v>
      </c>
      <c r="BJ489" t="s">
        <v>788</v>
      </c>
      <c r="BK489" t="s">
        <v>273</v>
      </c>
      <c r="BM489" t="s">
        <v>780</v>
      </c>
      <c r="BN489">
        <v>3096</v>
      </c>
    </row>
    <row r="490" spans="1:66">
      <c r="A490" t="s">
        <v>783</v>
      </c>
      <c r="C490" t="s">
        <v>10</v>
      </c>
      <c r="D490" t="s">
        <v>11</v>
      </c>
      <c r="E490" t="s">
        <v>473</v>
      </c>
      <c r="G490" t="s">
        <v>525</v>
      </c>
      <c r="H490" t="s">
        <v>658</v>
      </c>
      <c r="I490" t="s">
        <v>525</v>
      </c>
      <c r="J490" t="s">
        <v>784</v>
      </c>
      <c r="AL490">
        <v>11.4</v>
      </c>
      <c r="AO490">
        <v>7.2</v>
      </c>
      <c r="AP490">
        <v>12.3</v>
      </c>
      <c r="AS490">
        <v>8.3000000000000007</v>
      </c>
      <c r="AT490">
        <v>11.6</v>
      </c>
      <c r="AW490">
        <v>8.3000000000000007</v>
      </c>
      <c r="AX490">
        <v>11</v>
      </c>
      <c r="AY490">
        <v>8.4</v>
      </c>
      <c r="AZ490">
        <v>8.3000000000000007</v>
      </c>
      <c r="BA490">
        <v>8.4</v>
      </c>
      <c r="BK490" t="s">
        <v>273</v>
      </c>
      <c r="BM490" t="s">
        <v>780</v>
      </c>
      <c r="BN490">
        <v>3096</v>
      </c>
    </row>
    <row r="491" spans="1:66">
      <c r="A491" t="s">
        <v>786</v>
      </c>
      <c r="C491" t="s">
        <v>10</v>
      </c>
      <c r="D491" t="s">
        <v>11</v>
      </c>
      <c r="E491" t="s">
        <v>473</v>
      </c>
      <c r="G491" t="s">
        <v>525</v>
      </c>
      <c r="H491" t="s">
        <v>658</v>
      </c>
      <c r="I491" t="s">
        <v>525</v>
      </c>
      <c r="J491" t="s">
        <v>784</v>
      </c>
      <c r="AP491">
        <v>13.6</v>
      </c>
      <c r="AS491">
        <v>8.6999999999999993</v>
      </c>
      <c r="BK491" t="s">
        <v>273</v>
      </c>
      <c r="BM491" t="s">
        <v>780</v>
      </c>
      <c r="BN491">
        <v>3096</v>
      </c>
    </row>
    <row r="492" spans="1:66">
      <c r="A492" t="s">
        <v>1197</v>
      </c>
      <c r="C492" t="s">
        <v>10</v>
      </c>
      <c r="D492" t="s">
        <v>1039</v>
      </c>
      <c r="E492" t="s">
        <v>1040</v>
      </c>
      <c r="G492" t="s">
        <v>1042</v>
      </c>
      <c r="H492" t="s">
        <v>60</v>
      </c>
      <c r="I492" t="s">
        <v>1042</v>
      </c>
      <c r="J492" t="s">
        <v>60</v>
      </c>
      <c r="M492" s="18"/>
      <c r="AD492" s="6">
        <v>8.6999999999999993</v>
      </c>
      <c r="AG492">
        <v>9.85</v>
      </c>
      <c r="AH492">
        <v>6.65</v>
      </c>
      <c r="AK492">
        <v>7.45</v>
      </c>
      <c r="BJ492" t="s">
        <v>1198</v>
      </c>
      <c r="BK492" t="s">
        <v>273</v>
      </c>
      <c r="BM492" t="s">
        <v>780</v>
      </c>
      <c r="BN492">
        <v>3096</v>
      </c>
    </row>
    <row r="493" spans="1:66">
      <c r="A493" t="s">
        <v>1199</v>
      </c>
      <c r="C493" t="s">
        <v>10</v>
      </c>
      <c r="D493" t="s">
        <v>1039</v>
      </c>
      <c r="E493" t="s">
        <v>1040</v>
      </c>
      <c r="G493" t="s">
        <v>1042</v>
      </c>
      <c r="H493" t="s">
        <v>60</v>
      </c>
      <c r="I493" t="s">
        <v>1042</v>
      </c>
      <c r="J493" t="s">
        <v>60</v>
      </c>
      <c r="M493" s="18"/>
      <c r="AD493">
        <v>8.0500000000000007</v>
      </c>
      <c r="AG493">
        <v>8.66</v>
      </c>
      <c r="BK493" t="s">
        <v>273</v>
      </c>
      <c r="BM493" t="s">
        <v>780</v>
      </c>
      <c r="BN493">
        <v>3096</v>
      </c>
    </row>
    <row r="494" spans="1:66">
      <c r="A494" t="s">
        <v>1196</v>
      </c>
      <c r="C494" t="s">
        <v>10</v>
      </c>
      <c r="D494" t="s">
        <v>1039</v>
      </c>
      <c r="E494" t="s">
        <v>1040</v>
      </c>
      <c r="G494" t="s">
        <v>1165</v>
      </c>
      <c r="H494" t="s">
        <v>1166</v>
      </c>
      <c r="I494" t="s">
        <v>1165</v>
      </c>
      <c r="J494" t="s">
        <v>1166</v>
      </c>
      <c r="M494" s="18"/>
      <c r="AL494">
        <v>6</v>
      </c>
      <c r="AO494">
        <v>3.2</v>
      </c>
      <c r="AP494">
        <v>7.1</v>
      </c>
      <c r="AS494">
        <v>4.2</v>
      </c>
      <c r="AT494">
        <v>7.8</v>
      </c>
      <c r="AW494">
        <v>5.3</v>
      </c>
      <c r="AX494">
        <v>8</v>
      </c>
      <c r="AY494">
        <v>6.4</v>
      </c>
      <c r="AZ494">
        <v>6.6</v>
      </c>
      <c r="BA494">
        <v>6.6</v>
      </c>
      <c r="BB494">
        <v>8.4</v>
      </c>
      <c r="BC494">
        <v>7.1</v>
      </c>
      <c r="BD494">
        <v>6.7</v>
      </c>
      <c r="BE494">
        <v>7.1</v>
      </c>
      <c r="BF494">
        <v>9</v>
      </c>
      <c r="BG494">
        <v>6.1</v>
      </c>
      <c r="BH494">
        <v>5.3</v>
      </c>
      <c r="BI494">
        <v>6.1</v>
      </c>
      <c r="BK494" t="s">
        <v>273</v>
      </c>
      <c r="BM494" t="s">
        <v>780</v>
      </c>
      <c r="BN494">
        <v>3096</v>
      </c>
    </row>
    <row r="495" spans="1:66">
      <c r="A495" t="s">
        <v>348</v>
      </c>
      <c r="B495" t="s">
        <v>1248</v>
      </c>
      <c r="C495" t="s">
        <v>484</v>
      </c>
      <c r="E495" t="s">
        <v>485</v>
      </c>
      <c r="G495" t="s">
        <v>254</v>
      </c>
      <c r="H495" t="s">
        <v>347</v>
      </c>
      <c r="I495" t="s">
        <v>254</v>
      </c>
      <c r="J495" t="s">
        <v>347</v>
      </c>
      <c r="AP495">
        <v>2.1</v>
      </c>
      <c r="AS495">
        <v>1.4</v>
      </c>
      <c r="AT495">
        <v>2.5</v>
      </c>
      <c r="AW495">
        <v>1.6</v>
      </c>
      <c r="AX495">
        <v>2.4</v>
      </c>
      <c r="BA495">
        <v>2.2000000000000002</v>
      </c>
      <c r="BB495">
        <v>2.6</v>
      </c>
      <c r="BE495">
        <v>2.6</v>
      </c>
      <c r="BF495">
        <v>2.8</v>
      </c>
      <c r="BI495">
        <v>2.2000000000000002</v>
      </c>
      <c r="BK495" t="s">
        <v>159</v>
      </c>
      <c r="BM495" t="s">
        <v>494</v>
      </c>
      <c r="BN495" s="33">
        <v>3140</v>
      </c>
    </row>
    <row r="496" spans="1:66">
      <c r="A496" t="s">
        <v>496</v>
      </c>
      <c r="B496" t="s">
        <v>1248</v>
      </c>
      <c r="C496" t="s">
        <v>10</v>
      </c>
      <c r="D496" t="s">
        <v>11</v>
      </c>
      <c r="E496" t="s">
        <v>165</v>
      </c>
      <c r="F496" t="s">
        <v>169</v>
      </c>
      <c r="G496" t="s">
        <v>166</v>
      </c>
      <c r="H496" t="s">
        <v>64</v>
      </c>
      <c r="I496" t="s">
        <v>429</v>
      </c>
      <c r="J496" t="s">
        <v>431</v>
      </c>
      <c r="AT496">
        <v>5</v>
      </c>
      <c r="AW496">
        <v>2.9</v>
      </c>
      <c r="AX496">
        <v>5.5</v>
      </c>
      <c r="BA496">
        <v>4.0999999999999996</v>
      </c>
      <c r="BB496">
        <v>5.7</v>
      </c>
      <c r="BE496">
        <v>5.2</v>
      </c>
      <c r="BF496">
        <v>6.5</v>
      </c>
      <c r="BI496">
        <v>4</v>
      </c>
      <c r="BK496" t="s">
        <v>159</v>
      </c>
      <c r="BM496" t="s">
        <v>494</v>
      </c>
      <c r="BN496" s="33">
        <v>3140</v>
      </c>
    </row>
    <row r="497" spans="1:70">
      <c r="A497" t="s">
        <v>442</v>
      </c>
      <c r="B497" t="s">
        <v>1248</v>
      </c>
      <c r="C497" t="s">
        <v>10</v>
      </c>
      <c r="D497" t="s">
        <v>11</v>
      </c>
      <c r="E497" t="s">
        <v>165</v>
      </c>
      <c r="F497" t="s">
        <v>169</v>
      </c>
      <c r="G497" t="s">
        <v>166</v>
      </c>
      <c r="H497" t="s">
        <v>64</v>
      </c>
      <c r="I497" t="s">
        <v>1216</v>
      </c>
      <c r="J497" t="s">
        <v>432</v>
      </c>
      <c r="AP497">
        <v>3.8</v>
      </c>
      <c r="AS497">
        <v>2.2999999999999998</v>
      </c>
      <c r="AT497">
        <v>5</v>
      </c>
      <c r="AW497">
        <v>2.8</v>
      </c>
      <c r="AX497">
        <v>5.2</v>
      </c>
      <c r="BA497">
        <v>3.9</v>
      </c>
      <c r="BB497">
        <v>5.8</v>
      </c>
      <c r="BE497">
        <v>4.5</v>
      </c>
      <c r="BK497" t="s">
        <v>159</v>
      </c>
      <c r="BM497" t="s">
        <v>494</v>
      </c>
      <c r="BN497" s="33">
        <v>3140</v>
      </c>
    </row>
    <row r="498" spans="1:70">
      <c r="A498" t="s">
        <v>441</v>
      </c>
      <c r="B498" t="s">
        <v>1248</v>
      </c>
      <c r="C498" t="s">
        <v>10</v>
      </c>
      <c r="D498" t="s">
        <v>11</v>
      </c>
      <c r="E498" t="s">
        <v>165</v>
      </c>
      <c r="F498" t="s">
        <v>157</v>
      </c>
      <c r="G498" t="s">
        <v>166</v>
      </c>
      <c r="H498" t="s">
        <v>430</v>
      </c>
      <c r="I498" t="s">
        <v>166</v>
      </c>
      <c r="J498" t="s">
        <v>495</v>
      </c>
      <c r="AP498">
        <v>3.5</v>
      </c>
      <c r="AS498">
        <v>2</v>
      </c>
      <c r="AT498">
        <v>4.4000000000000004</v>
      </c>
      <c r="AW498">
        <v>2.6</v>
      </c>
      <c r="AX498">
        <v>4.9000000000000004</v>
      </c>
      <c r="BA498">
        <v>3.7</v>
      </c>
      <c r="BB498">
        <v>6</v>
      </c>
      <c r="BE498">
        <v>4.3</v>
      </c>
      <c r="BK498" t="s">
        <v>159</v>
      </c>
      <c r="BM498" t="s">
        <v>494</v>
      </c>
      <c r="BN498" s="33">
        <v>3140</v>
      </c>
    </row>
    <row r="499" spans="1:70">
      <c r="A499" t="s">
        <v>439</v>
      </c>
      <c r="B499" t="s">
        <v>1248</v>
      </c>
      <c r="C499" t="s">
        <v>10</v>
      </c>
      <c r="D499" t="s">
        <v>11</v>
      </c>
      <c r="E499" t="s">
        <v>165</v>
      </c>
      <c r="F499" t="s">
        <v>157</v>
      </c>
      <c r="G499" t="s">
        <v>166</v>
      </c>
      <c r="H499" t="s">
        <v>430</v>
      </c>
      <c r="I499" t="s">
        <v>429</v>
      </c>
      <c r="J499" t="s">
        <v>430</v>
      </c>
      <c r="AX499">
        <v>4.7</v>
      </c>
      <c r="BA499">
        <v>3.9</v>
      </c>
      <c r="BB499">
        <v>4.9000000000000004</v>
      </c>
      <c r="BE499">
        <v>4.4000000000000004</v>
      </c>
      <c r="BF499">
        <v>6</v>
      </c>
      <c r="BI499">
        <v>3.8</v>
      </c>
      <c r="BK499" t="s">
        <v>159</v>
      </c>
      <c r="BM499" t="s">
        <v>494</v>
      </c>
      <c r="BN499" s="33">
        <v>3140</v>
      </c>
    </row>
    <row r="500" spans="1:70">
      <c r="A500" t="s">
        <v>421</v>
      </c>
      <c r="C500" t="s">
        <v>10</v>
      </c>
      <c r="D500" t="s">
        <v>11</v>
      </c>
      <c r="E500" t="s">
        <v>165</v>
      </c>
      <c r="F500" t="s">
        <v>169</v>
      </c>
      <c r="G500" t="s">
        <v>401</v>
      </c>
      <c r="H500" t="s">
        <v>218</v>
      </c>
      <c r="I500" t="s">
        <v>401</v>
      </c>
      <c r="J500" t="s">
        <v>422</v>
      </c>
      <c r="AD500">
        <v>9</v>
      </c>
      <c r="AG500">
        <v>13.5</v>
      </c>
      <c r="AH500">
        <v>6.7</v>
      </c>
      <c r="AK500">
        <v>10</v>
      </c>
      <c r="BK500" t="s">
        <v>159</v>
      </c>
      <c r="BM500" t="s">
        <v>494</v>
      </c>
      <c r="BN500" s="33">
        <v>3140</v>
      </c>
    </row>
    <row r="501" spans="1:70">
      <c r="A501" t="s">
        <v>423</v>
      </c>
      <c r="B501" t="s">
        <v>1248</v>
      </c>
      <c r="C501" t="s">
        <v>10</v>
      </c>
      <c r="D501" t="s">
        <v>11</v>
      </c>
      <c r="E501" t="s">
        <v>165</v>
      </c>
      <c r="F501" t="s">
        <v>169</v>
      </c>
      <c r="G501" t="s">
        <v>237</v>
      </c>
      <c r="H501" t="s">
        <v>424</v>
      </c>
      <c r="I501" t="s">
        <v>237</v>
      </c>
      <c r="J501" t="s">
        <v>424</v>
      </c>
      <c r="BE501">
        <v>14.6</v>
      </c>
      <c r="BF501">
        <v>10</v>
      </c>
      <c r="BK501" t="s">
        <v>159</v>
      </c>
      <c r="BM501" t="s">
        <v>494</v>
      </c>
      <c r="BN501" s="33">
        <v>3140</v>
      </c>
    </row>
    <row r="502" spans="1:70">
      <c r="A502" t="s">
        <v>427</v>
      </c>
      <c r="C502" t="s">
        <v>10</v>
      </c>
      <c r="D502" t="s">
        <v>11</v>
      </c>
      <c r="E502" t="s">
        <v>165</v>
      </c>
      <c r="F502" t="s">
        <v>169</v>
      </c>
      <c r="G502" t="s">
        <v>237</v>
      </c>
      <c r="H502" t="s">
        <v>424</v>
      </c>
      <c r="I502" t="s">
        <v>237</v>
      </c>
      <c r="J502" t="s">
        <v>424</v>
      </c>
      <c r="BB502">
        <v>10.5</v>
      </c>
      <c r="BE502">
        <v>12.6</v>
      </c>
      <c r="BK502" t="s">
        <v>159</v>
      </c>
      <c r="BM502" t="s">
        <v>494</v>
      </c>
      <c r="BN502" s="33">
        <v>3140</v>
      </c>
    </row>
    <row r="503" spans="1:70">
      <c r="A503" t="s">
        <v>436</v>
      </c>
      <c r="B503" t="s">
        <v>1248</v>
      </c>
      <c r="C503" t="s">
        <v>10</v>
      </c>
      <c r="D503" t="s">
        <v>11</v>
      </c>
      <c r="E503" t="s">
        <v>165</v>
      </c>
      <c r="F503" t="s">
        <v>169</v>
      </c>
      <c r="G503" t="s">
        <v>474</v>
      </c>
      <c r="H503" t="s">
        <v>437</v>
      </c>
      <c r="I503" t="s">
        <v>166</v>
      </c>
      <c r="J503" t="s">
        <v>437</v>
      </c>
      <c r="AX503">
        <v>7</v>
      </c>
      <c r="AY503">
        <v>4.9000000000000004</v>
      </c>
      <c r="AZ503">
        <v>5.9</v>
      </c>
      <c r="BA503">
        <v>5.9</v>
      </c>
      <c r="BK503" t="s">
        <v>159</v>
      </c>
      <c r="BM503" t="s">
        <v>494</v>
      </c>
      <c r="BN503" s="33">
        <v>3140</v>
      </c>
    </row>
    <row r="504" spans="1:70">
      <c r="A504" t="s">
        <v>434</v>
      </c>
      <c r="B504" t="s">
        <v>1248</v>
      </c>
      <c r="C504" t="s">
        <v>10</v>
      </c>
      <c r="D504" t="s">
        <v>11</v>
      </c>
      <c r="E504" t="s">
        <v>165</v>
      </c>
      <c r="F504" t="s">
        <v>169</v>
      </c>
      <c r="G504" t="s">
        <v>13</v>
      </c>
      <c r="H504" t="s">
        <v>16</v>
      </c>
      <c r="I504" t="s">
        <v>13</v>
      </c>
      <c r="J504" t="s">
        <v>16</v>
      </c>
      <c r="AT504">
        <v>4.9000000000000004</v>
      </c>
      <c r="AW504">
        <v>2.7</v>
      </c>
      <c r="AX504">
        <v>5.2</v>
      </c>
      <c r="BA504">
        <v>3.7</v>
      </c>
      <c r="BB504">
        <v>5.2</v>
      </c>
      <c r="BE504">
        <v>4.2</v>
      </c>
      <c r="BF504">
        <v>5.3</v>
      </c>
      <c r="BI504">
        <v>4</v>
      </c>
      <c r="BK504" t="s">
        <v>159</v>
      </c>
      <c r="BM504" t="s">
        <v>494</v>
      </c>
      <c r="BN504" s="33">
        <v>3140</v>
      </c>
    </row>
    <row r="505" spans="1:70">
      <c r="A505" t="s">
        <v>443</v>
      </c>
      <c r="B505" t="s">
        <v>1248</v>
      </c>
      <c r="C505" t="s">
        <v>10</v>
      </c>
      <c r="D505" t="s">
        <v>11</v>
      </c>
      <c r="E505" t="s">
        <v>165</v>
      </c>
      <c r="F505" t="s">
        <v>169</v>
      </c>
      <c r="G505" t="s">
        <v>105</v>
      </c>
      <c r="H505" t="s">
        <v>486</v>
      </c>
      <c r="I505" t="s">
        <v>105</v>
      </c>
      <c r="J505" t="s">
        <v>28</v>
      </c>
      <c r="AL505">
        <v>3.6</v>
      </c>
      <c r="AO505">
        <v>2.8</v>
      </c>
      <c r="AP505">
        <v>4.5999999999999996</v>
      </c>
      <c r="AS505">
        <v>3.3</v>
      </c>
      <c r="AT505">
        <v>5.4</v>
      </c>
      <c r="AW505">
        <v>4</v>
      </c>
      <c r="AX505">
        <v>5.5</v>
      </c>
      <c r="BA505">
        <v>4.7</v>
      </c>
      <c r="BB505">
        <v>6</v>
      </c>
      <c r="BE505">
        <v>5.5</v>
      </c>
      <c r="BF505">
        <v>6.1</v>
      </c>
      <c r="BI505">
        <v>4.7</v>
      </c>
      <c r="BK505" t="s">
        <v>159</v>
      </c>
      <c r="BM505" t="s">
        <v>494</v>
      </c>
      <c r="BN505" s="33">
        <v>3140</v>
      </c>
    </row>
    <row r="506" spans="1:70">
      <c r="A506" t="s">
        <v>498</v>
      </c>
      <c r="B506" t="s">
        <v>1248</v>
      </c>
      <c r="C506" t="s">
        <v>10</v>
      </c>
      <c r="D506" t="s">
        <v>11</v>
      </c>
      <c r="E506" t="s">
        <v>293</v>
      </c>
      <c r="G506" t="s">
        <v>48</v>
      </c>
      <c r="H506" t="s">
        <v>49</v>
      </c>
      <c r="I506" t="s">
        <v>48</v>
      </c>
      <c r="J506" t="s">
        <v>49</v>
      </c>
      <c r="AL506">
        <v>2.9</v>
      </c>
      <c r="AO506">
        <v>1.7</v>
      </c>
      <c r="AP506">
        <v>3.3</v>
      </c>
      <c r="AS506">
        <v>1.9</v>
      </c>
      <c r="AT506">
        <v>3.5</v>
      </c>
      <c r="AW506">
        <v>2.6</v>
      </c>
      <c r="AX506">
        <v>3.9</v>
      </c>
      <c r="BA506">
        <v>3.4</v>
      </c>
      <c r="BB506">
        <v>4.3</v>
      </c>
      <c r="BE506">
        <v>3.9</v>
      </c>
      <c r="BI506">
        <v>3.4</v>
      </c>
      <c r="BK506" t="s">
        <v>159</v>
      </c>
      <c r="BM506" t="s">
        <v>494</v>
      </c>
      <c r="BN506" s="33">
        <v>3140</v>
      </c>
    </row>
    <row r="507" spans="1:70" s="14" customFormat="1">
      <c r="A507" s="22" t="s">
        <v>455</v>
      </c>
      <c r="B507" s="22" t="s">
        <v>1248</v>
      </c>
      <c r="C507" s="22" t="s">
        <v>10</v>
      </c>
      <c r="D507" s="22" t="s">
        <v>11</v>
      </c>
      <c r="E507" s="22" t="s">
        <v>293</v>
      </c>
      <c r="F507" s="22"/>
      <c r="G507" s="22" t="s">
        <v>184</v>
      </c>
      <c r="H507" s="22" t="s">
        <v>454</v>
      </c>
      <c r="I507" s="22" t="s">
        <v>184</v>
      </c>
      <c r="J507" s="22" t="s">
        <v>454</v>
      </c>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v>3.3</v>
      </c>
      <c r="AQ507" s="22"/>
      <c r="AR507" s="22"/>
      <c r="AS507" s="22">
        <v>1.7</v>
      </c>
      <c r="AT507" s="22">
        <v>3.5</v>
      </c>
      <c r="AU507" s="22"/>
      <c r="AV507" s="22"/>
      <c r="AW507" s="22">
        <v>1.9</v>
      </c>
      <c r="AX507" s="22">
        <v>2.9</v>
      </c>
      <c r="AY507" s="22"/>
      <c r="AZ507" s="22"/>
      <c r="BA507" s="22">
        <v>2.4</v>
      </c>
      <c r="BB507" s="22">
        <v>3</v>
      </c>
      <c r="BC507" s="22"/>
      <c r="BD507" s="22"/>
      <c r="BE507" s="22">
        <v>2.7</v>
      </c>
      <c r="BF507" s="22">
        <v>3.2</v>
      </c>
      <c r="BG507" s="22"/>
      <c r="BH507" s="22"/>
      <c r="BI507" s="22">
        <v>2.2000000000000002</v>
      </c>
      <c r="BJ507" s="22"/>
      <c r="BK507" s="22" t="s">
        <v>159</v>
      </c>
      <c r="BL507" s="22"/>
      <c r="BM507" s="22" t="s">
        <v>494</v>
      </c>
      <c r="BN507" s="36">
        <v>3140</v>
      </c>
      <c r="BO507" s="22"/>
      <c r="BP507" s="22"/>
      <c r="BQ507" s="22"/>
      <c r="BR507" s="22"/>
    </row>
    <row r="508" spans="1:70" s="14" customFormat="1">
      <c r="A508" t="s">
        <v>497</v>
      </c>
      <c r="B508" s="22" t="s">
        <v>1248</v>
      </c>
      <c r="C508" t="s">
        <v>10</v>
      </c>
      <c r="D508" t="s">
        <v>11</v>
      </c>
      <c r="E508" t="s">
        <v>293</v>
      </c>
      <c r="F508" t="s">
        <v>52</v>
      </c>
      <c r="G508" t="s">
        <v>70</v>
      </c>
      <c r="H508" t="s">
        <v>71</v>
      </c>
      <c r="I508" t="s">
        <v>53</v>
      </c>
      <c r="J508" t="s">
        <v>116</v>
      </c>
      <c r="K508"/>
      <c r="L508"/>
      <c r="M508"/>
      <c r="N508"/>
      <c r="O508"/>
      <c r="P508"/>
      <c r="Q508"/>
      <c r="R508"/>
      <c r="S508"/>
      <c r="T508"/>
      <c r="U508"/>
      <c r="V508"/>
      <c r="W508"/>
      <c r="X508"/>
      <c r="Y508"/>
      <c r="Z508"/>
      <c r="AA508"/>
      <c r="AB508"/>
      <c r="AC508"/>
      <c r="AD508"/>
      <c r="AE508"/>
      <c r="AF508"/>
      <c r="AG508"/>
      <c r="AH508"/>
      <c r="AI508"/>
      <c r="AJ508"/>
      <c r="AK508"/>
      <c r="AL508"/>
      <c r="AM508"/>
      <c r="AN508"/>
      <c r="AO508"/>
      <c r="AP508">
        <v>3.3</v>
      </c>
      <c r="AQ508"/>
      <c r="AR508"/>
      <c r="AS508">
        <v>1.9</v>
      </c>
      <c r="AT508">
        <v>3.5</v>
      </c>
      <c r="AU508"/>
      <c r="AV508"/>
      <c r="AW508">
        <v>2.4</v>
      </c>
      <c r="AX508">
        <v>3.1</v>
      </c>
      <c r="AY508"/>
      <c r="AZ508"/>
      <c r="BA508">
        <v>2.7</v>
      </c>
      <c r="BB508">
        <v>3.2</v>
      </c>
      <c r="BC508"/>
      <c r="BD508"/>
      <c r="BE508">
        <v>3</v>
      </c>
      <c r="BF508">
        <v>3.7</v>
      </c>
      <c r="BG508"/>
      <c r="BH508"/>
      <c r="BI508">
        <v>2.6</v>
      </c>
      <c r="BJ508"/>
      <c r="BK508" t="s">
        <v>159</v>
      </c>
      <c r="BL508"/>
      <c r="BM508" t="s">
        <v>494</v>
      </c>
      <c r="BN508" s="33">
        <v>3140</v>
      </c>
      <c r="BO508"/>
      <c r="BP508"/>
      <c r="BQ508"/>
      <c r="BR508"/>
    </row>
    <row r="509" spans="1:70" s="14" customFormat="1">
      <c r="A509" t="s">
        <v>1186</v>
      </c>
      <c r="B509" t="s">
        <v>1248</v>
      </c>
      <c r="C509" t="s">
        <v>10</v>
      </c>
      <c r="D509" t="s">
        <v>1039</v>
      </c>
      <c r="E509" t="s">
        <v>1040</v>
      </c>
      <c r="F509"/>
      <c r="G509" t="s">
        <v>1042</v>
      </c>
      <c r="H509" t="s">
        <v>1047</v>
      </c>
      <c r="I509" t="s">
        <v>1165</v>
      </c>
      <c r="J509" t="s">
        <v>1187</v>
      </c>
      <c r="K509"/>
      <c r="L509"/>
      <c r="M509" s="18"/>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v>7.7</v>
      </c>
      <c r="BC509"/>
      <c r="BD509"/>
      <c r="BE509">
        <v>6.2</v>
      </c>
      <c r="BF509"/>
      <c r="BG509"/>
      <c r="BH509"/>
      <c r="BI509"/>
      <c r="BJ509"/>
      <c r="BK509" t="s">
        <v>273</v>
      </c>
      <c r="BL509"/>
      <c r="BM509" t="s">
        <v>494</v>
      </c>
      <c r="BN509" s="33">
        <v>3140</v>
      </c>
      <c r="BO509"/>
      <c r="BP509"/>
      <c r="BQ509"/>
      <c r="BR509"/>
    </row>
    <row r="510" spans="1:70" s="14" customFormat="1">
      <c r="A510" t="s">
        <v>1180</v>
      </c>
      <c r="B510" t="s">
        <v>1248</v>
      </c>
      <c r="C510" t="s">
        <v>10</v>
      </c>
      <c r="D510" t="s">
        <v>1039</v>
      </c>
      <c r="E510" t="s">
        <v>1040</v>
      </c>
      <c r="F510"/>
      <c r="G510" t="s">
        <v>1042</v>
      </c>
      <c r="H510" t="s">
        <v>1047</v>
      </c>
      <c r="I510" t="s">
        <v>1181</v>
      </c>
      <c r="J510" t="s">
        <v>218</v>
      </c>
      <c r="K510"/>
      <c r="L510"/>
      <c r="M510" s="18"/>
      <c r="N510">
        <v>4.5</v>
      </c>
      <c r="O510"/>
      <c r="P510"/>
      <c r="Q510">
        <v>3.1</v>
      </c>
      <c r="R510">
        <v>5.9</v>
      </c>
      <c r="S510"/>
      <c r="T510"/>
      <c r="U510">
        <v>5.8</v>
      </c>
      <c r="V510">
        <v>5.7</v>
      </c>
      <c r="W510"/>
      <c r="X510"/>
      <c r="Y510">
        <v>7.2</v>
      </c>
      <c r="Z510">
        <v>7</v>
      </c>
      <c r="AA510"/>
      <c r="AB510"/>
      <c r="AC510">
        <v>9</v>
      </c>
      <c r="AD510">
        <v>6.9</v>
      </c>
      <c r="AE510"/>
      <c r="AF510"/>
      <c r="AG510">
        <v>9.9</v>
      </c>
      <c r="AH510"/>
      <c r="AI510"/>
      <c r="AJ510"/>
      <c r="AK510"/>
      <c r="AL510"/>
      <c r="AM510"/>
      <c r="AN510"/>
      <c r="AO510"/>
      <c r="AP510"/>
      <c r="AQ510"/>
      <c r="AR510"/>
      <c r="AS510"/>
      <c r="AT510"/>
      <c r="AU510"/>
      <c r="AV510"/>
      <c r="AW510"/>
      <c r="AX510"/>
      <c r="AY510"/>
      <c r="AZ510"/>
      <c r="BA510"/>
      <c r="BB510"/>
      <c r="BC510"/>
      <c r="BD510"/>
      <c r="BE510"/>
      <c r="BF510"/>
      <c r="BG510"/>
      <c r="BH510"/>
      <c r="BI510"/>
      <c r="BJ510"/>
      <c r="BK510" t="s">
        <v>273</v>
      </c>
      <c r="BL510"/>
      <c r="BM510" t="s">
        <v>494</v>
      </c>
      <c r="BN510" s="33">
        <v>3140</v>
      </c>
      <c r="BO510"/>
      <c r="BP510"/>
      <c r="BQ510"/>
      <c r="BR510"/>
    </row>
    <row r="511" spans="1:70">
      <c r="A511" t="s">
        <v>1184</v>
      </c>
      <c r="B511" t="s">
        <v>1248</v>
      </c>
      <c r="C511" t="s">
        <v>10</v>
      </c>
      <c r="D511" t="s">
        <v>1039</v>
      </c>
      <c r="E511" t="s">
        <v>1040</v>
      </c>
      <c r="F511" t="s">
        <v>1041</v>
      </c>
      <c r="G511" t="s">
        <v>1042</v>
      </c>
      <c r="H511" t="s">
        <v>1047</v>
      </c>
      <c r="I511" t="s">
        <v>1185</v>
      </c>
      <c r="J511" t="s">
        <v>416</v>
      </c>
      <c r="M511" s="18"/>
      <c r="AP511">
        <v>6.7</v>
      </c>
      <c r="AS511">
        <v>3.9</v>
      </c>
      <c r="AT511">
        <v>7.2</v>
      </c>
      <c r="AW511">
        <v>4.7</v>
      </c>
      <c r="AX511">
        <v>7</v>
      </c>
      <c r="BA511">
        <v>5.4</v>
      </c>
      <c r="BB511">
        <v>7.3</v>
      </c>
      <c r="BE511">
        <v>5.4</v>
      </c>
      <c r="BF511">
        <v>7.3</v>
      </c>
      <c r="BI511">
        <v>4.5999999999999996</v>
      </c>
      <c r="BK511" t="s">
        <v>273</v>
      </c>
      <c r="BM511" t="s">
        <v>494</v>
      </c>
      <c r="BN511" s="33">
        <v>3140</v>
      </c>
    </row>
    <row r="512" spans="1:70" s="55" customFormat="1">
      <c r="A512" s="55" t="s">
        <v>311</v>
      </c>
      <c r="B512" s="55" t="s">
        <v>1248</v>
      </c>
      <c r="C512" s="55" t="s">
        <v>10</v>
      </c>
      <c r="D512" s="55" t="s">
        <v>1039</v>
      </c>
      <c r="E512" s="55" t="s">
        <v>1040</v>
      </c>
      <c r="G512" s="55" t="s">
        <v>1165</v>
      </c>
      <c r="H512" s="55" t="s">
        <v>1166</v>
      </c>
      <c r="I512" s="55" t="s">
        <v>1165</v>
      </c>
      <c r="J512" s="55" t="s">
        <v>1175</v>
      </c>
      <c r="M512" s="60"/>
      <c r="AX512" s="55">
        <f>AVERAGE(7.5,7.9)</f>
        <v>7.7</v>
      </c>
      <c r="BA512" s="55">
        <v>6.35</v>
      </c>
      <c r="BB512" s="55">
        <f>AVERAGE(7.8,8.2)</f>
        <v>8</v>
      </c>
      <c r="BE512" s="55">
        <v>7</v>
      </c>
      <c r="BJ512" s="55" t="s">
        <v>311</v>
      </c>
      <c r="BK512" s="55" t="s">
        <v>273</v>
      </c>
      <c r="BM512" s="55" t="s">
        <v>494</v>
      </c>
      <c r="BN512" s="56">
        <v>3140</v>
      </c>
    </row>
    <row r="513" spans="1:68">
      <c r="A513" t="s">
        <v>662</v>
      </c>
      <c r="B513" t="s">
        <v>1248</v>
      </c>
      <c r="C513" s="7" t="s">
        <v>10</v>
      </c>
      <c r="D513" s="7" t="s">
        <v>11</v>
      </c>
      <c r="E513" t="s">
        <v>165</v>
      </c>
      <c r="G513" t="s">
        <v>626</v>
      </c>
      <c r="H513" t="s">
        <v>360</v>
      </c>
      <c r="I513" t="s">
        <v>166</v>
      </c>
      <c r="J513" t="s">
        <v>360</v>
      </c>
      <c r="R513">
        <v>6</v>
      </c>
      <c r="U513">
        <v>4</v>
      </c>
      <c r="Z513">
        <v>7</v>
      </c>
      <c r="AC513">
        <v>8</v>
      </c>
      <c r="AD513">
        <v>7.5</v>
      </c>
      <c r="AG513">
        <v>10</v>
      </c>
      <c r="AH513">
        <v>5.5</v>
      </c>
      <c r="AK513">
        <v>8</v>
      </c>
      <c r="BJ513" t="s">
        <v>663</v>
      </c>
      <c r="BK513" t="s">
        <v>273</v>
      </c>
      <c r="BM513" t="s">
        <v>660</v>
      </c>
      <c r="BN513" s="33">
        <v>3142</v>
      </c>
      <c r="BO513" t="s">
        <v>362</v>
      </c>
      <c r="BP513" t="s">
        <v>660</v>
      </c>
    </row>
    <row r="514" spans="1:68">
      <c r="A514" t="s">
        <v>664</v>
      </c>
      <c r="B514" t="s">
        <v>1248</v>
      </c>
      <c r="C514" s="7" t="s">
        <v>10</v>
      </c>
      <c r="D514" s="7" t="s">
        <v>11</v>
      </c>
      <c r="E514" t="s">
        <v>165</v>
      </c>
      <c r="G514" t="s">
        <v>487</v>
      </c>
      <c r="H514" t="s">
        <v>54</v>
      </c>
      <c r="I514" t="s">
        <v>115</v>
      </c>
      <c r="J514" t="s">
        <v>54</v>
      </c>
      <c r="AT514">
        <v>7.5</v>
      </c>
      <c r="AW514">
        <v>5.5</v>
      </c>
      <c r="AX514">
        <v>8.5</v>
      </c>
      <c r="BA514">
        <v>7.5</v>
      </c>
      <c r="BB514">
        <v>10</v>
      </c>
      <c r="BE514">
        <v>9</v>
      </c>
      <c r="BF514">
        <v>10.5</v>
      </c>
      <c r="BI514">
        <v>7.5</v>
      </c>
      <c r="BK514" t="s">
        <v>273</v>
      </c>
      <c r="BM514" t="s">
        <v>660</v>
      </c>
      <c r="BN514" s="33">
        <v>3142</v>
      </c>
      <c r="BO514" t="s">
        <v>362</v>
      </c>
      <c r="BP514" t="s">
        <v>660</v>
      </c>
    </row>
    <row r="515" spans="1:68">
      <c r="A515" t="s">
        <v>661</v>
      </c>
      <c r="C515" s="7" t="s">
        <v>10</v>
      </c>
      <c r="D515" s="7" t="s">
        <v>11</v>
      </c>
      <c r="E515" t="s">
        <v>165</v>
      </c>
      <c r="G515" t="s">
        <v>502</v>
      </c>
      <c r="H515" t="s">
        <v>43</v>
      </c>
      <c r="I515" t="s">
        <v>474</v>
      </c>
      <c r="J515" t="s">
        <v>43</v>
      </c>
      <c r="Z515">
        <v>5</v>
      </c>
      <c r="AC515">
        <v>5.9</v>
      </c>
      <c r="AD515">
        <v>5.5</v>
      </c>
      <c r="AG515">
        <v>7</v>
      </c>
      <c r="AH515">
        <v>3.5</v>
      </c>
      <c r="AK515">
        <v>5.7</v>
      </c>
      <c r="BK515" t="s">
        <v>273</v>
      </c>
      <c r="BM515" t="s">
        <v>660</v>
      </c>
      <c r="BN515" s="33">
        <v>3142</v>
      </c>
    </row>
    <row r="516" spans="1:68">
      <c r="A516" t="s">
        <v>659</v>
      </c>
      <c r="C516" s="7" t="s">
        <v>10</v>
      </c>
      <c r="D516" s="7" t="s">
        <v>11</v>
      </c>
      <c r="E516" t="s">
        <v>165</v>
      </c>
      <c r="G516" t="s">
        <v>502</v>
      </c>
      <c r="H516" t="s">
        <v>43</v>
      </c>
      <c r="I516" t="s">
        <v>474</v>
      </c>
      <c r="J516" t="s">
        <v>43</v>
      </c>
      <c r="V516">
        <v>4.5999999999999996</v>
      </c>
      <c r="Y516">
        <v>5.9</v>
      </c>
      <c r="Z516">
        <v>4.9000000000000004</v>
      </c>
      <c r="AC516">
        <v>5.7</v>
      </c>
      <c r="AD516">
        <v>4.9000000000000004</v>
      </c>
      <c r="AG516">
        <v>6.5</v>
      </c>
      <c r="AH516">
        <v>3.3</v>
      </c>
      <c r="AK516">
        <v>5.4</v>
      </c>
      <c r="BK516" t="s">
        <v>273</v>
      </c>
      <c r="BM516" t="s">
        <v>660</v>
      </c>
      <c r="BN516" s="33">
        <v>3142</v>
      </c>
      <c r="BO516" t="s">
        <v>362</v>
      </c>
      <c r="BP516" t="s">
        <v>660</v>
      </c>
    </row>
    <row r="517" spans="1:68">
      <c r="A517" t="s">
        <v>665</v>
      </c>
      <c r="B517" t="s">
        <v>1248</v>
      </c>
      <c r="C517" s="7" t="s">
        <v>10</v>
      </c>
      <c r="D517" s="7" t="s">
        <v>11</v>
      </c>
      <c r="E517" t="s">
        <v>293</v>
      </c>
      <c r="G517" t="s">
        <v>77</v>
      </c>
      <c r="H517" t="s">
        <v>78</v>
      </c>
      <c r="I517" t="s">
        <v>77</v>
      </c>
      <c r="J517" t="s">
        <v>78</v>
      </c>
      <c r="AT517">
        <v>3.5</v>
      </c>
      <c r="AW517">
        <v>2.2999999999999998</v>
      </c>
      <c r="AX517">
        <v>3.2</v>
      </c>
      <c r="BA517">
        <v>2.9</v>
      </c>
      <c r="BB517">
        <v>3.5</v>
      </c>
      <c r="BE517">
        <v>2.9</v>
      </c>
      <c r="BK517" t="s">
        <v>273</v>
      </c>
      <c r="BM517" t="s">
        <v>660</v>
      </c>
      <c r="BN517" s="33">
        <v>3142</v>
      </c>
      <c r="BO517" t="s">
        <v>362</v>
      </c>
      <c r="BP517" t="s">
        <v>660</v>
      </c>
    </row>
    <row r="518" spans="1:68">
      <c r="A518" t="s">
        <v>666</v>
      </c>
      <c r="B518" t="s">
        <v>1248</v>
      </c>
      <c r="C518" s="7" t="s">
        <v>10</v>
      </c>
      <c r="D518" s="7" t="s">
        <v>11</v>
      </c>
      <c r="E518" t="s">
        <v>473</v>
      </c>
      <c r="G518" t="s">
        <v>525</v>
      </c>
      <c r="H518" t="s">
        <v>526</v>
      </c>
      <c r="I518" t="s">
        <v>667</v>
      </c>
      <c r="J518" t="s">
        <v>668</v>
      </c>
      <c r="AL518">
        <v>11</v>
      </c>
      <c r="AO518">
        <v>8.5</v>
      </c>
      <c r="AP518">
        <v>12.5</v>
      </c>
      <c r="AS518">
        <v>11</v>
      </c>
      <c r="AT518">
        <v>13</v>
      </c>
      <c r="AW518">
        <v>11.5</v>
      </c>
      <c r="AX518">
        <v>10</v>
      </c>
      <c r="BA518">
        <v>9</v>
      </c>
      <c r="BB518">
        <v>10</v>
      </c>
      <c r="BE518">
        <v>9</v>
      </c>
      <c r="BF518">
        <v>11</v>
      </c>
      <c r="BI518">
        <v>8.5</v>
      </c>
      <c r="BK518" t="s">
        <v>273</v>
      </c>
      <c r="BM518" t="s">
        <v>660</v>
      </c>
      <c r="BN518" s="33">
        <v>3142</v>
      </c>
      <c r="BO518" t="s">
        <v>362</v>
      </c>
      <c r="BP518" t="s">
        <v>660</v>
      </c>
    </row>
    <row r="519" spans="1:68" s="55" customFormat="1">
      <c r="A519" s="55" t="s">
        <v>311</v>
      </c>
      <c r="C519" s="55" t="s">
        <v>484</v>
      </c>
      <c r="E519" s="55" t="s">
        <v>485</v>
      </c>
      <c r="G519" s="55" t="s">
        <v>254</v>
      </c>
      <c r="H519" s="55" t="s">
        <v>347</v>
      </c>
      <c r="I519" s="55" t="s">
        <v>254</v>
      </c>
      <c r="J519" s="55" t="s">
        <v>347</v>
      </c>
      <c r="AP519" s="55">
        <v>2.2000000000000002</v>
      </c>
      <c r="AS519" s="55">
        <v>1.4</v>
      </c>
      <c r="AT519" s="55">
        <v>2.5</v>
      </c>
      <c r="AW519" s="55">
        <v>1.65</v>
      </c>
      <c r="AX519" s="55">
        <v>2.48</v>
      </c>
      <c r="BA519" s="55">
        <v>2.1800000000000002</v>
      </c>
      <c r="BB519" s="55">
        <v>2.65</v>
      </c>
      <c r="BE519" s="55">
        <v>2.5099999999999998</v>
      </c>
      <c r="BF519" s="55">
        <v>2.8</v>
      </c>
      <c r="BI519" s="55">
        <v>2.31</v>
      </c>
      <c r="BK519" s="55" t="s">
        <v>273</v>
      </c>
      <c r="BM519" s="55" t="s">
        <v>403</v>
      </c>
      <c r="BN519" s="56">
        <v>3144</v>
      </c>
      <c r="BO519" s="55" t="s">
        <v>362</v>
      </c>
      <c r="BP519" s="55" t="s">
        <v>403</v>
      </c>
    </row>
    <row r="520" spans="1:68">
      <c r="A520" t="s">
        <v>460</v>
      </c>
      <c r="C520" t="s">
        <v>484</v>
      </c>
      <c r="E520" t="s">
        <v>485</v>
      </c>
      <c r="G520" t="s">
        <v>254</v>
      </c>
      <c r="H520" t="s">
        <v>347</v>
      </c>
      <c r="I520" t="s">
        <v>254</v>
      </c>
      <c r="J520" t="s">
        <v>347</v>
      </c>
      <c r="N520">
        <v>1.5</v>
      </c>
      <c r="Q520">
        <v>1.1000000000000001</v>
      </c>
      <c r="R520">
        <v>2.2000000000000002</v>
      </c>
      <c r="U520">
        <v>2.1</v>
      </c>
      <c r="V520">
        <v>2.4</v>
      </c>
      <c r="Y520">
        <v>2.9</v>
      </c>
      <c r="Z520">
        <v>2.4</v>
      </c>
      <c r="AC520">
        <v>3.2</v>
      </c>
      <c r="AD520">
        <v>2.6</v>
      </c>
      <c r="AG520">
        <v>3.7</v>
      </c>
      <c r="AH520">
        <v>1.9</v>
      </c>
      <c r="AK520">
        <v>3.1</v>
      </c>
      <c r="BK520" t="s">
        <v>273</v>
      </c>
      <c r="BM520" t="s">
        <v>403</v>
      </c>
      <c r="BN520" s="33">
        <v>3144</v>
      </c>
      <c r="BO520" t="s">
        <v>362</v>
      </c>
      <c r="BP520" t="s">
        <v>403</v>
      </c>
    </row>
    <row r="521" spans="1:68">
      <c r="A521" t="s">
        <v>461</v>
      </c>
      <c r="C521" t="s">
        <v>484</v>
      </c>
      <c r="E521" t="s">
        <v>485</v>
      </c>
      <c r="G521" t="s">
        <v>254</v>
      </c>
      <c r="H521" t="s">
        <v>347</v>
      </c>
      <c r="I521" t="s">
        <v>254</v>
      </c>
      <c r="J521" t="s">
        <v>347</v>
      </c>
      <c r="V521">
        <v>2.2000000000000002</v>
      </c>
      <c r="Z521">
        <v>2.5</v>
      </c>
      <c r="AC521">
        <v>3.1</v>
      </c>
      <c r="AD521">
        <v>2.9</v>
      </c>
      <c r="AG521">
        <v>3.7</v>
      </c>
      <c r="BK521" t="s">
        <v>273</v>
      </c>
      <c r="BM521" t="s">
        <v>403</v>
      </c>
      <c r="BN521" s="33">
        <v>3144</v>
      </c>
    </row>
    <row r="522" spans="1:68">
      <c r="A522" t="s">
        <v>456</v>
      </c>
      <c r="C522" t="s">
        <v>484</v>
      </c>
      <c r="E522" t="s">
        <v>485</v>
      </c>
      <c r="G522" t="s">
        <v>184</v>
      </c>
      <c r="H522" t="s">
        <v>454</v>
      </c>
      <c r="I522" t="s">
        <v>184</v>
      </c>
      <c r="J522" t="s">
        <v>454</v>
      </c>
      <c r="AX522">
        <v>2.9</v>
      </c>
      <c r="BA522">
        <v>2.1</v>
      </c>
      <c r="BB522">
        <v>3</v>
      </c>
      <c r="BE522">
        <v>2.5</v>
      </c>
      <c r="BF522">
        <v>3.4</v>
      </c>
      <c r="BI522">
        <v>2.2000000000000002</v>
      </c>
      <c r="BK522" t="s">
        <v>273</v>
      </c>
      <c r="BM522" t="s">
        <v>403</v>
      </c>
      <c r="BN522" s="33">
        <v>3144</v>
      </c>
    </row>
    <row r="523" spans="1:68">
      <c r="A523" t="s">
        <v>455</v>
      </c>
      <c r="C523" t="s">
        <v>484</v>
      </c>
      <c r="E523" t="s">
        <v>485</v>
      </c>
      <c r="G523" t="s">
        <v>184</v>
      </c>
      <c r="H523" t="s">
        <v>454</v>
      </c>
      <c r="I523" t="s">
        <v>184</v>
      </c>
      <c r="J523" t="s">
        <v>454</v>
      </c>
      <c r="AP523">
        <v>3.3</v>
      </c>
      <c r="AS523">
        <v>1.7</v>
      </c>
      <c r="AT523">
        <v>3.5</v>
      </c>
      <c r="AW523">
        <v>1.9</v>
      </c>
      <c r="AX523">
        <v>2.9</v>
      </c>
      <c r="BA523">
        <v>2.4</v>
      </c>
      <c r="BB523">
        <v>3</v>
      </c>
      <c r="BE523">
        <v>2.7</v>
      </c>
      <c r="BF523">
        <v>3.2</v>
      </c>
      <c r="BI523">
        <v>2.2000000000000002</v>
      </c>
      <c r="BK523" t="s">
        <v>273</v>
      </c>
      <c r="BM523" t="s">
        <v>403</v>
      </c>
      <c r="BN523" s="33">
        <v>3144</v>
      </c>
      <c r="BO523" t="s">
        <v>362</v>
      </c>
      <c r="BP523" t="s">
        <v>403</v>
      </c>
    </row>
    <row r="524" spans="1:68">
      <c r="A524" t="s">
        <v>457</v>
      </c>
      <c r="C524" t="s">
        <v>484</v>
      </c>
      <c r="E524" t="s">
        <v>485</v>
      </c>
      <c r="G524" t="s">
        <v>184</v>
      </c>
      <c r="H524" t="s">
        <v>454</v>
      </c>
      <c r="I524" t="s">
        <v>184</v>
      </c>
      <c r="J524" t="s">
        <v>454</v>
      </c>
      <c r="AP524">
        <v>3.6</v>
      </c>
      <c r="AS524">
        <v>1.6</v>
      </c>
      <c r="AT524">
        <v>3.9</v>
      </c>
      <c r="AW524">
        <v>1.7</v>
      </c>
      <c r="BK524" t="s">
        <v>273</v>
      </c>
      <c r="BM524" t="s">
        <v>403</v>
      </c>
      <c r="BN524" s="33">
        <v>3144</v>
      </c>
    </row>
    <row r="525" spans="1:68">
      <c r="A525" t="s">
        <v>458</v>
      </c>
      <c r="C525" t="s">
        <v>484</v>
      </c>
      <c r="E525" t="s">
        <v>485</v>
      </c>
      <c r="G525" t="s">
        <v>184</v>
      </c>
      <c r="H525" t="s">
        <v>454</v>
      </c>
      <c r="I525" t="s">
        <v>184</v>
      </c>
      <c r="J525" t="s">
        <v>454</v>
      </c>
      <c r="Z525">
        <v>3.2</v>
      </c>
      <c r="AC525">
        <v>4.2</v>
      </c>
      <c r="AD525">
        <v>3.3</v>
      </c>
      <c r="AG525">
        <v>4.7</v>
      </c>
      <c r="BK525" t="s">
        <v>273</v>
      </c>
      <c r="BM525" t="s">
        <v>403</v>
      </c>
      <c r="BN525" s="33">
        <v>3144</v>
      </c>
      <c r="BO525" t="s">
        <v>362</v>
      </c>
      <c r="BP525" t="s">
        <v>403</v>
      </c>
    </row>
    <row r="526" spans="1:68">
      <c r="A526" t="s">
        <v>459</v>
      </c>
      <c r="C526" t="s">
        <v>484</v>
      </c>
      <c r="E526" t="s">
        <v>485</v>
      </c>
      <c r="G526" t="s">
        <v>184</v>
      </c>
      <c r="H526" t="s">
        <v>454</v>
      </c>
      <c r="I526" t="s">
        <v>184</v>
      </c>
      <c r="J526" t="s">
        <v>454</v>
      </c>
      <c r="Z526">
        <v>2.9</v>
      </c>
      <c r="AC526">
        <v>3.9</v>
      </c>
      <c r="AD526">
        <v>3.2</v>
      </c>
      <c r="AG526">
        <v>4.5</v>
      </c>
      <c r="AH526">
        <v>2.6</v>
      </c>
      <c r="AK526">
        <v>4.0999999999999996</v>
      </c>
      <c r="BK526" t="s">
        <v>273</v>
      </c>
      <c r="BM526" t="s">
        <v>403</v>
      </c>
      <c r="BN526" s="33">
        <v>3144</v>
      </c>
    </row>
    <row r="527" spans="1:68">
      <c r="A527" t="s">
        <v>408</v>
      </c>
      <c r="C527" t="s">
        <v>10</v>
      </c>
      <c r="D527" t="s">
        <v>11</v>
      </c>
      <c r="E527" t="s">
        <v>165</v>
      </c>
      <c r="F527" t="s">
        <v>169</v>
      </c>
      <c r="G527" t="s">
        <v>464</v>
      </c>
      <c r="H527" t="s">
        <v>402</v>
      </c>
      <c r="I527" t="s">
        <v>401</v>
      </c>
      <c r="J527" t="s">
        <v>405</v>
      </c>
      <c r="AX527">
        <v>11</v>
      </c>
      <c r="BK527" t="s">
        <v>273</v>
      </c>
      <c r="BM527" t="s">
        <v>403</v>
      </c>
      <c r="BN527" s="33">
        <v>3144</v>
      </c>
    </row>
    <row r="528" spans="1:68">
      <c r="A528" t="s">
        <v>407</v>
      </c>
      <c r="C528" t="s">
        <v>10</v>
      </c>
      <c r="D528" t="s">
        <v>11</v>
      </c>
      <c r="E528" t="s">
        <v>165</v>
      </c>
      <c r="F528" t="s">
        <v>169</v>
      </c>
      <c r="G528" t="s">
        <v>464</v>
      </c>
      <c r="H528" t="s">
        <v>402</v>
      </c>
      <c r="I528" t="s">
        <v>401</v>
      </c>
      <c r="J528" t="s">
        <v>405</v>
      </c>
      <c r="Z528">
        <v>10</v>
      </c>
      <c r="BK528" t="s">
        <v>273</v>
      </c>
      <c r="BM528" t="s">
        <v>403</v>
      </c>
      <c r="BN528" s="33">
        <v>3144</v>
      </c>
    </row>
    <row r="529" spans="1:70">
      <c r="A529" t="s">
        <v>404</v>
      </c>
      <c r="C529" t="s">
        <v>10</v>
      </c>
      <c r="D529" t="s">
        <v>11</v>
      </c>
      <c r="E529" t="s">
        <v>165</v>
      </c>
      <c r="F529" t="s">
        <v>169</v>
      </c>
      <c r="G529" t="s">
        <v>464</v>
      </c>
      <c r="H529" t="s">
        <v>402</v>
      </c>
      <c r="I529" t="s">
        <v>401</v>
      </c>
      <c r="J529" t="s">
        <v>405</v>
      </c>
      <c r="Z529">
        <v>10.5</v>
      </c>
      <c r="AX529">
        <v>12.5</v>
      </c>
      <c r="BJ529" t="s">
        <v>406</v>
      </c>
      <c r="BK529" t="s">
        <v>273</v>
      </c>
      <c r="BM529" t="s">
        <v>403</v>
      </c>
      <c r="BN529" s="33">
        <v>3144</v>
      </c>
    </row>
    <row r="530" spans="1:70">
      <c r="A530" t="s">
        <v>410</v>
      </c>
      <c r="C530" t="s">
        <v>10</v>
      </c>
      <c r="D530" t="s">
        <v>11</v>
      </c>
      <c r="E530" t="s">
        <v>165</v>
      </c>
      <c r="F530" t="s">
        <v>169</v>
      </c>
      <c r="G530" t="s">
        <v>464</v>
      </c>
      <c r="H530" t="s">
        <v>402</v>
      </c>
      <c r="I530" t="s">
        <v>401</v>
      </c>
      <c r="J530" t="s">
        <v>405</v>
      </c>
      <c r="AX530">
        <v>11.2</v>
      </c>
      <c r="BK530" t="s">
        <v>273</v>
      </c>
      <c r="BM530" t="s">
        <v>403</v>
      </c>
      <c r="BN530" s="33">
        <v>3144</v>
      </c>
    </row>
    <row r="531" spans="1:70">
      <c r="A531" s="22" t="s">
        <v>400</v>
      </c>
      <c r="B531" s="22" t="s">
        <v>1248</v>
      </c>
      <c r="C531" t="s">
        <v>10</v>
      </c>
      <c r="D531" t="s">
        <v>11</v>
      </c>
      <c r="E531" t="s">
        <v>165</v>
      </c>
      <c r="F531" t="s">
        <v>169</v>
      </c>
      <c r="G531" t="s">
        <v>464</v>
      </c>
      <c r="H531" t="s">
        <v>402</v>
      </c>
      <c r="I531" t="s">
        <v>401</v>
      </c>
      <c r="J531" t="s">
        <v>402</v>
      </c>
      <c r="Z531">
        <v>11.1</v>
      </c>
      <c r="BJ531" t="s">
        <v>200</v>
      </c>
      <c r="BK531" t="s">
        <v>273</v>
      </c>
      <c r="BM531" t="s">
        <v>403</v>
      </c>
      <c r="BN531" s="33">
        <v>3144</v>
      </c>
    </row>
    <row r="532" spans="1:70">
      <c r="A532" t="s">
        <v>409</v>
      </c>
      <c r="C532" t="s">
        <v>10</v>
      </c>
      <c r="D532" t="s">
        <v>11</v>
      </c>
      <c r="E532" t="s">
        <v>165</v>
      </c>
      <c r="F532" t="s">
        <v>169</v>
      </c>
      <c r="G532" t="s">
        <v>464</v>
      </c>
      <c r="H532" t="s">
        <v>402</v>
      </c>
      <c r="I532" t="s">
        <v>401</v>
      </c>
      <c r="J532" t="s">
        <v>402</v>
      </c>
      <c r="AX532">
        <v>10.6</v>
      </c>
      <c r="BK532" t="s">
        <v>273</v>
      </c>
      <c r="BM532" t="s">
        <v>403</v>
      </c>
      <c r="BN532" s="33">
        <v>3144</v>
      </c>
    </row>
    <row r="533" spans="1:70" s="14" customFormat="1" ht="14.25" customHeight="1">
      <c r="A533" s="14" t="s">
        <v>411</v>
      </c>
      <c r="C533" s="14" t="s">
        <v>10</v>
      </c>
      <c r="D533" s="14" t="s">
        <v>11</v>
      </c>
      <c r="E533" s="14" t="s">
        <v>165</v>
      </c>
      <c r="F533" s="14" t="s">
        <v>169</v>
      </c>
      <c r="G533" s="14" t="s">
        <v>464</v>
      </c>
      <c r="H533" s="14" t="s">
        <v>402</v>
      </c>
      <c r="I533" s="14" t="s">
        <v>401</v>
      </c>
      <c r="J533" s="14" t="s">
        <v>402</v>
      </c>
      <c r="BK533" s="14" t="s">
        <v>273</v>
      </c>
      <c r="BM533" s="14" t="s">
        <v>403</v>
      </c>
      <c r="BN533" s="34">
        <v>3144</v>
      </c>
      <c r="BO533" s="14" t="s">
        <v>362</v>
      </c>
      <c r="BP533" s="14" t="s">
        <v>403</v>
      </c>
    </row>
    <row r="534" spans="1:70" s="14" customFormat="1">
      <c r="A534" s="14" t="s">
        <v>412</v>
      </c>
      <c r="C534" s="14" t="s">
        <v>10</v>
      </c>
      <c r="D534" s="14" t="s">
        <v>11</v>
      </c>
      <c r="E534" s="14" t="s">
        <v>165</v>
      </c>
      <c r="F534" s="14" t="s">
        <v>169</v>
      </c>
      <c r="G534" s="14" t="s">
        <v>464</v>
      </c>
      <c r="H534" s="14" t="s">
        <v>402</v>
      </c>
      <c r="I534" s="14" t="s">
        <v>401</v>
      </c>
      <c r="J534" s="14" t="s">
        <v>402</v>
      </c>
      <c r="BK534" s="14" t="s">
        <v>273</v>
      </c>
      <c r="BM534" s="14" t="s">
        <v>403</v>
      </c>
      <c r="BN534" s="34">
        <v>3144</v>
      </c>
      <c r="BO534" s="14" t="s">
        <v>362</v>
      </c>
      <c r="BP534" s="14" t="s">
        <v>403</v>
      </c>
    </row>
    <row r="535" spans="1:70">
      <c r="A535" s="14" t="s">
        <v>413</v>
      </c>
      <c r="B535" s="14"/>
      <c r="C535" s="14" t="s">
        <v>10</v>
      </c>
      <c r="D535" s="14" t="s">
        <v>11</v>
      </c>
      <c r="E535" s="14" t="s">
        <v>165</v>
      </c>
      <c r="F535" s="14" t="s">
        <v>169</v>
      </c>
      <c r="G535" s="14" t="s">
        <v>464</v>
      </c>
      <c r="H535" s="14" t="s">
        <v>402</v>
      </c>
      <c r="I535" s="14" t="s">
        <v>401</v>
      </c>
      <c r="J535" s="14" t="s">
        <v>402</v>
      </c>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t="s">
        <v>273</v>
      </c>
      <c r="BL535" s="14"/>
      <c r="BM535" s="14" t="s">
        <v>403</v>
      </c>
      <c r="BN535" s="34">
        <v>3144</v>
      </c>
      <c r="BO535" s="14" t="s">
        <v>362</v>
      </c>
      <c r="BP535" s="14" t="s">
        <v>403</v>
      </c>
      <c r="BQ535" s="14"/>
      <c r="BR535" s="14"/>
    </row>
    <row r="536" spans="1:70" s="55" customFormat="1">
      <c r="A536" s="55" t="s">
        <v>311</v>
      </c>
      <c r="C536" s="55" t="s">
        <v>10</v>
      </c>
      <c r="D536" s="55" t="s">
        <v>11</v>
      </c>
      <c r="E536" s="55" t="s">
        <v>165</v>
      </c>
      <c r="F536" s="55" t="s">
        <v>157</v>
      </c>
      <c r="G536" s="55" t="s">
        <v>166</v>
      </c>
      <c r="H536" s="55" t="s">
        <v>64</v>
      </c>
      <c r="I536" s="55" t="s">
        <v>429</v>
      </c>
      <c r="J536" s="55" t="s">
        <v>431</v>
      </c>
      <c r="V536" s="55">
        <v>4.8</v>
      </c>
      <c r="Y536" s="55">
        <v>4.8</v>
      </c>
      <c r="Z536" s="55">
        <v>5.18</v>
      </c>
      <c r="AC536" s="55">
        <v>6.3</v>
      </c>
      <c r="AD536" s="55">
        <v>5.67</v>
      </c>
      <c r="AG536" s="55">
        <v>7.57</v>
      </c>
      <c r="AH536" s="55">
        <v>4.55</v>
      </c>
      <c r="AK536" s="55">
        <v>6.15</v>
      </c>
      <c r="AT536" s="55">
        <v>4.97</v>
      </c>
      <c r="AW536" s="55">
        <v>2.9</v>
      </c>
      <c r="AX536" s="55">
        <v>5.37</v>
      </c>
      <c r="BA536" s="55">
        <v>4.21</v>
      </c>
      <c r="BB536" s="55">
        <v>5.79</v>
      </c>
      <c r="BE536" s="55">
        <v>4.91</v>
      </c>
      <c r="BF536" s="55">
        <v>6.7</v>
      </c>
      <c r="BI536" s="55">
        <v>4.12</v>
      </c>
      <c r="BK536" s="55" t="s">
        <v>273</v>
      </c>
      <c r="BM536" s="55" t="s">
        <v>403</v>
      </c>
      <c r="BN536" s="56">
        <v>3144</v>
      </c>
      <c r="BO536" s="55" t="s">
        <v>362</v>
      </c>
      <c r="BP536" s="55" t="s">
        <v>403</v>
      </c>
    </row>
    <row r="537" spans="1:70">
      <c r="A537" t="s">
        <v>442</v>
      </c>
      <c r="B537" t="s">
        <v>1248</v>
      </c>
      <c r="C537" t="s">
        <v>10</v>
      </c>
      <c r="D537" t="s">
        <v>11</v>
      </c>
      <c r="E537" t="s">
        <v>165</v>
      </c>
      <c r="F537" t="s">
        <v>157</v>
      </c>
      <c r="G537" t="s">
        <v>166</v>
      </c>
      <c r="H537" t="s">
        <v>64</v>
      </c>
      <c r="I537" s="23" t="s">
        <v>1216</v>
      </c>
      <c r="J537" s="24" t="s">
        <v>432</v>
      </c>
      <c r="AP537">
        <v>3.8</v>
      </c>
      <c r="AS537">
        <v>2.2999999999999998</v>
      </c>
      <c r="AT537">
        <v>5</v>
      </c>
      <c r="AW537">
        <v>2.8</v>
      </c>
      <c r="AX537">
        <v>5.2</v>
      </c>
      <c r="BA537">
        <v>3.9</v>
      </c>
      <c r="BB537">
        <v>5.8</v>
      </c>
      <c r="BE537">
        <v>4.5</v>
      </c>
      <c r="BK537" t="s">
        <v>273</v>
      </c>
      <c r="BM537" t="s">
        <v>403</v>
      </c>
      <c r="BN537" s="36">
        <v>3144</v>
      </c>
    </row>
    <row r="538" spans="1:70" s="55" customFormat="1">
      <c r="A538" s="55" t="s">
        <v>311</v>
      </c>
      <c r="C538" s="55" t="s">
        <v>10</v>
      </c>
      <c r="D538" s="55" t="s">
        <v>11</v>
      </c>
      <c r="E538" s="55" t="s">
        <v>165</v>
      </c>
      <c r="F538" s="55" t="s">
        <v>157</v>
      </c>
      <c r="G538" s="55" t="s">
        <v>166</v>
      </c>
      <c r="H538" s="55" t="s">
        <v>430</v>
      </c>
      <c r="I538" s="55" t="s">
        <v>429</v>
      </c>
      <c r="J538" s="55" t="s">
        <v>430</v>
      </c>
      <c r="AT538" s="55">
        <v>4.32</v>
      </c>
      <c r="AW538" s="55">
        <v>2.72</v>
      </c>
      <c r="AX538" s="55">
        <v>4.66</v>
      </c>
      <c r="BA538" s="55">
        <v>3.7</v>
      </c>
      <c r="BB538" s="55">
        <v>4.9800000000000004</v>
      </c>
      <c r="BE538" s="55">
        <v>4.3099999999999996</v>
      </c>
      <c r="BF538" s="55">
        <v>5.72</v>
      </c>
      <c r="BI538" s="55">
        <v>3.68</v>
      </c>
      <c r="BK538" s="55" t="s">
        <v>273</v>
      </c>
      <c r="BM538" s="55" t="s">
        <v>403</v>
      </c>
      <c r="BN538" s="56">
        <v>3144</v>
      </c>
    </row>
    <row r="539" spans="1:70">
      <c r="A539" t="s">
        <v>441</v>
      </c>
      <c r="C539" t="s">
        <v>10</v>
      </c>
      <c r="D539" t="s">
        <v>11</v>
      </c>
      <c r="E539" t="s">
        <v>165</v>
      </c>
      <c r="F539" t="s">
        <v>157</v>
      </c>
      <c r="G539" t="s">
        <v>166</v>
      </c>
      <c r="H539" t="s">
        <v>430</v>
      </c>
      <c r="I539" t="s">
        <v>429</v>
      </c>
      <c r="J539" t="s">
        <v>430</v>
      </c>
      <c r="AL539">
        <v>2.8</v>
      </c>
      <c r="AO539">
        <v>1.6</v>
      </c>
      <c r="AP539">
        <v>3.5</v>
      </c>
      <c r="AS539">
        <v>2</v>
      </c>
      <c r="AT539">
        <v>4.4000000000000004</v>
      </c>
      <c r="AW539">
        <v>2.6</v>
      </c>
      <c r="AX539">
        <v>4.9000000000000004</v>
      </c>
      <c r="BA539">
        <v>3.7</v>
      </c>
      <c r="BB539">
        <v>5</v>
      </c>
      <c r="BE539">
        <v>4.3</v>
      </c>
      <c r="BK539" t="s">
        <v>273</v>
      </c>
      <c r="BM539" t="s">
        <v>403</v>
      </c>
      <c r="BN539" s="36">
        <v>3144</v>
      </c>
    </row>
    <row r="540" spans="1:70">
      <c r="A540" t="s">
        <v>440</v>
      </c>
      <c r="C540" t="s">
        <v>10</v>
      </c>
      <c r="D540" t="s">
        <v>11</v>
      </c>
      <c r="E540" t="s">
        <v>165</v>
      </c>
      <c r="F540" t="s">
        <v>157</v>
      </c>
      <c r="G540" t="s">
        <v>166</v>
      </c>
      <c r="H540" t="s">
        <v>430</v>
      </c>
      <c r="I540" t="s">
        <v>429</v>
      </c>
      <c r="J540" s="3" t="s">
        <v>430</v>
      </c>
      <c r="AT540">
        <v>4.0999999999999996</v>
      </c>
      <c r="AW540">
        <v>2.9</v>
      </c>
      <c r="BA540">
        <v>3.9</v>
      </c>
      <c r="BB540">
        <v>5.2</v>
      </c>
      <c r="BE540">
        <v>4.4000000000000004</v>
      </c>
      <c r="BK540" t="s">
        <v>273</v>
      </c>
      <c r="BM540" t="s">
        <v>403</v>
      </c>
      <c r="BN540" s="36">
        <v>3144</v>
      </c>
    </row>
    <row r="541" spans="1:70">
      <c r="A541" t="s">
        <v>439</v>
      </c>
      <c r="B541" t="s">
        <v>1248</v>
      </c>
      <c r="C541" t="s">
        <v>10</v>
      </c>
      <c r="D541" t="s">
        <v>11</v>
      </c>
      <c r="E541" t="s">
        <v>165</v>
      </c>
      <c r="F541" t="s">
        <v>157</v>
      </c>
      <c r="G541" t="s">
        <v>166</v>
      </c>
      <c r="H541" t="s">
        <v>430</v>
      </c>
      <c r="I541" t="s">
        <v>429</v>
      </c>
      <c r="J541" t="s">
        <v>430</v>
      </c>
      <c r="AX541">
        <v>4.7</v>
      </c>
      <c r="BA541">
        <v>3.9</v>
      </c>
      <c r="BB541">
        <v>4.9000000000000004</v>
      </c>
      <c r="BE541">
        <v>4.4000000000000004</v>
      </c>
      <c r="BF541">
        <v>6</v>
      </c>
      <c r="BI541">
        <v>3.8</v>
      </c>
      <c r="BK541" t="s">
        <v>273</v>
      </c>
      <c r="BM541" t="s">
        <v>403</v>
      </c>
      <c r="BN541" s="36">
        <v>3144</v>
      </c>
    </row>
    <row r="542" spans="1:70">
      <c r="A542" s="14" t="s">
        <v>419</v>
      </c>
      <c r="B542" s="14"/>
      <c r="C542" s="14" t="s">
        <v>10</v>
      </c>
      <c r="D542" s="14" t="s">
        <v>11</v>
      </c>
      <c r="E542" s="14" t="s">
        <v>165</v>
      </c>
      <c r="F542" s="14" t="s">
        <v>169</v>
      </c>
      <c r="G542" s="14" t="s">
        <v>401</v>
      </c>
      <c r="H542" s="14" t="s">
        <v>28</v>
      </c>
      <c r="I542" s="14" t="s">
        <v>401</v>
      </c>
      <c r="J542" s="14" t="s">
        <v>28</v>
      </c>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v>9.6999999999999993</v>
      </c>
      <c r="BC542" s="14"/>
      <c r="BD542" s="14"/>
      <c r="BE542" s="14">
        <v>8.4</v>
      </c>
      <c r="BF542" s="14">
        <v>9.6</v>
      </c>
      <c r="BG542" s="14"/>
      <c r="BH542" s="14"/>
      <c r="BI542" s="14">
        <v>7.6</v>
      </c>
      <c r="BJ542" s="14" t="s">
        <v>420</v>
      </c>
      <c r="BK542" s="14" t="s">
        <v>273</v>
      </c>
      <c r="BL542" s="14"/>
      <c r="BM542" s="14" t="s">
        <v>403</v>
      </c>
      <c r="BN542" s="34">
        <v>3144</v>
      </c>
      <c r="BO542" s="14" t="s">
        <v>362</v>
      </c>
      <c r="BP542" s="14" t="s">
        <v>403</v>
      </c>
      <c r="BQ542" s="14"/>
      <c r="BR542" s="14"/>
    </row>
    <row r="543" spans="1:70">
      <c r="A543" t="s">
        <v>421</v>
      </c>
      <c r="C543" t="s">
        <v>10</v>
      </c>
      <c r="D543" t="s">
        <v>11</v>
      </c>
      <c r="E543" t="s">
        <v>165</v>
      </c>
      <c r="F543" t="s">
        <v>169</v>
      </c>
      <c r="G543" t="s">
        <v>401</v>
      </c>
      <c r="H543" t="s">
        <v>218</v>
      </c>
      <c r="I543" t="s">
        <v>401</v>
      </c>
      <c r="J543" t="s">
        <v>422</v>
      </c>
      <c r="AD543">
        <v>9</v>
      </c>
      <c r="AG543">
        <v>13.5</v>
      </c>
      <c r="AH543">
        <v>6.7</v>
      </c>
      <c r="AK543">
        <v>10</v>
      </c>
      <c r="BK543" t="s">
        <v>273</v>
      </c>
      <c r="BM543" t="s">
        <v>403</v>
      </c>
      <c r="BN543" s="36">
        <v>3144</v>
      </c>
      <c r="BO543" t="s">
        <v>362</v>
      </c>
      <c r="BP543" t="s">
        <v>403</v>
      </c>
    </row>
    <row r="544" spans="1:70" s="22" customFormat="1">
      <c r="A544" s="22" t="s">
        <v>414</v>
      </c>
      <c r="C544" s="22" t="s">
        <v>10</v>
      </c>
      <c r="D544" s="22" t="s">
        <v>11</v>
      </c>
      <c r="E544" s="22" t="s">
        <v>165</v>
      </c>
      <c r="F544" s="22" t="s">
        <v>169</v>
      </c>
      <c r="G544" s="22" t="s">
        <v>401</v>
      </c>
      <c r="H544" s="22" t="s">
        <v>218</v>
      </c>
      <c r="I544" s="22" t="s">
        <v>401</v>
      </c>
      <c r="J544" s="22" t="s">
        <v>218</v>
      </c>
      <c r="V544" s="22">
        <v>7.3</v>
      </c>
      <c r="Y544" s="22">
        <v>7.5</v>
      </c>
      <c r="Z544" s="22">
        <v>9.4</v>
      </c>
      <c r="AC544" s="22">
        <v>10</v>
      </c>
      <c r="AH544" s="22">
        <v>5.5</v>
      </c>
      <c r="AK544" s="22">
        <v>9.3000000000000007</v>
      </c>
      <c r="AX544" s="22">
        <f>28.5-(SUM(BB544,BF544))</f>
        <v>9.1999999999999993</v>
      </c>
      <c r="BA544" s="54"/>
      <c r="BB544" s="22">
        <v>9.4</v>
      </c>
      <c r="BE544" s="22">
        <v>7.5</v>
      </c>
      <c r="BF544" s="22">
        <v>9.9</v>
      </c>
      <c r="BI544" s="22">
        <v>6.5</v>
      </c>
      <c r="BJ544" s="22" t="s">
        <v>415</v>
      </c>
      <c r="BK544" s="22" t="s">
        <v>273</v>
      </c>
      <c r="BM544" s="22" t="s">
        <v>403</v>
      </c>
      <c r="BN544" s="36">
        <v>3144</v>
      </c>
      <c r="BO544" s="22" t="s">
        <v>362</v>
      </c>
      <c r="BP544" s="22" t="s">
        <v>403</v>
      </c>
    </row>
    <row r="545" spans="1:70" s="22" customFormat="1">
      <c r="A545" s="22" t="s">
        <v>417</v>
      </c>
      <c r="C545" s="22" t="s">
        <v>10</v>
      </c>
      <c r="D545" s="22" t="s">
        <v>11</v>
      </c>
      <c r="E545" s="22" t="s">
        <v>165</v>
      </c>
      <c r="F545" s="22" t="s">
        <v>169</v>
      </c>
      <c r="G545" s="22" t="s">
        <v>401</v>
      </c>
      <c r="H545" s="22" t="s">
        <v>416</v>
      </c>
      <c r="I545" s="22" t="s">
        <v>401</v>
      </c>
      <c r="J545" s="22" t="s">
        <v>416</v>
      </c>
      <c r="Z545" s="22">
        <v>7</v>
      </c>
      <c r="AC545" s="22">
        <v>8.8000000000000007</v>
      </c>
      <c r="AD545" s="22">
        <v>7.4</v>
      </c>
      <c r="AG545" s="22">
        <v>11.5</v>
      </c>
      <c r="AH545" s="22">
        <v>5</v>
      </c>
      <c r="AK545" s="22">
        <v>9</v>
      </c>
      <c r="BJ545" s="22" t="s">
        <v>418</v>
      </c>
      <c r="BK545" s="22" t="s">
        <v>273</v>
      </c>
      <c r="BM545" s="22" t="s">
        <v>403</v>
      </c>
      <c r="BN545" s="36">
        <v>3144</v>
      </c>
      <c r="BO545" s="22" t="s">
        <v>362</v>
      </c>
      <c r="BP545" s="22" t="s">
        <v>403</v>
      </c>
    </row>
    <row r="546" spans="1:70" s="14" customFormat="1">
      <c r="A546" s="14" t="s">
        <v>1255</v>
      </c>
      <c r="C546" s="14" t="s">
        <v>10</v>
      </c>
      <c r="D546" s="14" t="s">
        <v>11</v>
      </c>
      <c r="E546" s="14" t="s">
        <v>165</v>
      </c>
      <c r="F546" s="14" t="s">
        <v>169</v>
      </c>
      <c r="G546" s="14" t="s">
        <v>401</v>
      </c>
      <c r="H546" s="14" t="s">
        <v>60</v>
      </c>
      <c r="I546" s="14" t="s">
        <v>1256</v>
      </c>
      <c r="J546" s="14" t="s">
        <v>60</v>
      </c>
      <c r="BK546" s="14" t="s">
        <v>273</v>
      </c>
      <c r="BM546" s="14" t="s">
        <v>403</v>
      </c>
      <c r="BN546" s="34">
        <v>3144</v>
      </c>
      <c r="BO546" s="14" t="s">
        <v>362</v>
      </c>
      <c r="BP546" s="14" t="s">
        <v>403</v>
      </c>
    </row>
    <row r="547" spans="1:70">
      <c r="A547" t="s">
        <v>423</v>
      </c>
      <c r="C547" t="s">
        <v>10</v>
      </c>
      <c r="D547" t="s">
        <v>11</v>
      </c>
      <c r="E547" t="s">
        <v>165</v>
      </c>
      <c r="F547" t="s">
        <v>169</v>
      </c>
      <c r="G547" t="s">
        <v>237</v>
      </c>
      <c r="H547" t="s">
        <v>424</v>
      </c>
      <c r="I547" t="s">
        <v>237</v>
      </c>
      <c r="J547" t="s">
        <v>424</v>
      </c>
      <c r="AG547">
        <v>14.6</v>
      </c>
      <c r="AH547">
        <v>10</v>
      </c>
      <c r="BJ547" t="s">
        <v>425</v>
      </c>
      <c r="BK547" t="s">
        <v>273</v>
      </c>
      <c r="BM547" t="s">
        <v>403</v>
      </c>
      <c r="BN547" s="36">
        <v>3144</v>
      </c>
      <c r="BO547" t="s">
        <v>362</v>
      </c>
      <c r="BP547" t="s">
        <v>403</v>
      </c>
    </row>
    <row r="548" spans="1:70">
      <c r="A548" t="s">
        <v>427</v>
      </c>
      <c r="C548" t="s">
        <v>10</v>
      </c>
      <c r="D548" t="s">
        <v>11</v>
      </c>
      <c r="E548" t="s">
        <v>165</v>
      </c>
      <c r="F548" t="s">
        <v>169</v>
      </c>
      <c r="G548" t="s">
        <v>237</v>
      </c>
      <c r="H548" t="s">
        <v>424</v>
      </c>
      <c r="I548" t="s">
        <v>237</v>
      </c>
      <c r="J548" t="s">
        <v>424</v>
      </c>
      <c r="BB548">
        <v>12.6</v>
      </c>
      <c r="BE548">
        <v>10.5</v>
      </c>
      <c r="BJ548" t="s">
        <v>426</v>
      </c>
      <c r="BK548" t="s">
        <v>273</v>
      </c>
      <c r="BM548" t="s">
        <v>403</v>
      </c>
      <c r="BN548" s="36">
        <v>3144</v>
      </c>
      <c r="BO548" t="s">
        <v>362</v>
      </c>
      <c r="BP548" t="s">
        <v>403</v>
      </c>
    </row>
    <row r="549" spans="1:70">
      <c r="A549" t="s">
        <v>445</v>
      </c>
      <c r="B549" t="s">
        <v>1248</v>
      </c>
      <c r="C549" t="s">
        <v>10</v>
      </c>
      <c r="D549" t="s">
        <v>11</v>
      </c>
      <c r="E549" t="s">
        <v>165</v>
      </c>
      <c r="F549" t="s">
        <v>157</v>
      </c>
      <c r="G549" t="s">
        <v>229</v>
      </c>
      <c r="H549" t="s">
        <v>433</v>
      </c>
      <c r="I549" t="s">
        <v>229</v>
      </c>
      <c r="J549" t="s">
        <v>433</v>
      </c>
      <c r="AT549">
        <v>4.4000000000000004</v>
      </c>
      <c r="AW549">
        <v>3</v>
      </c>
      <c r="AX549">
        <v>4.8</v>
      </c>
      <c r="BA549">
        <v>3.6</v>
      </c>
      <c r="BB549">
        <v>5.6</v>
      </c>
      <c r="BE549">
        <v>4.5</v>
      </c>
      <c r="BK549" t="s">
        <v>273</v>
      </c>
      <c r="BM549" t="s">
        <v>403</v>
      </c>
      <c r="BN549" s="36">
        <v>3144</v>
      </c>
    </row>
    <row r="550" spans="1:70">
      <c r="A550" t="s">
        <v>447</v>
      </c>
      <c r="C550" t="s">
        <v>10</v>
      </c>
      <c r="D550" t="s">
        <v>11</v>
      </c>
      <c r="E550" t="s">
        <v>165</v>
      </c>
      <c r="F550" t="s">
        <v>157</v>
      </c>
      <c r="G550" t="s">
        <v>229</v>
      </c>
      <c r="H550" t="s">
        <v>433</v>
      </c>
      <c r="I550" t="s">
        <v>229</v>
      </c>
      <c r="J550" t="s">
        <v>433</v>
      </c>
      <c r="BB550">
        <v>5.6</v>
      </c>
      <c r="BE550">
        <v>4.5</v>
      </c>
      <c r="BK550" t="s">
        <v>273</v>
      </c>
      <c r="BM550" t="s">
        <v>403</v>
      </c>
      <c r="BN550" s="36">
        <v>3144</v>
      </c>
    </row>
    <row r="551" spans="1:70">
      <c r="A551" t="s">
        <v>446</v>
      </c>
      <c r="C551" t="s">
        <v>10</v>
      </c>
      <c r="D551" t="s">
        <v>11</v>
      </c>
      <c r="E551" t="s">
        <v>165</v>
      </c>
      <c r="F551" t="s">
        <v>157</v>
      </c>
      <c r="G551" t="s">
        <v>229</v>
      </c>
      <c r="H551" t="s">
        <v>433</v>
      </c>
      <c r="I551" t="s">
        <v>229</v>
      </c>
      <c r="J551" t="s">
        <v>433</v>
      </c>
      <c r="BB551">
        <v>5.6</v>
      </c>
      <c r="BE551">
        <v>4.5999999999999996</v>
      </c>
      <c r="BK551" t="s">
        <v>273</v>
      </c>
      <c r="BM551" t="s">
        <v>403</v>
      </c>
      <c r="BN551" s="36">
        <v>3144</v>
      </c>
    </row>
    <row r="552" spans="1:70">
      <c r="A552" t="s">
        <v>448</v>
      </c>
      <c r="C552" t="s">
        <v>10</v>
      </c>
      <c r="D552" t="s">
        <v>11</v>
      </c>
      <c r="E552" t="s">
        <v>165</v>
      </c>
      <c r="F552" t="s">
        <v>157</v>
      </c>
      <c r="G552" t="s">
        <v>229</v>
      </c>
      <c r="H552" t="s">
        <v>433</v>
      </c>
      <c r="I552" t="s">
        <v>229</v>
      </c>
      <c r="J552" t="s">
        <v>433</v>
      </c>
      <c r="BB552">
        <v>5.7</v>
      </c>
      <c r="BE552">
        <v>4.5999999999999996</v>
      </c>
      <c r="BF552">
        <v>5.5</v>
      </c>
      <c r="BI552">
        <v>3.6</v>
      </c>
      <c r="BK552" t="s">
        <v>273</v>
      </c>
      <c r="BM552" t="s">
        <v>403</v>
      </c>
      <c r="BN552" s="36">
        <v>3144</v>
      </c>
      <c r="BO552" t="s">
        <v>362</v>
      </c>
      <c r="BP552" t="s">
        <v>403</v>
      </c>
    </row>
    <row r="553" spans="1:70" s="4" customFormat="1" ht="16">
      <c r="A553" s="14" t="s">
        <v>436</v>
      </c>
      <c r="B553" s="14" t="s">
        <v>1248</v>
      </c>
      <c r="C553" s="14" t="s">
        <v>10</v>
      </c>
      <c r="D553" s="14" t="s">
        <v>11</v>
      </c>
      <c r="E553" s="14" t="s">
        <v>165</v>
      </c>
      <c r="F553" s="14" t="s">
        <v>157</v>
      </c>
      <c r="G553" s="16" t="s">
        <v>474</v>
      </c>
      <c r="H553" s="14" t="s">
        <v>437</v>
      </c>
      <c r="I553" s="14" t="s">
        <v>428</v>
      </c>
      <c r="J553" s="14" t="s">
        <v>437</v>
      </c>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v>7.1</v>
      </c>
      <c r="AY553" s="14">
        <v>4.9000000000000004</v>
      </c>
      <c r="AZ553" s="14">
        <v>5.9</v>
      </c>
      <c r="BA553" s="14">
        <v>5.9</v>
      </c>
      <c r="BB553" s="14"/>
      <c r="BC553" s="14"/>
      <c r="BD553" s="14"/>
      <c r="BE553" s="14"/>
      <c r="BF553" s="14"/>
      <c r="BG553" s="14"/>
      <c r="BH553" s="14"/>
      <c r="BI553" s="14"/>
      <c r="BJ553" s="14" t="s">
        <v>438</v>
      </c>
      <c r="BK553" s="14" t="s">
        <v>273</v>
      </c>
      <c r="BL553" s="14"/>
      <c r="BM553" s="14" t="s">
        <v>403</v>
      </c>
      <c r="BN553" s="34">
        <v>3144</v>
      </c>
      <c r="BO553" s="14" t="s">
        <v>362</v>
      </c>
      <c r="BP553" s="14" t="s">
        <v>403</v>
      </c>
      <c r="BQ553" s="14"/>
      <c r="BR553" s="14"/>
    </row>
    <row r="554" spans="1:70">
      <c r="A554" t="s">
        <v>434</v>
      </c>
      <c r="B554" t="s">
        <v>1248</v>
      </c>
      <c r="C554" t="s">
        <v>10</v>
      </c>
      <c r="D554" t="s">
        <v>11</v>
      </c>
      <c r="E554" t="s">
        <v>165</v>
      </c>
      <c r="F554" t="s">
        <v>157</v>
      </c>
      <c r="G554" t="s">
        <v>13</v>
      </c>
      <c r="H554" t="s">
        <v>16</v>
      </c>
      <c r="I554" t="s">
        <v>13</v>
      </c>
      <c r="J554" t="s">
        <v>16</v>
      </c>
      <c r="AT554">
        <v>4.9000000000000004</v>
      </c>
      <c r="AW554">
        <v>2.7</v>
      </c>
      <c r="AX554">
        <v>5.2</v>
      </c>
      <c r="BA554">
        <v>3.7</v>
      </c>
      <c r="BB554">
        <v>5.2</v>
      </c>
      <c r="BE554">
        <v>4.2</v>
      </c>
      <c r="BF554">
        <v>5.3</v>
      </c>
      <c r="BI554">
        <v>4</v>
      </c>
      <c r="BK554" t="s">
        <v>273</v>
      </c>
      <c r="BM554" t="s">
        <v>403</v>
      </c>
      <c r="BN554" s="36">
        <v>3144</v>
      </c>
      <c r="BO554" t="s">
        <v>362</v>
      </c>
      <c r="BP554" t="s">
        <v>403</v>
      </c>
    </row>
    <row r="555" spans="1:70">
      <c r="A555" t="s">
        <v>435</v>
      </c>
      <c r="B555" t="s">
        <v>1248</v>
      </c>
      <c r="C555" t="s">
        <v>10</v>
      </c>
      <c r="D555" t="s">
        <v>11</v>
      </c>
      <c r="E555" t="s">
        <v>165</v>
      </c>
      <c r="F555" t="s">
        <v>157</v>
      </c>
      <c r="G555" t="s">
        <v>13</v>
      </c>
      <c r="H555" t="s">
        <v>16</v>
      </c>
      <c r="I555" t="s">
        <v>13</v>
      </c>
      <c r="J555" t="s">
        <v>16</v>
      </c>
      <c r="BB555">
        <v>5.0999999999999996</v>
      </c>
      <c r="BE555">
        <v>4.2</v>
      </c>
      <c r="BK555" t="s">
        <v>273</v>
      </c>
      <c r="BM555" t="s">
        <v>403</v>
      </c>
      <c r="BN555" s="36">
        <v>3144</v>
      </c>
      <c r="BO555" t="s">
        <v>362</v>
      </c>
      <c r="BP555" t="s">
        <v>403</v>
      </c>
    </row>
    <row r="556" spans="1:70">
      <c r="A556" t="s">
        <v>443</v>
      </c>
      <c r="C556" t="s">
        <v>10</v>
      </c>
      <c r="D556" t="s">
        <v>11</v>
      </c>
      <c r="E556" t="s">
        <v>165</v>
      </c>
      <c r="F556" t="s">
        <v>157</v>
      </c>
      <c r="G556" t="s">
        <v>105</v>
      </c>
      <c r="H556" t="s">
        <v>486</v>
      </c>
      <c r="I556" t="s">
        <v>229</v>
      </c>
      <c r="J556" t="s">
        <v>28</v>
      </c>
      <c r="AL556">
        <v>3.6</v>
      </c>
      <c r="AO556">
        <v>2.8</v>
      </c>
      <c r="AP556">
        <v>4.5999999999999996</v>
      </c>
      <c r="AS556">
        <v>3.3</v>
      </c>
      <c r="AT556">
        <v>5.4</v>
      </c>
      <c r="AW556">
        <v>4</v>
      </c>
      <c r="AX556">
        <v>5.5</v>
      </c>
      <c r="BA556">
        <v>4.7</v>
      </c>
      <c r="BB556">
        <v>6</v>
      </c>
      <c r="BE556">
        <v>5.5</v>
      </c>
      <c r="BF556">
        <v>6.1</v>
      </c>
      <c r="BI556">
        <v>4.7</v>
      </c>
      <c r="BK556" t="s">
        <v>273</v>
      </c>
      <c r="BM556" t="s">
        <v>403</v>
      </c>
      <c r="BN556" s="36">
        <v>3144</v>
      </c>
      <c r="BO556" t="s">
        <v>362</v>
      </c>
      <c r="BP556" t="s">
        <v>403</v>
      </c>
    </row>
    <row r="557" spans="1:70">
      <c r="A557" t="s">
        <v>444</v>
      </c>
      <c r="C557" t="s">
        <v>10</v>
      </c>
      <c r="D557" t="s">
        <v>11</v>
      </c>
      <c r="E557" t="s">
        <v>165</v>
      </c>
      <c r="F557" t="s">
        <v>157</v>
      </c>
      <c r="G557" t="s">
        <v>105</v>
      </c>
      <c r="H557" t="s">
        <v>486</v>
      </c>
      <c r="I557" t="s">
        <v>229</v>
      </c>
      <c r="J557" t="s">
        <v>28</v>
      </c>
      <c r="AL557">
        <v>3.8</v>
      </c>
      <c r="AO557">
        <v>2.8</v>
      </c>
      <c r="AP557">
        <v>4.5</v>
      </c>
      <c r="AS557">
        <v>3.3</v>
      </c>
      <c r="AT557">
        <v>5.3</v>
      </c>
      <c r="AW557">
        <v>3.8</v>
      </c>
      <c r="AX557">
        <v>5.7</v>
      </c>
      <c r="BA557">
        <v>4.7</v>
      </c>
      <c r="BK557" t="s">
        <v>273</v>
      </c>
      <c r="BM557" t="s">
        <v>403</v>
      </c>
      <c r="BN557" s="36">
        <v>3144</v>
      </c>
    </row>
    <row r="558" spans="1:70" s="14" customFormat="1">
      <c r="A558" t="s">
        <v>449</v>
      </c>
      <c r="B558"/>
      <c r="C558" t="s">
        <v>10</v>
      </c>
      <c r="D558" t="s">
        <v>11</v>
      </c>
      <c r="E558" t="s">
        <v>293</v>
      </c>
      <c r="F558" t="s">
        <v>52</v>
      </c>
      <c r="G558" t="s">
        <v>53</v>
      </c>
      <c r="H558" t="s">
        <v>60</v>
      </c>
      <c r="I558" t="s">
        <v>53</v>
      </c>
      <c r="J558" t="s">
        <v>60</v>
      </c>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v>4.2</v>
      </c>
      <c r="AU558"/>
      <c r="AV558"/>
      <c r="AW558">
        <v>2.6</v>
      </c>
      <c r="AX558"/>
      <c r="AY558"/>
      <c r="AZ558"/>
      <c r="BA558"/>
      <c r="BB558"/>
      <c r="BC558"/>
      <c r="BD558"/>
      <c r="BE558"/>
      <c r="BF558"/>
      <c r="BG558"/>
      <c r="BH558"/>
      <c r="BI558"/>
      <c r="BJ558"/>
      <c r="BK558" t="s">
        <v>273</v>
      </c>
      <c r="BL558"/>
      <c r="BM558" t="s">
        <v>403</v>
      </c>
      <c r="BN558" s="53">
        <v>3144</v>
      </c>
      <c r="BO558"/>
      <c r="BP558"/>
      <c r="BQ558"/>
      <c r="BR558"/>
    </row>
    <row r="559" spans="1:70" s="55" customFormat="1">
      <c r="A559" s="55" t="s">
        <v>311</v>
      </c>
      <c r="C559" s="55" t="s">
        <v>10</v>
      </c>
      <c r="D559" s="55" t="s">
        <v>11</v>
      </c>
      <c r="E559" s="55" t="s">
        <v>293</v>
      </c>
      <c r="G559" s="55" t="s">
        <v>48</v>
      </c>
      <c r="H559" s="55" t="s">
        <v>49</v>
      </c>
      <c r="I559" s="55" t="s">
        <v>48</v>
      </c>
      <c r="J559" s="55" t="s">
        <v>49</v>
      </c>
      <c r="AP559" s="55">
        <v>3.37</v>
      </c>
      <c r="AS559" s="55">
        <v>2</v>
      </c>
      <c r="AT559" s="55">
        <v>3.68</v>
      </c>
      <c r="AW559" s="55">
        <v>2.54</v>
      </c>
      <c r="AX559" s="55">
        <v>4.07</v>
      </c>
      <c r="BA559" s="55">
        <v>3.3</v>
      </c>
      <c r="BB559" s="55">
        <v>4.67</v>
      </c>
      <c r="BE559" s="55">
        <v>4.04</v>
      </c>
      <c r="BF559" s="55">
        <v>5.13</v>
      </c>
      <c r="BI559" s="55">
        <v>3.55</v>
      </c>
      <c r="BK559" s="55" t="s">
        <v>273</v>
      </c>
      <c r="BM559" s="55" t="s">
        <v>403</v>
      </c>
      <c r="BN559" s="56">
        <v>3144</v>
      </c>
      <c r="BO559" s="55" t="s">
        <v>362</v>
      </c>
      <c r="BP559" s="55" t="s">
        <v>403</v>
      </c>
    </row>
    <row r="560" spans="1:70">
      <c r="A560" t="s">
        <v>450</v>
      </c>
      <c r="C560" t="s">
        <v>10</v>
      </c>
      <c r="D560" t="s">
        <v>11</v>
      </c>
      <c r="E560" t="s">
        <v>293</v>
      </c>
      <c r="G560" t="s">
        <v>48</v>
      </c>
      <c r="H560" t="s">
        <v>49</v>
      </c>
      <c r="I560" t="s">
        <v>48</v>
      </c>
      <c r="J560" t="s">
        <v>49</v>
      </c>
      <c r="BB560">
        <v>4.7</v>
      </c>
      <c r="BE560">
        <v>3.9</v>
      </c>
      <c r="BK560" t="s">
        <v>273</v>
      </c>
      <c r="BM560" t="s">
        <v>403</v>
      </c>
      <c r="BN560" s="36">
        <v>3144</v>
      </c>
    </row>
    <row r="561" spans="1:68">
      <c r="A561" t="s">
        <v>451</v>
      </c>
      <c r="C561" t="s">
        <v>10</v>
      </c>
      <c r="D561" t="s">
        <v>11</v>
      </c>
      <c r="E561" t="s">
        <v>293</v>
      </c>
      <c r="G561" t="s">
        <v>48</v>
      </c>
      <c r="H561" t="s">
        <v>49</v>
      </c>
      <c r="I561" t="s">
        <v>48</v>
      </c>
      <c r="J561" t="s">
        <v>49</v>
      </c>
      <c r="R561">
        <v>3.4</v>
      </c>
      <c r="U561">
        <v>2.8</v>
      </c>
      <c r="V561">
        <v>3.3</v>
      </c>
      <c r="Y561">
        <v>4.4000000000000004</v>
      </c>
      <c r="Z561">
        <v>3.9</v>
      </c>
      <c r="AC561">
        <v>5</v>
      </c>
      <c r="AD561">
        <v>4.5999999999999996</v>
      </c>
      <c r="AG561">
        <v>6.2</v>
      </c>
      <c r="AH561">
        <v>3.6</v>
      </c>
      <c r="AK561">
        <v>5.3</v>
      </c>
      <c r="BK561" t="s">
        <v>273</v>
      </c>
      <c r="BM561" t="s">
        <v>403</v>
      </c>
      <c r="BN561" s="36">
        <v>3144</v>
      </c>
      <c r="BO561" t="s">
        <v>362</v>
      </c>
      <c r="BP561" t="s">
        <v>403</v>
      </c>
    </row>
    <row r="562" spans="1:68">
      <c r="A562" t="s">
        <v>452</v>
      </c>
      <c r="C562" t="s">
        <v>10</v>
      </c>
      <c r="D562" t="s">
        <v>11</v>
      </c>
      <c r="E562" t="s">
        <v>293</v>
      </c>
      <c r="G562" t="s">
        <v>48</v>
      </c>
      <c r="H562" t="s">
        <v>49</v>
      </c>
      <c r="I562" t="s">
        <v>48</v>
      </c>
      <c r="J562" t="s">
        <v>49</v>
      </c>
      <c r="AD562">
        <v>4.8</v>
      </c>
      <c r="AG562">
        <v>6.5</v>
      </c>
      <c r="AH562">
        <v>3.4</v>
      </c>
      <c r="AK562">
        <v>5.6</v>
      </c>
      <c r="BK562" t="s">
        <v>273</v>
      </c>
      <c r="BM562" t="s">
        <v>403</v>
      </c>
      <c r="BN562" s="36">
        <v>3144</v>
      </c>
    </row>
    <row r="563" spans="1:68">
      <c r="A563" t="s">
        <v>453</v>
      </c>
      <c r="C563" t="s">
        <v>10</v>
      </c>
      <c r="D563" t="s">
        <v>11</v>
      </c>
      <c r="E563" t="s">
        <v>293</v>
      </c>
      <c r="G563" t="s">
        <v>48</v>
      </c>
      <c r="H563" t="s">
        <v>49</v>
      </c>
      <c r="I563" t="s">
        <v>48</v>
      </c>
      <c r="J563" t="s">
        <v>49</v>
      </c>
      <c r="AD563">
        <v>4</v>
      </c>
      <c r="AG563">
        <v>5.6</v>
      </c>
      <c r="AH563">
        <v>3.1</v>
      </c>
      <c r="AK563">
        <v>5.0999999999999996</v>
      </c>
      <c r="BK563" t="s">
        <v>273</v>
      </c>
      <c r="BM563" t="s">
        <v>403</v>
      </c>
      <c r="BN563" s="36">
        <v>3144</v>
      </c>
    </row>
    <row r="564" spans="1:68" s="55" customFormat="1">
      <c r="A564" s="55" t="s">
        <v>311</v>
      </c>
      <c r="C564" s="55" t="s">
        <v>10</v>
      </c>
      <c r="D564" s="55" t="s">
        <v>11</v>
      </c>
      <c r="E564" s="55" t="s">
        <v>293</v>
      </c>
      <c r="F564" s="55" t="s">
        <v>52</v>
      </c>
      <c r="G564" s="55" t="s">
        <v>70</v>
      </c>
      <c r="H564" s="55" t="s">
        <v>71</v>
      </c>
      <c r="I564" s="55" t="s">
        <v>53</v>
      </c>
      <c r="J564" s="55" t="s">
        <v>116</v>
      </c>
      <c r="R564" s="55">
        <v>3.23</v>
      </c>
      <c r="U564" s="55">
        <v>2.71</v>
      </c>
      <c r="V564" s="55">
        <v>3.11</v>
      </c>
      <c r="Y564" s="55">
        <v>3.96</v>
      </c>
      <c r="Z564" s="55">
        <v>3.21</v>
      </c>
      <c r="AC564" s="55">
        <v>4.29</v>
      </c>
      <c r="AD564" s="55">
        <v>3.43</v>
      </c>
      <c r="AG564" s="55">
        <v>5.2</v>
      </c>
      <c r="AH564" s="55">
        <v>2.4</v>
      </c>
      <c r="AK564" s="55">
        <v>3.71</v>
      </c>
      <c r="AP564" s="55">
        <v>3.22</v>
      </c>
      <c r="AS564" s="55">
        <v>1.88</v>
      </c>
      <c r="AT564" s="55">
        <v>3.41</v>
      </c>
      <c r="AW564" s="55">
        <v>2.31</v>
      </c>
      <c r="AX564" s="55">
        <v>3.4</v>
      </c>
      <c r="BA564" s="55">
        <v>2.9</v>
      </c>
      <c r="BB564" s="55">
        <v>3.58</v>
      </c>
      <c r="BE564" s="55">
        <v>3.3</v>
      </c>
      <c r="BF564" s="55">
        <v>3.82</v>
      </c>
      <c r="BI564" s="55">
        <v>2.75</v>
      </c>
      <c r="BK564" s="55" t="s">
        <v>273</v>
      </c>
      <c r="BM564" s="55" t="s">
        <v>403</v>
      </c>
      <c r="BN564" s="56">
        <v>3144</v>
      </c>
      <c r="BO564" s="55" t="s">
        <v>362</v>
      </c>
      <c r="BP564" s="55" t="s">
        <v>403</v>
      </c>
    </row>
    <row r="565" spans="1:68">
      <c r="A565" t="s">
        <v>497</v>
      </c>
      <c r="C565" t="s">
        <v>10</v>
      </c>
      <c r="D565" t="s">
        <v>11</v>
      </c>
      <c r="E565" t="s">
        <v>293</v>
      </c>
      <c r="F565" t="s">
        <v>52</v>
      </c>
      <c r="G565" t="s">
        <v>70</v>
      </c>
      <c r="H565" t="s">
        <v>71</v>
      </c>
      <c r="I565" t="s">
        <v>53</v>
      </c>
      <c r="J565" t="s">
        <v>116</v>
      </c>
      <c r="BK565" t="s">
        <v>273</v>
      </c>
      <c r="BL565" s="26">
        <v>44797</v>
      </c>
      <c r="BM565" t="s">
        <v>403</v>
      </c>
      <c r="BN565" s="36">
        <v>3144</v>
      </c>
      <c r="BO565" t="s">
        <v>362</v>
      </c>
      <c r="BP565" t="s">
        <v>403</v>
      </c>
    </row>
    <row r="566" spans="1:68">
      <c r="A566" t="s">
        <v>1257</v>
      </c>
      <c r="C566" t="s">
        <v>10</v>
      </c>
      <c r="D566" t="s">
        <v>11</v>
      </c>
      <c r="E566" t="s">
        <v>293</v>
      </c>
      <c r="F566" t="s">
        <v>52</v>
      </c>
      <c r="G566" t="s">
        <v>70</v>
      </c>
      <c r="H566" t="s">
        <v>71</v>
      </c>
      <c r="I566" t="s">
        <v>53</v>
      </c>
      <c r="J566" t="s">
        <v>116</v>
      </c>
      <c r="BK566" t="s">
        <v>273</v>
      </c>
      <c r="BL566" s="26">
        <v>44797</v>
      </c>
      <c r="BM566" t="s">
        <v>403</v>
      </c>
      <c r="BN566" s="36">
        <v>3144</v>
      </c>
      <c r="BO566" t="s">
        <v>362</v>
      </c>
      <c r="BP566" t="s">
        <v>403</v>
      </c>
    </row>
    <row r="567" spans="1:68">
      <c r="A567" t="s">
        <v>1259</v>
      </c>
      <c r="B567" t="s">
        <v>426</v>
      </c>
      <c r="E567" t="s">
        <v>493</v>
      </c>
      <c r="G567" t="s">
        <v>462</v>
      </c>
      <c r="H567" t="s">
        <v>492</v>
      </c>
      <c r="I567" t="s">
        <v>462</v>
      </c>
      <c r="J567" t="s">
        <v>492</v>
      </c>
      <c r="AP567">
        <v>3.2</v>
      </c>
      <c r="AS567">
        <v>2.1</v>
      </c>
      <c r="AT567">
        <v>3.1</v>
      </c>
      <c r="AW567">
        <v>2.2999999999999998</v>
      </c>
      <c r="AX567">
        <v>3.7</v>
      </c>
      <c r="BA567">
        <v>2.8</v>
      </c>
      <c r="BB567">
        <v>3.4</v>
      </c>
      <c r="BE567">
        <v>2.8</v>
      </c>
      <c r="BF567">
        <v>2.9</v>
      </c>
      <c r="BI567">
        <v>2.2000000000000002</v>
      </c>
      <c r="BK567" t="s">
        <v>273</v>
      </c>
      <c r="BM567" t="s">
        <v>403</v>
      </c>
      <c r="BN567" s="36">
        <v>3144</v>
      </c>
    </row>
    <row r="568" spans="1:68" s="55" customFormat="1">
      <c r="A568" s="55" t="s">
        <v>311</v>
      </c>
      <c r="E568" s="55" t="s">
        <v>493</v>
      </c>
      <c r="G568" s="55" t="s">
        <v>462</v>
      </c>
      <c r="H568" s="55" t="s">
        <v>424</v>
      </c>
      <c r="I568" s="55" t="s">
        <v>462</v>
      </c>
      <c r="J568" s="55" t="s">
        <v>424</v>
      </c>
      <c r="AP568" s="55">
        <v>2.77</v>
      </c>
      <c r="AS568" s="55">
        <v>1.53</v>
      </c>
      <c r="AT568" s="55">
        <v>2.4</v>
      </c>
      <c r="AW568" s="55">
        <v>1.5</v>
      </c>
      <c r="AX568" s="55">
        <v>3.25</v>
      </c>
      <c r="BA568" s="55">
        <v>2.13</v>
      </c>
      <c r="BB568" s="55">
        <v>2.72</v>
      </c>
      <c r="BE568" s="55">
        <v>2.1800000000000002</v>
      </c>
      <c r="BF568" s="55">
        <v>2.6</v>
      </c>
      <c r="BI568" s="55">
        <v>1.8</v>
      </c>
      <c r="BK568" s="55" t="s">
        <v>273</v>
      </c>
      <c r="BM568" s="55" t="s">
        <v>403</v>
      </c>
      <c r="BN568" s="56">
        <v>3144</v>
      </c>
    </row>
    <row r="569" spans="1:68" s="55" customFormat="1">
      <c r="A569" s="55" t="s">
        <v>311</v>
      </c>
      <c r="C569" s="55" t="s">
        <v>10</v>
      </c>
      <c r="D569" s="55" t="s">
        <v>11</v>
      </c>
      <c r="E569" s="55" t="s">
        <v>473</v>
      </c>
      <c r="G569" s="55" t="s">
        <v>471</v>
      </c>
      <c r="H569" s="55" t="s">
        <v>472</v>
      </c>
      <c r="I569" s="55" t="s">
        <v>471</v>
      </c>
      <c r="J569" s="55" t="s">
        <v>472</v>
      </c>
      <c r="AP569" s="55">
        <v>6.28</v>
      </c>
      <c r="AS569" s="55">
        <v>3.22</v>
      </c>
      <c r="AT569" s="55">
        <v>5.86</v>
      </c>
      <c r="AW569" s="55">
        <v>3.88</v>
      </c>
      <c r="AX569" s="55">
        <v>5.47</v>
      </c>
      <c r="BA569" s="55">
        <v>3.87</v>
      </c>
      <c r="BB569" s="55">
        <v>5.34</v>
      </c>
      <c r="BE569" s="55">
        <v>4.0599999999999996</v>
      </c>
      <c r="BF569" s="55">
        <v>5.58</v>
      </c>
      <c r="BI569" s="55">
        <v>3.54</v>
      </c>
      <c r="BK569" s="55" t="s">
        <v>273</v>
      </c>
      <c r="BM569" s="55" t="s">
        <v>403</v>
      </c>
      <c r="BN569" s="56">
        <v>3144</v>
      </c>
      <c r="BO569" s="55" t="s">
        <v>362</v>
      </c>
      <c r="BP569" s="55" t="s">
        <v>403</v>
      </c>
    </row>
    <row r="570" spans="1:68" s="55" customFormat="1">
      <c r="A570" s="55" t="s">
        <v>311</v>
      </c>
      <c r="C570" s="55" t="s">
        <v>10</v>
      </c>
      <c r="D570" s="55" t="s">
        <v>11</v>
      </c>
      <c r="E570" s="55" t="s">
        <v>473</v>
      </c>
      <c r="G570" s="55" t="s">
        <v>471</v>
      </c>
      <c r="H570" s="55" t="s">
        <v>472</v>
      </c>
      <c r="I570" s="55" t="s">
        <v>471</v>
      </c>
      <c r="J570" s="55" t="s">
        <v>472</v>
      </c>
      <c r="AT570" s="55">
        <v>5.94</v>
      </c>
      <c r="AW570" s="55">
        <v>3.92</v>
      </c>
      <c r="BK570" s="57" t="s">
        <v>273</v>
      </c>
      <c r="BL570" s="57"/>
      <c r="BM570" s="55" t="s">
        <v>403</v>
      </c>
      <c r="BN570" s="56">
        <v>3144</v>
      </c>
    </row>
    <row r="571" spans="1:68">
      <c r="A571" t="s">
        <v>1180</v>
      </c>
      <c r="B571" t="s">
        <v>1248</v>
      </c>
      <c r="C571" t="s">
        <v>10</v>
      </c>
      <c r="D571" t="s">
        <v>1039</v>
      </c>
      <c r="E571" t="s">
        <v>1040</v>
      </c>
      <c r="F571" t="s">
        <v>1041</v>
      </c>
      <c r="G571" t="s">
        <v>1042</v>
      </c>
      <c r="H571" t="s">
        <v>1047</v>
      </c>
      <c r="I571" t="s">
        <v>1181</v>
      </c>
      <c r="J571" t="s">
        <v>218</v>
      </c>
      <c r="M571" s="18"/>
      <c r="N571">
        <v>4.5</v>
      </c>
      <c r="Q571">
        <v>3.1</v>
      </c>
      <c r="R571">
        <v>5.9</v>
      </c>
      <c r="U571">
        <v>5.8</v>
      </c>
      <c r="V571">
        <v>5.7</v>
      </c>
      <c r="Y571">
        <v>7.2</v>
      </c>
      <c r="Z571">
        <v>7</v>
      </c>
      <c r="AC571">
        <v>9</v>
      </c>
      <c r="AD571">
        <v>6.9</v>
      </c>
      <c r="AG571">
        <v>9.9</v>
      </c>
      <c r="BJ571" t="s">
        <v>1258</v>
      </c>
      <c r="BK571" t="s">
        <v>273</v>
      </c>
      <c r="BM571" t="s">
        <v>403</v>
      </c>
      <c r="BN571" s="36">
        <v>3144</v>
      </c>
    </row>
    <row r="572" spans="1:68">
      <c r="A572" t="s">
        <v>1182</v>
      </c>
      <c r="C572" t="s">
        <v>10</v>
      </c>
      <c r="D572" t="s">
        <v>1039</v>
      </c>
      <c r="E572" t="s">
        <v>1040</v>
      </c>
      <c r="F572" t="s">
        <v>1041</v>
      </c>
      <c r="G572" t="s">
        <v>1042</v>
      </c>
      <c r="H572" t="s">
        <v>1047</v>
      </c>
      <c r="I572" t="s">
        <v>1181</v>
      </c>
      <c r="J572" t="s">
        <v>1183</v>
      </c>
      <c r="M572" s="18"/>
      <c r="AT572">
        <v>7.2</v>
      </c>
      <c r="AW572">
        <v>4.8</v>
      </c>
      <c r="BK572" t="s">
        <v>273</v>
      </c>
      <c r="BM572" t="s">
        <v>403</v>
      </c>
      <c r="BN572" s="36">
        <v>3144</v>
      </c>
    </row>
    <row r="573" spans="1:68">
      <c r="A573" t="s">
        <v>1184</v>
      </c>
      <c r="C573" t="s">
        <v>10</v>
      </c>
      <c r="D573" t="s">
        <v>1039</v>
      </c>
      <c r="E573" t="s">
        <v>1040</v>
      </c>
      <c r="F573" t="s">
        <v>1041</v>
      </c>
      <c r="G573" t="s">
        <v>1042</v>
      </c>
      <c r="H573" t="s">
        <v>1047</v>
      </c>
      <c r="I573" t="s">
        <v>1185</v>
      </c>
      <c r="J573" t="s">
        <v>416</v>
      </c>
      <c r="M573" s="18"/>
      <c r="AP573">
        <v>6.7</v>
      </c>
      <c r="AS573">
        <v>3.9</v>
      </c>
      <c r="AT573">
        <v>7.2</v>
      </c>
      <c r="AW573">
        <v>4.7</v>
      </c>
      <c r="AX573">
        <v>7</v>
      </c>
      <c r="BA573">
        <v>5.4</v>
      </c>
      <c r="BB573">
        <v>7.3</v>
      </c>
      <c r="BE573">
        <v>5.4</v>
      </c>
      <c r="BF573">
        <v>7.3</v>
      </c>
      <c r="BI573">
        <v>4.5999999999999996</v>
      </c>
      <c r="BK573" t="s">
        <v>273</v>
      </c>
      <c r="BM573" t="s">
        <v>403</v>
      </c>
      <c r="BN573" s="36">
        <v>3144</v>
      </c>
      <c r="BO573" t="s">
        <v>362</v>
      </c>
      <c r="BP573" t="s">
        <v>403</v>
      </c>
    </row>
    <row r="574" spans="1:68">
      <c r="A574" t="s">
        <v>1186</v>
      </c>
      <c r="C574" t="s">
        <v>10</v>
      </c>
      <c r="D574" t="s">
        <v>1039</v>
      </c>
      <c r="E574" t="s">
        <v>1040</v>
      </c>
      <c r="F574" t="s">
        <v>1041</v>
      </c>
      <c r="G574" t="s">
        <v>1042</v>
      </c>
      <c r="H574" t="s">
        <v>1047</v>
      </c>
      <c r="I574" t="s">
        <v>1185</v>
      </c>
      <c r="J574" t="s">
        <v>1187</v>
      </c>
      <c r="M574" s="18"/>
      <c r="BB574">
        <v>7.7</v>
      </c>
      <c r="BC574">
        <v>6.2</v>
      </c>
      <c r="BD574">
        <v>5.5</v>
      </c>
      <c r="BE574">
        <v>6.2</v>
      </c>
      <c r="BK574" t="s">
        <v>273</v>
      </c>
      <c r="BM574" t="s">
        <v>403</v>
      </c>
      <c r="BN574" s="36">
        <v>3144</v>
      </c>
      <c r="BO574" t="s">
        <v>362</v>
      </c>
      <c r="BP574" t="s">
        <v>403</v>
      </c>
    </row>
    <row r="575" spans="1:68" s="55" customFormat="1">
      <c r="A575" s="55" t="s">
        <v>311</v>
      </c>
      <c r="C575" s="55" t="s">
        <v>10</v>
      </c>
      <c r="D575" s="55" t="s">
        <v>1039</v>
      </c>
      <c r="E575" s="55" t="s">
        <v>1040</v>
      </c>
      <c r="G575" s="55" t="s">
        <v>1165</v>
      </c>
      <c r="H575" s="55" t="s">
        <v>1166</v>
      </c>
      <c r="I575" s="55" t="s">
        <v>1165</v>
      </c>
      <c r="J575" s="55" t="s">
        <v>1175</v>
      </c>
      <c r="AX575" s="55">
        <v>7.63</v>
      </c>
      <c r="BA575" s="55">
        <v>6.23</v>
      </c>
      <c r="BB575" s="55">
        <v>7.77</v>
      </c>
      <c r="BE575" s="55">
        <v>6.75</v>
      </c>
      <c r="BF575" s="55">
        <v>7.7</v>
      </c>
      <c r="BI575" s="55">
        <v>5.37</v>
      </c>
      <c r="BK575" s="55" t="s">
        <v>273</v>
      </c>
      <c r="BM575" s="55" t="s">
        <v>403</v>
      </c>
      <c r="BN575" s="56">
        <v>3144</v>
      </c>
      <c r="BO575" s="55" t="s">
        <v>362</v>
      </c>
      <c r="BP575" s="55" t="s">
        <v>403</v>
      </c>
    </row>
    <row r="576" spans="1:68">
      <c r="A576" t="s">
        <v>1176</v>
      </c>
      <c r="B576" t="s">
        <v>1248</v>
      </c>
      <c r="C576" t="s">
        <v>10</v>
      </c>
      <c r="D576" t="s">
        <v>1039</v>
      </c>
      <c r="E576" t="s">
        <v>1040</v>
      </c>
      <c r="G576" t="s">
        <v>1165</v>
      </c>
      <c r="H576" t="s">
        <v>1166</v>
      </c>
      <c r="I576" t="s">
        <v>1165</v>
      </c>
      <c r="J576" t="s">
        <v>1175</v>
      </c>
      <c r="M576" s="18"/>
      <c r="AX576">
        <v>7.9</v>
      </c>
      <c r="BA576">
        <v>6.3</v>
      </c>
      <c r="BK576" t="s">
        <v>273</v>
      </c>
      <c r="BM576" t="s">
        <v>403</v>
      </c>
      <c r="BN576" s="36">
        <v>3144</v>
      </c>
    </row>
    <row r="577" spans="1:66">
      <c r="A577" t="s">
        <v>1177</v>
      </c>
      <c r="C577" t="s">
        <v>10</v>
      </c>
      <c r="D577" t="s">
        <v>1039</v>
      </c>
      <c r="E577" t="s">
        <v>1040</v>
      </c>
      <c r="G577" t="s">
        <v>1165</v>
      </c>
      <c r="H577" t="s">
        <v>1166</v>
      </c>
      <c r="I577" t="s">
        <v>1165</v>
      </c>
      <c r="J577" t="s">
        <v>1175</v>
      </c>
      <c r="M577" s="18"/>
      <c r="AX577">
        <v>7.5</v>
      </c>
      <c r="BA577">
        <v>6.6</v>
      </c>
      <c r="BF577">
        <v>7.9</v>
      </c>
      <c r="BI577">
        <v>5.7</v>
      </c>
      <c r="BK577" t="s">
        <v>273</v>
      </c>
      <c r="BM577" t="s">
        <v>403</v>
      </c>
      <c r="BN577" s="36">
        <v>3144</v>
      </c>
    </row>
    <row r="578" spans="1:66">
      <c r="A578" t="s">
        <v>1178</v>
      </c>
      <c r="C578" t="s">
        <v>10</v>
      </c>
      <c r="D578" t="s">
        <v>1039</v>
      </c>
      <c r="E578" t="s">
        <v>1040</v>
      </c>
      <c r="G578" t="s">
        <v>1165</v>
      </c>
      <c r="H578" t="s">
        <v>1166</v>
      </c>
      <c r="I578" t="s">
        <v>1165</v>
      </c>
      <c r="J578" t="s">
        <v>1179</v>
      </c>
      <c r="M578" s="18"/>
      <c r="AX578">
        <v>6.8</v>
      </c>
      <c r="BA578">
        <v>5.6</v>
      </c>
      <c r="BB578">
        <v>7</v>
      </c>
      <c r="BE578">
        <v>6.2</v>
      </c>
      <c r="BK578" t="s">
        <v>273</v>
      </c>
      <c r="BM578" t="s">
        <v>403</v>
      </c>
      <c r="BN578" s="36">
        <v>3144</v>
      </c>
    </row>
    <row r="579" spans="1:66" s="55" customFormat="1" ht="32">
      <c r="A579" s="55" t="s">
        <v>311</v>
      </c>
      <c r="C579" s="55" t="s">
        <v>10</v>
      </c>
      <c r="D579" s="55" t="s">
        <v>1039</v>
      </c>
      <c r="E579" s="55" t="s">
        <v>1040</v>
      </c>
      <c r="G579" s="55" t="s">
        <v>1095</v>
      </c>
      <c r="H579" s="55" t="s">
        <v>1096</v>
      </c>
      <c r="I579" s="55" t="s">
        <v>1095</v>
      </c>
      <c r="J579" s="61" t="s">
        <v>1096</v>
      </c>
      <c r="M579" s="60" t="s">
        <v>1071</v>
      </c>
      <c r="V579" s="55">
        <v>6.6</v>
      </c>
      <c r="Y579" s="55">
        <v>7</v>
      </c>
      <c r="Z579" s="55">
        <v>6.97</v>
      </c>
      <c r="AC579" s="55">
        <v>8.52</v>
      </c>
      <c r="AD579" s="55">
        <v>7.29</v>
      </c>
      <c r="AG579" s="55">
        <v>8.6199999999999992</v>
      </c>
      <c r="AH579" s="55">
        <v>6.21</v>
      </c>
      <c r="AK579" s="55">
        <v>6.72</v>
      </c>
      <c r="AP579" s="55">
        <v>7.66</v>
      </c>
      <c r="AS579" s="55">
        <v>4.03</v>
      </c>
      <c r="AT579" s="55">
        <v>8</v>
      </c>
      <c r="AW579" s="55">
        <v>4.72</v>
      </c>
      <c r="AX579" s="55">
        <v>6.82</v>
      </c>
      <c r="BA579" s="55">
        <v>5.25</v>
      </c>
      <c r="BB579" s="55">
        <v>6.87</v>
      </c>
      <c r="BE579" s="55">
        <v>5.77</v>
      </c>
      <c r="BF579" s="55">
        <v>7.21</v>
      </c>
      <c r="BI579" s="55">
        <v>5.01</v>
      </c>
      <c r="BJ579" s="55" t="s">
        <v>1045</v>
      </c>
      <c r="BK579" s="55" t="s">
        <v>273</v>
      </c>
      <c r="BM579" s="55" t="s">
        <v>1046</v>
      </c>
      <c r="BN579" s="55">
        <v>3144</v>
      </c>
    </row>
    <row r="580" spans="1:66" s="55" customFormat="1" ht="16">
      <c r="A580" s="55" t="s">
        <v>311</v>
      </c>
      <c r="C580" s="55" t="s">
        <v>10</v>
      </c>
      <c r="D580" s="55" t="s">
        <v>1039</v>
      </c>
      <c r="E580" s="55" t="s">
        <v>1040</v>
      </c>
      <c r="G580" s="55" t="s">
        <v>1095</v>
      </c>
      <c r="H580" s="55" t="s">
        <v>1096</v>
      </c>
      <c r="I580" s="55" t="s">
        <v>1095</v>
      </c>
      <c r="J580" s="61" t="s">
        <v>1096</v>
      </c>
      <c r="M580" s="60" t="s">
        <v>1102</v>
      </c>
      <c r="R580" s="55">
        <v>7.43</v>
      </c>
      <c r="U580" s="55">
        <v>5.63</v>
      </c>
      <c r="V580" s="55">
        <v>6.82</v>
      </c>
      <c r="Y580" s="55">
        <v>7.5</v>
      </c>
      <c r="Z580" s="55">
        <v>7.27</v>
      </c>
      <c r="AC580" s="55">
        <v>8.26</v>
      </c>
      <c r="AD580" s="55">
        <v>7.03</v>
      </c>
      <c r="AG580" s="55">
        <v>8.4700000000000006</v>
      </c>
      <c r="AH580" s="55">
        <v>6.3</v>
      </c>
      <c r="AK580" s="55">
        <v>6.63</v>
      </c>
      <c r="AP580" s="55">
        <v>7.28</v>
      </c>
      <c r="AS580" s="55">
        <v>3.63</v>
      </c>
      <c r="AT580" s="55">
        <v>7.72</v>
      </c>
      <c r="AW580" s="55">
        <v>4.72</v>
      </c>
      <c r="AX580" s="55">
        <v>6.72</v>
      </c>
      <c r="BA580" s="55">
        <v>5.45</v>
      </c>
      <c r="BB580" s="55">
        <v>6.71</v>
      </c>
      <c r="BE580" s="55">
        <v>5.73</v>
      </c>
      <c r="BF580" s="55">
        <v>7.02</v>
      </c>
      <c r="BI580" s="55">
        <v>4.91</v>
      </c>
      <c r="BJ580" s="55" t="s">
        <v>1045</v>
      </c>
      <c r="BK580" s="55" t="s">
        <v>273</v>
      </c>
      <c r="BM580" s="55" t="s">
        <v>1046</v>
      </c>
      <c r="BN580" s="56">
        <v>3144</v>
      </c>
    </row>
    <row r="581" spans="1:66" s="55" customFormat="1" ht="16">
      <c r="A581" s="55" t="s">
        <v>311</v>
      </c>
      <c r="C581" s="55" t="s">
        <v>10</v>
      </c>
      <c r="D581" s="55" t="s">
        <v>1039</v>
      </c>
      <c r="E581" s="55" t="s">
        <v>1040</v>
      </c>
      <c r="G581" s="55" t="s">
        <v>1095</v>
      </c>
      <c r="H581" s="55" t="s">
        <v>1096</v>
      </c>
      <c r="I581" s="55" t="s">
        <v>1095</v>
      </c>
      <c r="J581" s="61" t="s">
        <v>1096</v>
      </c>
      <c r="M581" s="60" t="s">
        <v>1103</v>
      </c>
      <c r="V581" s="55">
        <v>6.4</v>
      </c>
      <c r="Y581" s="55">
        <v>7.7</v>
      </c>
      <c r="AD581" s="55">
        <v>7.27</v>
      </c>
      <c r="AG581" s="55">
        <v>8.6999999999999993</v>
      </c>
      <c r="AH581" s="55">
        <v>6.48</v>
      </c>
      <c r="AK581" s="55">
        <v>6.8</v>
      </c>
      <c r="AP581" s="55">
        <v>7.5</v>
      </c>
      <c r="AS581" s="55">
        <v>4.4000000000000004</v>
      </c>
      <c r="AT581" s="55">
        <v>7.87</v>
      </c>
      <c r="AW581" s="55">
        <v>5.96</v>
      </c>
      <c r="AX581" s="55">
        <v>6.98</v>
      </c>
      <c r="BA581" s="55">
        <v>5.6</v>
      </c>
      <c r="BB581" s="55">
        <v>6.93</v>
      </c>
      <c r="BE581" s="55">
        <v>5.95</v>
      </c>
      <c r="BF581" s="55">
        <v>7.5</v>
      </c>
      <c r="BI581" s="55">
        <v>5.07</v>
      </c>
      <c r="BJ581" s="55" t="s">
        <v>1045</v>
      </c>
      <c r="BK581" s="55" t="s">
        <v>273</v>
      </c>
      <c r="BM581" s="55" t="s">
        <v>1046</v>
      </c>
      <c r="BN581" s="56">
        <v>3144</v>
      </c>
    </row>
    <row r="582" spans="1:66" s="55" customFormat="1" ht="32">
      <c r="A582" s="55" t="s">
        <v>311</v>
      </c>
      <c r="C582" s="55" t="s">
        <v>10</v>
      </c>
      <c r="D582" s="55" t="s">
        <v>1039</v>
      </c>
      <c r="E582" s="55" t="s">
        <v>1040</v>
      </c>
      <c r="F582" s="55" t="s">
        <v>1041</v>
      </c>
      <c r="G582" s="55" t="s">
        <v>1042</v>
      </c>
      <c r="H582" s="55" t="s">
        <v>1043</v>
      </c>
      <c r="I582" s="55" t="s">
        <v>1042</v>
      </c>
      <c r="J582" s="55" t="s">
        <v>1043</v>
      </c>
      <c r="M582" s="60" t="s">
        <v>1044</v>
      </c>
      <c r="R582" s="55">
        <v>5.43</v>
      </c>
      <c r="U582" s="55">
        <v>5.23</v>
      </c>
      <c r="V582" s="55">
        <v>5.8</v>
      </c>
      <c r="Y582" s="55">
        <v>6.77</v>
      </c>
      <c r="Z582" s="55">
        <v>6.72</v>
      </c>
      <c r="AC582" s="55">
        <v>7.78</v>
      </c>
      <c r="AD582" s="55">
        <v>7.3</v>
      </c>
      <c r="AG582" s="55">
        <v>8.16</v>
      </c>
      <c r="AH582" s="55">
        <v>6.28</v>
      </c>
      <c r="AK582" s="55">
        <v>6.76</v>
      </c>
      <c r="AP582" s="55">
        <v>4.96</v>
      </c>
      <c r="AS582" s="55">
        <v>3.02</v>
      </c>
      <c r="AT582" s="55">
        <v>5.94</v>
      </c>
      <c r="AW582" s="55">
        <v>3.96</v>
      </c>
      <c r="AX582" s="55">
        <v>6</v>
      </c>
      <c r="BA582" s="55">
        <v>4.45</v>
      </c>
      <c r="BB582" s="55">
        <v>6.36</v>
      </c>
      <c r="BE582" s="55">
        <v>4.95</v>
      </c>
      <c r="BF582" s="55">
        <v>6.9</v>
      </c>
      <c r="BI582" s="55">
        <v>4.3099999999999996</v>
      </c>
      <c r="BJ582" s="55" t="s">
        <v>1045</v>
      </c>
      <c r="BK582" s="55" t="s">
        <v>273</v>
      </c>
      <c r="BM582" s="55" t="s">
        <v>1046</v>
      </c>
      <c r="BN582" s="56">
        <v>3144</v>
      </c>
    </row>
    <row r="583" spans="1:66" s="55" customFormat="1" ht="32">
      <c r="A583" s="55" t="s">
        <v>311</v>
      </c>
      <c r="C583" s="55" t="s">
        <v>10</v>
      </c>
      <c r="D583" s="55" t="s">
        <v>1039</v>
      </c>
      <c r="E583" s="55" t="s">
        <v>1040</v>
      </c>
      <c r="F583" s="55" t="s">
        <v>1041</v>
      </c>
      <c r="G583" s="55" t="s">
        <v>1042</v>
      </c>
      <c r="H583" s="55" t="s">
        <v>1047</v>
      </c>
      <c r="I583" s="55" t="s">
        <v>1042</v>
      </c>
      <c r="J583" s="55" t="s">
        <v>1047</v>
      </c>
      <c r="M583" s="60" t="s">
        <v>1048</v>
      </c>
      <c r="R583" s="55">
        <v>5.6</v>
      </c>
      <c r="U583" s="55">
        <v>5.05</v>
      </c>
      <c r="V583" s="55">
        <v>5.83</v>
      </c>
      <c r="Y583" s="55">
        <v>6.76</v>
      </c>
      <c r="Z583" s="55">
        <v>7.21</v>
      </c>
      <c r="AC583" s="55">
        <v>8.39</v>
      </c>
      <c r="AD583" s="55">
        <v>7.4</v>
      </c>
      <c r="AG583" s="55">
        <v>8.36</v>
      </c>
      <c r="AH583" s="55">
        <v>6.39</v>
      </c>
      <c r="AK583" s="55">
        <v>7.07</v>
      </c>
      <c r="AP583" s="55">
        <v>5.51</v>
      </c>
      <c r="AS583" s="55">
        <v>3.29</v>
      </c>
      <c r="AT583" s="55">
        <v>6.54</v>
      </c>
      <c r="AW583" s="55">
        <v>4.4400000000000004</v>
      </c>
      <c r="AX583" s="55">
        <v>6.59</v>
      </c>
      <c r="BA583" s="55">
        <v>5.19</v>
      </c>
      <c r="BB583" s="55">
        <v>6.71</v>
      </c>
      <c r="BE583" s="55">
        <v>5.59</v>
      </c>
      <c r="BF583" s="55">
        <v>7.34</v>
      </c>
      <c r="BI583" s="55">
        <v>4.8099999999999996</v>
      </c>
      <c r="BJ583" s="55" t="s">
        <v>1045</v>
      </c>
      <c r="BK583" s="55" t="s">
        <v>273</v>
      </c>
      <c r="BM583" s="55" t="s">
        <v>1046</v>
      </c>
      <c r="BN583" s="56">
        <v>3144</v>
      </c>
    </row>
    <row r="584" spans="1:66" s="55" customFormat="1" ht="16">
      <c r="A584" s="55" t="s">
        <v>311</v>
      </c>
      <c r="C584" s="55" t="s">
        <v>10</v>
      </c>
      <c r="D584" s="55" t="s">
        <v>1039</v>
      </c>
      <c r="E584" s="55" t="s">
        <v>1040</v>
      </c>
      <c r="F584" s="55" t="s">
        <v>1041</v>
      </c>
      <c r="G584" s="55" t="s">
        <v>1042</v>
      </c>
      <c r="H584" s="55" t="s">
        <v>1054</v>
      </c>
      <c r="I584" s="55" t="s">
        <v>1042</v>
      </c>
      <c r="J584" s="55" t="s">
        <v>1054</v>
      </c>
      <c r="K584" s="55" t="s">
        <v>1055</v>
      </c>
      <c r="M584" s="60" t="s">
        <v>1056</v>
      </c>
      <c r="AP584" s="55">
        <v>7.5</v>
      </c>
      <c r="AS584" s="55">
        <v>4.5</v>
      </c>
      <c r="AT584" s="55">
        <v>8.1999999999999993</v>
      </c>
      <c r="AW584" s="55">
        <v>5.85</v>
      </c>
      <c r="AX584" s="55">
        <v>8.9</v>
      </c>
      <c r="BA584" s="55">
        <v>7.27</v>
      </c>
      <c r="BB584" s="55">
        <v>9.17</v>
      </c>
      <c r="BE584" s="55">
        <v>7.5</v>
      </c>
      <c r="BF584" s="55">
        <v>9.6999999999999993</v>
      </c>
      <c r="BI584" s="55">
        <v>6.5</v>
      </c>
      <c r="BJ584" s="55" t="s">
        <v>1045</v>
      </c>
      <c r="BK584" s="55" t="s">
        <v>273</v>
      </c>
      <c r="BM584" s="55" t="s">
        <v>1046</v>
      </c>
      <c r="BN584" s="56">
        <v>3144</v>
      </c>
    </row>
    <row r="585" spans="1:66" s="55" customFormat="1" ht="32">
      <c r="A585" s="55" t="s">
        <v>311</v>
      </c>
      <c r="C585" s="55" t="s">
        <v>10</v>
      </c>
      <c r="D585" s="55" t="s">
        <v>1039</v>
      </c>
      <c r="E585" s="55" t="s">
        <v>1040</v>
      </c>
      <c r="F585" s="55" t="s">
        <v>1041</v>
      </c>
      <c r="G585" s="55" t="s">
        <v>1042</v>
      </c>
      <c r="H585" s="55" t="s">
        <v>1057</v>
      </c>
      <c r="I585" s="55" t="s">
        <v>1042</v>
      </c>
      <c r="J585" s="55" t="s">
        <v>1057</v>
      </c>
      <c r="M585" s="60" t="s">
        <v>1058</v>
      </c>
      <c r="R585" s="55">
        <v>5.77</v>
      </c>
      <c r="U585" s="55">
        <v>5.5</v>
      </c>
      <c r="V585" s="55">
        <v>5.91</v>
      </c>
      <c r="Y585" s="55">
        <v>7.06</v>
      </c>
      <c r="Z585" s="55">
        <v>6.94</v>
      </c>
      <c r="AC585" s="55">
        <v>8.18</v>
      </c>
      <c r="AD585" s="55">
        <v>7.46</v>
      </c>
      <c r="AG585" s="55">
        <v>8.2799999999999994</v>
      </c>
      <c r="AH585" s="55">
        <v>6.32</v>
      </c>
      <c r="AK585" s="55">
        <v>6.74</v>
      </c>
      <c r="AP585" s="55">
        <v>5.7</v>
      </c>
      <c r="AS585" s="55">
        <v>3.51</v>
      </c>
      <c r="AT585" s="55">
        <v>6.26</v>
      </c>
      <c r="AW585" s="55">
        <v>4.37</v>
      </c>
      <c r="AX585" s="55">
        <v>6.38</v>
      </c>
      <c r="BA585" s="55">
        <v>5.0599999999999996</v>
      </c>
      <c r="BB585" s="55">
        <v>6.57</v>
      </c>
      <c r="BE585" s="55">
        <v>5.38</v>
      </c>
      <c r="BF585" s="55">
        <v>7.22</v>
      </c>
      <c r="BI585" s="55">
        <v>4.58</v>
      </c>
      <c r="BJ585" s="55" t="s">
        <v>1045</v>
      </c>
      <c r="BK585" s="55" t="s">
        <v>273</v>
      </c>
      <c r="BM585" s="55" t="s">
        <v>1046</v>
      </c>
      <c r="BN585" s="56">
        <v>3144</v>
      </c>
    </row>
    <row r="586" spans="1:66" s="55" customFormat="1" ht="32">
      <c r="A586" s="55" t="s">
        <v>311</v>
      </c>
      <c r="C586" s="55" t="s">
        <v>10</v>
      </c>
      <c r="D586" s="55" t="s">
        <v>1039</v>
      </c>
      <c r="E586" s="55" t="s">
        <v>1040</v>
      </c>
      <c r="F586" s="55" t="s">
        <v>1041</v>
      </c>
      <c r="G586" s="55" t="s">
        <v>1042</v>
      </c>
      <c r="H586" s="55" t="s">
        <v>1061</v>
      </c>
      <c r="I586" s="55" t="s">
        <v>1042</v>
      </c>
      <c r="J586" s="55" t="s">
        <v>1061</v>
      </c>
      <c r="M586" s="60" t="s">
        <v>1068</v>
      </c>
      <c r="V586" s="55">
        <v>6.54</v>
      </c>
      <c r="Y586" s="55">
        <v>7.95</v>
      </c>
      <c r="Z586" s="55">
        <v>7.36</v>
      </c>
      <c r="AC586" s="55">
        <v>8.61</v>
      </c>
      <c r="AD586" s="55">
        <v>7.77</v>
      </c>
      <c r="AG586" s="55">
        <v>9.02</v>
      </c>
      <c r="AH586" s="55">
        <v>6.44</v>
      </c>
      <c r="AK586" s="55">
        <v>7.19</v>
      </c>
      <c r="AP586" s="55">
        <v>6.99</v>
      </c>
      <c r="AS586" s="55">
        <v>4.03</v>
      </c>
      <c r="AT586" s="55">
        <v>7.14</v>
      </c>
      <c r="AW586" s="55">
        <v>4.96</v>
      </c>
      <c r="AX586" s="55">
        <v>6.78</v>
      </c>
      <c r="BA586" s="55">
        <v>5.57</v>
      </c>
      <c r="BB586" s="55">
        <v>6.92</v>
      </c>
      <c r="BE586" s="55">
        <v>5.84</v>
      </c>
      <c r="BF586" s="55">
        <v>7.44</v>
      </c>
      <c r="BI586" s="55">
        <v>4.93</v>
      </c>
      <c r="BJ586" s="55" t="s">
        <v>1045</v>
      </c>
      <c r="BK586" s="55" t="s">
        <v>273</v>
      </c>
      <c r="BM586" s="55" t="s">
        <v>1046</v>
      </c>
      <c r="BN586" s="56">
        <v>3144</v>
      </c>
    </row>
    <row r="587" spans="1:66" s="55" customFormat="1" ht="32">
      <c r="A587" s="55" t="s">
        <v>311</v>
      </c>
      <c r="C587" s="55" t="s">
        <v>10</v>
      </c>
      <c r="D587" s="55" t="s">
        <v>1039</v>
      </c>
      <c r="E587" s="55" t="s">
        <v>1040</v>
      </c>
      <c r="F587" s="55" t="s">
        <v>1041</v>
      </c>
      <c r="G587" s="55" t="s">
        <v>1042</v>
      </c>
      <c r="H587" s="55" t="s">
        <v>1061</v>
      </c>
      <c r="I587" s="55" t="s">
        <v>1042</v>
      </c>
      <c r="J587" s="55" t="s">
        <v>1061</v>
      </c>
      <c r="M587" s="60" t="s">
        <v>1069</v>
      </c>
      <c r="R587" s="55">
        <v>6.15</v>
      </c>
      <c r="U587" s="55">
        <v>6.16</v>
      </c>
      <c r="V587" s="55">
        <v>6.61</v>
      </c>
      <c r="Y587" s="55">
        <v>7.78</v>
      </c>
      <c r="Z587" s="55">
        <v>7.23</v>
      </c>
      <c r="AC587" s="55">
        <v>8.74</v>
      </c>
      <c r="AD587" s="55">
        <v>7.58</v>
      </c>
      <c r="AG587" s="55">
        <v>8.8800000000000008</v>
      </c>
      <c r="AH587" s="55">
        <v>6.23</v>
      </c>
      <c r="AK587" s="55">
        <v>7</v>
      </c>
      <c r="AP587" s="55">
        <v>6.6</v>
      </c>
      <c r="AS587" s="55">
        <v>3.7</v>
      </c>
      <c r="AT587" s="55">
        <v>6.7</v>
      </c>
      <c r="AW587" s="55">
        <v>4.7</v>
      </c>
      <c r="AX587" s="55">
        <v>6.56</v>
      </c>
      <c r="BA587" s="55">
        <v>5.2</v>
      </c>
      <c r="BB587" s="55">
        <v>6.7</v>
      </c>
      <c r="BE587" s="55">
        <v>5.56</v>
      </c>
      <c r="BF587" s="55">
        <v>7.21</v>
      </c>
      <c r="BI587" s="55">
        <v>4.7699999999999996</v>
      </c>
      <c r="BJ587" s="55" t="s">
        <v>1045</v>
      </c>
      <c r="BK587" s="55" t="s">
        <v>273</v>
      </c>
      <c r="BM587" s="55" t="s">
        <v>1046</v>
      </c>
      <c r="BN587" s="56">
        <v>3144</v>
      </c>
    </row>
    <row r="588" spans="1:66" s="55" customFormat="1" ht="32">
      <c r="A588" s="55" t="s">
        <v>311</v>
      </c>
      <c r="C588" s="55" t="s">
        <v>10</v>
      </c>
      <c r="D588" s="55" t="s">
        <v>1039</v>
      </c>
      <c r="E588" s="55" t="s">
        <v>1040</v>
      </c>
      <c r="F588" s="55" t="s">
        <v>1041</v>
      </c>
      <c r="G588" s="55" t="s">
        <v>1042</v>
      </c>
      <c r="H588" s="55" t="s">
        <v>1061</v>
      </c>
      <c r="I588" s="55" t="s">
        <v>1042</v>
      </c>
      <c r="J588" s="55" t="s">
        <v>1061</v>
      </c>
      <c r="M588" s="60" t="s">
        <v>1070</v>
      </c>
      <c r="R588" s="55">
        <v>6.29</v>
      </c>
      <c r="U588" s="55">
        <v>6.28</v>
      </c>
      <c r="V588" s="55">
        <v>6.72</v>
      </c>
      <c r="Y588" s="55">
        <v>8.0500000000000007</v>
      </c>
      <c r="Z588" s="55">
        <v>7.36</v>
      </c>
      <c r="AC588" s="55">
        <v>8.8699999999999992</v>
      </c>
      <c r="AD588" s="55">
        <v>7.66</v>
      </c>
      <c r="AG588" s="55">
        <v>8.86</v>
      </c>
      <c r="AH588" s="55">
        <v>6.36</v>
      </c>
      <c r="AK588" s="55">
        <v>7.33</v>
      </c>
      <c r="AP588" s="55">
        <v>6.62</v>
      </c>
      <c r="AS588" s="55">
        <v>3.93</v>
      </c>
      <c r="AT588" s="55">
        <v>6.67</v>
      </c>
      <c r="AW588" s="55">
        <v>4.7300000000000004</v>
      </c>
      <c r="AX588" s="55">
        <v>6.55</v>
      </c>
      <c r="BA588" s="55">
        <v>5.23</v>
      </c>
      <c r="BB588" s="55">
        <v>6.72</v>
      </c>
      <c r="BE588" s="55">
        <v>5.63</v>
      </c>
      <c r="BF588" s="55">
        <v>7.19</v>
      </c>
      <c r="BI588" s="55">
        <v>4.76</v>
      </c>
      <c r="BJ588" s="55" t="s">
        <v>1045</v>
      </c>
      <c r="BK588" s="55" t="s">
        <v>273</v>
      </c>
      <c r="BM588" s="55" t="s">
        <v>1046</v>
      </c>
      <c r="BN588" s="56">
        <v>3144</v>
      </c>
    </row>
    <row r="589" spans="1:66" s="55" customFormat="1" ht="32">
      <c r="A589" s="55" t="s">
        <v>311</v>
      </c>
      <c r="C589" s="55" t="s">
        <v>10</v>
      </c>
      <c r="D589" s="55" t="s">
        <v>1039</v>
      </c>
      <c r="E589" s="55" t="s">
        <v>1040</v>
      </c>
      <c r="F589" s="55" t="s">
        <v>1041</v>
      </c>
      <c r="G589" s="55" t="s">
        <v>1042</v>
      </c>
      <c r="H589" s="55" t="s">
        <v>1061</v>
      </c>
      <c r="I589" s="55" t="s">
        <v>1042</v>
      </c>
      <c r="J589" s="55" t="s">
        <v>1061</v>
      </c>
      <c r="M589" s="60" t="s">
        <v>1071</v>
      </c>
      <c r="R589" s="55">
        <v>6.39</v>
      </c>
      <c r="U589" s="55">
        <v>6.2</v>
      </c>
      <c r="V589" s="55">
        <v>6.56</v>
      </c>
      <c r="Y589" s="55">
        <v>7.68</v>
      </c>
      <c r="Z589" s="55">
        <v>7.23</v>
      </c>
      <c r="AC589" s="55">
        <v>8.73</v>
      </c>
      <c r="AD589" s="55">
        <v>7.48</v>
      </c>
      <c r="AG589" s="55">
        <v>8.83</v>
      </c>
      <c r="AH589" s="55">
        <v>6.36</v>
      </c>
      <c r="AK589" s="55">
        <v>7.1</v>
      </c>
      <c r="AP589" s="55">
        <v>6.9</v>
      </c>
      <c r="AS589" s="55">
        <v>3.82</v>
      </c>
      <c r="AT589" s="55">
        <v>6.88</v>
      </c>
      <c r="AW589" s="55">
        <v>4.7699999999999996</v>
      </c>
      <c r="AX589" s="55">
        <v>6.63</v>
      </c>
      <c r="BA589" s="55">
        <v>5.32</v>
      </c>
      <c r="BB589" s="55">
        <v>6.83</v>
      </c>
      <c r="BE589" s="55">
        <v>5.7</v>
      </c>
      <c r="BF589" s="55">
        <v>7.15</v>
      </c>
      <c r="BI589" s="55">
        <v>4.8099999999999996</v>
      </c>
      <c r="BJ589" s="55" t="s">
        <v>1045</v>
      </c>
      <c r="BK589" s="55" t="s">
        <v>273</v>
      </c>
      <c r="BM589" s="55" t="s">
        <v>1046</v>
      </c>
      <c r="BN589" s="56">
        <v>3144</v>
      </c>
    </row>
    <row r="590" spans="1:66" s="55" customFormat="1" ht="32">
      <c r="A590" s="55" t="s">
        <v>311</v>
      </c>
      <c r="C590" s="55" t="s">
        <v>10</v>
      </c>
      <c r="D590" s="55" t="s">
        <v>1039</v>
      </c>
      <c r="E590" s="55" t="s">
        <v>1040</v>
      </c>
      <c r="F590" s="55" t="s">
        <v>1041</v>
      </c>
      <c r="G590" s="55" t="s">
        <v>1042</v>
      </c>
      <c r="H590" s="55" t="s">
        <v>1061</v>
      </c>
      <c r="I590" s="55" t="s">
        <v>1042</v>
      </c>
      <c r="J590" s="55" t="s">
        <v>1061</v>
      </c>
      <c r="M590" s="60" t="s">
        <v>1072</v>
      </c>
      <c r="R590" s="55">
        <v>6.48</v>
      </c>
      <c r="U590" s="55">
        <v>6.74</v>
      </c>
      <c r="V590" s="55">
        <v>6.67</v>
      </c>
      <c r="Y590" s="55">
        <v>8.0299999999999994</v>
      </c>
      <c r="Z590" s="55">
        <v>7.68</v>
      </c>
      <c r="AC590" s="55">
        <v>8.86</v>
      </c>
      <c r="AD590" s="55">
        <v>7.64</v>
      </c>
      <c r="AG590" s="55">
        <v>8.84</v>
      </c>
      <c r="AH590" s="55">
        <v>6.75</v>
      </c>
      <c r="AK590" s="55">
        <v>7.75</v>
      </c>
      <c r="AP590" s="55">
        <v>6.91</v>
      </c>
      <c r="AS590" s="55">
        <v>4.16</v>
      </c>
      <c r="AT590" s="55">
        <v>7.15</v>
      </c>
      <c r="AW590" s="55">
        <v>5.0199999999999996</v>
      </c>
      <c r="AX590" s="55">
        <v>6.9</v>
      </c>
      <c r="BA590" s="55">
        <v>5.63</v>
      </c>
      <c r="BB590" s="55">
        <v>7</v>
      </c>
      <c r="BE590" s="55">
        <v>5.81</v>
      </c>
      <c r="BF590" s="55">
        <v>7.32</v>
      </c>
      <c r="BI590" s="55">
        <v>4.93</v>
      </c>
      <c r="BJ590" s="55" t="s">
        <v>1045</v>
      </c>
      <c r="BK590" s="55" t="s">
        <v>273</v>
      </c>
      <c r="BM590" s="55" t="s">
        <v>1046</v>
      </c>
      <c r="BN590" s="56">
        <v>3144</v>
      </c>
    </row>
    <row r="591" spans="1:66" s="55" customFormat="1" ht="32">
      <c r="A591" s="55" t="s">
        <v>311</v>
      </c>
      <c r="C591" s="55" t="s">
        <v>10</v>
      </c>
      <c r="D591" s="55" t="s">
        <v>1039</v>
      </c>
      <c r="E591" s="55" t="s">
        <v>1040</v>
      </c>
      <c r="F591" s="55" t="s">
        <v>1041</v>
      </c>
      <c r="G591" s="55" t="s">
        <v>1042</v>
      </c>
      <c r="H591" s="55" t="s">
        <v>1077</v>
      </c>
      <c r="I591" s="55" t="s">
        <v>1042</v>
      </c>
      <c r="J591" s="55" t="s">
        <v>1077</v>
      </c>
      <c r="M591" s="60" t="s">
        <v>1078</v>
      </c>
      <c r="R591" s="55">
        <v>5.2</v>
      </c>
      <c r="U591" s="55">
        <v>5.15</v>
      </c>
      <c r="V591" s="55">
        <v>5.6</v>
      </c>
      <c r="Y591" s="55">
        <v>6.55</v>
      </c>
      <c r="Z591" s="55">
        <v>5.67</v>
      </c>
      <c r="AC591" s="55">
        <v>7.37</v>
      </c>
      <c r="AD591" s="55">
        <v>6.33</v>
      </c>
      <c r="AG591" s="55">
        <v>7.3</v>
      </c>
      <c r="AH591" s="55">
        <v>5.2</v>
      </c>
      <c r="AK591" s="55">
        <v>6.06</v>
      </c>
      <c r="AP591" s="55">
        <v>5.77</v>
      </c>
      <c r="AS591" s="55">
        <v>3.05</v>
      </c>
      <c r="AT591" s="55">
        <v>5.78</v>
      </c>
      <c r="AW591" s="55">
        <v>3.77</v>
      </c>
      <c r="AX591" s="55">
        <v>5.47</v>
      </c>
      <c r="BA591" s="55">
        <v>4.3600000000000003</v>
      </c>
      <c r="BB591" s="55">
        <v>5.48</v>
      </c>
      <c r="BE591" s="55">
        <v>4.6399999999999997</v>
      </c>
      <c r="BF591" s="55">
        <v>5.88</v>
      </c>
      <c r="BI591" s="55">
        <v>3.83</v>
      </c>
      <c r="BJ591" s="55" t="s">
        <v>1045</v>
      </c>
      <c r="BK591" s="55" t="s">
        <v>273</v>
      </c>
      <c r="BM591" s="55" t="s">
        <v>1046</v>
      </c>
      <c r="BN591" s="56">
        <v>3144</v>
      </c>
    </row>
    <row r="592" spans="1:66" s="55" customFormat="1" ht="32">
      <c r="A592" s="55" t="s">
        <v>311</v>
      </c>
      <c r="C592" s="55" t="s">
        <v>10</v>
      </c>
      <c r="D592" s="55" t="s">
        <v>1039</v>
      </c>
      <c r="E592" s="55" t="s">
        <v>1040</v>
      </c>
      <c r="F592" s="55" t="s">
        <v>1041</v>
      </c>
      <c r="G592" s="55" t="s">
        <v>1042</v>
      </c>
      <c r="H592" s="55" t="s">
        <v>1079</v>
      </c>
      <c r="I592" s="55" t="s">
        <v>1042</v>
      </c>
      <c r="J592" s="55" t="s">
        <v>1079</v>
      </c>
      <c r="M592" s="60" t="s">
        <v>1080</v>
      </c>
      <c r="V592" s="55">
        <v>7</v>
      </c>
      <c r="Y592" s="55">
        <v>8.4</v>
      </c>
      <c r="Z592" s="55">
        <v>7.85</v>
      </c>
      <c r="AC592" s="55">
        <v>10.1</v>
      </c>
      <c r="AD592" s="55">
        <v>8.3000000000000007</v>
      </c>
      <c r="AG592" s="55">
        <v>10.199999999999999</v>
      </c>
      <c r="AH592" s="55">
        <v>8.1</v>
      </c>
      <c r="AK592" s="55">
        <v>8.73</v>
      </c>
      <c r="AP592" s="55">
        <v>7.8</v>
      </c>
      <c r="AS592" s="55">
        <v>4.95</v>
      </c>
      <c r="AT592" s="55">
        <v>8</v>
      </c>
      <c r="AW592" s="55">
        <v>5.57</v>
      </c>
      <c r="AX592" s="55">
        <v>8.1999999999999993</v>
      </c>
      <c r="BA592" s="55">
        <v>6.77</v>
      </c>
      <c r="BB592" s="55">
        <v>8.0500000000000007</v>
      </c>
      <c r="BE592" s="55">
        <v>6.97</v>
      </c>
      <c r="BF592" s="55">
        <v>9.8000000000000007</v>
      </c>
      <c r="BI592" s="55">
        <v>7.1</v>
      </c>
      <c r="BJ592" s="55" t="s">
        <v>1045</v>
      </c>
      <c r="BK592" s="55" t="s">
        <v>273</v>
      </c>
      <c r="BM592" s="55" t="s">
        <v>1046</v>
      </c>
      <c r="BN592" s="56">
        <v>3144</v>
      </c>
    </row>
    <row r="593" spans="1:66" s="55" customFormat="1" ht="32">
      <c r="A593" s="55" t="s">
        <v>311</v>
      </c>
      <c r="C593" s="55" t="s">
        <v>10</v>
      </c>
      <c r="D593" s="55" t="s">
        <v>1039</v>
      </c>
      <c r="E593" s="55" t="s">
        <v>1040</v>
      </c>
      <c r="G593" s="55" t="s">
        <v>1097</v>
      </c>
      <c r="H593" s="55" t="s">
        <v>1113</v>
      </c>
      <c r="I593" s="55" t="s">
        <v>1097</v>
      </c>
      <c r="J593" s="55" t="s">
        <v>1113</v>
      </c>
      <c r="M593" s="60" t="s">
        <v>1048</v>
      </c>
      <c r="U593" s="55">
        <v>3.6</v>
      </c>
      <c r="V593" s="55">
        <v>9.56</v>
      </c>
      <c r="Y593" s="55">
        <v>6.24</v>
      </c>
      <c r="Z593" s="55">
        <v>9.6</v>
      </c>
      <c r="AC593" s="55">
        <v>7.35</v>
      </c>
      <c r="AD593" s="55">
        <v>9.8000000000000007</v>
      </c>
      <c r="AG593" s="55">
        <v>8.1</v>
      </c>
      <c r="AH593" s="55">
        <v>10.220000000000001</v>
      </c>
      <c r="AK593" s="55">
        <v>6.97</v>
      </c>
      <c r="AP593" s="55">
        <v>7.1</v>
      </c>
      <c r="AS593" s="55">
        <v>8.7799999999999994</v>
      </c>
      <c r="AT593" s="55">
        <v>9.43</v>
      </c>
      <c r="BJ593" s="55" t="s">
        <v>1045</v>
      </c>
      <c r="BK593" s="55" t="s">
        <v>273</v>
      </c>
      <c r="BM593" s="55" t="s">
        <v>1046</v>
      </c>
      <c r="BN593" s="56">
        <v>3144</v>
      </c>
    </row>
    <row r="594" spans="1:66" s="55" customFormat="1" ht="32">
      <c r="A594" s="55" t="s">
        <v>311</v>
      </c>
      <c r="C594" s="55" t="s">
        <v>10</v>
      </c>
      <c r="D594" s="55" t="s">
        <v>1039</v>
      </c>
      <c r="E594" s="55" t="s">
        <v>1040</v>
      </c>
      <c r="G594" s="55" t="s">
        <v>1097</v>
      </c>
      <c r="H594" s="55" t="s">
        <v>1113</v>
      </c>
      <c r="I594" s="55" t="s">
        <v>1097</v>
      </c>
      <c r="J594" s="55" t="s">
        <v>1113</v>
      </c>
      <c r="M594" s="60" t="s">
        <v>1114</v>
      </c>
      <c r="R594" s="60">
        <v>8.33</v>
      </c>
      <c r="S594" s="60"/>
      <c r="T594" s="60"/>
      <c r="U594" s="55">
        <v>5.3</v>
      </c>
      <c r="V594" s="55">
        <v>8.76</v>
      </c>
      <c r="Y594" s="55">
        <v>6.01</v>
      </c>
      <c r="Z594" s="55">
        <v>8.89</v>
      </c>
      <c r="AC594" s="55">
        <v>7.01</v>
      </c>
      <c r="AD594" s="55">
        <v>8.92</v>
      </c>
      <c r="AG594" s="55">
        <v>7.43</v>
      </c>
      <c r="AH594" s="55">
        <v>9.6</v>
      </c>
      <c r="AK594" s="55">
        <v>6.5</v>
      </c>
      <c r="AP594" s="55">
        <v>7.5</v>
      </c>
      <c r="AS594" s="55">
        <v>8.9</v>
      </c>
      <c r="AT594" s="55">
        <v>8.25</v>
      </c>
      <c r="AW594" s="55">
        <v>9.3000000000000007</v>
      </c>
      <c r="BB594" s="55">
        <v>10.1</v>
      </c>
      <c r="BE594" s="55">
        <v>10.77</v>
      </c>
      <c r="BF594" s="55">
        <v>8.58</v>
      </c>
      <c r="BI594" s="55">
        <v>8.74</v>
      </c>
      <c r="BJ594" s="55" t="s">
        <v>1045</v>
      </c>
      <c r="BK594" s="55" t="s">
        <v>273</v>
      </c>
      <c r="BM594" s="55" t="s">
        <v>1046</v>
      </c>
      <c r="BN594" s="56">
        <v>3144</v>
      </c>
    </row>
    <row r="595" spans="1:66" s="55" customFormat="1" ht="16">
      <c r="A595" s="55" t="s">
        <v>311</v>
      </c>
      <c r="C595" s="55" t="s">
        <v>10</v>
      </c>
      <c r="D595" s="55" t="s">
        <v>1039</v>
      </c>
      <c r="E595" s="55" t="s">
        <v>1040</v>
      </c>
      <c r="G595" s="55" t="s">
        <v>1097</v>
      </c>
      <c r="H595" s="55" t="s">
        <v>1113</v>
      </c>
      <c r="I595" s="55" t="s">
        <v>1097</v>
      </c>
      <c r="J595" s="55" t="s">
        <v>1113</v>
      </c>
      <c r="M595" s="60" t="s">
        <v>1115</v>
      </c>
      <c r="R595" s="55">
        <v>7.9</v>
      </c>
      <c r="U595" s="55">
        <v>6.5</v>
      </c>
      <c r="V595" s="55">
        <v>7.87</v>
      </c>
      <c r="Y595" s="55">
        <v>8.33</v>
      </c>
      <c r="Z595" s="55">
        <v>9.65</v>
      </c>
      <c r="AC595" s="55">
        <v>10.67</v>
      </c>
      <c r="AD595" s="55">
        <v>10.23</v>
      </c>
      <c r="AG595" s="55">
        <v>11.13</v>
      </c>
      <c r="AH595" s="55">
        <v>9.6</v>
      </c>
      <c r="AK595" s="55">
        <v>9.6</v>
      </c>
      <c r="AT595" s="55">
        <v>8.93</v>
      </c>
      <c r="AW595" s="55">
        <v>5.93</v>
      </c>
      <c r="AX595" s="55">
        <v>8.82</v>
      </c>
      <c r="BA595" s="55">
        <v>7.15</v>
      </c>
      <c r="BB595" s="55">
        <v>9.4</v>
      </c>
      <c r="BE595" s="55">
        <v>7.85</v>
      </c>
      <c r="BF595" s="55">
        <v>10.43</v>
      </c>
      <c r="BI595" s="55">
        <v>7.27</v>
      </c>
      <c r="BJ595" s="55" t="s">
        <v>1045</v>
      </c>
      <c r="BK595" s="55" t="s">
        <v>273</v>
      </c>
      <c r="BM595" s="55" t="s">
        <v>1046</v>
      </c>
      <c r="BN595" s="56">
        <v>3144</v>
      </c>
    </row>
    <row r="596" spans="1:66" s="55" customFormat="1" ht="32">
      <c r="A596" s="55" t="s">
        <v>311</v>
      </c>
      <c r="C596" s="55" t="s">
        <v>10</v>
      </c>
      <c r="D596" s="55" t="s">
        <v>1039</v>
      </c>
      <c r="E596" s="55" t="s">
        <v>1040</v>
      </c>
      <c r="G596" s="55" t="s">
        <v>1097</v>
      </c>
      <c r="H596" s="55" t="s">
        <v>54</v>
      </c>
      <c r="I596" s="55" t="s">
        <v>1097</v>
      </c>
      <c r="J596" s="55" t="s">
        <v>54</v>
      </c>
      <c r="M596" s="60" t="s">
        <v>1044</v>
      </c>
      <c r="R596" s="55">
        <v>9.73</v>
      </c>
      <c r="U596" s="55">
        <v>9.67</v>
      </c>
      <c r="V596" s="55">
        <v>9.49</v>
      </c>
      <c r="Y596" s="55">
        <v>11</v>
      </c>
      <c r="Z596" s="55">
        <v>11.48</v>
      </c>
      <c r="AC596" s="55">
        <v>13.27</v>
      </c>
      <c r="AD596" s="55">
        <v>12.15</v>
      </c>
      <c r="AG596" s="55">
        <v>13.86</v>
      </c>
      <c r="AH596" s="55">
        <v>10.85</v>
      </c>
      <c r="AK596" s="55">
        <v>10.99</v>
      </c>
      <c r="AP596" s="55">
        <v>9.1</v>
      </c>
      <c r="AS596" s="55">
        <v>5.4</v>
      </c>
      <c r="AT596" s="55">
        <v>10.54</v>
      </c>
      <c r="AW596" s="55">
        <v>7.54</v>
      </c>
      <c r="AX596" s="55">
        <v>11</v>
      </c>
      <c r="BA596" s="55">
        <v>9</v>
      </c>
      <c r="BB596" s="55">
        <v>10.82</v>
      </c>
      <c r="BE596" s="55">
        <v>9.59</v>
      </c>
      <c r="BF596" s="55">
        <v>11.9</v>
      </c>
      <c r="BI596" s="55">
        <v>8.5</v>
      </c>
      <c r="BJ596" s="55" t="s">
        <v>1045</v>
      </c>
      <c r="BK596" s="55" t="s">
        <v>273</v>
      </c>
      <c r="BM596" s="55" t="s">
        <v>1046</v>
      </c>
      <c r="BN596" s="56">
        <v>3144</v>
      </c>
    </row>
    <row r="597" spans="1:66" s="55" customFormat="1" ht="32">
      <c r="A597" s="55" t="s">
        <v>311</v>
      </c>
      <c r="C597" s="55" t="s">
        <v>10</v>
      </c>
      <c r="D597" s="55" t="s">
        <v>1039</v>
      </c>
      <c r="E597" s="55" t="s">
        <v>1040</v>
      </c>
      <c r="G597" s="55" t="s">
        <v>1097</v>
      </c>
      <c r="H597" s="55" t="s">
        <v>54</v>
      </c>
      <c r="I597" s="55" t="s">
        <v>1097</v>
      </c>
      <c r="J597" s="55" t="s">
        <v>54</v>
      </c>
      <c r="M597" s="60" t="s">
        <v>1116</v>
      </c>
      <c r="R597" s="55">
        <v>9.6</v>
      </c>
      <c r="U597" s="55">
        <v>8.77</v>
      </c>
      <c r="V597" s="55">
        <v>9.43</v>
      </c>
      <c r="Y597" s="55">
        <v>11.04</v>
      </c>
      <c r="Z597" s="55">
        <v>11.13</v>
      </c>
      <c r="AC597" s="55">
        <v>12.78</v>
      </c>
      <c r="AD597" s="55">
        <v>11.8</v>
      </c>
      <c r="AG597" s="55">
        <v>13.11</v>
      </c>
      <c r="AH597" s="55">
        <v>10.72</v>
      </c>
      <c r="AK597" s="55">
        <v>10.210000000000001</v>
      </c>
      <c r="AP597" s="55">
        <v>9.94</v>
      </c>
      <c r="AS597" s="55">
        <v>6.32</v>
      </c>
      <c r="AT597" s="55">
        <v>11.15</v>
      </c>
      <c r="AW597" s="55">
        <v>7.96</v>
      </c>
      <c r="AX597" s="55">
        <v>11.81</v>
      </c>
      <c r="BA597" s="55">
        <v>10</v>
      </c>
      <c r="BB597" s="55">
        <v>11.85</v>
      </c>
      <c r="BE597" s="55">
        <v>10.72</v>
      </c>
      <c r="BF597" s="55">
        <v>12.52</v>
      </c>
      <c r="BI597" s="55">
        <v>8.89</v>
      </c>
      <c r="BJ597" s="55" t="s">
        <v>1045</v>
      </c>
      <c r="BK597" s="55" t="s">
        <v>273</v>
      </c>
      <c r="BM597" s="55" t="s">
        <v>1046</v>
      </c>
      <c r="BN597" s="56">
        <v>3144</v>
      </c>
    </row>
    <row r="598" spans="1:66" s="55" customFormat="1" ht="32">
      <c r="A598" s="55" t="s">
        <v>311</v>
      </c>
      <c r="C598" s="55" t="s">
        <v>10</v>
      </c>
      <c r="D598" s="55" t="s">
        <v>1039</v>
      </c>
      <c r="E598" s="55" t="s">
        <v>1040</v>
      </c>
      <c r="G598" s="55" t="s">
        <v>1097</v>
      </c>
      <c r="H598" s="55" t="s">
        <v>1117</v>
      </c>
      <c r="I598" s="55" t="s">
        <v>1097</v>
      </c>
      <c r="J598" s="55" t="s">
        <v>1117</v>
      </c>
      <c r="M598" s="60" t="s">
        <v>1118</v>
      </c>
      <c r="U598" s="55">
        <v>8.4</v>
      </c>
      <c r="V598" s="55">
        <v>10.57</v>
      </c>
      <c r="Y598" s="55">
        <v>11.05</v>
      </c>
      <c r="Z598" s="55">
        <v>11.47</v>
      </c>
      <c r="AC598" s="55">
        <v>12.82</v>
      </c>
      <c r="AD598" s="55">
        <v>11.45</v>
      </c>
      <c r="AG598" s="55">
        <v>13.17</v>
      </c>
      <c r="AH598" s="55">
        <v>10.86</v>
      </c>
      <c r="AK598" s="55">
        <v>10.58</v>
      </c>
      <c r="AP598" s="55">
        <v>10.4</v>
      </c>
      <c r="AS598" s="55">
        <v>6.71</v>
      </c>
      <c r="AT598" s="55">
        <v>11.16</v>
      </c>
      <c r="AW598" s="55">
        <v>8.32</v>
      </c>
      <c r="AX598" s="55">
        <v>11.82</v>
      </c>
      <c r="BA598" s="55">
        <v>9.7799999999999994</v>
      </c>
      <c r="BB598" s="55">
        <v>12.26</v>
      </c>
      <c r="BE598" s="55">
        <v>11.05</v>
      </c>
      <c r="BF598" s="55">
        <v>12.19</v>
      </c>
      <c r="BI598" s="55">
        <v>9.1999999999999993</v>
      </c>
      <c r="BJ598" s="55" t="s">
        <v>1045</v>
      </c>
      <c r="BK598" s="55" t="s">
        <v>273</v>
      </c>
      <c r="BM598" s="55" t="s">
        <v>1046</v>
      </c>
      <c r="BN598" s="56">
        <v>3144</v>
      </c>
    </row>
    <row r="599" spans="1:66" s="55" customFormat="1" ht="32">
      <c r="A599" s="55" t="s">
        <v>311</v>
      </c>
      <c r="C599" s="55" t="s">
        <v>10</v>
      </c>
      <c r="D599" s="55" t="s">
        <v>1039</v>
      </c>
      <c r="E599" s="55" t="s">
        <v>1040</v>
      </c>
      <c r="G599" s="55" t="s">
        <v>1097</v>
      </c>
      <c r="H599" s="55" t="s">
        <v>1117</v>
      </c>
      <c r="I599" s="55" t="s">
        <v>1097</v>
      </c>
      <c r="J599" s="55" t="s">
        <v>1117</v>
      </c>
      <c r="M599" s="60" t="s">
        <v>1069</v>
      </c>
      <c r="R599" s="55">
        <v>10.73</v>
      </c>
      <c r="U599" s="55">
        <v>9.8800000000000008</v>
      </c>
      <c r="V599" s="55">
        <v>10.67</v>
      </c>
      <c r="Y599" s="55">
        <v>11.52</v>
      </c>
      <c r="Z599" s="55">
        <v>12.33</v>
      </c>
      <c r="AC599" s="55">
        <v>13.83</v>
      </c>
      <c r="AD599" s="55">
        <v>13.21</v>
      </c>
      <c r="AG599" s="55">
        <v>14.28</v>
      </c>
      <c r="AH599" s="55">
        <v>11.73</v>
      </c>
      <c r="AK599" s="55">
        <v>10.95</v>
      </c>
      <c r="AP599" s="55">
        <v>10.93</v>
      </c>
      <c r="AS599" s="55">
        <v>6.87</v>
      </c>
      <c r="AT599" s="55">
        <v>11.93</v>
      </c>
      <c r="AW599" s="55">
        <v>8.6199999999999992</v>
      </c>
      <c r="AX599" s="55">
        <v>12.36</v>
      </c>
      <c r="BA599" s="55">
        <v>10.25</v>
      </c>
      <c r="BB599" s="55">
        <v>12.76</v>
      </c>
      <c r="BE599" s="55">
        <v>11.28</v>
      </c>
      <c r="BF599" s="55">
        <v>13.13</v>
      </c>
      <c r="BI599" s="55">
        <v>9.7799999999999994</v>
      </c>
      <c r="BJ599" s="55" t="s">
        <v>1045</v>
      </c>
      <c r="BK599" s="55" t="s">
        <v>273</v>
      </c>
      <c r="BM599" s="55" t="s">
        <v>1046</v>
      </c>
      <c r="BN599" s="56">
        <v>3144</v>
      </c>
    </row>
    <row r="600" spans="1:66" s="55" customFormat="1" ht="32">
      <c r="A600" s="55" t="s">
        <v>311</v>
      </c>
      <c r="C600" s="55" t="s">
        <v>10</v>
      </c>
      <c r="D600" s="55" t="s">
        <v>1039</v>
      </c>
      <c r="E600" s="55" t="s">
        <v>1040</v>
      </c>
      <c r="G600" s="55" t="s">
        <v>1097</v>
      </c>
      <c r="H600" s="55" t="s">
        <v>1117</v>
      </c>
      <c r="I600" s="55" t="s">
        <v>1097</v>
      </c>
      <c r="J600" s="55" t="s">
        <v>1117</v>
      </c>
      <c r="M600" s="60" t="s">
        <v>1070</v>
      </c>
      <c r="R600" s="55">
        <v>11.04</v>
      </c>
      <c r="U600" s="55">
        <v>10</v>
      </c>
      <c r="V600" s="55">
        <v>11.46</v>
      </c>
      <c r="Y600" s="55">
        <v>12.26</v>
      </c>
      <c r="Z600" s="55">
        <v>12.78</v>
      </c>
      <c r="AC600" s="55">
        <v>14</v>
      </c>
      <c r="AD600" s="55">
        <v>13.85</v>
      </c>
      <c r="AG600" s="55">
        <v>14.78</v>
      </c>
      <c r="AH600" s="55">
        <v>12.52</v>
      </c>
      <c r="AK600" s="55">
        <v>11.89</v>
      </c>
      <c r="AP600" s="55">
        <v>11.46</v>
      </c>
      <c r="AS600" s="55">
        <v>6.93</v>
      </c>
      <c r="AT600" s="55">
        <v>12.3</v>
      </c>
      <c r="AW600" s="55">
        <v>8.56</v>
      </c>
      <c r="AX600" s="55">
        <v>11.83</v>
      </c>
      <c r="BA600" s="55">
        <v>9.99</v>
      </c>
      <c r="BB600" s="55">
        <v>12.67</v>
      </c>
      <c r="BE600" s="55">
        <v>11.08</v>
      </c>
      <c r="BF600" s="55">
        <v>13.17</v>
      </c>
      <c r="BI600" s="55">
        <v>9.68</v>
      </c>
      <c r="BJ600" s="55" t="s">
        <v>1045</v>
      </c>
      <c r="BK600" s="55" t="s">
        <v>273</v>
      </c>
      <c r="BM600" s="55" t="s">
        <v>1046</v>
      </c>
      <c r="BN600" s="56">
        <v>3144</v>
      </c>
    </row>
    <row r="601" spans="1:66" s="55" customFormat="1" ht="32">
      <c r="A601" s="55" t="s">
        <v>311</v>
      </c>
      <c r="C601" s="55" t="s">
        <v>10</v>
      </c>
      <c r="D601" s="55" t="s">
        <v>1039</v>
      </c>
      <c r="E601" s="55" t="s">
        <v>1040</v>
      </c>
      <c r="G601" s="55" t="s">
        <v>1097</v>
      </c>
      <c r="H601" s="55" t="s">
        <v>1117</v>
      </c>
      <c r="I601" s="55" t="s">
        <v>1097</v>
      </c>
      <c r="J601" s="55" t="s">
        <v>1117</v>
      </c>
      <c r="M601" s="60" t="s">
        <v>1071</v>
      </c>
      <c r="R601" s="55">
        <v>9.32</v>
      </c>
      <c r="U601" s="55">
        <v>8.36</v>
      </c>
      <c r="V601" s="55">
        <v>9.7899999999999991</v>
      </c>
      <c r="Y601" s="55">
        <v>10.27</v>
      </c>
      <c r="Z601" s="55">
        <v>11.57</v>
      </c>
      <c r="AC601" s="55">
        <v>12.52</v>
      </c>
      <c r="AD601" s="55">
        <v>11.76</v>
      </c>
      <c r="AG601" s="55">
        <v>12.82</v>
      </c>
      <c r="AH601" s="55">
        <v>11.1</v>
      </c>
      <c r="AK601" s="55">
        <v>10.26</v>
      </c>
      <c r="AP601" s="55">
        <v>10.28</v>
      </c>
      <c r="AS601" s="55">
        <v>6.02</v>
      </c>
      <c r="AT601" s="55">
        <v>11.02</v>
      </c>
      <c r="AW601" s="55">
        <v>7.53</v>
      </c>
      <c r="AX601" s="55">
        <v>10.92</v>
      </c>
      <c r="BA601" s="55">
        <v>9.02</v>
      </c>
      <c r="BB601" s="55">
        <v>11.41</v>
      </c>
      <c r="BE601" s="55">
        <v>10.31</v>
      </c>
      <c r="BF601" s="55">
        <v>11.64</v>
      </c>
      <c r="BI601" s="55">
        <v>8.74</v>
      </c>
      <c r="BJ601" s="55" t="s">
        <v>1045</v>
      </c>
      <c r="BK601" s="55" t="s">
        <v>273</v>
      </c>
      <c r="BM601" s="55" t="s">
        <v>1046</v>
      </c>
      <c r="BN601" s="56">
        <v>3144</v>
      </c>
    </row>
    <row r="602" spans="1:66" s="55" customFormat="1" ht="32">
      <c r="A602" s="55" t="s">
        <v>311</v>
      </c>
      <c r="C602" s="55" t="s">
        <v>10</v>
      </c>
      <c r="D602" s="55" t="s">
        <v>1039</v>
      </c>
      <c r="E602" s="55" t="s">
        <v>1040</v>
      </c>
      <c r="G602" s="55" t="s">
        <v>1097</v>
      </c>
      <c r="H602" s="55" t="s">
        <v>1120</v>
      </c>
      <c r="I602" s="55" t="s">
        <v>1097</v>
      </c>
      <c r="J602" s="55" t="s">
        <v>1120</v>
      </c>
      <c r="M602" s="60" t="s">
        <v>1058</v>
      </c>
      <c r="U602" s="55">
        <v>10</v>
      </c>
      <c r="V602" s="55">
        <v>11.63</v>
      </c>
      <c r="Y602" s="55">
        <v>13</v>
      </c>
      <c r="Z602" s="55">
        <v>13.2</v>
      </c>
      <c r="AC602" s="55">
        <v>14.95</v>
      </c>
      <c r="AD602" s="55">
        <v>14.1</v>
      </c>
      <c r="AG602" s="55">
        <v>15.42</v>
      </c>
      <c r="AH602" s="55">
        <v>11.65</v>
      </c>
      <c r="AK602" s="55">
        <v>11.57</v>
      </c>
      <c r="AT602" s="55">
        <v>13.3</v>
      </c>
      <c r="AW602" s="55">
        <v>9.4</v>
      </c>
      <c r="AX602" s="55">
        <v>14.2</v>
      </c>
      <c r="BA602" s="55">
        <v>11.4</v>
      </c>
      <c r="BB602" s="55">
        <v>14.5</v>
      </c>
      <c r="BE602" s="55">
        <v>12.6</v>
      </c>
      <c r="BJ602" s="55" t="s">
        <v>1045</v>
      </c>
      <c r="BK602" s="55" t="s">
        <v>273</v>
      </c>
      <c r="BM602" s="55" t="s">
        <v>1046</v>
      </c>
      <c r="BN602" s="56">
        <v>3144</v>
      </c>
    </row>
    <row r="603" spans="1:66" s="55" customFormat="1" ht="32">
      <c r="A603" s="55" t="s">
        <v>311</v>
      </c>
      <c r="C603" s="55" t="s">
        <v>10</v>
      </c>
      <c r="D603" s="55" t="s">
        <v>1039</v>
      </c>
      <c r="E603" s="55" t="s">
        <v>1040</v>
      </c>
      <c r="G603" s="55" t="s">
        <v>1097</v>
      </c>
      <c r="H603" s="55" t="s">
        <v>1147</v>
      </c>
      <c r="I603" s="55" t="s">
        <v>1097</v>
      </c>
      <c r="J603" s="55" t="s">
        <v>1147</v>
      </c>
      <c r="M603" s="60" t="s">
        <v>1072</v>
      </c>
      <c r="R603" s="55">
        <v>11.02</v>
      </c>
      <c r="U603" s="55">
        <v>9.69</v>
      </c>
      <c r="V603" s="55">
        <v>11.26</v>
      </c>
      <c r="Y603" s="55">
        <v>11.85</v>
      </c>
      <c r="Z603" s="55">
        <v>13.51</v>
      </c>
      <c r="AC603" s="55">
        <v>14.6</v>
      </c>
      <c r="AD603" s="55">
        <v>14.01</v>
      </c>
      <c r="AG603" s="55">
        <v>15.17</v>
      </c>
      <c r="AH603" s="55">
        <v>12.87</v>
      </c>
      <c r="AK603" s="55">
        <v>12.02</v>
      </c>
      <c r="AP603" s="55">
        <v>11.61</v>
      </c>
      <c r="AS603" s="55">
        <v>6.97</v>
      </c>
      <c r="AT603" s="55">
        <v>12.47</v>
      </c>
      <c r="AW603" s="55">
        <v>8.82</v>
      </c>
      <c r="AX603" s="55">
        <v>12.57</v>
      </c>
      <c r="BA603" s="55">
        <v>10.68</v>
      </c>
      <c r="BB603" s="55">
        <v>13.03</v>
      </c>
      <c r="BE603" s="55">
        <v>11.83</v>
      </c>
      <c r="BF603" s="55">
        <v>13.55</v>
      </c>
      <c r="BI603" s="55">
        <v>10.27</v>
      </c>
      <c r="BJ603" s="55" t="s">
        <v>1045</v>
      </c>
      <c r="BK603" s="55" t="s">
        <v>273</v>
      </c>
      <c r="BM603" s="55" t="s">
        <v>1046</v>
      </c>
      <c r="BN603" s="56">
        <v>3144</v>
      </c>
    </row>
    <row r="604" spans="1:66" s="55" customFormat="1" ht="16">
      <c r="A604" s="55" t="s">
        <v>311</v>
      </c>
      <c r="C604" s="55" t="s">
        <v>10</v>
      </c>
      <c r="D604" s="55" t="s">
        <v>1039</v>
      </c>
      <c r="E604" s="55" t="s">
        <v>1040</v>
      </c>
      <c r="G604" s="55" t="s">
        <v>1097</v>
      </c>
      <c r="H604" s="55" t="s">
        <v>1149</v>
      </c>
      <c r="I604" s="55" t="s">
        <v>1097</v>
      </c>
      <c r="J604" s="55" t="s">
        <v>1149</v>
      </c>
      <c r="M604" s="60" t="s">
        <v>1156</v>
      </c>
      <c r="Y604" s="55">
        <v>9.6</v>
      </c>
      <c r="Z604" s="55">
        <v>9.4</v>
      </c>
      <c r="AC604" s="55">
        <v>11.15</v>
      </c>
      <c r="AD604" s="55">
        <v>9.75</v>
      </c>
      <c r="AG604" s="55">
        <v>10.5</v>
      </c>
      <c r="AH604" s="55">
        <v>9.48</v>
      </c>
      <c r="AK604" s="55">
        <v>8.8800000000000008</v>
      </c>
      <c r="AP604" s="55">
        <v>8.4700000000000006</v>
      </c>
      <c r="AS604" s="55">
        <v>5.6</v>
      </c>
      <c r="AT604" s="55">
        <v>9.48</v>
      </c>
      <c r="AW604" s="55">
        <v>6.48</v>
      </c>
      <c r="AX604" s="55">
        <v>9.6300000000000008</v>
      </c>
      <c r="BA604" s="55">
        <v>7.67</v>
      </c>
      <c r="BB604" s="55">
        <v>9.66</v>
      </c>
      <c r="BE604" s="55">
        <v>8.1</v>
      </c>
      <c r="BF604" s="55">
        <v>9.84</v>
      </c>
      <c r="BI604" s="55">
        <v>6.91</v>
      </c>
      <c r="BJ604" s="55" t="s">
        <v>1045</v>
      </c>
      <c r="BK604" s="55" t="s">
        <v>273</v>
      </c>
      <c r="BM604" s="55" t="s">
        <v>1046</v>
      </c>
      <c r="BN604" s="56">
        <v>3144</v>
      </c>
    </row>
    <row r="605" spans="1:66" s="55" customFormat="1" ht="32">
      <c r="A605" s="55" t="s">
        <v>311</v>
      </c>
      <c r="C605" s="55" t="s">
        <v>10</v>
      </c>
      <c r="D605" s="55" t="s">
        <v>1039</v>
      </c>
      <c r="E605" s="55" t="s">
        <v>1040</v>
      </c>
      <c r="G605" s="55" t="s">
        <v>1097</v>
      </c>
      <c r="H605" s="55" t="s">
        <v>1149</v>
      </c>
      <c r="I605" s="55" t="s">
        <v>1097</v>
      </c>
      <c r="J605" s="55" t="s">
        <v>1149</v>
      </c>
      <c r="M605" s="60" t="s">
        <v>1157</v>
      </c>
      <c r="R605" s="55">
        <v>8.65</v>
      </c>
      <c r="U605" s="55">
        <v>7.05</v>
      </c>
      <c r="V605" s="55">
        <v>8.5</v>
      </c>
      <c r="Y605" s="55">
        <v>9.3000000000000007</v>
      </c>
      <c r="Z605" s="55">
        <v>9.35</v>
      </c>
      <c r="AC605" s="55">
        <v>10.57</v>
      </c>
      <c r="AD605" s="55">
        <v>10.08</v>
      </c>
      <c r="AG605" s="55">
        <v>10.56</v>
      </c>
      <c r="AH605" s="55">
        <v>8.5500000000000007</v>
      </c>
      <c r="AK605" s="55">
        <v>8.33</v>
      </c>
      <c r="AP605" s="55">
        <v>8.9499999999999993</v>
      </c>
      <c r="AS605" s="55">
        <v>5.2</v>
      </c>
      <c r="AT605" s="55">
        <v>9.7100000000000009</v>
      </c>
      <c r="AW605" s="55">
        <v>6.1</v>
      </c>
      <c r="AX605" s="55">
        <v>9.32</v>
      </c>
      <c r="BA605" s="55">
        <v>7.66</v>
      </c>
      <c r="BB605" s="55">
        <v>9.09</v>
      </c>
      <c r="BE605" s="55">
        <v>7.79</v>
      </c>
      <c r="BF605" s="55">
        <v>9.5299999999999994</v>
      </c>
      <c r="BI605" s="55">
        <v>6.78</v>
      </c>
      <c r="BJ605" s="55" t="s">
        <v>1045</v>
      </c>
      <c r="BK605" s="55" t="s">
        <v>273</v>
      </c>
      <c r="BM605" s="55" t="s">
        <v>1046</v>
      </c>
      <c r="BN605" s="56">
        <v>3144</v>
      </c>
    </row>
    <row r="606" spans="1:66" s="55" customFormat="1" ht="32">
      <c r="A606" s="55" t="s">
        <v>311</v>
      </c>
      <c r="C606" s="55" t="s">
        <v>10</v>
      </c>
      <c r="D606" s="55" t="s">
        <v>1039</v>
      </c>
      <c r="E606" s="55" t="s">
        <v>1040</v>
      </c>
      <c r="G606" s="55" t="s">
        <v>1097</v>
      </c>
      <c r="H606" s="55" t="s">
        <v>1149</v>
      </c>
      <c r="I606" s="55" t="s">
        <v>1097</v>
      </c>
      <c r="J606" s="55" t="s">
        <v>1149</v>
      </c>
      <c r="M606" s="60" t="s">
        <v>1071</v>
      </c>
      <c r="R606" s="55">
        <v>8.1999999999999993</v>
      </c>
      <c r="U606" s="55">
        <v>7.55</v>
      </c>
      <c r="V606" s="55">
        <v>7.63</v>
      </c>
      <c r="Y606" s="55">
        <v>8.43</v>
      </c>
      <c r="Z606" s="55">
        <v>8.74</v>
      </c>
      <c r="AC606" s="55">
        <v>10.02</v>
      </c>
      <c r="AD606" s="55">
        <v>8.99</v>
      </c>
      <c r="AG606" s="55">
        <v>9.8000000000000007</v>
      </c>
      <c r="AH606" s="55">
        <v>8.0500000000000007</v>
      </c>
      <c r="AK606" s="55">
        <v>7.48</v>
      </c>
      <c r="AP606" s="55">
        <v>7.97</v>
      </c>
      <c r="AS606" s="55">
        <v>4.7</v>
      </c>
      <c r="AT606" s="55">
        <v>8.8800000000000008</v>
      </c>
      <c r="AW606" s="55">
        <v>5.95</v>
      </c>
      <c r="AX606" s="55">
        <v>8.51</v>
      </c>
      <c r="BA606" s="55">
        <v>7.04</v>
      </c>
      <c r="BB606" s="55">
        <v>8.5299999999999994</v>
      </c>
      <c r="BE606" s="55">
        <v>7.33</v>
      </c>
      <c r="BF606" s="55">
        <v>8.44</v>
      </c>
      <c r="BI606" s="55">
        <v>6.16</v>
      </c>
      <c r="BJ606" s="55" t="s">
        <v>1045</v>
      </c>
      <c r="BK606" s="55" t="s">
        <v>273</v>
      </c>
      <c r="BM606" s="55" t="s">
        <v>1046</v>
      </c>
      <c r="BN606" s="56">
        <v>3144</v>
      </c>
    </row>
    <row r="607" spans="1:66" s="55" customFormat="1" ht="16">
      <c r="A607" s="55" t="s">
        <v>311</v>
      </c>
      <c r="C607" s="55" t="s">
        <v>10</v>
      </c>
      <c r="D607" s="55" t="s">
        <v>1039</v>
      </c>
      <c r="E607" s="55" t="s">
        <v>1040</v>
      </c>
      <c r="G607" s="55" t="s">
        <v>1097</v>
      </c>
      <c r="H607" s="55" t="s">
        <v>1149</v>
      </c>
      <c r="I607" s="55" t="s">
        <v>1097</v>
      </c>
      <c r="J607" s="55" t="s">
        <v>1149</v>
      </c>
      <c r="M607" s="60" t="s">
        <v>1102</v>
      </c>
      <c r="R607" s="55">
        <v>7.22</v>
      </c>
      <c r="U607" s="55">
        <v>7.1</v>
      </c>
      <c r="V607" s="55">
        <v>7.88</v>
      </c>
      <c r="Y607" s="55">
        <v>8.86</v>
      </c>
      <c r="Z607" s="55">
        <v>8.51</v>
      </c>
      <c r="AC607" s="55">
        <v>10.3</v>
      </c>
      <c r="AD607" s="55">
        <v>8.7200000000000006</v>
      </c>
      <c r="AG607" s="55">
        <v>9.8800000000000008</v>
      </c>
      <c r="AH607" s="55">
        <v>7.64</v>
      </c>
      <c r="AK607" s="55">
        <v>7.57</v>
      </c>
      <c r="AP607" s="55">
        <v>7.92</v>
      </c>
      <c r="AS607" s="55">
        <v>4.67</v>
      </c>
      <c r="AT607" s="55">
        <v>8.75</v>
      </c>
      <c r="AW607" s="55">
        <v>5.97</v>
      </c>
      <c r="AX607" s="55">
        <v>8.2799999999999994</v>
      </c>
      <c r="BA607" s="55">
        <v>7</v>
      </c>
      <c r="BB607" s="55">
        <v>8.4</v>
      </c>
      <c r="BE607" s="55">
        <v>7.18</v>
      </c>
      <c r="BF607" s="55">
        <v>8.82</v>
      </c>
      <c r="BI607" s="55">
        <v>6.25</v>
      </c>
      <c r="BJ607" s="55" t="s">
        <v>1045</v>
      </c>
      <c r="BK607" s="55" t="s">
        <v>273</v>
      </c>
      <c r="BM607" s="55" t="s">
        <v>1046</v>
      </c>
      <c r="BN607" s="56">
        <v>3144</v>
      </c>
    </row>
    <row r="608" spans="1:66" s="55" customFormat="1" ht="16">
      <c r="A608" s="55" t="s">
        <v>311</v>
      </c>
      <c r="C608" s="55" t="s">
        <v>10</v>
      </c>
      <c r="D608" s="55" t="s">
        <v>1039</v>
      </c>
      <c r="E608" s="55" t="s">
        <v>1040</v>
      </c>
      <c r="G608" s="55" t="s">
        <v>1097</v>
      </c>
      <c r="H608" s="55" t="s">
        <v>1149</v>
      </c>
      <c r="I608" s="55" t="s">
        <v>1097</v>
      </c>
      <c r="J608" s="55" t="s">
        <v>1149</v>
      </c>
      <c r="M608" s="60" t="s">
        <v>1103</v>
      </c>
      <c r="R608" s="55">
        <v>7.23</v>
      </c>
      <c r="U608" s="55">
        <v>6.76</v>
      </c>
      <c r="V608" s="55">
        <v>7.84</v>
      </c>
      <c r="Y608" s="55">
        <v>8.74</v>
      </c>
      <c r="Z608" s="55">
        <v>8.81</v>
      </c>
      <c r="AC608" s="55">
        <v>10.24</v>
      </c>
      <c r="AD608" s="55">
        <v>8.83</v>
      </c>
      <c r="AG608" s="55">
        <v>10.1</v>
      </c>
      <c r="AH608" s="55">
        <v>7.71</v>
      </c>
      <c r="AK608" s="55">
        <v>7.53</v>
      </c>
      <c r="AP608" s="55">
        <v>7.69</v>
      </c>
      <c r="AS608" s="55">
        <v>4.53</v>
      </c>
      <c r="AT608" s="55">
        <v>8.76</v>
      </c>
      <c r="AW608" s="55">
        <v>5.86</v>
      </c>
      <c r="AX608" s="55">
        <v>8.41</v>
      </c>
      <c r="BA608" s="55">
        <v>7.04</v>
      </c>
      <c r="BB608" s="55">
        <v>8.3800000000000008</v>
      </c>
      <c r="BE608" s="55">
        <v>7.37</v>
      </c>
      <c r="BF608" s="55">
        <v>8.73</v>
      </c>
      <c r="BI608" s="55">
        <v>6.23</v>
      </c>
      <c r="BJ608" s="55" t="s">
        <v>1045</v>
      </c>
      <c r="BK608" s="55" t="s">
        <v>273</v>
      </c>
      <c r="BM608" s="55" t="s">
        <v>1046</v>
      </c>
      <c r="BN608" s="56">
        <v>3144</v>
      </c>
    </row>
    <row r="609" spans="1:70" s="55" customFormat="1" ht="32">
      <c r="A609" s="55" t="s">
        <v>311</v>
      </c>
      <c r="C609" s="55" t="s">
        <v>10</v>
      </c>
      <c r="D609" s="55" t="s">
        <v>1039</v>
      </c>
      <c r="E609" s="55" t="s">
        <v>1040</v>
      </c>
      <c r="G609" s="55" t="s">
        <v>1165</v>
      </c>
      <c r="H609" s="55" t="s">
        <v>1166</v>
      </c>
      <c r="I609" s="55" t="s">
        <v>1165</v>
      </c>
      <c r="J609" s="55" t="s">
        <v>1166</v>
      </c>
      <c r="M609" s="60" t="s">
        <v>1167</v>
      </c>
      <c r="R609" s="55">
        <v>7</v>
      </c>
      <c r="U609" s="55">
        <v>6.25</v>
      </c>
      <c r="V609" s="55">
        <v>6.97</v>
      </c>
      <c r="Y609" s="55">
        <v>7.87</v>
      </c>
      <c r="Z609" s="55">
        <v>7.69</v>
      </c>
      <c r="AC609" s="55">
        <v>9.64</v>
      </c>
      <c r="AD609" s="55">
        <v>8.06</v>
      </c>
      <c r="AG609" s="55">
        <v>9.9</v>
      </c>
      <c r="AH609" s="55">
        <v>7.12</v>
      </c>
      <c r="AK609" s="55">
        <v>7.19</v>
      </c>
      <c r="AP609" s="55">
        <v>7.45</v>
      </c>
      <c r="AS609" s="55">
        <v>4.42</v>
      </c>
      <c r="AT609" s="55">
        <v>7.69</v>
      </c>
      <c r="AW609" s="55">
        <v>5.34</v>
      </c>
      <c r="AX609" s="55">
        <v>7.81</v>
      </c>
      <c r="BA609" s="55">
        <v>6.38</v>
      </c>
      <c r="BB609" s="55">
        <v>7.9</v>
      </c>
      <c r="BE609" s="55">
        <v>6.79</v>
      </c>
      <c r="BF609" s="55">
        <v>8.08</v>
      </c>
      <c r="BI609" s="55">
        <v>5.74</v>
      </c>
      <c r="BJ609" s="55" t="s">
        <v>1045</v>
      </c>
      <c r="BK609" s="55" t="s">
        <v>273</v>
      </c>
      <c r="BM609" s="55" t="s">
        <v>1046</v>
      </c>
      <c r="BN609" s="56">
        <v>3144</v>
      </c>
    </row>
    <row r="610" spans="1:70" s="55" customFormat="1" ht="16">
      <c r="A610" s="55" t="s">
        <v>311</v>
      </c>
      <c r="C610" s="55" t="s">
        <v>10</v>
      </c>
      <c r="D610" s="55" t="s">
        <v>1039</v>
      </c>
      <c r="E610" s="55" t="s">
        <v>1040</v>
      </c>
      <c r="G610" s="55" t="s">
        <v>1165</v>
      </c>
      <c r="H610" s="55" t="s">
        <v>1166</v>
      </c>
      <c r="I610" s="55" t="s">
        <v>1165</v>
      </c>
      <c r="J610" s="55" t="s">
        <v>1166</v>
      </c>
      <c r="M610" s="60" t="s">
        <v>1168</v>
      </c>
      <c r="R610" s="55">
        <v>7.07</v>
      </c>
      <c r="U610" s="55">
        <v>6.13</v>
      </c>
      <c r="V610" s="55">
        <v>7.27</v>
      </c>
      <c r="Y610" s="55">
        <v>7.88</v>
      </c>
      <c r="Z610" s="55">
        <v>7.88</v>
      </c>
      <c r="AC610" s="55">
        <v>9.3800000000000008</v>
      </c>
      <c r="AD610" s="55">
        <v>8.27</v>
      </c>
      <c r="AG610" s="55">
        <v>9.6</v>
      </c>
      <c r="AH610" s="55">
        <v>7.02</v>
      </c>
      <c r="AK610" s="55">
        <v>6.91</v>
      </c>
      <c r="AP610" s="55">
        <v>7.03</v>
      </c>
      <c r="AS610" s="55">
        <v>4.28</v>
      </c>
      <c r="AT610" s="55">
        <v>7.39</v>
      </c>
      <c r="AW610" s="55">
        <v>5.12</v>
      </c>
      <c r="AX610" s="55">
        <v>7.68</v>
      </c>
      <c r="BA610" s="55">
        <v>6.36</v>
      </c>
      <c r="BB610" s="55">
        <v>7.76</v>
      </c>
      <c r="BE610" s="55">
        <v>6.93</v>
      </c>
      <c r="BF610" s="55">
        <v>7.93</v>
      </c>
      <c r="BI610" s="55">
        <v>5.81</v>
      </c>
      <c r="BJ610" s="55" t="s">
        <v>1045</v>
      </c>
      <c r="BK610" s="55" t="s">
        <v>273</v>
      </c>
      <c r="BM610" s="55" t="s">
        <v>1046</v>
      </c>
      <c r="BN610" s="56">
        <v>3144</v>
      </c>
    </row>
    <row r="611" spans="1:70" s="55" customFormat="1" ht="32">
      <c r="A611" s="55" t="s">
        <v>311</v>
      </c>
      <c r="C611" s="55" t="s">
        <v>10</v>
      </c>
      <c r="D611" s="55" t="s">
        <v>1039</v>
      </c>
      <c r="E611" s="55" t="s">
        <v>1040</v>
      </c>
      <c r="G611" s="61" t="s">
        <v>1165</v>
      </c>
      <c r="H611" s="61" t="s">
        <v>1215</v>
      </c>
      <c r="I611" s="61" t="s">
        <v>1165</v>
      </c>
      <c r="J611" s="61" t="s">
        <v>1215</v>
      </c>
      <c r="M611" s="60" t="s">
        <v>1169</v>
      </c>
      <c r="R611" s="55">
        <v>8.3000000000000007</v>
      </c>
      <c r="U611" s="55">
        <v>7.3</v>
      </c>
      <c r="Z611" s="55">
        <v>8.3000000000000007</v>
      </c>
      <c r="AC611" s="55">
        <v>10.3</v>
      </c>
      <c r="AD611" s="55">
        <v>9.9</v>
      </c>
      <c r="AG611" s="55">
        <v>11.55</v>
      </c>
      <c r="AH611" s="55">
        <v>8</v>
      </c>
      <c r="AK611" s="55">
        <v>7.9</v>
      </c>
      <c r="BJ611" s="55" t="s">
        <v>1170</v>
      </c>
      <c r="BK611" s="55" t="s">
        <v>273</v>
      </c>
      <c r="BM611" s="55" t="s">
        <v>1046</v>
      </c>
      <c r="BN611" s="56">
        <v>3144</v>
      </c>
    </row>
    <row r="612" spans="1:70">
      <c r="A612" t="s">
        <v>225</v>
      </c>
      <c r="C612" t="s">
        <v>484</v>
      </c>
      <c r="E612" t="s">
        <v>485</v>
      </c>
      <c r="G612" t="s">
        <v>489</v>
      </c>
      <c r="H612" t="s">
        <v>226</v>
      </c>
      <c r="I612" t="s">
        <v>110</v>
      </c>
      <c r="J612" t="s">
        <v>226</v>
      </c>
      <c r="Z612">
        <v>3.8</v>
      </c>
      <c r="AC612">
        <v>5.5</v>
      </c>
      <c r="BJ612" t="s">
        <v>227</v>
      </c>
      <c r="BK612" t="s">
        <v>159</v>
      </c>
      <c r="BM612" t="s">
        <v>189</v>
      </c>
      <c r="BN612" s="33">
        <v>3485</v>
      </c>
      <c r="BO612" t="s">
        <v>174</v>
      </c>
      <c r="BP612" t="s">
        <v>189</v>
      </c>
    </row>
    <row r="613" spans="1:70">
      <c r="A613" t="s">
        <v>253</v>
      </c>
      <c r="C613" t="s">
        <v>484</v>
      </c>
      <c r="E613" t="s">
        <v>485</v>
      </c>
      <c r="G613" t="s">
        <v>254</v>
      </c>
      <c r="H613" t="s">
        <v>255</v>
      </c>
      <c r="I613" t="s">
        <v>254</v>
      </c>
      <c r="J613" t="s">
        <v>255</v>
      </c>
      <c r="AD613">
        <v>3.2</v>
      </c>
      <c r="AG613">
        <v>4.0999999999999996</v>
      </c>
      <c r="BK613" t="s">
        <v>159</v>
      </c>
      <c r="BM613" t="s">
        <v>189</v>
      </c>
      <c r="BN613" s="33">
        <v>3485</v>
      </c>
      <c r="BO613" t="s">
        <v>174</v>
      </c>
      <c r="BP613" t="s">
        <v>189</v>
      </c>
    </row>
    <row r="614" spans="1:70" ht="18">
      <c r="A614" t="s">
        <v>260</v>
      </c>
      <c r="C614" t="s">
        <v>484</v>
      </c>
      <c r="E614" t="s">
        <v>485</v>
      </c>
      <c r="G614" s="21" t="s">
        <v>842</v>
      </c>
      <c r="H614" t="s">
        <v>475</v>
      </c>
      <c r="I614" t="s">
        <v>261</v>
      </c>
      <c r="J614" t="s">
        <v>262</v>
      </c>
      <c r="BB614">
        <v>2.4</v>
      </c>
      <c r="BE614">
        <v>2</v>
      </c>
      <c r="BK614" t="s">
        <v>159</v>
      </c>
      <c r="BM614" t="s">
        <v>189</v>
      </c>
      <c r="BN614" s="33">
        <v>3485</v>
      </c>
      <c r="BO614" t="s">
        <v>174</v>
      </c>
      <c r="BP614" t="s">
        <v>189</v>
      </c>
    </row>
    <row r="615" spans="1:70">
      <c r="A615" t="s">
        <v>258</v>
      </c>
      <c r="C615" t="s">
        <v>484</v>
      </c>
      <c r="E615" t="s">
        <v>485</v>
      </c>
      <c r="G615" t="s">
        <v>184</v>
      </c>
      <c r="H615" t="s">
        <v>259</v>
      </c>
      <c r="I615" t="s">
        <v>184</v>
      </c>
      <c r="J615" t="s">
        <v>259</v>
      </c>
      <c r="AX615">
        <v>3</v>
      </c>
      <c r="BA615">
        <v>2.2000000000000002</v>
      </c>
      <c r="BK615" t="s">
        <v>159</v>
      </c>
      <c r="BM615" t="s">
        <v>189</v>
      </c>
      <c r="BN615" s="33">
        <v>3485</v>
      </c>
      <c r="BO615" t="s">
        <v>174</v>
      </c>
      <c r="BP615" t="s">
        <v>189</v>
      </c>
    </row>
    <row r="616" spans="1:70">
      <c r="A616" t="s">
        <v>219</v>
      </c>
      <c r="C616" t="s">
        <v>10</v>
      </c>
      <c r="D616" t="s">
        <v>11</v>
      </c>
      <c r="E616" t="s">
        <v>165</v>
      </c>
      <c r="F616" t="s">
        <v>169</v>
      </c>
      <c r="G616" t="s">
        <v>490</v>
      </c>
      <c r="H616" t="s">
        <v>491</v>
      </c>
      <c r="I616" t="s">
        <v>220</v>
      </c>
      <c r="J616" t="s">
        <v>221</v>
      </c>
      <c r="BB616">
        <v>5.8</v>
      </c>
      <c r="BE616">
        <v>5.0999999999999996</v>
      </c>
      <c r="BK616" t="s">
        <v>159</v>
      </c>
      <c r="BM616" t="s">
        <v>189</v>
      </c>
      <c r="BN616" s="33">
        <v>3485</v>
      </c>
      <c r="BO616" t="s">
        <v>174</v>
      </c>
      <c r="BP616" t="s">
        <v>189</v>
      </c>
    </row>
    <row r="617" spans="1:70">
      <c r="A617" s="14"/>
      <c r="B617" s="14"/>
      <c r="C617" s="14" t="s">
        <v>10</v>
      </c>
      <c r="D617" s="14" t="s">
        <v>11</v>
      </c>
      <c r="E617" s="14" t="s">
        <v>165</v>
      </c>
      <c r="F617" s="14" t="s">
        <v>169</v>
      </c>
      <c r="G617" s="14" t="s">
        <v>490</v>
      </c>
      <c r="H617" s="14" t="s">
        <v>491</v>
      </c>
      <c r="I617" s="14" t="s">
        <v>220</v>
      </c>
      <c r="J617" s="14" t="s">
        <v>223</v>
      </c>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t="s">
        <v>159</v>
      </c>
      <c r="BL617" s="14"/>
      <c r="BM617" s="14" t="s">
        <v>189</v>
      </c>
      <c r="BN617" s="34">
        <v>3485</v>
      </c>
      <c r="BO617" s="14" t="s">
        <v>174</v>
      </c>
      <c r="BP617" s="14" t="s">
        <v>189</v>
      </c>
      <c r="BQ617" s="14"/>
      <c r="BR617" s="14"/>
    </row>
    <row r="618" spans="1:70">
      <c r="A618" t="s">
        <v>222</v>
      </c>
      <c r="C618" t="s">
        <v>10</v>
      </c>
      <c r="D618" t="s">
        <v>11</v>
      </c>
      <c r="E618" t="s">
        <v>165</v>
      </c>
      <c r="F618" t="s">
        <v>169</v>
      </c>
      <c r="G618" t="s">
        <v>490</v>
      </c>
      <c r="H618" t="s">
        <v>767</v>
      </c>
      <c r="I618" t="s">
        <v>220</v>
      </c>
      <c r="J618" t="s">
        <v>767</v>
      </c>
      <c r="AD618">
        <v>5.8</v>
      </c>
      <c r="AG618">
        <v>8.4</v>
      </c>
      <c r="BK618" t="s">
        <v>159</v>
      </c>
      <c r="BM618" t="s">
        <v>189</v>
      </c>
      <c r="BN618" s="33">
        <v>3485</v>
      </c>
      <c r="BO618" t="s">
        <v>174</v>
      </c>
      <c r="BP618" t="s">
        <v>189</v>
      </c>
    </row>
    <row r="619" spans="1:70">
      <c r="A619" t="s">
        <v>205</v>
      </c>
      <c r="C619" t="s">
        <v>10</v>
      </c>
      <c r="D619" t="s">
        <v>11</v>
      </c>
      <c r="E619" t="s">
        <v>165</v>
      </c>
      <c r="F619" t="s">
        <v>157</v>
      </c>
      <c r="G619" t="s">
        <v>166</v>
      </c>
      <c r="H619" t="s">
        <v>206</v>
      </c>
      <c r="I619" t="s">
        <v>166</v>
      </c>
      <c r="J619" t="s">
        <v>206</v>
      </c>
      <c r="BB619">
        <v>5.5</v>
      </c>
      <c r="BE619">
        <v>4.5</v>
      </c>
      <c r="BK619" t="s">
        <v>159</v>
      </c>
      <c r="BM619" t="s">
        <v>189</v>
      </c>
      <c r="BN619" s="33">
        <v>3485</v>
      </c>
      <c r="BO619" t="s">
        <v>174</v>
      </c>
      <c r="BP619" t="s">
        <v>189</v>
      </c>
    </row>
    <row r="620" spans="1:70">
      <c r="A620" t="s">
        <v>207</v>
      </c>
      <c r="C620" t="s">
        <v>10</v>
      </c>
      <c r="D620" t="s">
        <v>11</v>
      </c>
      <c r="E620" t="s">
        <v>165</v>
      </c>
      <c r="F620" t="s">
        <v>157</v>
      </c>
      <c r="G620" t="s">
        <v>166</v>
      </c>
      <c r="H620" t="s">
        <v>208</v>
      </c>
      <c r="I620" t="s">
        <v>166</v>
      </c>
      <c r="J620" t="s">
        <v>208</v>
      </c>
      <c r="BB620">
        <v>8.1</v>
      </c>
      <c r="BE620">
        <v>5.9</v>
      </c>
      <c r="BK620" t="s">
        <v>159</v>
      </c>
      <c r="BM620" t="s">
        <v>189</v>
      </c>
      <c r="BN620" s="33">
        <v>3485</v>
      </c>
      <c r="BO620" t="s">
        <v>174</v>
      </c>
      <c r="BP620" t="s">
        <v>209</v>
      </c>
    </row>
    <row r="621" spans="1:70">
      <c r="A621" t="s">
        <v>211</v>
      </c>
      <c r="C621" t="s">
        <v>10</v>
      </c>
      <c r="D621" t="s">
        <v>11</v>
      </c>
      <c r="E621" t="s">
        <v>165</v>
      </c>
      <c r="F621" t="s">
        <v>157</v>
      </c>
      <c r="G621" t="s">
        <v>166</v>
      </c>
      <c r="H621" t="s">
        <v>212</v>
      </c>
      <c r="I621" t="s">
        <v>166</v>
      </c>
      <c r="J621" t="s">
        <v>212</v>
      </c>
      <c r="AD621">
        <v>5.4</v>
      </c>
      <c r="AG621">
        <v>6.8</v>
      </c>
      <c r="BK621" t="s">
        <v>159</v>
      </c>
      <c r="BM621" t="s">
        <v>189</v>
      </c>
      <c r="BN621" s="33">
        <v>3485</v>
      </c>
      <c r="BO621" t="s">
        <v>174</v>
      </c>
      <c r="BP621" t="s">
        <v>189</v>
      </c>
    </row>
    <row r="622" spans="1:70">
      <c r="A622" t="s">
        <v>845</v>
      </c>
      <c r="C622" t="s">
        <v>10</v>
      </c>
      <c r="D622" t="s">
        <v>11</v>
      </c>
      <c r="E622" t="s">
        <v>165</v>
      </c>
      <c r="F622" t="s">
        <v>157</v>
      </c>
      <c r="G622" t="s">
        <v>166</v>
      </c>
      <c r="H622" t="s">
        <v>210</v>
      </c>
      <c r="I622" t="s">
        <v>166</v>
      </c>
      <c r="J622" t="s">
        <v>210</v>
      </c>
      <c r="BB622">
        <v>7.9</v>
      </c>
      <c r="BE622">
        <v>5.8</v>
      </c>
      <c r="BK622" t="s">
        <v>159</v>
      </c>
      <c r="BM622" t="s">
        <v>189</v>
      </c>
      <c r="BN622" s="33">
        <v>3485</v>
      </c>
      <c r="BO622" t="s">
        <v>174</v>
      </c>
      <c r="BP622" t="s">
        <v>189</v>
      </c>
    </row>
    <row r="623" spans="1:70">
      <c r="A623" t="s">
        <v>216</v>
      </c>
      <c r="C623" t="s">
        <v>10</v>
      </c>
      <c r="D623" t="s">
        <v>11</v>
      </c>
      <c r="E623" t="s">
        <v>165</v>
      </c>
      <c r="F623" t="s">
        <v>169</v>
      </c>
      <c r="G623" t="s">
        <v>401</v>
      </c>
      <c r="H623" t="s">
        <v>218</v>
      </c>
      <c r="I623" t="s">
        <v>217</v>
      </c>
      <c r="J623" t="s">
        <v>218</v>
      </c>
      <c r="BB623">
        <v>16.5</v>
      </c>
      <c r="BE623">
        <v>14.8</v>
      </c>
      <c r="BK623" t="s">
        <v>159</v>
      </c>
      <c r="BM623" t="s">
        <v>189</v>
      </c>
      <c r="BN623" s="33">
        <v>3485</v>
      </c>
      <c r="BO623" t="s">
        <v>174</v>
      </c>
      <c r="BP623" t="s">
        <v>189</v>
      </c>
    </row>
    <row r="624" spans="1:70">
      <c r="A624" t="s">
        <v>231</v>
      </c>
      <c r="C624" t="s">
        <v>10</v>
      </c>
      <c r="D624" t="s">
        <v>11</v>
      </c>
      <c r="E624" t="s">
        <v>165</v>
      </c>
      <c r="F624" t="s">
        <v>169</v>
      </c>
      <c r="G624" t="s">
        <v>232</v>
      </c>
      <c r="H624" t="s">
        <v>233</v>
      </c>
      <c r="I624" t="s">
        <v>232</v>
      </c>
      <c r="J624" t="s">
        <v>233</v>
      </c>
      <c r="AD624">
        <v>5.8</v>
      </c>
      <c r="AG624">
        <v>7</v>
      </c>
      <c r="BK624" t="s">
        <v>159</v>
      </c>
      <c r="BM624" t="s">
        <v>189</v>
      </c>
      <c r="BN624" s="33">
        <v>3485</v>
      </c>
      <c r="BO624" t="s">
        <v>174</v>
      </c>
      <c r="BP624" t="s">
        <v>189</v>
      </c>
    </row>
    <row r="625" spans="1:70">
      <c r="A625" t="s">
        <v>234</v>
      </c>
      <c r="C625" t="s">
        <v>10</v>
      </c>
      <c r="D625" t="s">
        <v>11</v>
      </c>
      <c r="E625" t="s">
        <v>165</v>
      </c>
      <c r="F625" t="s">
        <v>169</v>
      </c>
      <c r="G625" t="s">
        <v>232</v>
      </c>
      <c r="H625" t="s">
        <v>235</v>
      </c>
      <c r="I625" t="s">
        <v>232</v>
      </c>
      <c r="J625" t="s">
        <v>235</v>
      </c>
      <c r="AD625">
        <v>6</v>
      </c>
      <c r="AG625">
        <v>7.9</v>
      </c>
      <c r="BK625" t="s">
        <v>159</v>
      </c>
      <c r="BM625" t="s">
        <v>189</v>
      </c>
      <c r="BN625" s="33">
        <v>3485</v>
      </c>
      <c r="BO625" t="s">
        <v>174</v>
      </c>
      <c r="BP625" t="s">
        <v>189</v>
      </c>
    </row>
    <row r="626" spans="1:70">
      <c r="A626" t="s">
        <v>236</v>
      </c>
      <c r="C626" t="s">
        <v>10</v>
      </c>
      <c r="D626" t="s">
        <v>11</v>
      </c>
      <c r="E626" t="s">
        <v>165</v>
      </c>
      <c r="F626" t="s">
        <v>169</v>
      </c>
      <c r="G626" t="s">
        <v>237</v>
      </c>
      <c r="H626" t="s">
        <v>481</v>
      </c>
      <c r="I626" t="s">
        <v>237</v>
      </c>
      <c r="J626" t="s">
        <v>481</v>
      </c>
      <c r="AD626">
        <v>9.5</v>
      </c>
      <c r="AG626">
        <v>13.2</v>
      </c>
      <c r="BK626" t="s">
        <v>159</v>
      </c>
      <c r="BM626" t="s">
        <v>189</v>
      </c>
      <c r="BN626" s="33">
        <v>3485</v>
      </c>
      <c r="BO626" t="s">
        <v>174</v>
      </c>
      <c r="BP626" t="s">
        <v>189</v>
      </c>
    </row>
    <row r="627" spans="1:70">
      <c r="A627" t="s">
        <v>228</v>
      </c>
      <c r="C627" t="s">
        <v>10</v>
      </c>
      <c r="D627" t="s">
        <v>11</v>
      </c>
      <c r="E627" t="s">
        <v>165</v>
      </c>
      <c r="F627" t="s">
        <v>169</v>
      </c>
      <c r="G627" t="s">
        <v>487</v>
      </c>
      <c r="H627" t="s">
        <v>488</v>
      </c>
      <c r="I627" t="s">
        <v>229</v>
      </c>
      <c r="J627" t="s">
        <v>230</v>
      </c>
      <c r="BE627">
        <v>3.8</v>
      </c>
      <c r="BF627">
        <v>5.5</v>
      </c>
      <c r="BI627">
        <v>3.6</v>
      </c>
      <c r="BK627" t="s">
        <v>159</v>
      </c>
      <c r="BM627" t="s">
        <v>189</v>
      </c>
      <c r="BN627" s="33">
        <v>3485</v>
      </c>
      <c r="BO627" t="s">
        <v>174</v>
      </c>
      <c r="BP627" t="s">
        <v>189</v>
      </c>
    </row>
    <row r="628" spans="1:70" ht="16">
      <c r="A628" t="s">
        <v>213</v>
      </c>
      <c r="C628" t="s">
        <v>10</v>
      </c>
      <c r="D628" t="s">
        <v>11</v>
      </c>
      <c r="E628" t="s">
        <v>165</v>
      </c>
      <c r="F628" t="s">
        <v>157</v>
      </c>
      <c r="G628" s="1" t="s">
        <v>474</v>
      </c>
      <c r="H628" t="s">
        <v>437</v>
      </c>
      <c r="I628" t="s">
        <v>214</v>
      </c>
      <c r="J628" t="s">
        <v>215</v>
      </c>
      <c r="AX628">
        <v>6.8</v>
      </c>
      <c r="BA628">
        <v>5.6</v>
      </c>
      <c r="BK628" t="s">
        <v>159</v>
      </c>
      <c r="BM628" t="s">
        <v>189</v>
      </c>
      <c r="BN628" s="33">
        <v>3485</v>
      </c>
      <c r="BO628" t="s">
        <v>174</v>
      </c>
      <c r="BP628" t="s">
        <v>189</v>
      </c>
    </row>
    <row r="629" spans="1:70">
      <c r="A629" t="s">
        <v>193</v>
      </c>
      <c r="C629" t="s">
        <v>10</v>
      </c>
      <c r="D629" t="s">
        <v>11</v>
      </c>
      <c r="E629" t="s">
        <v>165</v>
      </c>
      <c r="F629" t="s">
        <v>157</v>
      </c>
      <c r="G629" t="s">
        <v>85</v>
      </c>
      <c r="H629" t="s">
        <v>194</v>
      </c>
      <c r="I629" t="s">
        <v>85</v>
      </c>
      <c r="J629" t="s">
        <v>194</v>
      </c>
      <c r="Z629">
        <v>3.5</v>
      </c>
      <c r="AC629">
        <v>2.1</v>
      </c>
      <c r="BK629" t="s">
        <v>159</v>
      </c>
      <c r="BM629" t="s">
        <v>189</v>
      </c>
      <c r="BN629" s="33">
        <v>3485</v>
      </c>
      <c r="BO629" t="s">
        <v>174</v>
      </c>
      <c r="BP629" t="s">
        <v>189</v>
      </c>
    </row>
    <row r="630" spans="1:70">
      <c r="A630" t="s">
        <v>195</v>
      </c>
      <c r="C630" t="s">
        <v>10</v>
      </c>
      <c r="D630" t="s">
        <v>11</v>
      </c>
      <c r="E630" t="s">
        <v>165</v>
      </c>
      <c r="F630" t="s">
        <v>157</v>
      </c>
      <c r="G630" t="s">
        <v>85</v>
      </c>
      <c r="H630" t="s">
        <v>196</v>
      </c>
      <c r="I630" t="s">
        <v>85</v>
      </c>
      <c r="J630" t="s">
        <v>196</v>
      </c>
      <c r="AD630">
        <v>3.8</v>
      </c>
      <c r="AG630">
        <v>6.1</v>
      </c>
      <c r="BK630" t="s">
        <v>159</v>
      </c>
      <c r="BM630" t="s">
        <v>189</v>
      </c>
      <c r="BN630" s="33">
        <v>3485</v>
      </c>
      <c r="BO630" t="s">
        <v>174</v>
      </c>
      <c r="BP630" t="s">
        <v>189</v>
      </c>
    </row>
    <row r="631" spans="1:70">
      <c r="A631" t="s">
        <v>197</v>
      </c>
      <c r="C631" t="s">
        <v>10</v>
      </c>
      <c r="D631" t="s">
        <v>11</v>
      </c>
      <c r="E631" t="s">
        <v>165</v>
      </c>
      <c r="F631" t="s">
        <v>157</v>
      </c>
      <c r="G631" t="s">
        <v>85</v>
      </c>
      <c r="H631" t="s">
        <v>198</v>
      </c>
      <c r="I631" t="s">
        <v>85</v>
      </c>
      <c r="J631" t="s">
        <v>198</v>
      </c>
      <c r="AD631">
        <v>3.4</v>
      </c>
      <c r="AG631">
        <v>4.8</v>
      </c>
      <c r="BJ631" t="s">
        <v>199</v>
      </c>
      <c r="BK631" t="s">
        <v>159</v>
      </c>
      <c r="BM631" t="s">
        <v>189</v>
      </c>
      <c r="BN631" s="33">
        <v>3485</v>
      </c>
      <c r="BO631" t="s">
        <v>174</v>
      </c>
      <c r="BP631" t="s">
        <v>189</v>
      </c>
    </row>
    <row r="632" spans="1:70" s="14" customFormat="1" ht="16">
      <c r="A632" t="s">
        <v>200</v>
      </c>
      <c r="B632"/>
      <c r="C632" t="s">
        <v>10</v>
      </c>
      <c r="D632" t="s">
        <v>11</v>
      </c>
      <c r="E632" t="s">
        <v>165</v>
      </c>
      <c r="F632" t="s">
        <v>157</v>
      </c>
      <c r="G632" s="1" t="s">
        <v>13</v>
      </c>
      <c r="H632" s="2" t="s">
        <v>14</v>
      </c>
      <c r="I632" t="s">
        <v>85</v>
      </c>
      <c r="J632" t="s">
        <v>14</v>
      </c>
      <c r="K632"/>
      <c r="L632"/>
      <c r="M632"/>
      <c r="N632"/>
      <c r="O632"/>
      <c r="P632"/>
      <c r="Q632"/>
      <c r="R632"/>
      <c r="S632"/>
      <c r="T632"/>
      <c r="U632"/>
      <c r="V632"/>
      <c r="W632"/>
      <c r="X632"/>
      <c r="Y632"/>
      <c r="Z632"/>
      <c r="AA632"/>
      <c r="AB632"/>
      <c r="AC632"/>
      <c r="AD632">
        <v>3.8</v>
      </c>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t="s">
        <v>201</v>
      </c>
      <c r="BK632" t="s">
        <v>159</v>
      </c>
      <c r="BL632"/>
      <c r="BM632" t="s">
        <v>189</v>
      </c>
      <c r="BN632" s="33">
        <v>3485</v>
      </c>
      <c r="BO632"/>
      <c r="BP632"/>
      <c r="BQ632"/>
      <c r="BR632"/>
    </row>
    <row r="633" spans="1:70" s="14" customFormat="1">
      <c r="A633" t="s">
        <v>187</v>
      </c>
      <c r="B633"/>
      <c r="C633" t="s">
        <v>10</v>
      </c>
      <c r="D633" t="s">
        <v>11</v>
      </c>
      <c r="E633" t="s">
        <v>165</v>
      </c>
      <c r="F633" t="s">
        <v>157</v>
      </c>
      <c r="G633" t="s">
        <v>500</v>
      </c>
      <c r="H633" t="s">
        <v>188</v>
      </c>
      <c r="I633" t="s">
        <v>500</v>
      </c>
      <c r="J633" t="s">
        <v>188</v>
      </c>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v>5.5</v>
      </c>
      <c r="BC633"/>
      <c r="BD633"/>
      <c r="BE633">
        <v>3.8</v>
      </c>
      <c r="BF633"/>
      <c r="BG633"/>
      <c r="BH633"/>
      <c r="BI633"/>
      <c r="BJ633"/>
      <c r="BK633" t="s">
        <v>159</v>
      </c>
      <c r="BL633"/>
      <c r="BM633" t="s">
        <v>189</v>
      </c>
      <c r="BN633" s="33">
        <v>3485</v>
      </c>
      <c r="BO633" t="s">
        <v>174</v>
      </c>
      <c r="BP633" t="s">
        <v>189</v>
      </c>
      <c r="BQ633"/>
      <c r="BR633"/>
    </row>
    <row r="634" spans="1:70" s="14" customFormat="1">
      <c r="A634" t="s">
        <v>187</v>
      </c>
      <c r="B634"/>
      <c r="C634" t="s">
        <v>10</v>
      </c>
      <c r="D634" t="s">
        <v>11</v>
      </c>
      <c r="E634" t="s">
        <v>165</v>
      </c>
      <c r="F634"/>
      <c r="G634" t="s">
        <v>500</v>
      </c>
      <c r="H634" t="s">
        <v>188</v>
      </c>
      <c r="I634" t="s">
        <v>500</v>
      </c>
      <c r="J634" t="s">
        <v>188</v>
      </c>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v>5.5</v>
      </c>
      <c r="BC634">
        <v>3.8</v>
      </c>
      <c r="BD634">
        <v>3.7</v>
      </c>
      <c r="BE634">
        <v>3.8</v>
      </c>
      <c r="BF634"/>
      <c r="BG634"/>
      <c r="BH634"/>
      <c r="BI634"/>
      <c r="BJ634"/>
      <c r="BK634" t="s">
        <v>273</v>
      </c>
      <c r="BL634"/>
      <c r="BM634" t="s">
        <v>189</v>
      </c>
      <c r="BN634" s="33">
        <v>3485</v>
      </c>
      <c r="BO634" t="s">
        <v>174</v>
      </c>
      <c r="BP634" t="s">
        <v>189</v>
      </c>
      <c r="BQ634"/>
      <c r="BR634"/>
    </row>
    <row r="635" spans="1:70">
      <c r="A635" t="s">
        <v>190</v>
      </c>
      <c r="C635" t="s">
        <v>10</v>
      </c>
      <c r="D635" t="s">
        <v>11</v>
      </c>
      <c r="E635" t="s">
        <v>165</v>
      </c>
      <c r="F635" t="s">
        <v>157</v>
      </c>
      <c r="G635" t="s">
        <v>500</v>
      </c>
      <c r="H635" t="s">
        <v>191</v>
      </c>
      <c r="I635" t="s">
        <v>500</v>
      </c>
      <c r="J635" t="s">
        <v>191</v>
      </c>
      <c r="BB635">
        <v>3.6</v>
      </c>
      <c r="BE635">
        <v>2.8</v>
      </c>
      <c r="BJ635" t="s">
        <v>192</v>
      </c>
      <c r="BK635" t="s">
        <v>159</v>
      </c>
      <c r="BM635" t="s">
        <v>189</v>
      </c>
      <c r="BN635" s="33">
        <v>3485</v>
      </c>
      <c r="BO635" t="s">
        <v>174</v>
      </c>
      <c r="BP635" t="s">
        <v>189</v>
      </c>
    </row>
    <row r="636" spans="1:70" s="14" customFormat="1">
      <c r="A636" t="s">
        <v>190</v>
      </c>
      <c r="B636"/>
      <c r="C636" t="s">
        <v>10</v>
      </c>
      <c r="D636" t="s">
        <v>11</v>
      </c>
      <c r="E636" t="s">
        <v>165</v>
      </c>
      <c r="F636"/>
      <c r="G636" t="s">
        <v>500</v>
      </c>
      <c r="H636" t="s">
        <v>191</v>
      </c>
      <c r="I636" t="s">
        <v>500</v>
      </c>
      <c r="J636" t="s">
        <v>191</v>
      </c>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v>3.6</v>
      </c>
      <c r="BC636">
        <v>2.8</v>
      </c>
      <c r="BD636">
        <v>2.8</v>
      </c>
      <c r="BE636">
        <v>2.8</v>
      </c>
      <c r="BF636"/>
      <c r="BG636"/>
      <c r="BH636"/>
      <c r="BI636"/>
      <c r="BJ636" t="s">
        <v>781</v>
      </c>
      <c r="BK636" t="s">
        <v>273</v>
      </c>
      <c r="BL636"/>
      <c r="BM636" t="s">
        <v>189</v>
      </c>
      <c r="BN636" s="33">
        <v>3485</v>
      </c>
      <c r="BO636" t="s">
        <v>362</v>
      </c>
      <c r="BP636" t="s">
        <v>189</v>
      </c>
      <c r="BQ636"/>
      <c r="BR636"/>
    </row>
    <row r="637" spans="1:70" s="14" customFormat="1">
      <c r="A637" t="s">
        <v>224</v>
      </c>
      <c r="B637"/>
      <c r="C637" t="s">
        <v>10</v>
      </c>
      <c r="D637" t="s">
        <v>11</v>
      </c>
      <c r="E637" t="s">
        <v>293</v>
      </c>
      <c r="F637"/>
      <c r="G637" t="s">
        <v>81</v>
      </c>
      <c r="H637" t="s">
        <v>82</v>
      </c>
      <c r="I637" t="s">
        <v>110</v>
      </c>
      <c r="J637" t="s">
        <v>111</v>
      </c>
      <c r="K637"/>
      <c r="L637"/>
      <c r="M637"/>
      <c r="N637"/>
      <c r="O637"/>
      <c r="P637"/>
      <c r="Q637"/>
      <c r="R637"/>
      <c r="S637"/>
      <c r="T637"/>
      <c r="U637"/>
      <c r="V637"/>
      <c r="W637"/>
      <c r="X637"/>
      <c r="Y637"/>
      <c r="Z637"/>
      <c r="AA637"/>
      <c r="AB637"/>
      <c r="AC637"/>
      <c r="AD637">
        <v>4.2</v>
      </c>
      <c r="AE637"/>
      <c r="AF637"/>
      <c r="AG637">
        <v>6.3</v>
      </c>
      <c r="AH637"/>
      <c r="AI637"/>
      <c r="AJ637"/>
      <c r="AK637"/>
      <c r="AL637"/>
      <c r="AM637"/>
      <c r="AN637"/>
      <c r="AO637"/>
      <c r="AP637"/>
      <c r="AQ637"/>
      <c r="AR637"/>
      <c r="AS637"/>
      <c r="AT637"/>
      <c r="AU637"/>
      <c r="AV637"/>
      <c r="AW637"/>
      <c r="AX637"/>
      <c r="AY637"/>
      <c r="AZ637"/>
      <c r="BA637"/>
      <c r="BB637"/>
      <c r="BC637"/>
      <c r="BD637"/>
      <c r="BE637"/>
      <c r="BF637"/>
      <c r="BG637"/>
      <c r="BH637"/>
      <c r="BI637"/>
      <c r="BJ637"/>
      <c r="BK637" t="s">
        <v>159</v>
      </c>
      <c r="BL637"/>
      <c r="BM637" t="s">
        <v>189</v>
      </c>
      <c r="BN637" s="33">
        <v>3485</v>
      </c>
      <c r="BO637" t="s">
        <v>174</v>
      </c>
      <c r="BP637" t="s">
        <v>189</v>
      </c>
      <c r="BQ637"/>
      <c r="BR637"/>
    </row>
    <row r="638" spans="1:70">
      <c r="A638" t="s">
        <v>252</v>
      </c>
      <c r="C638" t="s">
        <v>10</v>
      </c>
      <c r="D638" t="s">
        <v>11</v>
      </c>
      <c r="E638" t="s">
        <v>293</v>
      </c>
      <c r="G638" t="s">
        <v>19</v>
      </c>
      <c r="H638" t="s">
        <v>20</v>
      </c>
      <c r="I638" t="s">
        <v>74</v>
      </c>
      <c r="J638" t="s">
        <v>20</v>
      </c>
      <c r="AD638">
        <v>4.8</v>
      </c>
      <c r="AG638">
        <v>6.2</v>
      </c>
      <c r="BK638" t="s">
        <v>159</v>
      </c>
      <c r="BM638" t="s">
        <v>189</v>
      </c>
      <c r="BN638" s="33">
        <v>3485</v>
      </c>
      <c r="BO638" t="s">
        <v>174</v>
      </c>
      <c r="BP638" t="s">
        <v>189</v>
      </c>
    </row>
    <row r="639" spans="1:70">
      <c r="A639" t="s">
        <v>251</v>
      </c>
      <c r="C639" t="s">
        <v>10</v>
      </c>
      <c r="D639" t="s">
        <v>11</v>
      </c>
      <c r="E639" t="s">
        <v>293</v>
      </c>
      <c r="F639" t="s">
        <v>52</v>
      </c>
      <c r="G639" t="s">
        <v>53</v>
      </c>
      <c r="H639" t="s">
        <v>54</v>
      </c>
      <c r="I639" t="s">
        <v>53</v>
      </c>
      <c r="J639" t="s">
        <v>104</v>
      </c>
      <c r="AD639">
        <v>4.9000000000000004</v>
      </c>
      <c r="AG639">
        <v>8.1999999999999993</v>
      </c>
      <c r="BK639" t="s">
        <v>159</v>
      </c>
      <c r="BM639" t="s">
        <v>189</v>
      </c>
      <c r="BN639" s="33">
        <v>3485</v>
      </c>
      <c r="BO639" t="s">
        <v>174</v>
      </c>
      <c r="BP639" t="s">
        <v>189</v>
      </c>
    </row>
    <row r="640" spans="1:70" s="8" customFormat="1">
      <c r="A640" t="s">
        <v>250</v>
      </c>
      <c r="B640"/>
      <c r="C640" t="s">
        <v>10</v>
      </c>
      <c r="D640" t="s">
        <v>11</v>
      </c>
      <c r="E640" t="s">
        <v>293</v>
      </c>
      <c r="F640" t="s">
        <v>52</v>
      </c>
      <c r="G640" t="s">
        <v>53</v>
      </c>
      <c r="H640" t="s">
        <v>58</v>
      </c>
      <c r="I640" t="s">
        <v>53</v>
      </c>
      <c r="J640" t="s">
        <v>58</v>
      </c>
      <c r="K640"/>
      <c r="L640"/>
      <c r="M640"/>
      <c r="N640"/>
      <c r="O640"/>
      <c r="P640"/>
      <c r="Q640"/>
      <c r="R640"/>
      <c r="S640"/>
      <c r="T640"/>
      <c r="U640"/>
      <c r="V640"/>
      <c r="W640"/>
      <c r="X640"/>
      <c r="Y640"/>
      <c r="Z640"/>
      <c r="AA640"/>
      <c r="AB640"/>
      <c r="AC640"/>
      <c r="AD640">
        <v>4.9000000000000004</v>
      </c>
      <c r="AE640"/>
      <c r="AF640"/>
      <c r="AG640">
        <v>8.6</v>
      </c>
      <c r="AH640"/>
      <c r="AI640"/>
      <c r="AJ640"/>
      <c r="AK640"/>
      <c r="AL640"/>
      <c r="AM640"/>
      <c r="AN640"/>
      <c r="AO640"/>
      <c r="AP640"/>
      <c r="AQ640"/>
      <c r="AR640"/>
      <c r="AS640"/>
      <c r="AT640"/>
      <c r="AU640"/>
      <c r="AV640"/>
      <c r="AW640"/>
      <c r="AX640"/>
      <c r="AY640"/>
      <c r="AZ640"/>
      <c r="BA640"/>
      <c r="BB640"/>
      <c r="BC640"/>
      <c r="BD640"/>
      <c r="BE640"/>
      <c r="BF640"/>
      <c r="BG640"/>
      <c r="BH640"/>
      <c r="BI640"/>
      <c r="BJ640"/>
      <c r="BK640" t="s">
        <v>159</v>
      </c>
      <c r="BL640"/>
      <c r="BM640" t="s">
        <v>189</v>
      </c>
      <c r="BN640" s="33">
        <v>3485</v>
      </c>
      <c r="BO640" t="s">
        <v>174</v>
      </c>
      <c r="BP640" t="s">
        <v>189</v>
      </c>
      <c r="BQ640"/>
      <c r="BR640"/>
    </row>
    <row r="641" spans="1:70">
      <c r="A641" s="22" t="s">
        <v>249</v>
      </c>
      <c r="B641" s="22"/>
      <c r="C641" s="22" t="s">
        <v>10</v>
      </c>
      <c r="D641" s="22" t="s">
        <v>11</v>
      </c>
      <c r="E641" s="22" t="s">
        <v>293</v>
      </c>
      <c r="F641" s="22"/>
      <c r="G641" s="22" t="s">
        <v>48</v>
      </c>
      <c r="H641" s="22" t="s">
        <v>51</v>
      </c>
      <c r="I641" s="22" t="s">
        <v>48</v>
      </c>
      <c r="J641" s="22" t="s">
        <v>51</v>
      </c>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2"/>
      <c r="AZ641" s="22"/>
      <c r="BA641" s="22"/>
      <c r="BB641" s="22">
        <v>5.3</v>
      </c>
      <c r="BC641" s="22"/>
      <c r="BD641" s="22"/>
      <c r="BE641" s="22">
        <v>4</v>
      </c>
      <c r="BF641" s="22"/>
      <c r="BG641" s="22"/>
      <c r="BH641" s="22"/>
      <c r="BI641" s="22"/>
      <c r="BJ641" s="22"/>
      <c r="BK641" s="22" t="s">
        <v>159</v>
      </c>
      <c r="BL641" s="22"/>
      <c r="BM641" s="22" t="s">
        <v>189</v>
      </c>
      <c r="BN641" s="36">
        <v>3485</v>
      </c>
      <c r="BO641" s="22" t="s">
        <v>174</v>
      </c>
      <c r="BP641" s="22" t="s">
        <v>189</v>
      </c>
      <c r="BQ641" s="22"/>
      <c r="BR641" s="22"/>
    </row>
    <row r="642" spans="1:70">
      <c r="A642" s="22" t="s">
        <v>256</v>
      </c>
      <c r="B642" s="22"/>
      <c r="C642" s="22" t="s">
        <v>10</v>
      </c>
      <c r="D642" s="22" t="s">
        <v>11</v>
      </c>
      <c r="E642" s="22" t="s">
        <v>293</v>
      </c>
      <c r="F642" s="22"/>
      <c r="G642" s="22" t="s">
        <v>184</v>
      </c>
      <c r="H642" s="22" t="s">
        <v>454</v>
      </c>
      <c r="I642" s="22" t="s">
        <v>184</v>
      </c>
      <c r="J642" s="22" t="s">
        <v>257</v>
      </c>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2"/>
      <c r="AZ642" s="22"/>
      <c r="BA642" s="22"/>
      <c r="BB642" s="22">
        <v>3.9</v>
      </c>
      <c r="BC642" s="22"/>
      <c r="BD642" s="22"/>
      <c r="BE642" s="22">
        <v>3.4</v>
      </c>
      <c r="BF642" s="22"/>
      <c r="BG642" s="22"/>
      <c r="BH642" s="22"/>
      <c r="BI642" s="22"/>
      <c r="BJ642" s="22"/>
      <c r="BK642" s="22" t="s">
        <v>159</v>
      </c>
      <c r="BL642" s="22"/>
      <c r="BM642" s="22" t="s">
        <v>189</v>
      </c>
      <c r="BN642" s="36">
        <v>3485</v>
      </c>
      <c r="BO642" s="22" t="s">
        <v>174</v>
      </c>
      <c r="BP642" s="22" t="s">
        <v>189</v>
      </c>
      <c r="BQ642" s="22"/>
      <c r="BR642" s="22"/>
    </row>
    <row r="643" spans="1:70">
      <c r="A643" t="s">
        <v>248</v>
      </c>
      <c r="C643" t="s">
        <v>10</v>
      </c>
      <c r="D643" t="s">
        <v>11</v>
      </c>
      <c r="E643" t="s">
        <v>293</v>
      </c>
      <c r="F643" t="s">
        <v>52</v>
      </c>
      <c r="G643" t="s">
        <v>79</v>
      </c>
      <c r="H643" t="s">
        <v>80</v>
      </c>
      <c r="I643" t="s">
        <v>70</v>
      </c>
      <c r="J643" t="s">
        <v>80</v>
      </c>
      <c r="AD643">
        <v>3.9</v>
      </c>
      <c r="AG643">
        <v>5.4</v>
      </c>
      <c r="BK643" t="s">
        <v>159</v>
      </c>
      <c r="BM643" t="s">
        <v>189</v>
      </c>
      <c r="BN643" s="36">
        <v>3485</v>
      </c>
      <c r="BO643" t="s">
        <v>174</v>
      </c>
      <c r="BP643" t="s">
        <v>189</v>
      </c>
    </row>
    <row r="644" spans="1:70">
      <c r="A644" s="22" t="s">
        <v>238</v>
      </c>
      <c r="B644" s="22"/>
      <c r="C644" s="22" t="s">
        <v>483</v>
      </c>
      <c r="D644" s="22"/>
      <c r="E644" s="22" t="s">
        <v>482</v>
      </c>
      <c r="F644" s="22" t="s">
        <v>239</v>
      </c>
      <c r="G644" s="22" t="s">
        <v>240</v>
      </c>
      <c r="H644" s="22" t="s">
        <v>241</v>
      </c>
      <c r="I644" s="22" t="s">
        <v>240</v>
      </c>
      <c r="J644" s="22" t="s">
        <v>241</v>
      </c>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v>10.4</v>
      </c>
      <c r="AY644" s="22"/>
      <c r="AZ644" s="22"/>
      <c r="BA644" s="22">
        <v>5.6</v>
      </c>
      <c r="BB644" s="22"/>
      <c r="BC644" s="22"/>
      <c r="BD644" s="22"/>
      <c r="BE644" s="22"/>
      <c r="BF644" s="22"/>
      <c r="BG644" s="22"/>
      <c r="BH644" s="22"/>
      <c r="BI644" s="22"/>
      <c r="BJ644" s="22"/>
      <c r="BK644" s="22" t="s">
        <v>159</v>
      </c>
      <c r="BL644" s="22"/>
      <c r="BM644" s="22" t="s">
        <v>189</v>
      </c>
      <c r="BN644" s="36">
        <v>3485</v>
      </c>
      <c r="BO644" s="22" t="s">
        <v>174</v>
      </c>
      <c r="BP644" s="22" t="s">
        <v>189</v>
      </c>
      <c r="BQ644" s="22"/>
      <c r="BR644" s="22"/>
    </row>
    <row r="645" spans="1:70">
      <c r="A645" s="22" t="s">
        <v>242</v>
      </c>
      <c r="B645" s="22"/>
      <c r="C645" s="22" t="s">
        <v>483</v>
      </c>
      <c r="D645" s="22"/>
      <c r="E645" s="22" t="s">
        <v>482</v>
      </c>
      <c r="F645" s="22" t="s">
        <v>239</v>
      </c>
      <c r="G645" s="22" t="s">
        <v>240</v>
      </c>
      <c r="H645" s="22" t="s">
        <v>243</v>
      </c>
      <c r="I645" s="22" t="s">
        <v>240</v>
      </c>
      <c r="J645" s="22" t="s">
        <v>243</v>
      </c>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2"/>
      <c r="AZ645" s="22"/>
      <c r="BA645" s="22"/>
      <c r="BB645" s="22"/>
      <c r="BC645" s="22"/>
      <c r="BD645" s="22"/>
      <c r="BE645" s="22"/>
      <c r="BF645" s="22">
        <v>7.4</v>
      </c>
      <c r="BG645" s="22"/>
      <c r="BH645" s="22"/>
      <c r="BI645" s="22">
        <v>4.4000000000000004</v>
      </c>
      <c r="BJ645" s="22"/>
      <c r="BK645" s="22" t="s">
        <v>159</v>
      </c>
      <c r="BL645" s="22"/>
      <c r="BM645" s="22" t="s">
        <v>189</v>
      </c>
      <c r="BN645" s="36">
        <v>3485</v>
      </c>
      <c r="BO645" s="22" t="s">
        <v>174</v>
      </c>
      <c r="BP645" s="22" t="s">
        <v>189</v>
      </c>
      <c r="BQ645" s="22"/>
      <c r="BR645" s="22"/>
    </row>
    <row r="646" spans="1:70" s="10" customFormat="1">
      <c r="A646" s="22" t="s">
        <v>244</v>
      </c>
      <c r="B646" s="22"/>
      <c r="C646" s="22" t="s">
        <v>483</v>
      </c>
      <c r="D646" s="22"/>
      <c r="E646" s="22" t="s">
        <v>482</v>
      </c>
      <c r="F646" s="22" t="s">
        <v>239</v>
      </c>
      <c r="G646" s="22" t="s">
        <v>245</v>
      </c>
      <c r="H646" s="22" t="s">
        <v>246</v>
      </c>
      <c r="I646" s="22" t="s">
        <v>245</v>
      </c>
      <c r="J646" s="22" t="s">
        <v>246</v>
      </c>
      <c r="K646" s="22"/>
      <c r="L646" s="22" t="s">
        <v>247</v>
      </c>
      <c r="M646" s="22"/>
      <c r="N646" s="22"/>
      <c r="O646" s="22"/>
      <c r="P646" s="22"/>
      <c r="Q646" s="22"/>
      <c r="R646" s="22"/>
      <c r="S646" s="22"/>
      <c r="T646" s="22"/>
      <c r="U646" s="22"/>
      <c r="V646" s="22"/>
      <c r="W646" s="22"/>
      <c r="X646" s="22"/>
      <c r="Y646" s="22"/>
      <c r="Z646" s="22">
        <v>10.199999999999999</v>
      </c>
      <c r="AA646" s="22"/>
      <c r="AB646" s="22"/>
      <c r="AC646" s="22">
        <v>11.3</v>
      </c>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2"/>
      <c r="AZ646" s="22"/>
      <c r="BA646" s="22"/>
      <c r="BB646" s="22"/>
      <c r="BC646" s="22"/>
      <c r="BD646" s="22"/>
      <c r="BE646" s="22"/>
      <c r="BF646" s="22"/>
      <c r="BG646" s="22"/>
      <c r="BH646" s="22"/>
      <c r="BI646" s="22"/>
      <c r="BJ646" s="22"/>
      <c r="BK646" s="22" t="s">
        <v>159</v>
      </c>
      <c r="BL646" s="22"/>
      <c r="BM646" s="22" t="s">
        <v>189</v>
      </c>
      <c r="BN646" s="36">
        <v>3485</v>
      </c>
      <c r="BO646" s="22" t="s">
        <v>174</v>
      </c>
      <c r="BP646" s="22" t="s">
        <v>189</v>
      </c>
      <c r="BQ646" s="22"/>
      <c r="BR646" s="22"/>
    </row>
    <row r="647" spans="1:70">
      <c r="A647" s="22" t="s">
        <v>202</v>
      </c>
      <c r="B647" s="22"/>
      <c r="C647" s="22" t="s">
        <v>480</v>
      </c>
      <c r="D647" s="22"/>
      <c r="E647" s="22" t="s">
        <v>479</v>
      </c>
      <c r="F647" s="22"/>
      <c r="G647" s="22" t="s">
        <v>203</v>
      </c>
      <c r="H647" s="22" t="s">
        <v>204</v>
      </c>
      <c r="I647" s="22" t="s">
        <v>203</v>
      </c>
      <c r="J647" s="22" t="s">
        <v>204</v>
      </c>
      <c r="K647" s="22"/>
      <c r="L647" s="22"/>
      <c r="M647" s="22"/>
      <c r="N647" s="22"/>
      <c r="O647" s="22"/>
      <c r="P647" s="22"/>
      <c r="Q647" s="22"/>
      <c r="R647" s="22"/>
      <c r="S647" s="22"/>
      <c r="T647" s="22"/>
      <c r="U647" s="22"/>
      <c r="V647" s="22"/>
      <c r="W647" s="22"/>
      <c r="X647" s="22"/>
      <c r="Y647" s="22"/>
      <c r="Z647" s="22">
        <v>5.3</v>
      </c>
      <c r="AA647" s="22"/>
      <c r="AB647" s="22"/>
      <c r="AC647" s="22">
        <v>5.6</v>
      </c>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2"/>
      <c r="AZ647" s="22"/>
      <c r="BA647" s="22"/>
      <c r="BB647" s="22"/>
      <c r="BC647" s="22"/>
      <c r="BD647" s="22"/>
      <c r="BE647" s="22"/>
      <c r="BF647" s="22"/>
      <c r="BG647" s="22"/>
      <c r="BH647" s="22"/>
      <c r="BI647" s="22"/>
      <c r="BJ647" s="22" t="s">
        <v>716</v>
      </c>
      <c r="BK647" s="22" t="s">
        <v>159</v>
      </c>
      <c r="BL647" s="22"/>
      <c r="BM647" s="22" t="s">
        <v>189</v>
      </c>
      <c r="BN647" s="36">
        <v>3485</v>
      </c>
      <c r="BO647" s="22" t="s">
        <v>174</v>
      </c>
      <c r="BP647" s="22" t="s">
        <v>189</v>
      </c>
      <c r="BQ647" s="22"/>
      <c r="BR647" s="22"/>
    </row>
    <row r="648" spans="1:70" s="14" customFormat="1">
      <c r="A648" s="15" t="s">
        <v>1128</v>
      </c>
      <c r="B648" s="15"/>
      <c r="C648" s="15" t="s">
        <v>10</v>
      </c>
      <c r="D648" s="15" t="s">
        <v>1039</v>
      </c>
      <c r="E648" s="15" t="s">
        <v>1040</v>
      </c>
      <c r="F648" s="15"/>
      <c r="G648" s="15" t="s">
        <v>1097</v>
      </c>
      <c r="H648" s="15" t="s">
        <v>1129</v>
      </c>
      <c r="I648" s="15" t="s">
        <v>1097</v>
      </c>
      <c r="J648" s="15" t="s">
        <v>1129</v>
      </c>
      <c r="K648" s="15"/>
      <c r="L648" s="15"/>
      <c r="M648" s="19"/>
      <c r="N648" s="15"/>
      <c r="O648" s="15"/>
      <c r="P648" s="15"/>
      <c r="Q648" s="15"/>
      <c r="R648" s="15"/>
      <c r="S648" s="15"/>
      <c r="T648" s="15"/>
      <c r="U648" s="15"/>
      <c r="V648" s="15"/>
      <c r="W648" s="15"/>
      <c r="X648" s="15"/>
      <c r="Y648" s="15"/>
      <c r="Z648" s="15"/>
      <c r="AA648" s="15"/>
      <c r="AB648" s="15"/>
      <c r="AC648" s="15"/>
      <c r="AD648" s="15">
        <v>11</v>
      </c>
      <c r="AE648" s="15"/>
      <c r="AF648" s="15"/>
      <c r="AG648" s="15">
        <v>13.85</v>
      </c>
      <c r="AH648" s="15"/>
      <c r="AI648" s="15"/>
      <c r="AJ648" s="15"/>
      <c r="AK648" s="15"/>
      <c r="AL648" s="15"/>
      <c r="AM648" s="15"/>
      <c r="AN648" s="15"/>
      <c r="AO648" s="15"/>
      <c r="AP648" s="15"/>
      <c r="AQ648" s="15"/>
      <c r="AR648" s="15"/>
      <c r="AS648" s="15"/>
      <c r="AT648" s="15"/>
      <c r="AU648" s="15"/>
      <c r="AV648" s="15"/>
      <c r="AW648" s="15"/>
      <c r="AX648" s="15">
        <v>12.43</v>
      </c>
      <c r="AY648" s="15"/>
      <c r="AZ648" s="15"/>
      <c r="BA648" s="15">
        <v>11.23</v>
      </c>
      <c r="BB648" s="15">
        <v>13.65</v>
      </c>
      <c r="BC648" s="15"/>
      <c r="BD648" s="15"/>
      <c r="BE648" s="15">
        <v>10.96</v>
      </c>
      <c r="BF648" s="15">
        <v>12.87</v>
      </c>
      <c r="BG648" s="15"/>
      <c r="BH648" s="15"/>
      <c r="BI648" s="15">
        <v>9.34</v>
      </c>
      <c r="BJ648" s="15" t="s">
        <v>1130</v>
      </c>
      <c r="BK648" s="15" t="s">
        <v>273</v>
      </c>
      <c r="BL648" s="15"/>
      <c r="BM648" s="15" t="s">
        <v>1131</v>
      </c>
      <c r="BN648" s="43">
        <v>3608</v>
      </c>
      <c r="BO648" s="15" t="s">
        <v>362</v>
      </c>
      <c r="BP648" s="15" t="s">
        <v>1131</v>
      </c>
      <c r="BQ648" s="15"/>
      <c r="BR648" s="15"/>
    </row>
    <row r="649" spans="1:70" s="14" customFormat="1">
      <c r="A649" s="15" t="s">
        <v>1260</v>
      </c>
      <c r="B649" s="15"/>
      <c r="C649" s="15" t="s">
        <v>10</v>
      </c>
      <c r="D649" s="15" t="s">
        <v>1039</v>
      </c>
      <c r="E649" s="15" t="s">
        <v>1040</v>
      </c>
      <c r="F649" s="15"/>
      <c r="G649" s="15" t="s">
        <v>1097</v>
      </c>
      <c r="H649" s="15" t="s">
        <v>1129</v>
      </c>
      <c r="I649" s="15" t="s">
        <v>1097</v>
      </c>
      <c r="J649" s="15" t="s">
        <v>1129</v>
      </c>
      <c r="K649" s="15"/>
      <c r="L649" s="15"/>
      <c r="M649" s="19"/>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5"/>
      <c r="BB649" s="15"/>
      <c r="BC649" s="15"/>
      <c r="BD649" s="15"/>
      <c r="BE649" s="15"/>
      <c r="BF649" s="15"/>
      <c r="BG649" s="15"/>
      <c r="BH649" s="15"/>
      <c r="BI649" s="15"/>
      <c r="BJ649" s="15"/>
      <c r="BK649" s="15"/>
      <c r="BL649" s="15"/>
      <c r="BM649" s="15" t="s">
        <v>1131</v>
      </c>
      <c r="BN649" s="43">
        <v>3608</v>
      </c>
      <c r="BO649" s="15" t="s">
        <v>362</v>
      </c>
      <c r="BP649" s="15" t="s">
        <v>1131</v>
      </c>
      <c r="BQ649" s="15"/>
      <c r="BR649" s="15"/>
    </row>
    <row r="650" spans="1:70">
      <c r="A650" t="s">
        <v>722</v>
      </c>
      <c r="C650" t="s">
        <v>10</v>
      </c>
      <c r="D650" t="s">
        <v>11</v>
      </c>
      <c r="E650" t="s">
        <v>293</v>
      </c>
      <c r="G650" t="s">
        <v>81</v>
      </c>
      <c r="H650" t="s">
        <v>82</v>
      </c>
      <c r="I650" t="s">
        <v>61</v>
      </c>
      <c r="J650" t="s">
        <v>109</v>
      </c>
      <c r="BB650">
        <v>3.9</v>
      </c>
      <c r="BC650">
        <v>3.9</v>
      </c>
      <c r="BD650">
        <v>3.2</v>
      </c>
      <c r="BE650">
        <v>3.9</v>
      </c>
      <c r="BF650">
        <v>3.5</v>
      </c>
      <c r="BG650">
        <v>2.7</v>
      </c>
      <c r="BH650">
        <v>2.6</v>
      </c>
      <c r="BI650">
        <v>2.7</v>
      </c>
      <c r="BK650" t="s">
        <v>159</v>
      </c>
      <c r="BM650" t="s">
        <v>718</v>
      </c>
      <c r="BN650" s="36">
        <v>42804</v>
      </c>
    </row>
    <row r="651" spans="1:70">
      <c r="A651" t="s">
        <v>723</v>
      </c>
      <c r="C651" t="s">
        <v>10</v>
      </c>
      <c r="D651" t="s">
        <v>11</v>
      </c>
      <c r="E651" t="s">
        <v>293</v>
      </c>
      <c r="G651" t="s">
        <v>81</v>
      </c>
      <c r="H651" t="s">
        <v>82</v>
      </c>
      <c r="I651" t="s">
        <v>110</v>
      </c>
      <c r="J651" t="s">
        <v>111</v>
      </c>
      <c r="Z651">
        <v>3.9</v>
      </c>
      <c r="AA651">
        <v>5.3</v>
      </c>
      <c r="AB651">
        <v>5.2</v>
      </c>
      <c r="AC651">
        <v>5.3</v>
      </c>
      <c r="AD651">
        <v>4.2</v>
      </c>
      <c r="AE651">
        <v>6.2</v>
      </c>
      <c r="AF651">
        <v>5.8</v>
      </c>
      <c r="AG651">
        <v>6.2</v>
      </c>
      <c r="AH651">
        <v>1.9</v>
      </c>
      <c r="AI651">
        <v>4.5</v>
      </c>
      <c r="AJ651">
        <v>3.5</v>
      </c>
      <c r="BK651" t="s">
        <v>159</v>
      </c>
      <c r="BM651" t="s">
        <v>718</v>
      </c>
      <c r="BN651" s="36">
        <v>42804</v>
      </c>
      <c r="BO651" t="s">
        <v>174</v>
      </c>
      <c r="BP651" t="s">
        <v>718</v>
      </c>
    </row>
    <row r="652" spans="1:70">
      <c r="A652" t="s">
        <v>719</v>
      </c>
      <c r="B652" t="s">
        <v>426</v>
      </c>
      <c r="C652" t="s">
        <v>10</v>
      </c>
      <c r="D652" t="s">
        <v>11</v>
      </c>
      <c r="E652" t="s">
        <v>293</v>
      </c>
      <c r="G652" t="s">
        <v>81</v>
      </c>
      <c r="H652" t="s">
        <v>82</v>
      </c>
      <c r="I652" t="s">
        <v>61</v>
      </c>
      <c r="J652" t="s">
        <v>109</v>
      </c>
      <c r="AX652">
        <v>3.6</v>
      </c>
      <c r="AY652">
        <v>3</v>
      </c>
      <c r="AZ652">
        <v>3.2</v>
      </c>
      <c r="BA652">
        <v>3.2</v>
      </c>
      <c r="BB652">
        <v>4.2</v>
      </c>
      <c r="BC652">
        <v>3.8</v>
      </c>
      <c r="BD652">
        <v>3.5</v>
      </c>
      <c r="BE652">
        <v>3.8</v>
      </c>
      <c r="BF652">
        <v>3.1</v>
      </c>
      <c r="BG652">
        <v>2.5</v>
      </c>
      <c r="BH652">
        <v>1.9</v>
      </c>
      <c r="BI652">
        <v>2.5</v>
      </c>
      <c r="BJ652" t="s">
        <v>426</v>
      </c>
      <c r="BK652" t="s">
        <v>159</v>
      </c>
      <c r="BM652" t="s">
        <v>718</v>
      </c>
      <c r="BN652" s="33">
        <v>42804</v>
      </c>
      <c r="BO652" t="s">
        <v>174</v>
      </c>
      <c r="BP652" t="s">
        <v>718</v>
      </c>
    </row>
    <row r="653" spans="1:70">
      <c r="A653" t="s">
        <v>720</v>
      </c>
      <c r="B653" t="s">
        <v>399</v>
      </c>
      <c r="C653" t="s">
        <v>10</v>
      </c>
      <c r="D653" t="s">
        <v>11</v>
      </c>
      <c r="E653" t="s">
        <v>293</v>
      </c>
      <c r="G653" t="s">
        <v>81</v>
      </c>
      <c r="H653" t="s">
        <v>82</v>
      </c>
      <c r="I653" t="s">
        <v>61</v>
      </c>
      <c r="J653" t="s">
        <v>109</v>
      </c>
      <c r="AL653">
        <v>2.6</v>
      </c>
      <c r="AO653">
        <v>1.4</v>
      </c>
      <c r="AP653">
        <v>3.3</v>
      </c>
      <c r="AS653">
        <v>1.9</v>
      </c>
      <c r="AT653">
        <v>3.9</v>
      </c>
      <c r="AW653">
        <v>2.4</v>
      </c>
      <c r="AX653">
        <v>3.6</v>
      </c>
      <c r="AY653">
        <v>2.9</v>
      </c>
      <c r="AZ653">
        <v>2.9</v>
      </c>
      <c r="BA653">
        <v>2.9</v>
      </c>
      <c r="BB653">
        <v>4.0999999999999996</v>
      </c>
      <c r="BC653">
        <v>3.6</v>
      </c>
      <c r="BD653">
        <v>3.3</v>
      </c>
      <c r="BE653">
        <v>3.6</v>
      </c>
      <c r="BF653">
        <v>3.6</v>
      </c>
      <c r="BG653">
        <v>2.8</v>
      </c>
      <c r="BH653">
        <v>2</v>
      </c>
      <c r="BI653">
        <v>2.8</v>
      </c>
      <c r="BJ653" t="s">
        <v>399</v>
      </c>
      <c r="BK653" t="s">
        <v>159</v>
      </c>
      <c r="BM653" t="s">
        <v>718</v>
      </c>
      <c r="BN653" s="33">
        <v>42804</v>
      </c>
      <c r="BO653" t="s">
        <v>174</v>
      </c>
      <c r="BP653" t="s">
        <v>718</v>
      </c>
    </row>
    <row r="654" spans="1:70">
      <c r="A654" t="s">
        <v>717</v>
      </c>
      <c r="C654" t="s">
        <v>10</v>
      </c>
      <c r="D654" t="s">
        <v>11</v>
      </c>
      <c r="E654" t="s">
        <v>293</v>
      </c>
      <c r="G654" t="s">
        <v>81</v>
      </c>
      <c r="H654" t="s">
        <v>82</v>
      </c>
      <c r="I654" t="s">
        <v>61</v>
      </c>
      <c r="J654" t="s">
        <v>109</v>
      </c>
      <c r="R654">
        <v>3.5</v>
      </c>
      <c r="U654">
        <v>2.9</v>
      </c>
      <c r="V654">
        <v>3.8</v>
      </c>
      <c r="Y654">
        <v>3.8</v>
      </c>
      <c r="AX654">
        <v>4.0999999999999996</v>
      </c>
      <c r="AY654">
        <v>3.2</v>
      </c>
      <c r="AZ654">
        <v>3.2</v>
      </c>
      <c r="BA654">
        <v>3.2</v>
      </c>
      <c r="BB654">
        <v>4.3</v>
      </c>
      <c r="BC654">
        <v>3.9</v>
      </c>
      <c r="BD654">
        <v>3.5</v>
      </c>
      <c r="BE654">
        <v>3.9</v>
      </c>
      <c r="BF654">
        <v>4</v>
      </c>
      <c r="BG654">
        <v>2.8</v>
      </c>
      <c r="BH654">
        <v>2.2000000000000002</v>
      </c>
      <c r="BI654">
        <v>2.8</v>
      </c>
      <c r="BK654" t="s">
        <v>159</v>
      </c>
      <c r="BM654" t="s">
        <v>718</v>
      </c>
      <c r="BN654" s="33">
        <v>42804</v>
      </c>
      <c r="BO654" t="s">
        <v>174</v>
      </c>
      <c r="BP654" t="s">
        <v>718</v>
      </c>
    </row>
    <row r="655" spans="1:70">
      <c r="A655" t="s">
        <v>224</v>
      </c>
      <c r="B655" t="s">
        <v>399</v>
      </c>
      <c r="C655" t="s">
        <v>10</v>
      </c>
      <c r="D655" t="s">
        <v>11</v>
      </c>
      <c r="E655" t="s">
        <v>293</v>
      </c>
      <c r="G655" t="s">
        <v>81</v>
      </c>
      <c r="H655" t="s">
        <v>82</v>
      </c>
      <c r="I655" t="s">
        <v>110</v>
      </c>
      <c r="J655" t="s">
        <v>111</v>
      </c>
      <c r="AD655">
        <v>4.2</v>
      </c>
      <c r="AE655">
        <v>6.5</v>
      </c>
      <c r="AF655">
        <v>6</v>
      </c>
      <c r="AG655">
        <v>6.5</v>
      </c>
      <c r="BJ655" t="s">
        <v>399</v>
      </c>
      <c r="BK655" t="s">
        <v>159</v>
      </c>
      <c r="BM655" t="s">
        <v>718</v>
      </c>
      <c r="BN655" s="33">
        <v>42804</v>
      </c>
      <c r="BO655" t="s">
        <v>174</v>
      </c>
      <c r="BP655" t="s">
        <v>718</v>
      </c>
    </row>
    <row r="656" spans="1:70">
      <c r="A656" t="s">
        <v>721</v>
      </c>
      <c r="C656" t="s">
        <v>10</v>
      </c>
      <c r="D656" t="s">
        <v>11</v>
      </c>
      <c r="E656" t="s">
        <v>293</v>
      </c>
      <c r="G656" t="s">
        <v>81</v>
      </c>
      <c r="H656" t="s">
        <v>82</v>
      </c>
      <c r="I656" t="s">
        <v>61</v>
      </c>
      <c r="J656" t="s">
        <v>109</v>
      </c>
      <c r="R656">
        <v>3.1</v>
      </c>
      <c r="BK656" t="s">
        <v>159</v>
      </c>
      <c r="BM656" t="s">
        <v>718</v>
      </c>
      <c r="BN656" s="33">
        <v>42804</v>
      </c>
    </row>
    <row r="657" spans="1:70">
      <c r="A657" t="s">
        <v>744</v>
      </c>
      <c r="C657" t="s">
        <v>10</v>
      </c>
      <c r="D657" t="s">
        <v>11</v>
      </c>
      <c r="E657" t="s">
        <v>293</v>
      </c>
      <c r="G657" t="s">
        <v>81</v>
      </c>
      <c r="H657" t="s">
        <v>82</v>
      </c>
      <c r="I657" t="s">
        <v>61</v>
      </c>
      <c r="J657" t="s">
        <v>109</v>
      </c>
      <c r="BF657">
        <v>4</v>
      </c>
      <c r="BG657">
        <v>2.8</v>
      </c>
      <c r="BH657">
        <v>2.2000000000000002</v>
      </c>
      <c r="BI657">
        <v>2.8</v>
      </c>
      <c r="BK657" t="s">
        <v>159</v>
      </c>
      <c r="BM657" t="s">
        <v>718</v>
      </c>
      <c r="BN657" s="33">
        <v>42804</v>
      </c>
    </row>
    <row r="658" spans="1:70">
      <c r="A658" t="s">
        <v>751</v>
      </c>
      <c r="C658" t="s">
        <v>10</v>
      </c>
      <c r="D658" t="s">
        <v>11</v>
      </c>
      <c r="E658" t="s">
        <v>293</v>
      </c>
      <c r="G658" t="s">
        <v>53</v>
      </c>
      <c r="H658" t="s">
        <v>54</v>
      </c>
      <c r="I658" t="s">
        <v>53</v>
      </c>
      <c r="J658" t="s">
        <v>54</v>
      </c>
      <c r="AX658">
        <v>4.7</v>
      </c>
      <c r="BA658">
        <v>4</v>
      </c>
      <c r="BB658">
        <v>5.2</v>
      </c>
      <c r="BC658">
        <v>4.7</v>
      </c>
      <c r="BE658">
        <v>4.7</v>
      </c>
      <c r="BF658">
        <v>4.2</v>
      </c>
      <c r="BG658">
        <v>2.9</v>
      </c>
      <c r="BI658">
        <v>2.9</v>
      </c>
      <c r="BJ658" t="s">
        <v>750</v>
      </c>
      <c r="BK658" t="s">
        <v>159</v>
      </c>
      <c r="BM658" t="s">
        <v>718</v>
      </c>
      <c r="BN658" s="33">
        <v>42804</v>
      </c>
    </row>
    <row r="659" spans="1:70">
      <c r="A659" t="s">
        <v>752</v>
      </c>
      <c r="C659" t="s">
        <v>10</v>
      </c>
      <c r="D659" t="s">
        <v>11</v>
      </c>
      <c r="E659" t="s">
        <v>293</v>
      </c>
      <c r="G659" t="s">
        <v>53</v>
      </c>
      <c r="H659" t="s">
        <v>54</v>
      </c>
      <c r="I659" t="s">
        <v>53</v>
      </c>
      <c r="J659" t="s">
        <v>54</v>
      </c>
      <c r="BB659">
        <v>5.5</v>
      </c>
      <c r="BC659">
        <v>4.8</v>
      </c>
      <c r="BD659">
        <v>4.3</v>
      </c>
      <c r="BE659">
        <v>4.8</v>
      </c>
      <c r="BK659" t="s">
        <v>159</v>
      </c>
      <c r="BM659" t="s">
        <v>718</v>
      </c>
      <c r="BN659" s="33">
        <v>42804</v>
      </c>
    </row>
    <row r="660" spans="1:70" s="8" customFormat="1">
      <c r="A660" t="s">
        <v>753</v>
      </c>
      <c r="B660"/>
      <c r="C660" t="s">
        <v>10</v>
      </c>
      <c r="D660" t="s">
        <v>11</v>
      </c>
      <c r="E660" t="s">
        <v>293</v>
      </c>
      <c r="F660"/>
      <c r="G660" t="s">
        <v>53</v>
      </c>
      <c r="H660" t="s">
        <v>54</v>
      </c>
      <c r="I660" t="s">
        <v>53</v>
      </c>
      <c r="J660" t="s">
        <v>54</v>
      </c>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v>5.2</v>
      </c>
      <c r="BC660">
        <v>4.2</v>
      </c>
      <c r="BD660"/>
      <c r="BE660"/>
      <c r="BF660"/>
      <c r="BG660"/>
      <c r="BH660"/>
      <c r="BI660"/>
      <c r="BJ660" t="s">
        <v>750</v>
      </c>
      <c r="BK660" t="s">
        <v>159</v>
      </c>
      <c r="BL660"/>
      <c r="BM660" t="s">
        <v>718</v>
      </c>
      <c r="BN660" s="33">
        <v>42804</v>
      </c>
      <c r="BO660"/>
      <c r="BP660"/>
      <c r="BQ660"/>
      <c r="BR660"/>
    </row>
    <row r="661" spans="1:70" s="8" customFormat="1">
      <c r="A661" t="s">
        <v>733</v>
      </c>
      <c r="B661"/>
      <c r="C661" t="s">
        <v>10</v>
      </c>
      <c r="D661" t="s">
        <v>11</v>
      </c>
      <c r="E661" t="s">
        <v>293</v>
      </c>
      <c r="F661"/>
      <c r="G661" t="s">
        <v>53</v>
      </c>
      <c r="H661" t="s">
        <v>54</v>
      </c>
      <c r="I661" t="s">
        <v>53</v>
      </c>
      <c r="J661" t="s">
        <v>54</v>
      </c>
      <c r="K661"/>
      <c r="L661"/>
      <c r="M661"/>
      <c r="N661"/>
      <c r="O661"/>
      <c r="P661"/>
      <c r="Q661"/>
      <c r="R661"/>
      <c r="S661"/>
      <c r="T661"/>
      <c r="U661"/>
      <c r="V661"/>
      <c r="W661"/>
      <c r="X661"/>
      <c r="Y661"/>
      <c r="Z661"/>
      <c r="AA661"/>
      <c r="AB661"/>
      <c r="AC661"/>
      <c r="AD661"/>
      <c r="AE661"/>
      <c r="AF661"/>
      <c r="AG661"/>
      <c r="AH661"/>
      <c r="AI661"/>
      <c r="AJ661"/>
      <c r="AK661"/>
      <c r="AL661">
        <v>3.5</v>
      </c>
      <c r="AM661"/>
      <c r="AN661"/>
      <c r="AO661">
        <v>2.2999999999999998</v>
      </c>
      <c r="AP661">
        <v>4</v>
      </c>
      <c r="AQ661"/>
      <c r="AR661"/>
      <c r="AS661">
        <v>2.7</v>
      </c>
      <c r="AT661"/>
      <c r="AU661"/>
      <c r="AV661"/>
      <c r="AW661">
        <v>3.2</v>
      </c>
      <c r="AX661">
        <v>4.3</v>
      </c>
      <c r="AY661">
        <v>3.5</v>
      </c>
      <c r="AZ661">
        <v>3.7</v>
      </c>
      <c r="BA661">
        <v>3.7</v>
      </c>
      <c r="BB661">
        <v>5.0999999999999996</v>
      </c>
      <c r="BC661">
        <v>4.5</v>
      </c>
      <c r="BD661">
        <v>4.0999999999999996</v>
      </c>
      <c r="BE661">
        <v>4.5</v>
      </c>
      <c r="BF661">
        <v>4.3</v>
      </c>
      <c r="BG661">
        <v>3.2</v>
      </c>
      <c r="BH661">
        <v>2.5</v>
      </c>
      <c r="BI661">
        <v>3.2</v>
      </c>
      <c r="BJ661"/>
      <c r="BK661" t="s">
        <v>159</v>
      </c>
      <c r="BL661"/>
      <c r="BM661" t="s">
        <v>718</v>
      </c>
      <c r="BN661" s="33">
        <v>42804</v>
      </c>
      <c r="BO661" t="s">
        <v>362</v>
      </c>
      <c r="BP661" t="s">
        <v>718</v>
      </c>
      <c r="BQ661"/>
      <c r="BR661"/>
    </row>
    <row r="662" spans="1:70">
      <c r="A662" t="s">
        <v>749</v>
      </c>
      <c r="C662" t="s">
        <v>10</v>
      </c>
      <c r="D662" t="s">
        <v>11</v>
      </c>
      <c r="E662" t="s">
        <v>293</v>
      </c>
      <c r="G662" t="s">
        <v>53</v>
      </c>
      <c r="H662" t="s">
        <v>54</v>
      </c>
      <c r="I662" t="s">
        <v>53</v>
      </c>
      <c r="J662" t="s">
        <v>54</v>
      </c>
      <c r="BB662">
        <v>5.4</v>
      </c>
      <c r="BC662">
        <v>4.4000000000000004</v>
      </c>
      <c r="BE662">
        <v>4.4000000000000004</v>
      </c>
      <c r="BJ662" t="s">
        <v>750</v>
      </c>
      <c r="BK662" t="s">
        <v>159</v>
      </c>
      <c r="BM662" t="s">
        <v>718</v>
      </c>
      <c r="BN662" s="33">
        <v>42804</v>
      </c>
    </row>
    <row r="663" spans="1:70">
      <c r="A663" t="s">
        <v>732</v>
      </c>
      <c r="C663" t="s">
        <v>10</v>
      </c>
      <c r="D663" t="s">
        <v>11</v>
      </c>
      <c r="E663" t="s">
        <v>293</v>
      </c>
      <c r="G663" t="s">
        <v>53</v>
      </c>
      <c r="H663" t="s">
        <v>54</v>
      </c>
      <c r="I663" t="s">
        <v>53</v>
      </c>
      <c r="J663" t="s">
        <v>54</v>
      </c>
      <c r="AT663">
        <v>3.8</v>
      </c>
      <c r="AW663">
        <v>3.1</v>
      </c>
      <c r="BK663" t="s">
        <v>159</v>
      </c>
      <c r="BM663" t="s">
        <v>718</v>
      </c>
      <c r="BN663" s="33">
        <v>42804</v>
      </c>
      <c r="BO663" t="s">
        <v>362</v>
      </c>
      <c r="BP663" t="s">
        <v>718</v>
      </c>
    </row>
    <row r="664" spans="1:70">
      <c r="A664" t="s">
        <v>748</v>
      </c>
      <c r="C664" t="s">
        <v>10</v>
      </c>
      <c r="D664" t="s">
        <v>11</v>
      </c>
      <c r="E664" t="s">
        <v>293</v>
      </c>
      <c r="G664" t="s">
        <v>53</v>
      </c>
      <c r="H664" t="s">
        <v>54</v>
      </c>
      <c r="I664" t="s">
        <v>53</v>
      </c>
      <c r="J664" t="s">
        <v>54</v>
      </c>
      <c r="Z664">
        <v>4.7</v>
      </c>
      <c r="AD664">
        <v>4.5</v>
      </c>
      <c r="AE664">
        <v>7.5</v>
      </c>
      <c r="AF664">
        <v>6.4</v>
      </c>
      <c r="AG664">
        <v>7.5</v>
      </c>
      <c r="BK664" t="s">
        <v>159</v>
      </c>
      <c r="BM664" t="s">
        <v>718</v>
      </c>
      <c r="BN664" s="33">
        <v>42804</v>
      </c>
    </row>
    <row r="665" spans="1:70">
      <c r="A665" t="s">
        <v>747</v>
      </c>
      <c r="C665" t="s">
        <v>10</v>
      </c>
      <c r="D665" t="s">
        <v>11</v>
      </c>
      <c r="E665" t="s">
        <v>293</v>
      </c>
      <c r="G665" t="s">
        <v>53</v>
      </c>
      <c r="H665" t="s">
        <v>54</v>
      </c>
      <c r="I665" t="s">
        <v>53</v>
      </c>
      <c r="J665" t="s">
        <v>54</v>
      </c>
      <c r="Z665">
        <v>4.5999999999999996</v>
      </c>
      <c r="AA665">
        <v>5.3</v>
      </c>
      <c r="AB665">
        <v>5.8</v>
      </c>
      <c r="AC665">
        <v>5.8</v>
      </c>
      <c r="BK665" t="s">
        <v>159</v>
      </c>
      <c r="BM665" t="s">
        <v>718</v>
      </c>
      <c r="BN665" s="33">
        <v>42804</v>
      </c>
    </row>
    <row r="666" spans="1:70">
      <c r="A666" t="s">
        <v>754</v>
      </c>
      <c r="C666" t="s">
        <v>10</v>
      </c>
      <c r="D666" t="s">
        <v>11</v>
      </c>
      <c r="E666" t="s">
        <v>293</v>
      </c>
      <c r="G666" t="s">
        <v>53</v>
      </c>
      <c r="H666" t="s">
        <v>54</v>
      </c>
      <c r="I666" t="s">
        <v>53</v>
      </c>
      <c r="J666" t="s">
        <v>54</v>
      </c>
      <c r="AX666">
        <v>4.5</v>
      </c>
      <c r="AY666">
        <v>3.6</v>
      </c>
      <c r="AZ666">
        <v>3.6</v>
      </c>
      <c r="BA666">
        <v>3.6</v>
      </c>
      <c r="BB666">
        <v>5</v>
      </c>
      <c r="BC666">
        <v>4.4000000000000004</v>
      </c>
      <c r="BD666">
        <v>4.2</v>
      </c>
      <c r="BE666">
        <v>4.4000000000000004</v>
      </c>
      <c r="BF666">
        <v>3.9</v>
      </c>
      <c r="BG666">
        <v>2.7</v>
      </c>
      <c r="BH666">
        <v>2.2000000000000002</v>
      </c>
      <c r="BI666">
        <v>2.7</v>
      </c>
      <c r="BK666" t="s">
        <v>159</v>
      </c>
      <c r="BM666" t="s">
        <v>718</v>
      </c>
      <c r="BN666" s="33">
        <v>42804</v>
      </c>
    </row>
    <row r="667" spans="1:70">
      <c r="A667" t="s">
        <v>745</v>
      </c>
      <c r="C667" t="s">
        <v>10</v>
      </c>
      <c r="D667" t="s">
        <v>11</v>
      </c>
      <c r="E667" t="s">
        <v>293</v>
      </c>
      <c r="G667" t="s">
        <v>53</v>
      </c>
      <c r="H667" t="s">
        <v>54</v>
      </c>
      <c r="I667" t="s">
        <v>53</v>
      </c>
      <c r="J667" t="s">
        <v>54</v>
      </c>
      <c r="V667">
        <v>3.4</v>
      </c>
      <c r="Y667">
        <v>4.5999999999999996</v>
      </c>
      <c r="AD667">
        <v>4.4000000000000004</v>
      </c>
      <c r="AE667">
        <v>7.4</v>
      </c>
      <c r="AF667">
        <v>6</v>
      </c>
      <c r="AG667">
        <v>7.4</v>
      </c>
      <c r="AH667">
        <v>1.8</v>
      </c>
      <c r="AI667">
        <v>2.9</v>
      </c>
      <c r="AJ667">
        <v>2.2000000000000002</v>
      </c>
      <c r="AK667">
        <v>2.9</v>
      </c>
      <c r="BK667" t="s">
        <v>159</v>
      </c>
      <c r="BM667" t="s">
        <v>718</v>
      </c>
      <c r="BN667" s="33">
        <v>42804</v>
      </c>
      <c r="BO667" t="s">
        <v>362</v>
      </c>
      <c r="BP667" t="s">
        <v>718</v>
      </c>
    </row>
    <row r="668" spans="1:70">
      <c r="A668" t="s">
        <v>727</v>
      </c>
      <c r="C668" t="s">
        <v>10</v>
      </c>
      <c r="D668" t="s">
        <v>11</v>
      </c>
      <c r="E668" t="s">
        <v>293</v>
      </c>
      <c r="G668" t="s">
        <v>53</v>
      </c>
      <c r="H668" t="s">
        <v>55</v>
      </c>
      <c r="I668" t="s">
        <v>53</v>
      </c>
      <c r="J668" t="s">
        <v>55</v>
      </c>
      <c r="Z668">
        <v>4</v>
      </c>
      <c r="AA668">
        <v>5.6</v>
      </c>
      <c r="AC668">
        <v>5.6</v>
      </c>
      <c r="AD668">
        <v>4</v>
      </c>
      <c r="AE668">
        <v>5.4</v>
      </c>
      <c r="AG668">
        <v>5.4</v>
      </c>
      <c r="BK668" t="s">
        <v>159</v>
      </c>
      <c r="BM668" t="s">
        <v>718</v>
      </c>
      <c r="BN668" s="33">
        <v>42804</v>
      </c>
    </row>
    <row r="669" spans="1:70">
      <c r="A669" t="s">
        <v>724</v>
      </c>
      <c r="B669" t="s">
        <v>399</v>
      </c>
      <c r="C669" t="s">
        <v>10</v>
      </c>
      <c r="D669" t="s">
        <v>11</v>
      </c>
      <c r="E669" t="s">
        <v>293</v>
      </c>
      <c r="G669" t="s">
        <v>53</v>
      </c>
      <c r="H669" t="s">
        <v>55</v>
      </c>
      <c r="I669" t="s">
        <v>53</v>
      </c>
      <c r="J669" t="s">
        <v>55</v>
      </c>
      <c r="V669">
        <v>3</v>
      </c>
      <c r="Y669">
        <v>4.3</v>
      </c>
      <c r="AD669">
        <v>3.9</v>
      </c>
      <c r="AE669">
        <v>6.2</v>
      </c>
      <c r="AF669">
        <v>5.3</v>
      </c>
      <c r="AG669">
        <v>6.2</v>
      </c>
      <c r="BK669" t="s">
        <v>159</v>
      </c>
      <c r="BM669" t="s">
        <v>718</v>
      </c>
      <c r="BN669" s="33">
        <v>42804</v>
      </c>
      <c r="BO669" t="s">
        <v>174</v>
      </c>
      <c r="BP669" t="s">
        <v>718</v>
      </c>
    </row>
    <row r="670" spans="1:70">
      <c r="A670" t="s">
        <v>725</v>
      </c>
      <c r="C670" t="s">
        <v>10</v>
      </c>
      <c r="D670" t="s">
        <v>11</v>
      </c>
      <c r="E670" t="s">
        <v>293</v>
      </c>
      <c r="G670" t="s">
        <v>53</v>
      </c>
      <c r="H670" t="s">
        <v>55</v>
      </c>
      <c r="I670" t="s">
        <v>53</v>
      </c>
      <c r="J670" t="s">
        <v>55</v>
      </c>
      <c r="V670">
        <v>3.6</v>
      </c>
      <c r="Y670">
        <v>5.0999999999999996</v>
      </c>
      <c r="Z670">
        <v>4.2</v>
      </c>
      <c r="AA670">
        <v>5.8</v>
      </c>
      <c r="AB670">
        <v>5.8</v>
      </c>
      <c r="AC670">
        <v>5.8</v>
      </c>
      <c r="AD670">
        <v>4</v>
      </c>
      <c r="AE670">
        <v>6.5</v>
      </c>
      <c r="AF670">
        <v>5.2</v>
      </c>
      <c r="AG670">
        <v>6.5</v>
      </c>
      <c r="AH670">
        <v>1.9</v>
      </c>
      <c r="AI670">
        <v>2.9</v>
      </c>
      <c r="AJ670">
        <v>2.2000000000000002</v>
      </c>
      <c r="AK670">
        <v>2.9</v>
      </c>
      <c r="BK670" t="s">
        <v>159</v>
      </c>
      <c r="BM670" t="s">
        <v>718</v>
      </c>
      <c r="BN670" s="33">
        <v>42804</v>
      </c>
    </row>
    <row r="671" spans="1:70">
      <c r="A671" t="s">
        <v>729</v>
      </c>
      <c r="C671" t="s">
        <v>10</v>
      </c>
      <c r="D671" t="s">
        <v>11</v>
      </c>
      <c r="E671" t="s">
        <v>293</v>
      </c>
      <c r="G671" t="s">
        <v>53</v>
      </c>
      <c r="H671" t="s">
        <v>55</v>
      </c>
      <c r="I671" t="s">
        <v>53</v>
      </c>
      <c r="J671" t="s">
        <v>55</v>
      </c>
      <c r="BB671">
        <v>4</v>
      </c>
      <c r="BC671">
        <v>3.6</v>
      </c>
      <c r="BD671">
        <v>3.3</v>
      </c>
      <c r="BE671">
        <v>3.6</v>
      </c>
      <c r="BK671" t="s">
        <v>159</v>
      </c>
      <c r="BM671" t="s">
        <v>718</v>
      </c>
      <c r="BN671" s="33">
        <v>42804</v>
      </c>
    </row>
    <row r="672" spans="1:70">
      <c r="A672" t="s">
        <v>726</v>
      </c>
      <c r="C672" t="s">
        <v>10</v>
      </c>
      <c r="D672" t="s">
        <v>11</v>
      </c>
      <c r="E672" t="s">
        <v>293</v>
      </c>
      <c r="G672" t="s">
        <v>53</v>
      </c>
      <c r="H672" t="s">
        <v>55</v>
      </c>
      <c r="I672" t="s">
        <v>53</v>
      </c>
      <c r="J672" t="s">
        <v>55</v>
      </c>
      <c r="Z672">
        <v>4.0999999999999996</v>
      </c>
      <c r="AA672">
        <v>4.7</v>
      </c>
      <c r="AB672">
        <v>4.5999999999999996</v>
      </c>
      <c r="AC672">
        <v>4.7</v>
      </c>
      <c r="AD672">
        <v>4.0999999999999996</v>
      </c>
      <c r="AE672">
        <v>6.2</v>
      </c>
      <c r="AF672">
        <v>6</v>
      </c>
      <c r="AG672">
        <v>6.2</v>
      </c>
      <c r="BB672">
        <v>4.2</v>
      </c>
      <c r="BC672">
        <v>3.8</v>
      </c>
      <c r="BD672">
        <v>3.5</v>
      </c>
      <c r="BE672">
        <v>3.8</v>
      </c>
      <c r="BF672">
        <v>3.9</v>
      </c>
      <c r="BG672">
        <v>2.4</v>
      </c>
      <c r="BH672">
        <v>2.2000000000000002</v>
      </c>
      <c r="BI672">
        <v>2.4</v>
      </c>
      <c r="BK672" t="s">
        <v>159</v>
      </c>
      <c r="BM672" t="s">
        <v>718</v>
      </c>
      <c r="BN672" s="33">
        <v>42804</v>
      </c>
    </row>
    <row r="673" spans="1:70">
      <c r="A673" t="s">
        <v>730</v>
      </c>
      <c r="C673" t="s">
        <v>10</v>
      </c>
      <c r="D673" t="s">
        <v>11</v>
      </c>
      <c r="E673" t="s">
        <v>293</v>
      </c>
      <c r="G673" t="s">
        <v>53</v>
      </c>
      <c r="H673" t="s">
        <v>55</v>
      </c>
      <c r="I673" t="s">
        <v>53</v>
      </c>
      <c r="J673" t="s">
        <v>55</v>
      </c>
      <c r="AT673">
        <v>3.3</v>
      </c>
      <c r="AW673">
        <v>2.8</v>
      </c>
      <c r="AX673">
        <v>4</v>
      </c>
      <c r="AY673">
        <v>3.3</v>
      </c>
      <c r="AZ673">
        <v>3.6</v>
      </c>
      <c r="BA673">
        <v>3.6</v>
      </c>
      <c r="BB673">
        <v>5</v>
      </c>
      <c r="BC673">
        <v>3.9</v>
      </c>
      <c r="BD673">
        <v>3.7</v>
      </c>
      <c r="BE673">
        <v>3.9</v>
      </c>
      <c r="BK673" t="s">
        <v>159</v>
      </c>
      <c r="BM673" t="s">
        <v>718</v>
      </c>
      <c r="BN673" s="33">
        <v>42804</v>
      </c>
    </row>
    <row r="674" spans="1:70">
      <c r="A674" t="s">
        <v>734</v>
      </c>
      <c r="C674" t="s">
        <v>10</v>
      </c>
      <c r="D674" t="s">
        <v>11</v>
      </c>
      <c r="E674" t="s">
        <v>293</v>
      </c>
      <c r="G674" t="s">
        <v>53</v>
      </c>
      <c r="H674" t="s">
        <v>55</v>
      </c>
      <c r="I674" t="s">
        <v>53</v>
      </c>
      <c r="J674" t="s">
        <v>55</v>
      </c>
      <c r="N674">
        <v>2.8</v>
      </c>
      <c r="Q674">
        <v>1.9</v>
      </c>
      <c r="R674">
        <v>3.1</v>
      </c>
      <c r="U674">
        <v>2.9</v>
      </c>
      <c r="V674">
        <v>3.1</v>
      </c>
      <c r="Y674">
        <v>4.3</v>
      </c>
      <c r="Z674">
        <v>4.2</v>
      </c>
      <c r="AA674">
        <v>5.4</v>
      </c>
      <c r="AB674">
        <v>5.7</v>
      </c>
      <c r="AC674">
        <v>5.7</v>
      </c>
      <c r="AD674">
        <v>4.4000000000000004</v>
      </c>
      <c r="AE674">
        <v>5.8</v>
      </c>
      <c r="AF674">
        <v>4.9000000000000004</v>
      </c>
      <c r="AG674">
        <v>5.8</v>
      </c>
      <c r="AH674">
        <v>1.9</v>
      </c>
      <c r="BJ674" t="s">
        <v>728</v>
      </c>
      <c r="BK674" t="s">
        <v>159</v>
      </c>
      <c r="BM674" t="s">
        <v>718</v>
      </c>
      <c r="BN674" s="33">
        <v>42804</v>
      </c>
      <c r="BO674" t="s">
        <v>362</v>
      </c>
      <c r="BP674" t="s">
        <v>718</v>
      </c>
    </row>
    <row r="675" spans="1:70">
      <c r="A675" t="s">
        <v>740</v>
      </c>
      <c r="C675" t="s">
        <v>10</v>
      </c>
      <c r="D675" t="s">
        <v>11</v>
      </c>
      <c r="E675" t="s">
        <v>293</v>
      </c>
      <c r="G675" t="s">
        <v>53</v>
      </c>
      <c r="H675" t="s">
        <v>55</v>
      </c>
      <c r="I675" t="s">
        <v>53</v>
      </c>
      <c r="J675" t="s">
        <v>55</v>
      </c>
      <c r="BC675">
        <v>4.3</v>
      </c>
      <c r="BE675">
        <v>4.3</v>
      </c>
      <c r="BK675" t="s">
        <v>159</v>
      </c>
      <c r="BM675" t="s">
        <v>718</v>
      </c>
      <c r="BN675" s="33">
        <v>42804</v>
      </c>
    </row>
    <row r="676" spans="1:70">
      <c r="A676" t="s">
        <v>735</v>
      </c>
      <c r="C676" t="s">
        <v>10</v>
      </c>
      <c r="D676" t="s">
        <v>11</v>
      </c>
      <c r="E676" t="s">
        <v>293</v>
      </c>
      <c r="G676" t="s">
        <v>53</v>
      </c>
      <c r="H676" t="s">
        <v>55</v>
      </c>
      <c r="I676" t="s">
        <v>53</v>
      </c>
      <c r="J676" t="s">
        <v>55</v>
      </c>
      <c r="N676">
        <v>2.6</v>
      </c>
      <c r="Q676">
        <v>1.9</v>
      </c>
      <c r="R676">
        <v>3.2</v>
      </c>
      <c r="Z676">
        <v>4</v>
      </c>
      <c r="AA676">
        <v>5</v>
      </c>
      <c r="AB676">
        <v>5</v>
      </c>
      <c r="AC676">
        <v>5</v>
      </c>
      <c r="AD676">
        <v>4.4000000000000004</v>
      </c>
      <c r="AE676">
        <v>6.6</v>
      </c>
      <c r="AF676">
        <v>5.4</v>
      </c>
      <c r="AG676">
        <v>6.6</v>
      </c>
      <c r="BK676" t="s">
        <v>159</v>
      </c>
      <c r="BM676" t="s">
        <v>718</v>
      </c>
      <c r="BN676" s="33">
        <v>42804</v>
      </c>
      <c r="BO676" t="s">
        <v>362</v>
      </c>
      <c r="BP676" t="s">
        <v>718</v>
      </c>
    </row>
    <row r="677" spans="1:70" s="10" customFormat="1">
      <c r="A677" t="s">
        <v>736</v>
      </c>
      <c r="B677"/>
      <c r="C677" t="s">
        <v>10</v>
      </c>
      <c r="D677" t="s">
        <v>11</v>
      </c>
      <c r="E677" t="s">
        <v>293</v>
      </c>
      <c r="F677" s="3"/>
      <c r="G677" t="s">
        <v>53</v>
      </c>
      <c r="H677" t="s">
        <v>55</v>
      </c>
      <c r="I677" t="s">
        <v>53</v>
      </c>
      <c r="J677" t="s">
        <v>55</v>
      </c>
      <c r="K677"/>
      <c r="L677"/>
      <c r="M677"/>
      <c r="N677"/>
      <c r="O677"/>
      <c r="P677"/>
      <c r="Q677"/>
      <c r="R677"/>
      <c r="S677"/>
      <c r="T677"/>
      <c r="U677"/>
      <c r="V677">
        <v>4.3</v>
      </c>
      <c r="W677"/>
      <c r="X677"/>
      <c r="Y677">
        <v>4.2</v>
      </c>
      <c r="Z677">
        <v>4</v>
      </c>
      <c r="AA677">
        <v>4.5999999999999996</v>
      </c>
      <c r="AB677">
        <v>4.5999999999999996</v>
      </c>
      <c r="AC677">
        <v>4.5999999999999996</v>
      </c>
      <c r="AD677">
        <v>4.3</v>
      </c>
      <c r="AE677">
        <v>6.6</v>
      </c>
      <c r="AF677">
        <v>5.5</v>
      </c>
      <c r="AG677">
        <v>6.6</v>
      </c>
      <c r="AH677">
        <v>2.1</v>
      </c>
      <c r="AI677"/>
      <c r="AJ677"/>
      <c r="AK677"/>
      <c r="AL677"/>
      <c r="AM677"/>
      <c r="AN677"/>
      <c r="AO677"/>
      <c r="AP677"/>
      <c r="AQ677"/>
      <c r="AR677"/>
      <c r="AS677"/>
      <c r="AT677"/>
      <c r="AU677"/>
      <c r="AV677"/>
      <c r="AW677"/>
      <c r="AX677"/>
      <c r="AY677"/>
      <c r="AZ677"/>
      <c r="BA677"/>
      <c r="BB677"/>
      <c r="BC677"/>
      <c r="BD677"/>
      <c r="BE677"/>
      <c r="BF677"/>
      <c r="BG677"/>
      <c r="BH677"/>
      <c r="BI677"/>
      <c r="BJ677"/>
      <c r="BK677" t="s">
        <v>159</v>
      </c>
      <c r="BL677"/>
      <c r="BM677" t="s">
        <v>718</v>
      </c>
      <c r="BN677" s="33">
        <v>42804</v>
      </c>
      <c r="BO677"/>
      <c r="BP677"/>
      <c r="BQ677"/>
      <c r="BR677"/>
    </row>
    <row r="678" spans="1:70">
      <c r="A678" t="s">
        <v>741</v>
      </c>
      <c r="C678" t="s">
        <v>10</v>
      </c>
      <c r="D678" t="s">
        <v>11</v>
      </c>
      <c r="E678" t="s">
        <v>293</v>
      </c>
      <c r="G678" t="s">
        <v>53</v>
      </c>
      <c r="H678" t="s">
        <v>55</v>
      </c>
      <c r="I678" t="s">
        <v>53</v>
      </c>
      <c r="J678" t="s">
        <v>55</v>
      </c>
      <c r="AT678">
        <v>3.7</v>
      </c>
      <c r="AW678">
        <v>3</v>
      </c>
      <c r="BB678">
        <v>4.5</v>
      </c>
      <c r="BC678">
        <v>4.0999999999999996</v>
      </c>
      <c r="BD678">
        <v>4</v>
      </c>
      <c r="BE678">
        <v>4.0999999999999996</v>
      </c>
      <c r="BK678" t="s">
        <v>159</v>
      </c>
      <c r="BM678" t="s">
        <v>718</v>
      </c>
      <c r="BN678" s="33">
        <v>42804</v>
      </c>
    </row>
    <row r="679" spans="1:70">
      <c r="A679" t="s">
        <v>737</v>
      </c>
      <c r="C679" t="s">
        <v>10</v>
      </c>
      <c r="D679" t="s">
        <v>11</v>
      </c>
      <c r="E679" t="s">
        <v>293</v>
      </c>
      <c r="G679" t="s">
        <v>53</v>
      </c>
      <c r="H679" t="s">
        <v>55</v>
      </c>
      <c r="I679" t="s">
        <v>53</v>
      </c>
      <c r="J679" t="s">
        <v>55</v>
      </c>
      <c r="V679">
        <v>3.5</v>
      </c>
      <c r="Y679">
        <v>4.8</v>
      </c>
      <c r="Z679">
        <v>4.2</v>
      </c>
      <c r="AA679">
        <v>5.7</v>
      </c>
      <c r="AB679">
        <v>5.6</v>
      </c>
      <c r="AC679">
        <v>5.7</v>
      </c>
      <c r="BK679" t="s">
        <v>159</v>
      </c>
      <c r="BM679" t="s">
        <v>718</v>
      </c>
      <c r="BN679" s="33">
        <v>42804</v>
      </c>
      <c r="BO679" t="s">
        <v>362</v>
      </c>
      <c r="BP679" t="s">
        <v>718</v>
      </c>
    </row>
    <row r="680" spans="1:70">
      <c r="A680" t="s">
        <v>742</v>
      </c>
      <c r="C680" t="s">
        <v>10</v>
      </c>
      <c r="D680" t="s">
        <v>11</v>
      </c>
      <c r="E680" t="s">
        <v>293</v>
      </c>
      <c r="G680" t="s">
        <v>53</v>
      </c>
      <c r="H680" t="s">
        <v>55</v>
      </c>
      <c r="I680" t="s">
        <v>53</v>
      </c>
      <c r="J680" t="s">
        <v>55</v>
      </c>
      <c r="AT680">
        <v>3.8</v>
      </c>
      <c r="AW680">
        <v>2.9</v>
      </c>
      <c r="AY680">
        <v>3.5</v>
      </c>
      <c r="BA680">
        <v>3.5</v>
      </c>
      <c r="BK680" t="s">
        <v>159</v>
      </c>
      <c r="BM680" t="s">
        <v>718</v>
      </c>
      <c r="BN680" s="33">
        <v>42804</v>
      </c>
    </row>
    <row r="681" spans="1:70">
      <c r="A681" t="s">
        <v>738</v>
      </c>
      <c r="C681" t="s">
        <v>10</v>
      </c>
      <c r="D681" t="s">
        <v>11</v>
      </c>
      <c r="E681" t="s">
        <v>293</v>
      </c>
      <c r="G681" t="s">
        <v>53</v>
      </c>
      <c r="H681" t="s">
        <v>55</v>
      </c>
      <c r="I681" t="s">
        <v>53</v>
      </c>
      <c r="J681" t="s">
        <v>55</v>
      </c>
      <c r="V681">
        <v>3.4</v>
      </c>
      <c r="Y681">
        <v>4.7</v>
      </c>
      <c r="Z681">
        <v>4</v>
      </c>
      <c r="AA681">
        <v>5.4</v>
      </c>
      <c r="AB681">
        <v>5.6</v>
      </c>
      <c r="AC681">
        <v>5.6</v>
      </c>
      <c r="AD681">
        <v>4.2</v>
      </c>
      <c r="AE681">
        <v>7.1</v>
      </c>
      <c r="AF681">
        <v>5.8</v>
      </c>
      <c r="AG681">
        <v>7.1</v>
      </c>
      <c r="BK681" t="s">
        <v>159</v>
      </c>
      <c r="BM681" t="s">
        <v>718</v>
      </c>
      <c r="BN681" s="33">
        <v>42804</v>
      </c>
      <c r="BO681" t="s">
        <v>362</v>
      </c>
      <c r="BP681" t="s">
        <v>718</v>
      </c>
    </row>
    <row r="682" spans="1:70">
      <c r="A682" t="s">
        <v>743</v>
      </c>
      <c r="C682" t="s">
        <v>10</v>
      </c>
      <c r="D682" t="s">
        <v>11</v>
      </c>
      <c r="E682" t="s">
        <v>293</v>
      </c>
      <c r="G682" t="s">
        <v>53</v>
      </c>
      <c r="H682" t="s">
        <v>55</v>
      </c>
      <c r="I682" t="s">
        <v>53</v>
      </c>
      <c r="J682" t="s">
        <v>55</v>
      </c>
      <c r="AT682">
        <v>3.6</v>
      </c>
      <c r="AW682">
        <v>2.9</v>
      </c>
      <c r="AX682">
        <v>4</v>
      </c>
      <c r="AY682">
        <v>3.4</v>
      </c>
      <c r="AZ682">
        <v>3.7</v>
      </c>
      <c r="BA682">
        <v>3.7</v>
      </c>
      <c r="BB682">
        <v>4.5999999999999996</v>
      </c>
      <c r="BC682">
        <v>4</v>
      </c>
      <c r="BD682">
        <v>3.8</v>
      </c>
      <c r="BE682">
        <v>4</v>
      </c>
      <c r="BF682">
        <v>3.9</v>
      </c>
      <c r="BG682">
        <v>2.6</v>
      </c>
      <c r="BH682">
        <v>2.6</v>
      </c>
      <c r="BI682">
        <v>2.6</v>
      </c>
      <c r="BK682" t="s">
        <v>159</v>
      </c>
      <c r="BM682" t="s">
        <v>718</v>
      </c>
      <c r="BN682" s="33">
        <v>42804</v>
      </c>
      <c r="BO682" t="s">
        <v>362</v>
      </c>
      <c r="BP682" t="s">
        <v>718</v>
      </c>
    </row>
    <row r="683" spans="1:70">
      <c r="A683" t="s">
        <v>739</v>
      </c>
      <c r="C683" t="s">
        <v>10</v>
      </c>
      <c r="D683" t="s">
        <v>11</v>
      </c>
      <c r="E683" t="s">
        <v>293</v>
      </c>
      <c r="G683" t="s">
        <v>53</v>
      </c>
      <c r="H683" t="s">
        <v>55</v>
      </c>
      <c r="I683" t="s">
        <v>53</v>
      </c>
      <c r="J683" t="s">
        <v>55</v>
      </c>
      <c r="AP683">
        <v>3.2</v>
      </c>
      <c r="AQ683">
        <v>2.2000000000000002</v>
      </c>
      <c r="AR683">
        <v>3.9</v>
      </c>
      <c r="AS683">
        <v>3.9</v>
      </c>
      <c r="BK683" t="s">
        <v>159</v>
      </c>
      <c r="BM683" t="s">
        <v>718</v>
      </c>
      <c r="BN683" s="33">
        <v>42804</v>
      </c>
    </row>
    <row r="684" spans="1:70">
      <c r="A684" t="s">
        <v>731</v>
      </c>
      <c r="C684" t="s">
        <v>10</v>
      </c>
      <c r="D684" t="s">
        <v>11</v>
      </c>
      <c r="E684" t="s">
        <v>293</v>
      </c>
      <c r="G684" t="s">
        <v>53</v>
      </c>
      <c r="H684" t="s">
        <v>55</v>
      </c>
      <c r="I684" t="s">
        <v>53</v>
      </c>
      <c r="J684" t="s">
        <v>55</v>
      </c>
      <c r="BB684">
        <v>4</v>
      </c>
      <c r="BC684">
        <v>3.7</v>
      </c>
      <c r="BD684">
        <v>3.8</v>
      </c>
      <c r="BE684">
        <v>3.8</v>
      </c>
      <c r="BK684" t="s">
        <v>159</v>
      </c>
      <c r="BM684" t="s">
        <v>718</v>
      </c>
      <c r="BN684" s="33">
        <v>42804</v>
      </c>
    </row>
    <row r="685" spans="1:70">
      <c r="A685" t="s">
        <v>250</v>
      </c>
      <c r="C685" t="s">
        <v>10</v>
      </c>
      <c r="D685" t="s">
        <v>11</v>
      </c>
      <c r="E685" t="s">
        <v>293</v>
      </c>
      <c r="G685" t="s">
        <v>53</v>
      </c>
      <c r="H685" t="s">
        <v>58</v>
      </c>
      <c r="I685" t="s">
        <v>53</v>
      </c>
      <c r="J685" t="s">
        <v>58</v>
      </c>
      <c r="AD685">
        <v>4.7</v>
      </c>
      <c r="AE685">
        <v>8.1999999999999993</v>
      </c>
      <c r="AF685">
        <v>7.5</v>
      </c>
      <c r="AG685">
        <v>8.1999999999999993</v>
      </c>
      <c r="BK685" t="s">
        <v>159</v>
      </c>
      <c r="BM685" t="s">
        <v>718</v>
      </c>
      <c r="BN685" s="33">
        <v>42804</v>
      </c>
      <c r="BO685" t="s">
        <v>362</v>
      </c>
      <c r="BP685" t="s">
        <v>718</v>
      </c>
    </row>
    <row r="686" spans="1:70">
      <c r="A686" t="s">
        <v>251</v>
      </c>
      <c r="C686" t="s">
        <v>10</v>
      </c>
      <c r="D686" t="s">
        <v>11</v>
      </c>
      <c r="E686" t="s">
        <v>293</v>
      </c>
      <c r="G686" t="s">
        <v>53</v>
      </c>
      <c r="H686" t="s">
        <v>58</v>
      </c>
      <c r="I686" t="s">
        <v>53</v>
      </c>
      <c r="J686" t="s">
        <v>58</v>
      </c>
      <c r="V686">
        <v>4.0999999999999996</v>
      </c>
      <c r="Y686">
        <v>5.3</v>
      </c>
      <c r="Z686">
        <v>4.7</v>
      </c>
      <c r="AA686">
        <v>6.2</v>
      </c>
      <c r="AB686">
        <v>6.2</v>
      </c>
      <c r="AC686">
        <v>6.2</v>
      </c>
      <c r="AD686">
        <v>5.3</v>
      </c>
      <c r="AE686">
        <v>7.9</v>
      </c>
      <c r="AF686">
        <v>6.9</v>
      </c>
      <c r="AG686">
        <v>7.9</v>
      </c>
      <c r="BK686" t="s">
        <v>159</v>
      </c>
      <c r="BM686" t="s">
        <v>718</v>
      </c>
      <c r="BN686" s="33">
        <v>42804</v>
      </c>
    </row>
    <row r="687" spans="1:70">
      <c r="A687" t="s">
        <v>755</v>
      </c>
      <c r="C687" t="s">
        <v>10</v>
      </c>
      <c r="D687" t="s">
        <v>11</v>
      </c>
      <c r="E687" t="s">
        <v>293</v>
      </c>
      <c r="G687" t="s">
        <v>53</v>
      </c>
      <c r="H687" t="s">
        <v>58</v>
      </c>
      <c r="I687" t="s">
        <v>53</v>
      </c>
      <c r="J687" t="s">
        <v>58</v>
      </c>
      <c r="AX687">
        <v>4.4000000000000004</v>
      </c>
      <c r="AY687">
        <v>3.7</v>
      </c>
      <c r="AZ687">
        <v>4.4000000000000004</v>
      </c>
      <c r="BA687">
        <v>4.4000000000000004</v>
      </c>
      <c r="BB687">
        <v>5.9</v>
      </c>
      <c r="BC687">
        <v>4.8</v>
      </c>
      <c r="BD687">
        <v>4.3</v>
      </c>
      <c r="BE687">
        <v>4.8</v>
      </c>
      <c r="BK687" t="s">
        <v>159</v>
      </c>
      <c r="BM687" t="s">
        <v>718</v>
      </c>
      <c r="BN687" s="33">
        <v>42804</v>
      </c>
    </row>
    <row r="688" spans="1:70">
      <c r="A688" t="s">
        <v>756</v>
      </c>
      <c r="C688" t="s">
        <v>10</v>
      </c>
      <c r="D688" t="s">
        <v>11</v>
      </c>
      <c r="E688" t="s">
        <v>293</v>
      </c>
      <c r="G688" t="s">
        <v>53</v>
      </c>
      <c r="H688" t="s">
        <v>58</v>
      </c>
      <c r="I688" t="s">
        <v>53</v>
      </c>
      <c r="J688" t="s">
        <v>58</v>
      </c>
      <c r="AY688">
        <v>4.5999999999999996</v>
      </c>
      <c r="BK688" t="s">
        <v>159</v>
      </c>
      <c r="BM688" t="s">
        <v>718</v>
      </c>
      <c r="BN688" s="33">
        <v>42804</v>
      </c>
    </row>
    <row r="689" spans="1:68">
      <c r="A689" t="s">
        <v>757</v>
      </c>
      <c r="C689" t="s">
        <v>10</v>
      </c>
      <c r="D689" t="s">
        <v>11</v>
      </c>
      <c r="E689" t="s">
        <v>293</v>
      </c>
      <c r="G689" t="s">
        <v>53</v>
      </c>
      <c r="H689" t="s">
        <v>58</v>
      </c>
      <c r="I689" t="s">
        <v>53</v>
      </c>
      <c r="J689" t="s">
        <v>58</v>
      </c>
      <c r="AX689">
        <v>4.7</v>
      </c>
      <c r="AY689">
        <v>4</v>
      </c>
      <c r="AZ689">
        <v>4.2</v>
      </c>
      <c r="BA689">
        <v>4.2</v>
      </c>
      <c r="BB689">
        <v>5.2</v>
      </c>
      <c r="BC689">
        <v>4.8</v>
      </c>
      <c r="BD689">
        <v>4.4000000000000004</v>
      </c>
      <c r="BE689">
        <v>4.8</v>
      </c>
      <c r="BK689" t="s">
        <v>159</v>
      </c>
      <c r="BM689" t="s">
        <v>718</v>
      </c>
      <c r="BN689" s="33">
        <v>42804</v>
      </c>
    </row>
    <row r="690" spans="1:68">
      <c r="A690" t="s">
        <v>758</v>
      </c>
      <c r="C690" t="s">
        <v>10</v>
      </c>
      <c r="D690" t="s">
        <v>11</v>
      </c>
      <c r="E690" t="s">
        <v>293</v>
      </c>
      <c r="G690" t="s">
        <v>53</v>
      </c>
      <c r="H690" t="s">
        <v>58</v>
      </c>
      <c r="I690" t="s">
        <v>53</v>
      </c>
      <c r="J690" t="s">
        <v>58</v>
      </c>
      <c r="BB690">
        <v>5.0999999999999996</v>
      </c>
      <c r="BC690">
        <v>4.4000000000000004</v>
      </c>
      <c r="BD690">
        <v>4.4000000000000004</v>
      </c>
      <c r="BE690">
        <v>4.4000000000000004</v>
      </c>
      <c r="BK690" t="s">
        <v>159</v>
      </c>
      <c r="BM690" t="s">
        <v>718</v>
      </c>
      <c r="BN690" s="33">
        <v>42804</v>
      </c>
    </row>
    <row r="691" spans="1:68">
      <c r="A691" t="s">
        <v>759</v>
      </c>
      <c r="C691" t="s">
        <v>10</v>
      </c>
      <c r="D691" t="s">
        <v>11</v>
      </c>
      <c r="E691" t="s">
        <v>293</v>
      </c>
      <c r="G691" t="s">
        <v>53</v>
      </c>
      <c r="H691" t="s">
        <v>58</v>
      </c>
      <c r="I691" t="s">
        <v>53</v>
      </c>
      <c r="J691" t="s">
        <v>58</v>
      </c>
      <c r="BB691">
        <v>5.6</v>
      </c>
      <c r="BC691">
        <v>5.0999999999999996</v>
      </c>
      <c r="BD691">
        <v>4.7</v>
      </c>
      <c r="BE691">
        <v>5.0999999999999996</v>
      </c>
      <c r="BF691">
        <v>5</v>
      </c>
      <c r="BG691">
        <v>3.4</v>
      </c>
      <c r="BH691">
        <v>2.9</v>
      </c>
      <c r="BI691">
        <v>3.4</v>
      </c>
      <c r="BK691" t="s">
        <v>159</v>
      </c>
      <c r="BM691" t="s">
        <v>718</v>
      </c>
      <c r="BN691" s="33">
        <v>42804</v>
      </c>
    </row>
    <row r="692" spans="1:68">
      <c r="A692" t="s">
        <v>760</v>
      </c>
      <c r="C692" t="s">
        <v>10</v>
      </c>
      <c r="D692" t="s">
        <v>11</v>
      </c>
      <c r="E692" t="s">
        <v>293</v>
      </c>
      <c r="G692" t="s">
        <v>53</v>
      </c>
      <c r="H692" t="s">
        <v>58</v>
      </c>
      <c r="I692" t="s">
        <v>53</v>
      </c>
      <c r="J692" t="s">
        <v>58</v>
      </c>
      <c r="BB692">
        <v>5.5</v>
      </c>
      <c r="BC692">
        <v>4.7</v>
      </c>
      <c r="BD692">
        <v>4.3</v>
      </c>
      <c r="BE692">
        <v>4.7</v>
      </c>
      <c r="BF692">
        <v>5</v>
      </c>
      <c r="BG692">
        <v>3.4</v>
      </c>
      <c r="BH692">
        <v>2.9</v>
      </c>
      <c r="BI692">
        <v>3.4</v>
      </c>
      <c r="BK692" t="s">
        <v>159</v>
      </c>
      <c r="BM692" t="s">
        <v>718</v>
      </c>
      <c r="BN692" s="33">
        <v>42804</v>
      </c>
    </row>
    <row r="693" spans="1:68">
      <c r="A693" t="s">
        <v>761</v>
      </c>
      <c r="C693" t="s">
        <v>10</v>
      </c>
      <c r="D693" t="s">
        <v>11</v>
      </c>
      <c r="E693" t="s">
        <v>293</v>
      </c>
      <c r="G693" t="s">
        <v>53</v>
      </c>
      <c r="H693" t="s">
        <v>58</v>
      </c>
      <c r="I693" t="s">
        <v>53</v>
      </c>
      <c r="J693" t="s">
        <v>58</v>
      </c>
      <c r="BB693">
        <v>4.9000000000000004</v>
      </c>
      <c r="BC693">
        <v>4.5</v>
      </c>
      <c r="BD693">
        <v>4.5</v>
      </c>
      <c r="BE693">
        <v>4.5</v>
      </c>
      <c r="BK693" t="s">
        <v>159</v>
      </c>
      <c r="BM693" t="s">
        <v>718</v>
      </c>
      <c r="BN693" s="33">
        <v>42804</v>
      </c>
    </row>
    <row r="694" spans="1:68">
      <c r="A694" t="s">
        <v>762</v>
      </c>
      <c r="C694" t="s">
        <v>10</v>
      </c>
      <c r="D694" t="s">
        <v>11</v>
      </c>
      <c r="E694" t="s">
        <v>293</v>
      </c>
      <c r="G694" t="s">
        <v>53</v>
      </c>
      <c r="H694" t="s">
        <v>58</v>
      </c>
      <c r="I694" t="s">
        <v>53</v>
      </c>
      <c r="J694" t="s">
        <v>58</v>
      </c>
      <c r="AW694">
        <v>3.7</v>
      </c>
      <c r="AX694">
        <v>5.2</v>
      </c>
      <c r="AY694">
        <v>4.2</v>
      </c>
      <c r="AZ694">
        <v>4.5</v>
      </c>
      <c r="BA694">
        <v>4.5</v>
      </c>
      <c r="BB694">
        <v>5.7</v>
      </c>
      <c r="BC694">
        <v>4.8</v>
      </c>
      <c r="BD694">
        <v>4.5999999999999996</v>
      </c>
      <c r="BE694">
        <v>4.8</v>
      </c>
      <c r="BK694" t="s">
        <v>159</v>
      </c>
      <c r="BM694" t="s">
        <v>718</v>
      </c>
      <c r="BN694" s="33">
        <v>42804</v>
      </c>
    </row>
    <row r="695" spans="1:68">
      <c r="A695" t="s">
        <v>746</v>
      </c>
      <c r="C695" t="s">
        <v>10</v>
      </c>
      <c r="D695" t="s">
        <v>11</v>
      </c>
      <c r="E695" t="s">
        <v>293</v>
      </c>
      <c r="G695" t="s">
        <v>53</v>
      </c>
      <c r="H695" t="s">
        <v>58</v>
      </c>
      <c r="I695" t="s">
        <v>53</v>
      </c>
      <c r="J695" t="s">
        <v>58</v>
      </c>
      <c r="AX695">
        <v>4.5</v>
      </c>
      <c r="AY695">
        <v>4.0999999999999996</v>
      </c>
      <c r="AZ695">
        <v>4.4000000000000004</v>
      </c>
      <c r="BA695">
        <v>4.4000000000000004</v>
      </c>
      <c r="BB695">
        <v>5.2</v>
      </c>
      <c r="BC695">
        <v>4.5</v>
      </c>
      <c r="BD695">
        <v>4.3</v>
      </c>
      <c r="BE695">
        <v>4.5</v>
      </c>
      <c r="BK695" t="s">
        <v>159</v>
      </c>
      <c r="BM695" t="s">
        <v>718</v>
      </c>
      <c r="BN695" s="33">
        <v>42804</v>
      </c>
      <c r="BO695" t="s">
        <v>362</v>
      </c>
      <c r="BP695" t="s">
        <v>718</v>
      </c>
    </row>
    <row r="696" spans="1:68">
      <c r="A696" t="s">
        <v>763</v>
      </c>
      <c r="C696" t="s">
        <v>10</v>
      </c>
      <c r="D696" t="s">
        <v>11</v>
      </c>
      <c r="E696" t="s">
        <v>293</v>
      </c>
      <c r="G696" t="s">
        <v>53</v>
      </c>
      <c r="H696" t="s">
        <v>58</v>
      </c>
      <c r="I696" t="s">
        <v>53</v>
      </c>
      <c r="J696" t="s">
        <v>58</v>
      </c>
      <c r="BB696">
        <v>5.4</v>
      </c>
      <c r="BC696">
        <v>4.4000000000000004</v>
      </c>
      <c r="BD696">
        <v>3.9</v>
      </c>
      <c r="BE696">
        <v>4.4000000000000004</v>
      </c>
      <c r="BK696" s="3" t="s">
        <v>159</v>
      </c>
      <c r="BL696" s="3"/>
      <c r="BM696" t="s">
        <v>718</v>
      </c>
      <c r="BN696" s="33">
        <v>42804</v>
      </c>
    </row>
    <row r="697" spans="1:68" ht="18">
      <c r="A697" t="s">
        <v>550</v>
      </c>
      <c r="C697" t="s">
        <v>10</v>
      </c>
      <c r="D697" t="s">
        <v>11</v>
      </c>
      <c r="E697" t="s">
        <v>293</v>
      </c>
      <c r="G697" t="s">
        <v>22</v>
      </c>
      <c r="H697" t="s">
        <v>23</v>
      </c>
      <c r="I697" t="s">
        <v>22</v>
      </c>
      <c r="J697" t="s">
        <v>23</v>
      </c>
      <c r="V697">
        <v>2.5</v>
      </c>
      <c r="Y697">
        <v>2.95</v>
      </c>
      <c r="BJ697" t="s">
        <v>549</v>
      </c>
      <c r="BK697" t="s">
        <v>273</v>
      </c>
      <c r="BM697" t="s">
        <v>548</v>
      </c>
      <c r="BN697" s="31">
        <v>34668</v>
      </c>
      <c r="BO697" t="s">
        <v>174</v>
      </c>
      <c r="BP697" t="s">
        <v>548</v>
      </c>
    </row>
    <row r="698" spans="1:68">
      <c r="A698" t="s">
        <v>547</v>
      </c>
      <c r="C698" t="s">
        <v>10</v>
      </c>
      <c r="D698" t="s">
        <v>11</v>
      </c>
      <c r="E698" t="s">
        <v>293</v>
      </c>
      <c r="G698" t="s">
        <v>22</v>
      </c>
      <c r="H698" t="s">
        <v>23</v>
      </c>
      <c r="I698" t="s">
        <v>22</v>
      </c>
      <c r="J698" t="s">
        <v>23</v>
      </c>
      <c r="V698">
        <v>2.35</v>
      </c>
      <c r="Y698">
        <v>3.25</v>
      </c>
      <c r="BJ698" t="s">
        <v>549</v>
      </c>
      <c r="BK698" t="s">
        <v>273</v>
      </c>
      <c r="BM698" t="s">
        <v>548</v>
      </c>
      <c r="BN698" s="33">
        <v>34668</v>
      </c>
      <c r="BO698" t="s">
        <v>174</v>
      </c>
      <c r="BP698" t="s">
        <v>548</v>
      </c>
    </row>
    <row r="699" spans="1:68">
      <c r="A699" t="s">
        <v>554</v>
      </c>
      <c r="C699" t="s">
        <v>10</v>
      </c>
      <c r="D699" t="s">
        <v>11</v>
      </c>
      <c r="E699" t="s">
        <v>293</v>
      </c>
      <c r="G699" t="s">
        <v>22</v>
      </c>
      <c r="H699" t="s">
        <v>23</v>
      </c>
      <c r="I699" t="s">
        <v>22</v>
      </c>
      <c r="J699" t="s">
        <v>23</v>
      </c>
      <c r="AP699">
        <v>2.15</v>
      </c>
      <c r="AQ699">
        <v>1.55</v>
      </c>
      <c r="AS699">
        <v>1.55</v>
      </c>
      <c r="BJ699" t="s">
        <v>555</v>
      </c>
      <c r="BK699" t="s">
        <v>273</v>
      </c>
      <c r="BM699" t="s">
        <v>548</v>
      </c>
      <c r="BN699" s="33">
        <v>34668</v>
      </c>
      <c r="BO699" t="s">
        <v>174</v>
      </c>
      <c r="BP699" t="s">
        <v>548</v>
      </c>
    </row>
    <row r="700" spans="1:68">
      <c r="A700" t="s">
        <v>551</v>
      </c>
      <c r="C700" t="s">
        <v>10</v>
      </c>
      <c r="D700" t="s">
        <v>11</v>
      </c>
      <c r="E700" t="s">
        <v>293</v>
      </c>
      <c r="G700" t="s">
        <v>22</v>
      </c>
      <c r="H700" t="s">
        <v>23</v>
      </c>
      <c r="I700" t="s">
        <v>22</v>
      </c>
      <c r="J700" t="s">
        <v>23</v>
      </c>
      <c r="Z700">
        <v>2.8</v>
      </c>
      <c r="AA700">
        <v>4</v>
      </c>
      <c r="AB700">
        <v>3.95</v>
      </c>
      <c r="AC700">
        <v>4</v>
      </c>
      <c r="BJ700" t="s">
        <v>549</v>
      </c>
      <c r="BK700" t="s">
        <v>273</v>
      </c>
      <c r="BM700" t="s">
        <v>548</v>
      </c>
      <c r="BN700" s="33">
        <v>34668</v>
      </c>
      <c r="BO700" t="s">
        <v>174</v>
      </c>
      <c r="BP700" t="s">
        <v>548</v>
      </c>
    </row>
    <row r="701" spans="1:68">
      <c r="A701" t="s">
        <v>556</v>
      </c>
      <c r="C701" t="s">
        <v>10</v>
      </c>
      <c r="D701" t="s">
        <v>11</v>
      </c>
      <c r="E701" t="s">
        <v>293</v>
      </c>
      <c r="G701" t="s">
        <v>22</v>
      </c>
      <c r="H701" t="s">
        <v>23</v>
      </c>
      <c r="I701" t="s">
        <v>22</v>
      </c>
      <c r="J701" t="s">
        <v>23</v>
      </c>
      <c r="BB701">
        <v>2.6</v>
      </c>
      <c r="BC701">
        <v>2.25</v>
      </c>
      <c r="BD701">
        <v>2.15</v>
      </c>
      <c r="BE701">
        <v>2.25</v>
      </c>
      <c r="BJ701" t="s">
        <v>549</v>
      </c>
      <c r="BK701" t="s">
        <v>273</v>
      </c>
      <c r="BM701" t="s">
        <v>548</v>
      </c>
      <c r="BN701" s="33">
        <v>34668</v>
      </c>
      <c r="BO701" t="s">
        <v>174</v>
      </c>
      <c r="BP701" t="s">
        <v>548</v>
      </c>
    </row>
    <row r="702" spans="1:68">
      <c r="A702" t="s">
        <v>553</v>
      </c>
      <c r="C702" t="s">
        <v>10</v>
      </c>
      <c r="D702" t="s">
        <v>11</v>
      </c>
      <c r="E702" t="s">
        <v>293</v>
      </c>
      <c r="G702" t="s">
        <v>22</v>
      </c>
      <c r="H702" t="s">
        <v>23</v>
      </c>
      <c r="I702" t="s">
        <v>22</v>
      </c>
      <c r="J702" t="s">
        <v>23</v>
      </c>
      <c r="AH702">
        <v>1.85</v>
      </c>
      <c r="AI702">
        <v>3.2</v>
      </c>
      <c r="AJ702">
        <v>2.5</v>
      </c>
      <c r="AK702">
        <v>3.2</v>
      </c>
      <c r="BJ702" t="s">
        <v>549</v>
      </c>
      <c r="BK702" t="s">
        <v>273</v>
      </c>
      <c r="BM702" t="s">
        <v>548</v>
      </c>
      <c r="BN702" s="33">
        <v>34668</v>
      </c>
      <c r="BO702" t="s">
        <v>174</v>
      </c>
      <c r="BP702" t="s">
        <v>548</v>
      </c>
    </row>
    <row r="703" spans="1:68">
      <c r="A703" t="s">
        <v>552</v>
      </c>
      <c r="C703" t="s">
        <v>10</v>
      </c>
      <c r="D703" t="s">
        <v>11</v>
      </c>
      <c r="E703" t="s">
        <v>293</v>
      </c>
      <c r="G703" t="s">
        <v>22</v>
      </c>
      <c r="H703" t="s">
        <v>23</v>
      </c>
      <c r="I703" t="s">
        <v>22</v>
      </c>
      <c r="J703" t="s">
        <v>23</v>
      </c>
      <c r="AE703">
        <v>4</v>
      </c>
      <c r="AF703">
        <v>4</v>
      </c>
      <c r="AG703">
        <v>4</v>
      </c>
      <c r="BJ703" t="s">
        <v>549</v>
      </c>
      <c r="BK703" t="s">
        <v>273</v>
      </c>
      <c r="BM703" t="s">
        <v>548</v>
      </c>
      <c r="BN703" s="33">
        <v>34668</v>
      </c>
      <c r="BO703" t="s">
        <v>174</v>
      </c>
      <c r="BP703" t="s">
        <v>548</v>
      </c>
    </row>
    <row r="704" spans="1:68">
      <c r="A704" t="s">
        <v>557</v>
      </c>
      <c r="C704" t="s">
        <v>10</v>
      </c>
      <c r="D704" t="s">
        <v>11</v>
      </c>
      <c r="E704" t="s">
        <v>293</v>
      </c>
      <c r="G704" t="s">
        <v>22</v>
      </c>
      <c r="H704" t="s">
        <v>23</v>
      </c>
      <c r="I704" t="s">
        <v>22</v>
      </c>
      <c r="J704" t="s">
        <v>23</v>
      </c>
      <c r="BF704">
        <v>2.8</v>
      </c>
      <c r="BG704">
        <v>1.9</v>
      </c>
      <c r="BH704">
        <v>1.65</v>
      </c>
      <c r="BI704">
        <v>1.9</v>
      </c>
      <c r="BJ704" t="s">
        <v>549</v>
      </c>
      <c r="BK704" t="s">
        <v>273</v>
      </c>
      <c r="BM704" t="s">
        <v>548</v>
      </c>
      <c r="BN704" s="33">
        <v>34668</v>
      </c>
      <c r="BO704" t="s">
        <v>174</v>
      </c>
      <c r="BP704" t="s">
        <v>548</v>
      </c>
    </row>
    <row r="705" spans="1:70">
      <c r="A705" t="s">
        <v>562</v>
      </c>
      <c r="C705" t="s">
        <v>484</v>
      </c>
      <c r="E705" t="s">
        <v>485</v>
      </c>
      <c r="G705" t="s">
        <v>558</v>
      </c>
      <c r="H705" t="s">
        <v>559</v>
      </c>
      <c r="I705" t="s">
        <v>558</v>
      </c>
      <c r="J705" t="s">
        <v>559</v>
      </c>
      <c r="M705" t="s">
        <v>573</v>
      </c>
      <c r="BB705">
        <v>2.5</v>
      </c>
      <c r="BC705">
        <v>2.15</v>
      </c>
      <c r="BD705">
        <v>2.1</v>
      </c>
      <c r="BE705">
        <v>2.15</v>
      </c>
      <c r="BK705" t="s">
        <v>273</v>
      </c>
      <c r="BM705" t="s">
        <v>561</v>
      </c>
      <c r="BN705" s="33">
        <v>42892</v>
      </c>
    </row>
    <row r="706" spans="1:70">
      <c r="A706" t="s">
        <v>596</v>
      </c>
      <c r="C706" t="s">
        <v>484</v>
      </c>
      <c r="E706" t="s">
        <v>485</v>
      </c>
      <c r="G706" t="s">
        <v>558</v>
      </c>
      <c r="H706" t="s">
        <v>559</v>
      </c>
      <c r="I706" t="s">
        <v>558</v>
      </c>
      <c r="J706" t="s">
        <v>559</v>
      </c>
      <c r="M706" t="s">
        <v>573</v>
      </c>
      <c r="Z706">
        <v>1.7</v>
      </c>
      <c r="AC706">
        <v>2.8</v>
      </c>
      <c r="BJ706" t="s">
        <v>600</v>
      </c>
      <c r="BK706" t="s">
        <v>273</v>
      </c>
      <c r="BM706" t="s">
        <v>561</v>
      </c>
      <c r="BN706" s="33">
        <v>42892</v>
      </c>
      <c r="BO706" s="33" t="s">
        <v>174</v>
      </c>
      <c r="BP706" s="33" t="s">
        <v>561</v>
      </c>
    </row>
    <row r="707" spans="1:70">
      <c r="A707" t="s">
        <v>571</v>
      </c>
      <c r="C707" t="s">
        <v>484</v>
      </c>
      <c r="E707" t="s">
        <v>485</v>
      </c>
      <c r="G707" t="s">
        <v>558</v>
      </c>
      <c r="H707" t="s">
        <v>559</v>
      </c>
      <c r="I707" t="s">
        <v>558</v>
      </c>
      <c r="J707" t="s">
        <v>559</v>
      </c>
      <c r="M707" t="s">
        <v>572</v>
      </c>
      <c r="AT707">
        <v>2.8</v>
      </c>
      <c r="AW707">
        <v>1.8</v>
      </c>
      <c r="BK707" t="s">
        <v>273</v>
      </c>
      <c r="BM707" t="s">
        <v>561</v>
      </c>
      <c r="BN707" s="33">
        <v>42892</v>
      </c>
      <c r="BO707" s="33" t="s">
        <v>174</v>
      </c>
      <c r="BP707" s="33" t="s">
        <v>561</v>
      </c>
    </row>
    <row r="708" spans="1:70">
      <c r="A708" t="s">
        <v>598</v>
      </c>
      <c r="C708" t="s">
        <v>484</v>
      </c>
      <c r="E708" t="s">
        <v>485</v>
      </c>
      <c r="G708" t="s">
        <v>558</v>
      </c>
      <c r="H708" t="s">
        <v>559</v>
      </c>
      <c r="I708" t="s">
        <v>558</v>
      </c>
      <c r="J708" t="s">
        <v>559</v>
      </c>
      <c r="M708" t="s">
        <v>572</v>
      </c>
      <c r="V708">
        <v>2.65</v>
      </c>
      <c r="Y708">
        <v>3</v>
      </c>
      <c r="BJ708" t="s">
        <v>227</v>
      </c>
      <c r="BK708" t="s">
        <v>273</v>
      </c>
      <c r="BM708" t="s">
        <v>561</v>
      </c>
      <c r="BN708" s="33">
        <v>42892</v>
      </c>
      <c r="BO708" s="33" t="s">
        <v>174</v>
      </c>
      <c r="BP708" s="33" t="s">
        <v>561</v>
      </c>
    </row>
    <row r="709" spans="1:70" s="8" customFormat="1">
      <c r="A709" t="s">
        <v>599</v>
      </c>
      <c r="B709"/>
      <c r="C709" t="s">
        <v>484</v>
      </c>
      <c r="D709"/>
      <c r="E709" t="s">
        <v>485</v>
      </c>
      <c r="F709"/>
      <c r="G709" t="s">
        <v>558</v>
      </c>
      <c r="H709" t="s">
        <v>559</v>
      </c>
      <c r="I709" t="s">
        <v>558</v>
      </c>
      <c r="J709" t="s">
        <v>559</v>
      </c>
      <c r="K709"/>
      <c r="L709"/>
      <c r="M709" t="s">
        <v>572</v>
      </c>
      <c r="N709"/>
      <c r="O709"/>
      <c r="P709"/>
      <c r="Q709"/>
      <c r="R709"/>
      <c r="S709"/>
      <c r="T709"/>
      <c r="U709"/>
      <c r="V709"/>
      <c r="W709"/>
      <c r="X709"/>
      <c r="Y709"/>
      <c r="Z709">
        <v>2.2000000000000002</v>
      </c>
      <c r="AA709"/>
      <c r="AB709"/>
      <c r="AC709">
        <v>3</v>
      </c>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t="s">
        <v>227</v>
      </c>
      <c r="BK709" t="s">
        <v>273</v>
      </c>
      <c r="BL709"/>
      <c r="BM709" t="s">
        <v>561</v>
      </c>
      <c r="BN709" s="33">
        <v>42892</v>
      </c>
      <c r="BO709" s="33" t="s">
        <v>174</v>
      </c>
      <c r="BP709" t="s">
        <v>561</v>
      </c>
      <c r="BQ709"/>
      <c r="BR709"/>
    </row>
    <row r="710" spans="1:70">
      <c r="A710" t="s">
        <v>601</v>
      </c>
      <c r="C710" t="s">
        <v>484</v>
      </c>
      <c r="E710" t="s">
        <v>485</v>
      </c>
      <c r="G710" t="s">
        <v>558</v>
      </c>
      <c r="H710" t="s">
        <v>559</v>
      </c>
      <c r="I710" t="s">
        <v>558</v>
      </c>
      <c r="J710" t="s">
        <v>559</v>
      </c>
      <c r="M710" t="s">
        <v>572</v>
      </c>
      <c r="V710">
        <v>2.5</v>
      </c>
      <c r="Y710">
        <v>2.8</v>
      </c>
      <c r="BJ710" t="s">
        <v>227</v>
      </c>
      <c r="BK710" t="s">
        <v>273</v>
      </c>
      <c r="BM710" t="s">
        <v>561</v>
      </c>
      <c r="BN710" s="33">
        <v>42892</v>
      </c>
    </row>
    <row r="711" spans="1:70">
      <c r="A711" t="s">
        <v>602</v>
      </c>
      <c r="C711" t="s">
        <v>484</v>
      </c>
      <c r="E711" t="s">
        <v>485</v>
      </c>
      <c r="G711" t="s">
        <v>558</v>
      </c>
      <c r="H711" t="s">
        <v>559</v>
      </c>
      <c r="I711" t="s">
        <v>558</v>
      </c>
      <c r="J711" t="s">
        <v>559</v>
      </c>
      <c r="M711" t="s">
        <v>572</v>
      </c>
      <c r="V711">
        <v>2.6</v>
      </c>
      <c r="Y711">
        <v>2.7</v>
      </c>
      <c r="BJ711" t="s">
        <v>227</v>
      </c>
      <c r="BK711" t="s">
        <v>273</v>
      </c>
      <c r="BM711" t="s">
        <v>561</v>
      </c>
      <c r="BN711" s="33">
        <v>42892</v>
      </c>
    </row>
    <row r="712" spans="1:70">
      <c r="A712" t="s">
        <v>1261</v>
      </c>
      <c r="C712" t="s">
        <v>484</v>
      </c>
      <c r="E712" t="s">
        <v>485</v>
      </c>
      <c r="G712" t="s">
        <v>558</v>
      </c>
      <c r="H712" t="s">
        <v>559</v>
      </c>
      <c r="I712" t="s">
        <v>558</v>
      </c>
      <c r="J712" t="s">
        <v>559</v>
      </c>
      <c r="M712" t="s">
        <v>573</v>
      </c>
      <c r="AT712">
        <v>3</v>
      </c>
      <c r="AW712">
        <v>1.85</v>
      </c>
      <c r="AX712">
        <v>2.35</v>
      </c>
      <c r="AY712">
        <v>1.65</v>
      </c>
      <c r="AZ712">
        <v>1.7</v>
      </c>
      <c r="BA712">
        <v>1.7</v>
      </c>
      <c r="BB712">
        <v>2.4</v>
      </c>
      <c r="BC712">
        <v>2.15</v>
      </c>
      <c r="BD712">
        <v>2.1</v>
      </c>
      <c r="BE712">
        <v>2.15</v>
      </c>
      <c r="BF712">
        <v>2.5</v>
      </c>
      <c r="BG712">
        <v>1.6</v>
      </c>
      <c r="BH712">
        <v>1.4</v>
      </c>
      <c r="BI712">
        <v>1.6</v>
      </c>
      <c r="BK712" t="s">
        <v>273</v>
      </c>
      <c r="BM712" t="s">
        <v>561</v>
      </c>
      <c r="BN712" s="33">
        <v>42892</v>
      </c>
      <c r="BO712" t="s">
        <v>174</v>
      </c>
      <c r="BP712" t="s">
        <v>561</v>
      </c>
    </row>
    <row r="713" spans="1:70">
      <c r="A713" t="s">
        <v>1262</v>
      </c>
      <c r="C713" t="s">
        <v>484</v>
      </c>
      <c r="E713" t="s">
        <v>485</v>
      </c>
      <c r="G713" t="s">
        <v>558</v>
      </c>
      <c r="H713" t="s">
        <v>559</v>
      </c>
      <c r="I713" t="s">
        <v>558</v>
      </c>
      <c r="J713" t="s">
        <v>559</v>
      </c>
      <c r="M713" t="s">
        <v>573</v>
      </c>
      <c r="BB713">
        <v>2.4</v>
      </c>
      <c r="BC713">
        <v>1.9</v>
      </c>
      <c r="BD713">
        <v>1.95</v>
      </c>
      <c r="BE713">
        <v>1.95</v>
      </c>
      <c r="BK713" t="s">
        <v>273</v>
      </c>
      <c r="BM713" t="s">
        <v>561</v>
      </c>
      <c r="BN713" s="33">
        <v>42892</v>
      </c>
      <c r="BO713" t="s">
        <v>174</v>
      </c>
      <c r="BP713" t="s">
        <v>561</v>
      </c>
    </row>
    <row r="714" spans="1:70">
      <c r="A714" t="s">
        <v>560</v>
      </c>
      <c r="C714" t="s">
        <v>484</v>
      </c>
      <c r="E714" t="s">
        <v>485</v>
      </c>
      <c r="G714" t="s">
        <v>558</v>
      </c>
      <c r="H714" t="s">
        <v>559</v>
      </c>
      <c r="I714" t="s">
        <v>558</v>
      </c>
      <c r="J714" t="s">
        <v>559</v>
      </c>
      <c r="M714" t="s">
        <v>573</v>
      </c>
      <c r="AT714">
        <v>2.95</v>
      </c>
      <c r="AW714">
        <v>1.75</v>
      </c>
      <c r="AX714">
        <v>2.25</v>
      </c>
      <c r="AY714">
        <v>1.6</v>
      </c>
      <c r="AZ714">
        <v>1.7</v>
      </c>
      <c r="BA714">
        <v>1.7</v>
      </c>
      <c r="BB714">
        <v>2.7</v>
      </c>
      <c r="BC714" s="12">
        <v>2</v>
      </c>
      <c r="BD714" s="12">
        <v>1.9</v>
      </c>
      <c r="BE714">
        <v>2</v>
      </c>
      <c r="BF714">
        <v>2.6</v>
      </c>
      <c r="BG714">
        <v>1.6</v>
      </c>
      <c r="BH714">
        <v>1.35</v>
      </c>
      <c r="BI714">
        <v>1.6</v>
      </c>
      <c r="BK714" t="s">
        <v>273</v>
      </c>
      <c r="BM714" t="s">
        <v>561</v>
      </c>
      <c r="BN714" s="33">
        <v>42892</v>
      </c>
      <c r="BO714" t="s">
        <v>174</v>
      </c>
      <c r="BP714" t="s">
        <v>561</v>
      </c>
    </row>
    <row r="715" spans="1:70">
      <c r="A715" t="s">
        <v>563</v>
      </c>
      <c r="B715" t="s">
        <v>399</v>
      </c>
      <c r="C715" t="s">
        <v>484</v>
      </c>
      <c r="E715" t="s">
        <v>485</v>
      </c>
      <c r="G715" t="s">
        <v>558</v>
      </c>
      <c r="H715" t="s">
        <v>559</v>
      </c>
      <c r="I715" t="s">
        <v>558</v>
      </c>
      <c r="J715" t="s">
        <v>559</v>
      </c>
      <c r="M715" t="s">
        <v>573</v>
      </c>
      <c r="AT715">
        <v>2.8</v>
      </c>
      <c r="AW715">
        <v>1.8</v>
      </c>
      <c r="AX715">
        <v>2.2999999999999998</v>
      </c>
      <c r="AY715">
        <v>1.7</v>
      </c>
      <c r="AZ715">
        <v>1.8</v>
      </c>
      <c r="BA715">
        <v>1.8</v>
      </c>
      <c r="BB715">
        <v>2.2999999999999998</v>
      </c>
      <c r="BC715">
        <v>2.0499999999999998</v>
      </c>
      <c r="BD715">
        <v>1.95</v>
      </c>
      <c r="BE715">
        <v>2.0499999999999998</v>
      </c>
      <c r="BF715">
        <v>2.5</v>
      </c>
      <c r="BG715">
        <v>1.7</v>
      </c>
      <c r="BH715">
        <v>1.4</v>
      </c>
      <c r="BI715">
        <v>1.7</v>
      </c>
      <c r="BK715" t="s">
        <v>273</v>
      </c>
      <c r="BM715" t="s">
        <v>561</v>
      </c>
      <c r="BN715" s="33">
        <v>42892</v>
      </c>
    </row>
    <row r="716" spans="1:70">
      <c r="A716" t="s">
        <v>564</v>
      </c>
      <c r="C716" t="s">
        <v>484</v>
      </c>
      <c r="E716" t="s">
        <v>485</v>
      </c>
      <c r="G716" t="s">
        <v>558</v>
      </c>
      <c r="H716" t="s">
        <v>559</v>
      </c>
      <c r="I716" t="s">
        <v>558</v>
      </c>
      <c r="J716" t="s">
        <v>559</v>
      </c>
      <c r="M716" t="s">
        <v>573</v>
      </c>
      <c r="AT716">
        <v>2.9</v>
      </c>
      <c r="AW716">
        <v>1.7</v>
      </c>
      <c r="BK716" t="s">
        <v>273</v>
      </c>
      <c r="BM716" t="s">
        <v>561</v>
      </c>
      <c r="BN716" s="33">
        <v>42892</v>
      </c>
    </row>
    <row r="717" spans="1:70">
      <c r="A717" t="s">
        <v>565</v>
      </c>
      <c r="C717" t="s">
        <v>484</v>
      </c>
      <c r="E717" t="s">
        <v>485</v>
      </c>
      <c r="G717" t="s">
        <v>558</v>
      </c>
      <c r="H717" t="s">
        <v>559</v>
      </c>
      <c r="I717" t="s">
        <v>558</v>
      </c>
      <c r="J717" s="3" t="s">
        <v>559</v>
      </c>
      <c r="M717" t="s">
        <v>573</v>
      </c>
      <c r="BB717">
        <v>2.4500000000000002</v>
      </c>
      <c r="BC717">
        <v>1.95</v>
      </c>
      <c r="BD717">
        <v>1.9</v>
      </c>
      <c r="BE717">
        <v>1.95</v>
      </c>
      <c r="BK717" t="s">
        <v>273</v>
      </c>
      <c r="BM717" t="s">
        <v>561</v>
      </c>
      <c r="BN717" s="33">
        <v>42892</v>
      </c>
    </row>
    <row r="718" spans="1:70">
      <c r="A718" t="s">
        <v>566</v>
      </c>
      <c r="C718" t="s">
        <v>484</v>
      </c>
      <c r="E718" t="s">
        <v>485</v>
      </c>
      <c r="G718" t="s">
        <v>558</v>
      </c>
      <c r="H718" t="s">
        <v>559</v>
      </c>
      <c r="I718" t="s">
        <v>558</v>
      </c>
      <c r="J718" s="3" t="s">
        <v>559</v>
      </c>
      <c r="M718" t="s">
        <v>573</v>
      </c>
      <c r="BB718">
        <v>2.4</v>
      </c>
      <c r="BC718">
        <v>2</v>
      </c>
      <c r="BD718">
        <v>2</v>
      </c>
      <c r="BE718">
        <v>2</v>
      </c>
      <c r="BK718" t="s">
        <v>273</v>
      </c>
      <c r="BM718" t="s">
        <v>561</v>
      </c>
      <c r="BN718" s="33">
        <v>42892</v>
      </c>
    </row>
    <row r="719" spans="1:70">
      <c r="A719" t="s">
        <v>567</v>
      </c>
      <c r="C719" t="s">
        <v>484</v>
      </c>
      <c r="E719" t="s">
        <v>485</v>
      </c>
      <c r="G719" t="s">
        <v>558</v>
      </c>
      <c r="H719" t="s">
        <v>559</v>
      </c>
      <c r="I719" t="s">
        <v>558</v>
      </c>
      <c r="J719" s="3" t="s">
        <v>559</v>
      </c>
      <c r="M719" t="s">
        <v>573</v>
      </c>
      <c r="AP719">
        <v>1.8</v>
      </c>
      <c r="AS719">
        <v>1.1499999999999999</v>
      </c>
      <c r="BJ719" t="s">
        <v>570</v>
      </c>
      <c r="BK719" t="s">
        <v>273</v>
      </c>
      <c r="BM719" t="s">
        <v>561</v>
      </c>
      <c r="BN719" s="33">
        <v>42892</v>
      </c>
    </row>
    <row r="720" spans="1:70">
      <c r="A720" t="s">
        <v>568</v>
      </c>
      <c r="C720" t="s">
        <v>484</v>
      </c>
      <c r="E720" t="s">
        <v>485</v>
      </c>
      <c r="G720" t="s">
        <v>558</v>
      </c>
      <c r="H720" t="s">
        <v>559</v>
      </c>
      <c r="I720" t="s">
        <v>558</v>
      </c>
      <c r="J720" s="3" t="s">
        <v>559</v>
      </c>
      <c r="M720" t="s">
        <v>573</v>
      </c>
      <c r="AX720">
        <v>2.2000000000000002</v>
      </c>
      <c r="AY720">
        <v>1.5</v>
      </c>
      <c r="AZ720">
        <v>1.6</v>
      </c>
      <c r="BA720">
        <v>1.6</v>
      </c>
      <c r="BK720" t="s">
        <v>273</v>
      </c>
      <c r="BM720" t="s">
        <v>561</v>
      </c>
      <c r="BN720" s="33">
        <v>42892</v>
      </c>
    </row>
    <row r="721" spans="1:70">
      <c r="A721" t="s">
        <v>569</v>
      </c>
      <c r="C721" t="s">
        <v>484</v>
      </c>
      <c r="E721" t="s">
        <v>485</v>
      </c>
      <c r="G721" t="s">
        <v>558</v>
      </c>
      <c r="H721" t="s">
        <v>559</v>
      </c>
      <c r="I721" t="s">
        <v>558</v>
      </c>
      <c r="J721" s="3" t="s">
        <v>559</v>
      </c>
      <c r="M721" t="s">
        <v>573</v>
      </c>
      <c r="BB721">
        <v>2.4500000000000002</v>
      </c>
      <c r="BC721">
        <v>1.95</v>
      </c>
      <c r="BD721">
        <v>1.95</v>
      </c>
      <c r="BE721">
        <v>1.95</v>
      </c>
      <c r="BF721">
        <v>2.5</v>
      </c>
      <c r="BG721">
        <v>1.7</v>
      </c>
      <c r="BH721">
        <v>1.4</v>
      </c>
      <c r="BI721">
        <v>1.7</v>
      </c>
      <c r="BK721" t="s">
        <v>273</v>
      </c>
      <c r="BM721" t="s">
        <v>561</v>
      </c>
      <c r="BN721" s="33">
        <v>42892</v>
      </c>
    </row>
    <row r="722" spans="1:70">
      <c r="A722" t="s">
        <v>597</v>
      </c>
      <c r="C722" t="s">
        <v>484</v>
      </c>
      <c r="E722" t="s">
        <v>485</v>
      </c>
      <c r="G722" t="s">
        <v>558</v>
      </c>
      <c r="H722" t="s">
        <v>559</v>
      </c>
      <c r="I722" t="s">
        <v>558</v>
      </c>
      <c r="J722" t="s">
        <v>559</v>
      </c>
      <c r="M722" t="s">
        <v>573</v>
      </c>
      <c r="Z722">
        <v>2.0499999999999998</v>
      </c>
      <c r="AC722">
        <v>3.35</v>
      </c>
      <c r="BJ722" t="s">
        <v>600</v>
      </c>
      <c r="BK722" t="s">
        <v>273</v>
      </c>
      <c r="BM722" t="s">
        <v>561</v>
      </c>
      <c r="BN722" s="33">
        <v>42892</v>
      </c>
    </row>
    <row r="723" spans="1:70">
      <c r="A723" t="s">
        <v>603</v>
      </c>
      <c r="C723" t="s">
        <v>484</v>
      </c>
      <c r="E723" t="s">
        <v>485</v>
      </c>
      <c r="G723" t="s">
        <v>558</v>
      </c>
      <c r="H723" t="s">
        <v>575</v>
      </c>
      <c r="I723" t="s">
        <v>558</v>
      </c>
      <c r="J723" t="s">
        <v>575</v>
      </c>
      <c r="M723" t="s">
        <v>576</v>
      </c>
      <c r="Z723">
        <v>2.2999999999999998</v>
      </c>
      <c r="AC723">
        <v>3.55</v>
      </c>
      <c r="BJ723" t="s">
        <v>227</v>
      </c>
      <c r="BK723" t="s">
        <v>273</v>
      </c>
      <c r="BM723" t="s">
        <v>561</v>
      </c>
      <c r="BN723" s="33">
        <v>42892</v>
      </c>
    </row>
    <row r="724" spans="1:70">
      <c r="A724" t="s">
        <v>577</v>
      </c>
      <c r="C724" t="s">
        <v>484</v>
      </c>
      <c r="E724" t="s">
        <v>485</v>
      </c>
      <c r="G724" t="s">
        <v>558</v>
      </c>
      <c r="H724" t="s">
        <v>575</v>
      </c>
      <c r="I724" t="s">
        <v>558</v>
      </c>
      <c r="J724" t="s">
        <v>575</v>
      </c>
      <c r="M724" t="s">
        <v>576</v>
      </c>
      <c r="AT724">
        <v>2.7</v>
      </c>
      <c r="AW724">
        <v>1.4</v>
      </c>
      <c r="BK724" t="s">
        <v>273</v>
      </c>
      <c r="BM724" t="s">
        <v>561</v>
      </c>
      <c r="BN724" s="33">
        <v>42892</v>
      </c>
    </row>
    <row r="725" spans="1:70">
      <c r="A725" t="s">
        <v>578</v>
      </c>
      <c r="C725" t="s">
        <v>484</v>
      </c>
      <c r="E725" t="s">
        <v>485</v>
      </c>
      <c r="G725" t="s">
        <v>558</v>
      </c>
      <c r="H725" t="s">
        <v>575</v>
      </c>
      <c r="I725" t="s">
        <v>558</v>
      </c>
      <c r="J725" t="s">
        <v>575</v>
      </c>
      <c r="M725" t="s">
        <v>576</v>
      </c>
      <c r="BB725">
        <v>2.5</v>
      </c>
      <c r="BC725">
        <v>2.1</v>
      </c>
      <c r="BD725">
        <v>1.95</v>
      </c>
      <c r="BE725">
        <v>2.1</v>
      </c>
      <c r="BK725" t="s">
        <v>273</v>
      </c>
      <c r="BM725" t="s">
        <v>561</v>
      </c>
      <c r="BN725" s="33">
        <v>42892</v>
      </c>
    </row>
    <row r="726" spans="1:70" s="10" customFormat="1">
      <c r="A726" t="s">
        <v>604</v>
      </c>
      <c r="B726"/>
      <c r="C726" t="s">
        <v>484</v>
      </c>
      <c r="D726"/>
      <c r="E726" t="s">
        <v>485</v>
      </c>
      <c r="F726"/>
      <c r="G726" t="s">
        <v>558</v>
      </c>
      <c r="H726" t="s">
        <v>575</v>
      </c>
      <c r="I726" t="s">
        <v>558</v>
      </c>
      <c r="J726" t="s">
        <v>575</v>
      </c>
      <c r="K726"/>
      <c r="L726"/>
      <c r="M726" t="s">
        <v>576</v>
      </c>
      <c r="N726"/>
      <c r="O726"/>
      <c r="P726"/>
      <c r="Q726"/>
      <c r="R726"/>
      <c r="S726"/>
      <c r="T726"/>
      <c r="U726"/>
      <c r="V726"/>
      <c r="W726"/>
      <c r="X726"/>
      <c r="Y726"/>
      <c r="Z726">
        <v>2.2999999999999998</v>
      </c>
      <c r="AA726"/>
      <c r="AB726"/>
      <c r="AC726">
        <v>3.55</v>
      </c>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t="s">
        <v>227</v>
      </c>
      <c r="BK726" t="s">
        <v>273</v>
      </c>
      <c r="BL726"/>
      <c r="BM726" t="s">
        <v>561</v>
      </c>
      <c r="BN726" s="33">
        <v>42892</v>
      </c>
      <c r="BO726"/>
      <c r="BP726"/>
      <c r="BQ726"/>
      <c r="BR726"/>
    </row>
    <row r="727" spans="1:70">
      <c r="A727" t="s">
        <v>605</v>
      </c>
      <c r="C727" t="s">
        <v>484</v>
      </c>
      <c r="E727" t="s">
        <v>485</v>
      </c>
      <c r="G727" t="s">
        <v>558</v>
      </c>
      <c r="H727" t="s">
        <v>575</v>
      </c>
      <c r="I727" t="s">
        <v>558</v>
      </c>
      <c r="J727" t="s">
        <v>575</v>
      </c>
      <c r="M727" t="s">
        <v>576</v>
      </c>
      <c r="V727">
        <v>2.4500000000000002</v>
      </c>
      <c r="Y727">
        <v>2.95</v>
      </c>
      <c r="BK727" t="s">
        <v>273</v>
      </c>
      <c r="BM727" t="s">
        <v>561</v>
      </c>
      <c r="BN727" s="33">
        <v>42892</v>
      </c>
    </row>
    <row r="728" spans="1:70">
      <c r="A728" t="s">
        <v>579</v>
      </c>
      <c r="C728" t="s">
        <v>484</v>
      </c>
      <c r="E728" t="s">
        <v>485</v>
      </c>
      <c r="G728" t="s">
        <v>558</v>
      </c>
      <c r="H728" t="s">
        <v>575</v>
      </c>
      <c r="I728" t="s">
        <v>558</v>
      </c>
      <c r="J728" t="s">
        <v>575</v>
      </c>
      <c r="M728" t="s">
        <v>576</v>
      </c>
      <c r="AW728">
        <v>1.55</v>
      </c>
      <c r="BK728" t="s">
        <v>273</v>
      </c>
      <c r="BM728" t="s">
        <v>561</v>
      </c>
      <c r="BN728" s="33">
        <v>42892</v>
      </c>
    </row>
    <row r="729" spans="1:70">
      <c r="A729" t="s">
        <v>580</v>
      </c>
      <c r="C729" t="s">
        <v>484</v>
      </c>
      <c r="E729" t="s">
        <v>485</v>
      </c>
      <c r="G729" t="s">
        <v>558</v>
      </c>
      <c r="H729" t="s">
        <v>575</v>
      </c>
      <c r="I729" t="s">
        <v>558</v>
      </c>
      <c r="J729" t="s">
        <v>575</v>
      </c>
      <c r="M729" t="s">
        <v>576</v>
      </c>
      <c r="AT729">
        <v>2.5</v>
      </c>
      <c r="AW729">
        <v>1.5</v>
      </c>
      <c r="BK729" t="s">
        <v>273</v>
      </c>
      <c r="BM729" t="s">
        <v>561</v>
      </c>
      <c r="BN729" s="33">
        <v>42892</v>
      </c>
      <c r="BO729" t="s">
        <v>174</v>
      </c>
      <c r="BP729" t="s">
        <v>561</v>
      </c>
    </row>
    <row r="730" spans="1:70">
      <c r="A730" t="s">
        <v>606</v>
      </c>
      <c r="C730" t="s">
        <v>484</v>
      </c>
      <c r="E730" t="s">
        <v>485</v>
      </c>
      <c r="G730" t="s">
        <v>558</v>
      </c>
      <c r="H730" t="s">
        <v>575</v>
      </c>
      <c r="I730" t="s">
        <v>558</v>
      </c>
      <c r="J730" t="s">
        <v>575</v>
      </c>
      <c r="M730" t="s">
        <v>576</v>
      </c>
      <c r="Z730">
        <v>2.2999999999999998</v>
      </c>
      <c r="BJ730" t="s">
        <v>227</v>
      </c>
      <c r="BK730" t="s">
        <v>273</v>
      </c>
      <c r="BM730" t="s">
        <v>561</v>
      </c>
      <c r="BN730" s="33">
        <v>42892</v>
      </c>
      <c r="BO730" s="33" t="s">
        <v>174</v>
      </c>
      <c r="BP730" s="33" t="s">
        <v>561</v>
      </c>
    </row>
    <row r="731" spans="1:70">
      <c r="A731" t="s">
        <v>581</v>
      </c>
      <c r="C731" t="s">
        <v>484</v>
      </c>
      <c r="E731" t="s">
        <v>485</v>
      </c>
      <c r="G731" t="s">
        <v>558</v>
      </c>
      <c r="H731" t="s">
        <v>575</v>
      </c>
      <c r="I731" t="s">
        <v>558</v>
      </c>
      <c r="J731" t="s">
        <v>575</v>
      </c>
      <c r="M731" t="s">
        <v>576</v>
      </c>
      <c r="AW731">
        <v>1.65</v>
      </c>
      <c r="BK731" t="s">
        <v>273</v>
      </c>
      <c r="BM731" t="s">
        <v>561</v>
      </c>
      <c r="BN731" s="33">
        <v>42892</v>
      </c>
    </row>
    <row r="732" spans="1:70">
      <c r="A732" t="s">
        <v>582</v>
      </c>
      <c r="C732" t="s">
        <v>484</v>
      </c>
      <c r="E732" t="s">
        <v>485</v>
      </c>
      <c r="G732" t="s">
        <v>558</v>
      </c>
      <c r="H732" t="s">
        <v>575</v>
      </c>
      <c r="I732" t="s">
        <v>558</v>
      </c>
      <c r="J732" t="s">
        <v>575</v>
      </c>
      <c r="M732" t="s">
        <v>576</v>
      </c>
      <c r="AY732">
        <v>1.5</v>
      </c>
      <c r="BA732">
        <v>1.5</v>
      </c>
      <c r="BK732" t="s">
        <v>273</v>
      </c>
      <c r="BM732" t="s">
        <v>561</v>
      </c>
      <c r="BN732" s="33">
        <v>42892</v>
      </c>
    </row>
    <row r="733" spans="1:70">
      <c r="A733" t="s">
        <v>583</v>
      </c>
      <c r="C733" t="s">
        <v>484</v>
      </c>
      <c r="E733" t="s">
        <v>485</v>
      </c>
      <c r="G733" t="s">
        <v>558</v>
      </c>
      <c r="H733" t="s">
        <v>575</v>
      </c>
      <c r="I733" t="s">
        <v>558</v>
      </c>
      <c r="J733" t="s">
        <v>575</v>
      </c>
      <c r="M733" t="s">
        <v>576</v>
      </c>
      <c r="BG733">
        <v>1.4</v>
      </c>
      <c r="BI733">
        <v>1.4</v>
      </c>
      <c r="BK733" t="s">
        <v>273</v>
      </c>
      <c r="BM733" t="s">
        <v>561</v>
      </c>
      <c r="BN733" s="33">
        <v>42892</v>
      </c>
    </row>
    <row r="734" spans="1:70">
      <c r="A734" t="s">
        <v>584</v>
      </c>
      <c r="C734" t="s">
        <v>484</v>
      </c>
      <c r="E734" t="s">
        <v>485</v>
      </c>
      <c r="G734" t="s">
        <v>558</v>
      </c>
      <c r="H734" t="s">
        <v>575</v>
      </c>
      <c r="I734" t="s">
        <v>558</v>
      </c>
      <c r="J734" t="s">
        <v>575</v>
      </c>
      <c r="M734" t="s">
        <v>576</v>
      </c>
      <c r="BB734">
        <v>2.2999999999999998</v>
      </c>
      <c r="BC734">
        <v>1.9</v>
      </c>
      <c r="BD734">
        <v>1.8</v>
      </c>
      <c r="BE734">
        <v>1.9</v>
      </c>
      <c r="BK734" t="s">
        <v>273</v>
      </c>
      <c r="BM734" t="s">
        <v>561</v>
      </c>
      <c r="BN734" s="33">
        <v>42892</v>
      </c>
    </row>
    <row r="735" spans="1:70">
      <c r="A735" t="s">
        <v>607</v>
      </c>
      <c r="C735" t="s">
        <v>484</v>
      </c>
      <c r="E735" t="s">
        <v>485</v>
      </c>
      <c r="G735" t="s">
        <v>558</v>
      </c>
      <c r="H735" t="s">
        <v>575</v>
      </c>
      <c r="I735" t="s">
        <v>558</v>
      </c>
      <c r="J735" t="s">
        <v>575</v>
      </c>
      <c r="M735" t="s">
        <v>576</v>
      </c>
      <c r="V735">
        <v>2.15</v>
      </c>
      <c r="Y735">
        <v>2.5499999999999998</v>
      </c>
      <c r="BK735" t="s">
        <v>273</v>
      </c>
      <c r="BM735" t="s">
        <v>561</v>
      </c>
      <c r="BN735" s="33">
        <v>42892</v>
      </c>
    </row>
    <row r="736" spans="1:70">
      <c r="A736" t="s">
        <v>585</v>
      </c>
      <c r="C736" t="s">
        <v>484</v>
      </c>
      <c r="E736" t="s">
        <v>485</v>
      </c>
      <c r="G736" t="s">
        <v>558</v>
      </c>
      <c r="H736" t="s">
        <v>575</v>
      </c>
      <c r="I736" t="s">
        <v>558</v>
      </c>
      <c r="J736" t="s">
        <v>575</v>
      </c>
      <c r="M736" t="s">
        <v>576</v>
      </c>
      <c r="BG736">
        <v>1.4</v>
      </c>
      <c r="BI736">
        <v>1.4</v>
      </c>
      <c r="BK736" t="s">
        <v>273</v>
      </c>
      <c r="BM736" t="s">
        <v>561</v>
      </c>
      <c r="BN736" s="33">
        <v>42892</v>
      </c>
    </row>
    <row r="737" spans="1:68">
      <c r="A737" t="s">
        <v>586</v>
      </c>
      <c r="C737" t="s">
        <v>484</v>
      </c>
      <c r="E737" t="s">
        <v>485</v>
      </c>
      <c r="G737" t="s">
        <v>558</v>
      </c>
      <c r="H737" t="s">
        <v>575</v>
      </c>
      <c r="I737" t="s">
        <v>558</v>
      </c>
      <c r="J737" t="s">
        <v>575</v>
      </c>
      <c r="M737" t="s">
        <v>576</v>
      </c>
      <c r="AT737">
        <v>2.75</v>
      </c>
      <c r="AW737">
        <v>1.55</v>
      </c>
      <c r="BK737" t="s">
        <v>273</v>
      </c>
      <c r="BM737" t="s">
        <v>561</v>
      </c>
      <c r="BN737" s="33">
        <v>42892</v>
      </c>
    </row>
    <row r="738" spans="1:68">
      <c r="A738" t="s">
        <v>587</v>
      </c>
      <c r="C738" t="s">
        <v>484</v>
      </c>
      <c r="E738" t="s">
        <v>485</v>
      </c>
      <c r="G738" t="s">
        <v>558</v>
      </c>
      <c r="H738" t="s">
        <v>575</v>
      </c>
      <c r="I738" t="s">
        <v>558</v>
      </c>
      <c r="J738" t="s">
        <v>575</v>
      </c>
      <c r="M738" t="s">
        <v>576</v>
      </c>
      <c r="BB738">
        <v>2.5499999999999998</v>
      </c>
      <c r="BC738">
        <v>2</v>
      </c>
      <c r="BD738">
        <v>1.9</v>
      </c>
      <c r="BE738">
        <v>2</v>
      </c>
      <c r="BK738" t="s">
        <v>273</v>
      </c>
      <c r="BM738" t="s">
        <v>561</v>
      </c>
      <c r="BN738" s="33">
        <v>42892</v>
      </c>
      <c r="BO738" t="s">
        <v>174</v>
      </c>
      <c r="BP738" t="s">
        <v>561</v>
      </c>
    </row>
    <row r="739" spans="1:68">
      <c r="A739" t="s">
        <v>588</v>
      </c>
      <c r="C739" t="s">
        <v>484</v>
      </c>
      <c r="E739" t="s">
        <v>485</v>
      </c>
      <c r="G739" t="s">
        <v>558</v>
      </c>
      <c r="H739" t="s">
        <v>575</v>
      </c>
      <c r="I739" t="s">
        <v>558</v>
      </c>
      <c r="J739" t="s">
        <v>575</v>
      </c>
      <c r="M739" t="s">
        <v>576</v>
      </c>
      <c r="AT739">
        <v>2.9</v>
      </c>
      <c r="AW739">
        <v>1.7</v>
      </c>
      <c r="BK739" t="s">
        <v>273</v>
      </c>
      <c r="BM739" t="s">
        <v>561</v>
      </c>
      <c r="BN739" s="33">
        <v>42892</v>
      </c>
    </row>
    <row r="740" spans="1:68">
      <c r="A740" t="s">
        <v>608</v>
      </c>
      <c r="C740" t="s">
        <v>484</v>
      </c>
      <c r="E740" t="s">
        <v>485</v>
      </c>
      <c r="G740" t="s">
        <v>558</v>
      </c>
      <c r="H740" t="s">
        <v>575</v>
      </c>
      <c r="I740" t="s">
        <v>558</v>
      </c>
      <c r="J740" t="s">
        <v>575</v>
      </c>
      <c r="M740" t="s">
        <v>576</v>
      </c>
      <c r="Z740">
        <v>2.2000000000000002</v>
      </c>
      <c r="AC740">
        <v>3.1</v>
      </c>
      <c r="BJ740" t="s">
        <v>227</v>
      </c>
      <c r="BK740" t="s">
        <v>273</v>
      </c>
      <c r="BM740" t="s">
        <v>561</v>
      </c>
      <c r="BN740" s="33">
        <v>42892</v>
      </c>
      <c r="BO740" s="33" t="s">
        <v>174</v>
      </c>
      <c r="BP740" s="33" t="s">
        <v>561</v>
      </c>
    </row>
    <row r="741" spans="1:68">
      <c r="A741" t="s">
        <v>589</v>
      </c>
      <c r="C741" t="s">
        <v>484</v>
      </c>
      <c r="E741" t="s">
        <v>485</v>
      </c>
      <c r="G741" t="s">
        <v>558</v>
      </c>
      <c r="H741" t="s">
        <v>575</v>
      </c>
      <c r="I741" t="s">
        <v>558</v>
      </c>
      <c r="J741" t="s">
        <v>575</v>
      </c>
      <c r="M741" t="s">
        <v>576</v>
      </c>
      <c r="AX741">
        <v>2.0499999999999998</v>
      </c>
      <c r="AY741">
        <v>1.45</v>
      </c>
      <c r="AZ741">
        <v>1.5</v>
      </c>
      <c r="BA741">
        <v>1.5</v>
      </c>
      <c r="BK741" t="s">
        <v>273</v>
      </c>
      <c r="BM741" t="s">
        <v>561</v>
      </c>
      <c r="BN741" s="33">
        <v>42892</v>
      </c>
      <c r="BO741" t="s">
        <v>174</v>
      </c>
      <c r="BP741" t="s">
        <v>561</v>
      </c>
    </row>
    <row r="742" spans="1:68">
      <c r="A742" t="s">
        <v>590</v>
      </c>
      <c r="C742" t="s">
        <v>484</v>
      </c>
      <c r="E742" t="s">
        <v>485</v>
      </c>
      <c r="G742" t="s">
        <v>558</v>
      </c>
      <c r="H742" t="s">
        <v>575</v>
      </c>
      <c r="I742" t="s">
        <v>558</v>
      </c>
      <c r="J742" t="s">
        <v>575</v>
      </c>
      <c r="M742" t="s">
        <v>576</v>
      </c>
      <c r="AX742">
        <v>2.2000000000000002</v>
      </c>
      <c r="AY742">
        <v>1.4</v>
      </c>
      <c r="AZ742">
        <v>1.65</v>
      </c>
      <c r="BA742">
        <v>1.65</v>
      </c>
      <c r="BK742" t="s">
        <v>273</v>
      </c>
      <c r="BM742" t="s">
        <v>561</v>
      </c>
      <c r="BN742" s="33">
        <v>42892</v>
      </c>
    </row>
    <row r="743" spans="1:68">
      <c r="A743" t="s">
        <v>574</v>
      </c>
      <c r="C743" t="s">
        <v>484</v>
      </c>
      <c r="E743" t="s">
        <v>485</v>
      </c>
      <c r="G743" t="s">
        <v>558</v>
      </c>
      <c r="H743" t="s">
        <v>575</v>
      </c>
      <c r="I743" t="s">
        <v>558</v>
      </c>
      <c r="J743" t="s">
        <v>575</v>
      </c>
      <c r="M743" t="s">
        <v>576</v>
      </c>
      <c r="AT743">
        <v>2.4</v>
      </c>
      <c r="AW743">
        <v>1.45</v>
      </c>
      <c r="BK743" t="s">
        <v>273</v>
      </c>
      <c r="BM743" t="s">
        <v>561</v>
      </c>
      <c r="BN743" s="33">
        <v>42892</v>
      </c>
      <c r="BO743" t="s">
        <v>174</v>
      </c>
      <c r="BP743" t="s">
        <v>561</v>
      </c>
    </row>
    <row r="744" spans="1:68">
      <c r="A744" t="s">
        <v>591</v>
      </c>
      <c r="C744" t="s">
        <v>484</v>
      </c>
      <c r="E744" t="s">
        <v>485</v>
      </c>
      <c r="G744" t="s">
        <v>558</v>
      </c>
      <c r="H744" t="s">
        <v>575</v>
      </c>
      <c r="I744" t="s">
        <v>558</v>
      </c>
      <c r="J744" t="s">
        <v>575</v>
      </c>
      <c r="M744" t="s">
        <v>576</v>
      </c>
      <c r="BG744">
        <v>1.5</v>
      </c>
      <c r="BI744">
        <v>1.5</v>
      </c>
      <c r="BK744" t="s">
        <v>273</v>
      </c>
      <c r="BM744" t="s">
        <v>561</v>
      </c>
      <c r="BN744" s="33">
        <v>42892</v>
      </c>
    </row>
    <row r="745" spans="1:68">
      <c r="A745" t="s">
        <v>609</v>
      </c>
      <c r="C745" t="s">
        <v>484</v>
      </c>
      <c r="E745" t="s">
        <v>485</v>
      </c>
      <c r="G745" t="s">
        <v>558</v>
      </c>
      <c r="H745" t="s">
        <v>575</v>
      </c>
      <c r="I745" t="s">
        <v>558</v>
      </c>
      <c r="J745" t="s">
        <v>575</v>
      </c>
      <c r="M745" t="s">
        <v>576</v>
      </c>
      <c r="AC745">
        <v>3.3</v>
      </c>
      <c r="BJ745" t="s">
        <v>227</v>
      </c>
      <c r="BK745" t="s">
        <v>273</v>
      </c>
      <c r="BM745" t="s">
        <v>561</v>
      </c>
      <c r="BN745" s="33">
        <v>42892</v>
      </c>
      <c r="BO745" s="33" t="s">
        <v>174</v>
      </c>
      <c r="BP745" s="33" t="s">
        <v>561</v>
      </c>
    </row>
    <row r="746" spans="1:68">
      <c r="A746" t="s">
        <v>592</v>
      </c>
      <c r="C746" t="s">
        <v>484</v>
      </c>
      <c r="E746" t="s">
        <v>485</v>
      </c>
      <c r="G746" t="s">
        <v>558</v>
      </c>
      <c r="H746" t="s">
        <v>575</v>
      </c>
      <c r="I746" t="s">
        <v>558</v>
      </c>
      <c r="J746" t="s">
        <v>575</v>
      </c>
      <c r="M746" t="s">
        <v>576</v>
      </c>
      <c r="BG746">
        <v>1.4</v>
      </c>
      <c r="BI746">
        <v>1.4</v>
      </c>
      <c r="BK746" t="s">
        <v>273</v>
      </c>
      <c r="BM746" t="s">
        <v>561</v>
      </c>
      <c r="BN746" s="33">
        <v>42892</v>
      </c>
      <c r="BO746" t="s">
        <v>174</v>
      </c>
      <c r="BP746" t="s">
        <v>561</v>
      </c>
    </row>
    <row r="747" spans="1:68">
      <c r="A747" t="s">
        <v>593</v>
      </c>
      <c r="C747" t="s">
        <v>484</v>
      </c>
      <c r="E747" t="s">
        <v>485</v>
      </c>
      <c r="G747" t="s">
        <v>558</v>
      </c>
      <c r="H747" t="s">
        <v>575</v>
      </c>
      <c r="I747" t="s">
        <v>558</v>
      </c>
      <c r="J747" t="s">
        <v>575</v>
      </c>
      <c r="M747" t="s">
        <v>576</v>
      </c>
      <c r="BD747">
        <v>1.55</v>
      </c>
      <c r="BE747">
        <v>1.55</v>
      </c>
      <c r="BK747" t="s">
        <v>273</v>
      </c>
      <c r="BM747" t="s">
        <v>561</v>
      </c>
      <c r="BN747" s="33">
        <v>42892</v>
      </c>
    </row>
    <row r="748" spans="1:68">
      <c r="A748" t="s">
        <v>610</v>
      </c>
      <c r="C748" s="12" t="s">
        <v>484</v>
      </c>
      <c r="D748" s="12"/>
      <c r="E748" s="12" t="s">
        <v>485</v>
      </c>
      <c r="F748" s="12"/>
      <c r="G748" s="12" t="s">
        <v>558</v>
      </c>
      <c r="H748" s="12" t="s">
        <v>575</v>
      </c>
      <c r="I748" s="12" t="s">
        <v>558</v>
      </c>
      <c r="J748" s="12" t="s">
        <v>575</v>
      </c>
      <c r="K748" s="12"/>
      <c r="L748" s="12"/>
      <c r="M748" s="12" t="s">
        <v>576</v>
      </c>
      <c r="Z748">
        <v>2.2999999999999998</v>
      </c>
      <c r="AC748">
        <v>3.4</v>
      </c>
      <c r="BJ748" t="s">
        <v>227</v>
      </c>
      <c r="BK748" t="s">
        <v>273</v>
      </c>
      <c r="BM748" t="s">
        <v>561</v>
      </c>
      <c r="BN748" s="33">
        <v>42892</v>
      </c>
      <c r="BO748" s="33" t="s">
        <v>174</v>
      </c>
      <c r="BP748" s="33" t="s">
        <v>561</v>
      </c>
    </row>
    <row r="749" spans="1:68">
      <c r="A749" t="s">
        <v>594</v>
      </c>
      <c r="C749" t="s">
        <v>484</v>
      </c>
      <c r="E749" t="s">
        <v>485</v>
      </c>
      <c r="G749" t="s">
        <v>558</v>
      </c>
      <c r="H749" t="s">
        <v>611</v>
      </c>
      <c r="I749" t="s">
        <v>558</v>
      </c>
      <c r="J749" t="s">
        <v>611</v>
      </c>
      <c r="M749" t="s">
        <v>595</v>
      </c>
      <c r="AT749">
        <v>2.2999999999999998</v>
      </c>
      <c r="AW749">
        <v>1.3</v>
      </c>
      <c r="BK749" t="s">
        <v>273</v>
      </c>
      <c r="BM749" t="s">
        <v>561</v>
      </c>
      <c r="BN749" s="33">
        <v>42892</v>
      </c>
      <c r="BO749" t="s">
        <v>174</v>
      </c>
      <c r="BP749" t="s">
        <v>561</v>
      </c>
    </row>
    <row r="750" spans="1:68" s="14" customFormat="1">
      <c r="A750" s="14" t="s">
        <v>1263</v>
      </c>
      <c r="I750" s="14" t="s">
        <v>1265</v>
      </c>
      <c r="J750" s="14" t="s">
        <v>1266</v>
      </c>
      <c r="BK750" s="14" t="s">
        <v>273</v>
      </c>
      <c r="BM750" s="14" t="s">
        <v>561</v>
      </c>
      <c r="BN750" s="34">
        <v>42892</v>
      </c>
      <c r="BO750" s="14" t="s">
        <v>174</v>
      </c>
      <c r="BP750" s="14" t="s">
        <v>561</v>
      </c>
    </row>
    <row r="751" spans="1:68" s="14" customFormat="1">
      <c r="A751" s="14" t="s">
        <v>1264</v>
      </c>
      <c r="I751" s="14" t="s">
        <v>1265</v>
      </c>
      <c r="J751" s="14" t="s">
        <v>1266</v>
      </c>
      <c r="BK751" s="14" t="s">
        <v>273</v>
      </c>
      <c r="BM751" s="14" t="s">
        <v>561</v>
      </c>
      <c r="BN751" s="34">
        <v>42892</v>
      </c>
      <c r="BO751" s="14" t="s">
        <v>174</v>
      </c>
      <c r="BP751" s="14" t="s">
        <v>561</v>
      </c>
    </row>
    <row r="752" spans="1:68">
      <c r="A752" t="s">
        <v>292</v>
      </c>
      <c r="C752" t="s">
        <v>10</v>
      </c>
      <c r="D752" t="s">
        <v>11</v>
      </c>
      <c r="E752" t="s">
        <v>293</v>
      </c>
      <c r="F752" t="s">
        <v>268</v>
      </c>
      <c r="G752" t="s">
        <v>26</v>
      </c>
      <c r="H752" t="s">
        <v>36</v>
      </c>
      <c r="I752" t="s">
        <v>26</v>
      </c>
      <c r="J752" t="s">
        <v>36</v>
      </c>
      <c r="BB752">
        <v>3.5</v>
      </c>
      <c r="BE752">
        <v>2.8</v>
      </c>
      <c r="BK752" t="s">
        <v>273</v>
      </c>
      <c r="BM752" t="s">
        <v>291</v>
      </c>
      <c r="BN752" s="33">
        <v>3806</v>
      </c>
    </row>
    <row r="753" spans="1:86">
      <c r="A753" t="s">
        <v>294</v>
      </c>
      <c r="C753" t="s">
        <v>10</v>
      </c>
      <c r="D753" t="s">
        <v>11</v>
      </c>
      <c r="E753" t="s">
        <v>293</v>
      </c>
      <c r="F753" t="s">
        <v>268</v>
      </c>
      <c r="G753" t="s">
        <v>26</v>
      </c>
      <c r="H753" t="s">
        <v>47</v>
      </c>
      <c r="I753" t="s">
        <v>26</v>
      </c>
      <c r="J753" t="s">
        <v>47</v>
      </c>
      <c r="AT753">
        <v>3.9</v>
      </c>
      <c r="AW753">
        <v>2.5</v>
      </c>
      <c r="BK753" t="s">
        <v>273</v>
      </c>
      <c r="BM753" t="s">
        <v>291</v>
      </c>
      <c r="BN753" s="33">
        <v>3806</v>
      </c>
    </row>
    <row r="754" spans="1:86">
      <c r="A754" t="s">
        <v>295</v>
      </c>
      <c r="C754" t="s">
        <v>10</v>
      </c>
      <c r="D754" t="s">
        <v>11</v>
      </c>
      <c r="E754" t="s">
        <v>293</v>
      </c>
      <c r="F754" t="s">
        <v>268</v>
      </c>
      <c r="G754" t="s">
        <v>26</v>
      </c>
      <c r="H754" t="s">
        <v>47</v>
      </c>
      <c r="I754" t="s">
        <v>26</v>
      </c>
      <c r="J754" t="s">
        <v>47</v>
      </c>
      <c r="AX754">
        <v>3.4</v>
      </c>
      <c r="BA754">
        <v>2.7</v>
      </c>
      <c r="BK754" t="s">
        <v>273</v>
      </c>
      <c r="BM754" t="s">
        <v>291</v>
      </c>
      <c r="BN754" s="33">
        <v>3806</v>
      </c>
    </row>
    <row r="755" spans="1:86">
      <c r="A755" t="s">
        <v>296</v>
      </c>
      <c r="C755" t="s">
        <v>10</v>
      </c>
      <c r="D755" t="s">
        <v>11</v>
      </c>
      <c r="E755" t="s">
        <v>293</v>
      </c>
      <c r="F755" t="s">
        <v>268</v>
      </c>
      <c r="G755" t="s">
        <v>26</v>
      </c>
      <c r="H755" t="s">
        <v>47</v>
      </c>
      <c r="I755" t="s">
        <v>26</v>
      </c>
      <c r="J755" t="s">
        <v>47</v>
      </c>
      <c r="Z755">
        <v>3.2</v>
      </c>
      <c r="AC755">
        <v>4.3</v>
      </c>
      <c r="BK755" t="s">
        <v>273</v>
      </c>
      <c r="BM755" t="s">
        <v>291</v>
      </c>
      <c r="BN755" s="33">
        <v>3806</v>
      </c>
    </row>
    <row r="756" spans="1:86">
      <c r="A756" t="s">
        <v>297</v>
      </c>
      <c r="C756" t="s">
        <v>10</v>
      </c>
      <c r="D756" t="s">
        <v>11</v>
      </c>
      <c r="E756" t="s">
        <v>293</v>
      </c>
      <c r="F756" t="s">
        <v>268</v>
      </c>
      <c r="G756" t="s">
        <v>26</v>
      </c>
      <c r="H756" t="s">
        <v>47</v>
      </c>
      <c r="I756" t="s">
        <v>26</v>
      </c>
      <c r="J756" t="s">
        <v>47</v>
      </c>
      <c r="AX756">
        <v>3.1</v>
      </c>
      <c r="BA756">
        <v>2.2999999999999998</v>
      </c>
      <c r="BK756" t="s">
        <v>273</v>
      </c>
      <c r="BM756" t="s">
        <v>291</v>
      </c>
      <c r="BN756" s="33">
        <v>3806</v>
      </c>
    </row>
    <row r="757" spans="1:86">
      <c r="A757" t="s">
        <v>298</v>
      </c>
      <c r="C757" t="s">
        <v>10</v>
      </c>
      <c r="D757" t="s">
        <v>11</v>
      </c>
      <c r="E757" t="s">
        <v>293</v>
      </c>
      <c r="F757" t="s">
        <v>268</v>
      </c>
      <c r="G757" t="s">
        <v>26</v>
      </c>
      <c r="H757" t="s">
        <v>47</v>
      </c>
      <c r="I757" t="s">
        <v>26</v>
      </c>
      <c r="J757" t="s">
        <v>47</v>
      </c>
      <c r="AH757">
        <v>2.4</v>
      </c>
      <c r="AK757">
        <v>3.8</v>
      </c>
      <c r="BK757" t="s">
        <v>273</v>
      </c>
      <c r="BM757" t="s">
        <v>291</v>
      </c>
      <c r="BN757" s="33">
        <v>3806</v>
      </c>
    </row>
    <row r="758" spans="1:86">
      <c r="A758" t="s">
        <v>1081</v>
      </c>
      <c r="C758" t="s">
        <v>10</v>
      </c>
      <c r="D758" t="s">
        <v>1039</v>
      </c>
      <c r="E758" t="s">
        <v>1040</v>
      </c>
      <c r="F758" t="s">
        <v>1041</v>
      </c>
      <c r="G758" t="s">
        <v>1082</v>
      </c>
      <c r="H758" t="s">
        <v>1083</v>
      </c>
      <c r="I758" t="s">
        <v>1082</v>
      </c>
      <c r="J758" t="s">
        <v>1083</v>
      </c>
      <c r="Z758">
        <v>6.3</v>
      </c>
      <c r="AC758">
        <v>11.5</v>
      </c>
      <c r="BK758" t="s">
        <v>273</v>
      </c>
      <c r="BM758" t="s">
        <v>291</v>
      </c>
      <c r="BN758" s="33">
        <v>3806</v>
      </c>
    </row>
    <row r="759" spans="1:86">
      <c r="A759" t="s">
        <v>1084</v>
      </c>
      <c r="C759" t="s">
        <v>10</v>
      </c>
      <c r="D759" t="s">
        <v>1039</v>
      </c>
      <c r="E759" t="s">
        <v>1040</v>
      </c>
      <c r="F759" t="s">
        <v>1041</v>
      </c>
      <c r="G759" t="s">
        <v>1082</v>
      </c>
      <c r="H759" t="s">
        <v>1083</v>
      </c>
      <c r="I759" t="s">
        <v>1082</v>
      </c>
      <c r="J759" t="s">
        <v>1083</v>
      </c>
      <c r="AD759">
        <v>7.9</v>
      </c>
      <c r="AG759">
        <v>11</v>
      </c>
      <c r="AH759">
        <v>8.1</v>
      </c>
      <c r="AK759">
        <v>11.6</v>
      </c>
      <c r="BK759" t="s">
        <v>273</v>
      </c>
      <c r="BM759" t="s">
        <v>291</v>
      </c>
      <c r="BN759" s="33">
        <v>3806</v>
      </c>
      <c r="BO759" t="s">
        <v>174</v>
      </c>
      <c r="BP759" t="s">
        <v>291</v>
      </c>
    </row>
    <row r="760" spans="1:86" s="14" customFormat="1">
      <c r="A760" s="14" t="s">
        <v>1246</v>
      </c>
      <c r="C760" s="14" t="s">
        <v>10</v>
      </c>
      <c r="D760" s="14" t="s">
        <v>11</v>
      </c>
      <c r="E760" s="14" t="s">
        <v>165</v>
      </c>
      <c r="G760" s="14" t="s">
        <v>476</v>
      </c>
      <c r="H760" s="14" t="s">
        <v>367</v>
      </c>
      <c r="I760" s="14" t="s">
        <v>476</v>
      </c>
      <c r="J760" s="14" t="s">
        <v>367</v>
      </c>
      <c r="BK760" s="14" t="s">
        <v>273</v>
      </c>
      <c r="BL760" s="48">
        <v>44796</v>
      </c>
      <c r="BM760" s="14" t="s">
        <v>361</v>
      </c>
      <c r="BN760" s="34">
        <v>2469</v>
      </c>
      <c r="BO760" s="14" t="s">
        <v>362</v>
      </c>
      <c r="BP760" s="14" t="s">
        <v>361</v>
      </c>
    </row>
    <row r="761" spans="1:86" ht="15.75" customHeight="1">
      <c r="A761" s="62" t="s">
        <v>1268</v>
      </c>
      <c r="B761" s="62"/>
      <c r="C761" s="63" t="s">
        <v>10</v>
      </c>
      <c r="D761" s="63" t="s">
        <v>1039</v>
      </c>
      <c r="E761" s="63" t="s">
        <v>1040</v>
      </c>
      <c r="G761" s="64" t="s">
        <v>1269</v>
      </c>
      <c r="H761" s="64" t="s">
        <v>1270</v>
      </c>
      <c r="I761" s="63" t="s">
        <v>1097</v>
      </c>
      <c r="J761" s="63" t="s">
        <v>1140</v>
      </c>
      <c r="N761" s="18"/>
      <c r="AD761" s="63">
        <f>1000*0.0093</f>
        <v>9.2999999999999989</v>
      </c>
      <c r="AG761" s="63">
        <f>1000*0.014</f>
        <v>14</v>
      </c>
      <c r="BJ761" s="63" t="s">
        <v>1141</v>
      </c>
      <c r="BK761" s="63" t="s">
        <v>273</v>
      </c>
      <c r="BL761" s="62"/>
      <c r="BM761" s="62" t="s">
        <v>1271</v>
      </c>
      <c r="BN761"/>
    </row>
    <row r="762" spans="1:86" ht="15.75" customHeight="1">
      <c r="A762" s="62" t="s">
        <v>1268</v>
      </c>
      <c r="B762" s="62"/>
      <c r="C762" s="63" t="s">
        <v>10</v>
      </c>
      <c r="D762" s="62" t="s">
        <v>1272</v>
      </c>
      <c r="E762" s="62" t="s">
        <v>293</v>
      </c>
      <c r="G762" s="65" t="s">
        <v>1273</v>
      </c>
      <c r="H762" s="66" t="s">
        <v>1274</v>
      </c>
      <c r="I762" s="62" t="s">
        <v>1275</v>
      </c>
      <c r="J762" s="62" t="s">
        <v>1276</v>
      </c>
      <c r="N762" s="18"/>
      <c r="AH762" s="63">
        <f>0.03*1000</f>
        <v>30</v>
      </c>
      <c r="AK762" s="63">
        <f>0.04*1000</f>
        <v>40</v>
      </c>
      <c r="BF762" s="63">
        <f>0.039*1000</f>
        <v>39</v>
      </c>
      <c r="BI762" s="63">
        <f>(0.026*1000)</f>
        <v>26</v>
      </c>
      <c r="BK762" s="62" t="s">
        <v>273</v>
      </c>
      <c r="BL762" s="62"/>
      <c r="BM762" s="62" t="s">
        <v>1110</v>
      </c>
      <c r="BN762"/>
    </row>
    <row r="763" spans="1:86" ht="15.75" customHeight="1">
      <c r="A763" s="62" t="s">
        <v>1268</v>
      </c>
      <c r="B763" s="62"/>
      <c r="C763" s="63" t="s">
        <v>10</v>
      </c>
      <c r="D763" s="62" t="s">
        <v>1272</v>
      </c>
      <c r="E763" s="62" t="s">
        <v>293</v>
      </c>
      <c r="G763" s="65" t="s">
        <v>1273</v>
      </c>
      <c r="H763" s="66" t="s">
        <v>1274</v>
      </c>
      <c r="I763" s="62" t="s">
        <v>1275</v>
      </c>
      <c r="J763" s="62" t="s">
        <v>1277</v>
      </c>
      <c r="N763" s="18"/>
      <c r="BF763" s="63">
        <f>0.041*1000</f>
        <v>41</v>
      </c>
      <c r="BG763" s="63">
        <f>0.027*1000</f>
        <v>27</v>
      </c>
      <c r="BH763" s="63">
        <f>0.022*1000</f>
        <v>22</v>
      </c>
      <c r="BI763" s="63">
        <f>MAX(BG763:BH763)</f>
        <v>27</v>
      </c>
      <c r="BJ763" s="62" t="s">
        <v>1278</v>
      </c>
      <c r="BK763" s="62" t="s">
        <v>273</v>
      </c>
      <c r="BL763" s="62"/>
      <c r="BM763" s="62" t="s">
        <v>1110</v>
      </c>
      <c r="BN763"/>
      <c r="BS763" s="62"/>
      <c r="BT763" s="62"/>
      <c r="BU763" s="62"/>
      <c r="BV763" s="62"/>
      <c r="BW763" s="62"/>
      <c r="BX763" s="62"/>
      <c r="BY763" s="62"/>
    </row>
    <row r="764" spans="1:86" ht="15.75" customHeight="1">
      <c r="A764" s="62" t="s">
        <v>1268</v>
      </c>
      <c r="B764" s="62"/>
      <c r="C764" s="63" t="s">
        <v>10</v>
      </c>
      <c r="D764" s="62" t="s">
        <v>1272</v>
      </c>
      <c r="E764" s="62" t="s">
        <v>293</v>
      </c>
      <c r="G764" s="65" t="s">
        <v>1273</v>
      </c>
      <c r="H764" s="66" t="s">
        <v>1274</v>
      </c>
      <c r="I764" s="62" t="s">
        <v>1275</v>
      </c>
      <c r="J764" s="62" t="s">
        <v>1279</v>
      </c>
      <c r="N764" s="18"/>
      <c r="AH764" s="62">
        <f>0.029*1000</f>
        <v>29</v>
      </c>
      <c r="AI764" s="63">
        <f>0.039*1000</f>
        <v>39</v>
      </c>
      <c r="AK764" s="63">
        <f>MAX(AI764:AJ764)</f>
        <v>39</v>
      </c>
      <c r="BG764" s="63">
        <f>0.023*1000</f>
        <v>23</v>
      </c>
      <c r="BI764" s="63">
        <f>MAX(BG764:BH764)</f>
        <v>23</v>
      </c>
      <c r="BJ764" s="62" t="s">
        <v>1280</v>
      </c>
      <c r="BK764" s="62" t="s">
        <v>273</v>
      </c>
      <c r="BL764" s="62"/>
      <c r="BM764" s="62" t="s">
        <v>1110</v>
      </c>
      <c r="BN764"/>
      <c r="BS764" s="62"/>
      <c r="BT764" s="62"/>
      <c r="BU764" s="62"/>
      <c r="BV764" s="62"/>
      <c r="BW764" s="62"/>
      <c r="BX764" s="62"/>
      <c r="BY764" s="62"/>
    </row>
    <row r="765" spans="1:86" ht="15.75" customHeight="1">
      <c r="A765" s="62" t="s">
        <v>1268</v>
      </c>
      <c r="B765" s="62"/>
      <c r="C765" s="63" t="s">
        <v>10</v>
      </c>
      <c r="D765" s="62" t="s">
        <v>1272</v>
      </c>
      <c r="E765" s="62" t="s">
        <v>293</v>
      </c>
      <c r="F765" s="63"/>
      <c r="G765" s="65" t="s">
        <v>1273</v>
      </c>
      <c r="H765" s="66" t="s">
        <v>1274</v>
      </c>
      <c r="I765" s="62" t="s">
        <v>1275</v>
      </c>
      <c r="J765" s="62" t="s">
        <v>1281</v>
      </c>
      <c r="K765" s="63"/>
      <c r="L765" s="63"/>
      <c r="M765" s="63"/>
      <c r="N765" s="18"/>
      <c r="O765" s="63"/>
      <c r="P765" s="63"/>
      <c r="Q765" s="63"/>
      <c r="R765" s="63"/>
      <c r="S765" s="63"/>
      <c r="T765" s="63"/>
      <c r="U765" s="63"/>
      <c r="V765" s="63"/>
      <c r="W765" s="63"/>
      <c r="X765" s="63"/>
      <c r="Y765" s="63"/>
      <c r="Z765" s="63"/>
      <c r="AA765" s="63"/>
      <c r="AB765" s="63"/>
      <c r="AC765" s="63"/>
      <c r="AD765" s="63"/>
      <c r="AE765" s="63"/>
      <c r="AF765" s="63"/>
      <c r="AG765" s="63"/>
      <c r="AH765" s="63">
        <f>0.032*1000</f>
        <v>32</v>
      </c>
      <c r="AI765" s="63"/>
      <c r="AJ765" s="63"/>
      <c r="AK765" s="63">
        <f>0.043*1000</f>
        <v>43</v>
      </c>
      <c r="AL765" s="63"/>
      <c r="AM765" s="63"/>
      <c r="AN765" s="63"/>
      <c r="AO765" s="63"/>
      <c r="AP765" s="63"/>
      <c r="AQ765" s="63"/>
      <c r="AR765" s="63"/>
      <c r="AS765" s="63"/>
      <c r="AT765" s="63"/>
      <c r="AU765" s="63"/>
      <c r="AV765" s="63"/>
      <c r="AW765" s="63"/>
      <c r="AX765" s="63"/>
      <c r="AY765" s="63"/>
      <c r="AZ765" s="63"/>
      <c r="BA765" s="63"/>
      <c r="BB765" s="63">
        <f>0.03*1000</f>
        <v>30</v>
      </c>
      <c r="BC765" s="63"/>
      <c r="BD765" s="63"/>
      <c r="BE765" s="63">
        <f>0.021*1000</f>
        <v>21</v>
      </c>
      <c r="BF765" s="63">
        <f>(0.026*1000)</f>
        <v>26</v>
      </c>
      <c r="BG765" s="63"/>
      <c r="BH765" s="63"/>
      <c r="BI765" s="63">
        <f>0.035*1000</f>
        <v>35</v>
      </c>
      <c r="BJ765" s="62" t="s">
        <v>1282</v>
      </c>
      <c r="BK765" s="62" t="s">
        <v>273</v>
      </c>
      <c r="BL765" s="62"/>
      <c r="BM765" s="62" t="s">
        <v>1110</v>
      </c>
      <c r="BN765" s="63"/>
      <c r="BO765" s="63"/>
      <c r="BP765" s="63"/>
      <c r="BQ765" s="63"/>
      <c r="BR765" s="63"/>
      <c r="BS765" s="62"/>
      <c r="BT765" s="62"/>
      <c r="BU765" s="62"/>
      <c r="BV765" s="62"/>
      <c r="BW765" s="62"/>
      <c r="BX765" s="62"/>
      <c r="BY765" s="62"/>
      <c r="CE765" s="63"/>
      <c r="CF765" s="63"/>
      <c r="CG765" s="63"/>
      <c r="CH765" s="63"/>
    </row>
    <row r="766" spans="1:86" ht="15.75" customHeight="1">
      <c r="A766" s="67" t="s">
        <v>1268</v>
      </c>
      <c r="B766" s="67"/>
      <c r="C766" s="68" t="s">
        <v>286</v>
      </c>
      <c r="D766" s="68"/>
      <c r="E766" s="68" t="s">
        <v>477</v>
      </c>
      <c r="F766" s="68" t="s">
        <v>287</v>
      </c>
      <c r="G766" s="68" t="s">
        <v>94</v>
      </c>
      <c r="H766" s="67" t="s">
        <v>288</v>
      </c>
      <c r="I766" s="68" t="s">
        <v>94</v>
      </c>
      <c r="J766" s="67" t="s">
        <v>1283</v>
      </c>
      <c r="K766" s="69"/>
      <c r="L766" s="69"/>
      <c r="M766" s="69"/>
      <c r="N766" s="70"/>
      <c r="O766" s="69"/>
      <c r="P766" s="69"/>
      <c r="Q766" s="69"/>
      <c r="R766" s="69"/>
      <c r="S766" s="69"/>
      <c r="T766" s="69"/>
      <c r="U766" s="69"/>
      <c r="V766" s="69"/>
      <c r="W766" s="69"/>
      <c r="X766" s="69"/>
      <c r="Y766" s="69"/>
      <c r="Z766" s="69"/>
      <c r="AA766" s="69"/>
      <c r="AB766" s="69"/>
      <c r="AC766" s="69"/>
      <c r="AD766" s="69"/>
      <c r="AE766" s="69"/>
      <c r="AF766" s="69"/>
      <c r="AG766" s="69"/>
      <c r="AH766" s="69"/>
      <c r="AI766" s="69"/>
      <c r="AJ766" s="69"/>
      <c r="AK766" s="69"/>
      <c r="AL766" s="69"/>
      <c r="AM766" s="69"/>
      <c r="AN766" s="69"/>
      <c r="AO766" s="69"/>
      <c r="AP766" s="69"/>
      <c r="AQ766" s="69"/>
      <c r="AR766" s="69"/>
      <c r="AS766" s="69"/>
      <c r="AT766" s="69">
        <f>(0.035-0.026)*1000</f>
        <v>9.0000000000000053</v>
      </c>
      <c r="AU766" s="69"/>
      <c r="AV766" s="69"/>
      <c r="AW766" s="69"/>
      <c r="AX766" s="69">
        <f>(0.026*1000)-(BB766+BF766)</f>
        <v>7</v>
      </c>
      <c r="AY766" s="69"/>
      <c r="AZ766" s="69"/>
      <c r="BA766" s="69"/>
      <c r="BB766" s="69">
        <f>0.008*1000</f>
        <v>8</v>
      </c>
      <c r="BC766" s="69"/>
      <c r="BD766" s="69"/>
      <c r="BE766" s="69">
        <f>0.005*1000</f>
        <v>5</v>
      </c>
      <c r="BF766" s="69">
        <f>0.011*1000</f>
        <v>11</v>
      </c>
      <c r="BG766" s="69"/>
      <c r="BH766" s="69"/>
      <c r="BI766" s="69">
        <f>0.005*1000</f>
        <v>5</v>
      </c>
      <c r="BJ766" s="67" t="s">
        <v>1284</v>
      </c>
      <c r="BK766" s="67" t="s">
        <v>273</v>
      </c>
      <c r="BL766" s="67"/>
      <c r="BM766" s="67" t="s">
        <v>1110</v>
      </c>
      <c r="BN766" s="69"/>
      <c r="BO766" s="69"/>
      <c r="BP766" s="69"/>
      <c r="BQ766" s="69"/>
      <c r="BR766" s="69"/>
      <c r="BS766" s="67"/>
      <c r="BT766" s="67"/>
      <c r="BU766" s="67"/>
      <c r="BV766" s="67"/>
      <c r="BW766" s="67"/>
      <c r="BX766" s="67"/>
      <c r="BY766" s="67"/>
      <c r="CE766" s="69"/>
      <c r="CF766" s="69"/>
      <c r="CG766" s="69"/>
      <c r="CH766" s="69"/>
    </row>
    <row r="767" spans="1:86" ht="15.75" customHeight="1">
      <c r="A767" s="67" t="s">
        <v>1268</v>
      </c>
      <c r="B767" s="67"/>
      <c r="C767" s="68" t="s">
        <v>286</v>
      </c>
      <c r="D767" s="68"/>
      <c r="E767" s="68" t="s">
        <v>477</v>
      </c>
      <c r="F767" s="68" t="s">
        <v>287</v>
      </c>
      <c r="G767" s="68" t="s">
        <v>94</v>
      </c>
      <c r="H767" s="67" t="s">
        <v>288</v>
      </c>
      <c r="I767" s="68" t="s">
        <v>94</v>
      </c>
      <c r="J767" s="67" t="s">
        <v>288</v>
      </c>
      <c r="K767" s="69"/>
      <c r="L767" s="69"/>
      <c r="M767" s="69"/>
      <c r="N767" s="70"/>
      <c r="O767" s="69"/>
      <c r="P767" s="69"/>
      <c r="Q767" s="69"/>
      <c r="R767" s="69"/>
      <c r="S767" s="69"/>
      <c r="T767" s="69"/>
      <c r="U767" s="69"/>
      <c r="V767" s="69"/>
      <c r="W767" s="69"/>
      <c r="X767" s="69"/>
      <c r="Y767" s="69"/>
      <c r="Z767" s="69"/>
      <c r="AA767" s="69"/>
      <c r="AB767" s="69"/>
      <c r="AC767" s="69"/>
      <c r="AD767" s="69"/>
      <c r="AE767" s="69"/>
      <c r="AF767" s="69"/>
      <c r="AG767" s="69"/>
      <c r="AH767" s="69"/>
      <c r="AI767" s="69"/>
      <c r="AJ767" s="69"/>
      <c r="AK767" s="69"/>
      <c r="AL767" s="69"/>
      <c r="AM767" s="69"/>
      <c r="AN767" s="69"/>
      <c r="AO767" s="69"/>
      <c r="AP767" s="69"/>
      <c r="AQ767" s="69"/>
      <c r="AR767" s="69"/>
      <c r="AS767" s="69"/>
      <c r="AT767" s="69"/>
      <c r="AU767" s="69"/>
      <c r="AV767" s="69"/>
      <c r="AW767" s="69"/>
      <c r="AX767" s="69">
        <f>(0.025*1000)-(BB767+BF767)</f>
        <v>5.3999999999999986</v>
      </c>
      <c r="AY767" s="69"/>
      <c r="AZ767" s="69"/>
      <c r="BA767" s="69"/>
      <c r="BB767" s="69">
        <f>0.0084*1000</f>
        <v>8.4</v>
      </c>
      <c r="BC767" s="69"/>
      <c r="BD767" s="69"/>
      <c r="BE767" s="69">
        <f>0.0062*1000</f>
        <v>6.2</v>
      </c>
      <c r="BF767" s="69">
        <f>0.0112*1000</f>
        <v>11.2</v>
      </c>
      <c r="BG767" s="69"/>
      <c r="BH767" s="69"/>
      <c r="BI767" s="69">
        <f>0.007*1000</f>
        <v>7</v>
      </c>
      <c r="BJ767" s="67" t="s">
        <v>1285</v>
      </c>
      <c r="BK767" s="67" t="s">
        <v>273</v>
      </c>
      <c r="BL767" s="67"/>
      <c r="BM767" s="67" t="s">
        <v>1110</v>
      </c>
      <c r="BN767" s="69"/>
      <c r="BO767" s="69"/>
      <c r="BP767" s="69"/>
      <c r="BQ767" s="69"/>
      <c r="BR767" s="69"/>
      <c r="BS767" s="67"/>
      <c r="BT767" s="67"/>
      <c r="BU767" s="67"/>
      <c r="BV767" s="67"/>
      <c r="BW767" s="67"/>
      <c r="BX767" s="67"/>
      <c r="BY767" s="67"/>
      <c r="CE767" s="69"/>
      <c r="CF767" s="69"/>
      <c r="CG767" s="69"/>
      <c r="CH767" s="69"/>
    </row>
    <row r="768" spans="1:86" ht="15.75" customHeight="1">
      <c r="A768" s="67" t="s">
        <v>1268</v>
      </c>
      <c r="B768" s="67"/>
      <c r="C768" s="68" t="s">
        <v>286</v>
      </c>
      <c r="D768" s="68"/>
      <c r="E768" s="68" t="s">
        <v>477</v>
      </c>
      <c r="F768" s="68" t="s">
        <v>287</v>
      </c>
      <c r="G768" s="68" t="s">
        <v>94</v>
      </c>
      <c r="H768" s="67" t="s">
        <v>288</v>
      </c>
      <c r="I768" s="68" t="s">
        <v>94</v>
      </c>
      <c r="J768" s="67" t="s">
        <v>1286</v>
      </c>
      <c r="K768" s="69"/>
      <c r="L768" s="69"/>
      <c r="M768" s="69"/>
      <c r="N768" s="70"/>
      <c r="O768" s="69"/>
      <c r="P768" s="69"/>
      <c r="Q768" s="69"/>
      <c r="R768" s="69"/>
      <c r="S768" s="69"/>
      <c r="T768" s="69"/>
      <c r="U768" s="69"/>
      <c r="V768" s="69"/>
      <c r="W768" s="69"/>
      <c r="X768" s="69"/>
      <c r="Y768" s="69"/>
      <c r="Z768" s="69"/>
      <c r="AA768" s="69"/>
      <c r="AB768" s="69"/>
      <c r="AC768" s="69"/>
      <c r="AD768" s="69"/>
      <c r="AE768" s="69"/>
      <c r="AF768" s="69"/>
      <c r="AG768" s="69"/>
      <c r="AH768" s="69"/>
      <c r="AI768" s="69"/>
      <c r="AJ768" s="69"/>
      <c r="AK768" s="69"/>
      <c r="AL768" s="69"/>
      <c r="AM768" s="69"/>
      <c r="AN768" s="69"/>
      <c r="AO768" s="69"/>
      <c r="AP768" s="69"/>
      <c r="AQ768" s="69"/>
      <c r="AR768" s="69"/>
      <c r="AS768" s="69"/>
      <c r="AT768" s="69"/>
      <c r="AU768" s="69"/>
      <c r="AV768" s="69"/>
      <c r="AW768" s="69"/>
      <c r="AX768" s="69"/>
      <c r="AY768" s="69"/>
      <c r="AZ768" s="69"/>
      <c r="BA768" s="69"/>
      <c r="BB768" s="69"/>
      <c r="BC768" s="69"/>
      <c r="BD768" s="69"/>
      <c r="BE768" s="69"/>
      <c r="BF768" s="69">
        <f>0.009*1000</f>
        <v>9</v>
      </c>
      <c r="BG768" s="69">
        <f>0.005*1000</f>
        <v>5</v>
      </c>
      <c r="BH768" s="69">
        <f>0.0025*1000</f>
        <v>2.5</v>
      </c>
      <c r="BI768" s="69">
        <f>MAX(BG768:BH768)</f>
        <v>5</v>
      </c>
      <c r="BJ768" s="67" t="s">
        <v>1287</v>
      </c>
      <c r="BK768" s="67" t="s">
        <v>273</v>
      </c>
      <c r="BL768" s="67"/>
      <c r="BM768" s="67" t="s">
        <v>1110</v>
      </c>
      <c r="BN768" s="69"/>
      <c r="BO768" s="69"/>
      <c r="BP768" s="69"/>
      <c r="BQ768" s="69"/>
      <c r="BR768" s="69"/>
      <c r="BS768" s="67"/>
      <c r="BT768" s="67"/>
      <c r="BU768" s="67"/>
      <c r="BV768" s="67"/>
      <c r="BW768" s="67"/>
      <c r="BX768" s="67"/>
      <c r="BY768" s="67"/>
      <c r="CE768" s="69"/>
      <c r="CF768" s="69"/>
      <c r="CG768" s="69"/>
      <c r="CH768" s="69"/>
    </row>
    <row r="769" spans="1:94" ht="15.75" customHeight="1">
      <c r="A769" s="62" t="s">
        <v>1288</v>
      </c>
      <c r="B769" s="62"/>
      <c r="C769" s="62" t="s">
        <v>10</v>
      </c>
      <c r="D769" s="62" t="s">
        <v>1272</v>
      </c>
      <c r="E769" s="62" t="s">
        <v>293</v>
      </c>
      <c r="G769" s="62" t="s">
        <v>26</v>
      </c>
      <c r="H769" s="71" t="s">
        <v>37</v>
      </c>
      <c r="I769" t="s">
        <v>94</v>
      </c>
      <c r="J769" s="71" t="s">
        <v>37</v>
      </c>
      <c r="N769" s="18"/>
      <c r="AX769" s="63">
        <f>0.004*1000</f>
        <v>4</v>
      </c>
      <c r="BA769" s="63">
        <f>0.003*1000</f>
        <v>3</v>
      </c>
      <c r="BJ769" s="62" t="s">
        <v>1289</v>
      </c>
      <c r="BK769" s="62" t="s">
        <v>273</v>
      </c>
      <c r="BL769" s="62"/>
      <c r="BM769" s="62" t="s">
        <v>1110</v>
      </c>
      <c r="BN769"/>
      <c r="BS769" s="62"/>
      <c r="BT769" s="62"/>
      <c r="BU769" s="62"/>
      <c r="BV769" s="62"/>
      <c r="BW769" s="62"/>
      <c r="BX769" s="62"/>
      <c r="BY769" s="62"/>
    </row>
    <row r="770" spans="1:94" ht="15.75" customHeight="1">
      <c r="A770" s="72" t="s">
        <v>1268</v>
      </c>
      <c r="B770" s="72"/>
      <c r="C770" s="72" t="s">
        <v>10</v>
      </c>
      <c r="D770" s="72" t="s">
        <v>1039</v>
      </c>
      <c r="E770" s="72" t="s">
        <v>1040</v>
      </c>
      <c r="F770" s="73"/>
      <c r="G770" s="74" t="s">
        <v>1082</v>
      </c>
      <c r="H770" s="74" t="s">
        <v>1083</v>
      </c>
      <c r="I770" s="74" t="s">
        <v>1082</v>
      </c>
      <c r="J770" s="74" t="s">
        <v>1083</v>
      </c>
      <c r="K770" s="74"/>
      <c r="L770" s="74"/>
      <c r="M770" s="74"/>
      <c r="N770" s="75"/>
      <c r="O770" s="74"/>
      <c r="P770" s="74"/>
      <c r="Q770" s="74"/>
      <c r="R770" s="74"/>
      <c r="S770" s="74"/>
      <c r="T770" s="74"/>
      <c r="U770" s="74"/>
      <c r="V770" s="74"/>
      <c r="W770" s="74"/>
      <c r="X770" s="74"/>
      <c r="Y770" s="74"/>
      <c r="Z770" s="74"/>
      <c r="AA770" s="74"/>
      <c r="AB770" s="74"/>
      <c r="AC770" s="74"/>
      <c r="AD770" s="74">
        <f>0.009*1000</f>
        <v>9</v>
      </c>
      <c r="AE770" s="74"/>
      <c r="AF770" s="74"/>
      <c r="AG770" s="74">
        <f>0.01*1000</f>
        <v>10</v>
      </c>
      <c r="AH770" s="74"/>
      <c r="AI770" s="74"/>
      <c r="AJ770" s="74"/>
      <c r="AK770" s="74"/>
      <c r="AL770" s="74"/>
      <c r="AM770" s="74"/>
      <c r="AN770" s="74"/>
      <c r="AO770" s="74"/>
      <c r="AP770" s="74"/>
      <c r="AQ770" s="74"/>
      <c r="AR770" s="74"/>
      <c r="AS770" s="74"/>
      <c r="AT770" s="74"/>
      <c r="AU770" s="74"/>
      <c r="AV770" s="74"/>
      <c r="AW770" s="74"/>
      <c r="AX770" s="74"/>
      <c r="AY770" s="74"/>
      <c r="AZ770" s="74"/>
      <c r="BA770" s="74"/>
      <c r="BB770" s="74"/>
      <c r="BC770" s="74"/>
      <c r="BD770" s="74"/>
      <c r="BE770" s="74"/>
      <c r="BF770" s="74"/>
      <c r="BG770" s="74"/>
      <c r="BH770" s="74"/>
      <c r="BI770" s="74"/>
      <c r="BJ770" s="72" t="s">
        <v>1290</v>
      </c>
      <c r="BK770" s="72" t="s">
        <v>273</v>
      </c>
      <c r="BL770" s="72"/>
      <c r="BM770" s="72" t="s">
        <v>1110</v>
      </c>
      <c r="BN770" s="74"/>
      <c r="BO770" s="74"/>
      <c r="BP770" s="74"/>
      <c r="BQ770" s="74"/>
      <c r="BR770" s="74"/>
      <c r="BS770" s="72"/>
      <c r="BT770" s="72"/>
      <c r="BU770" s="72"/>
      <c r="BV770" s="72"/>
      <c r="BW770" s="72"/>
      <c r="BX770" s="72"/>
      <c r="BY770" s="72"/>
      <c r="CE770" s="74"/>
      <c r="CF770" s="74"/>
      <c r="CG770" s="74"/>
      <c r="CH770" s="74"/>
    </row>
    <row r="771" spans="1:94" ht="15.75" customHeight="1">
      <c r="A771" s="72" t="s">
        <v>1268</v>
      </c>
      <c r="B771" s="72"/>
      <c r="C771" s="72" t="s">
        <v>10</v>
      </c>
      <c r="D771" s="72" t="s">
        <v>1272</v>
      </c>
      <c r="E771" s="72" t="s">
        <v>1040</v>
      </c>
      <c r="F771" s="74"/>
      <c r="G771" s="64" t="s">
        <v>1269</v>
      </c>
      <c r="H771" s="64" t="s">
        <v>1270</v>
      </c>
      <c r="I771" s="72" t="s">
        <v>1097</v>
      </c>
      <c r="J771" s="72" t="s">
        <v>1291</v>
      </c>
      <c r="K771" s="74"/>
      <c r="L771" s="74"/>
      <c r="M771" s="74"/>
      <c r="N771" s="75"/>
      <c r="O771" s="74"/>
      <c r="P771" s="74"/>
      <c r="Q771" s="74"/>
      <c r="R771" s="74"/>
      <c r="S771" s="74"/>
      <c r="T771" s="74"/>
      <c r="U771" s="74"/>
      <c r="V771" s="74"/>
      <c r="W771" s="74"/>
      <c r="X771" s="74"/>
      <c r="Y771" s="74"/>
      <c r="Z771" s="74"/>
      <c r="AA771" s="74"/>
      <c r="AB771" s="74"/>
      <c r="AC771" s="74"/>
      <c r="AD771" s="74">
        <f>0.01*1000</f>
        <v>10</v>
      </c>
      <c r="AE771" s="74"/>
      <c r="AF771" s="74"/>
      <c r="AG771" s="74">
        <f>0.014*1000</f>
        <v>14</v>
      </c>
      <c r="AH771" s="74"/>
      <c r="AI771" s="74"/>
      <c r="AJ771" s="74"/>
      <c r="AK771" s="74"/>
      <c r="AL771" s="74"/>
      <c r="AM771" s="74"/>
      <c r="AN771" s="74"/>
      <c r="AO771" s="74"/>
      <c r="AP771" s="74"/>
      <c r="AQ771" s="74"/>
      <c r="AR771" s="74"/>
      <c r="AS771" s="74"/>
      <c r="AT771" s="74"/>
      <c r="AU771" s="74"/>
      <c r="AV771" s="74"/>
      <c r="AW771" s="74"/>
      <c r="AX771" s="74"/>
      <c r="AY771" s="74"/>
      <c r="AZ771" s="74"/>
      <c r="BA771" s="74"/>
      <c r="BB771" s="74"/>
      <c r="BC771" s="74"/>
      <c r="BD771" s="74"/>
      <c r="BE771" s="74"/>
      <c r="BF771" s="74"/>
      <c r="BG771" s="74"/>
      <c r="BH771" s="74"/>
      <c r="BI771" s="74"/>
      <c r="BJ771" s="72" t="s">
        <v>1292</v>
      </c>
      <c r="BK771" s="72" t="s">
        <v>273</v>
      </c>
      <c r="BL771" s="72"/>
      <c r="BM771" s="72" t="s">
        <v>1110</v>
      </c>
      <c r="BN771" s="74"/>
      <c r="BO771" s="74"/>
      <c r="BP771" s="74"/>
      <c r="BQ771" s="74"/>
      <c r="BR771" s="74"/>
      <c r="BS771" s="72"/>
      <c r="BT771" s="72"/>
      <c r="BU771" s="72"/>
      <c r="BV771" s="72"/>
      <c r="BW771" s="72"/>
      <c r="BX771" s="72"/>
      <c r="BY771" s="72"/>
      <c r="CE771" s="74"/>
      <c r="CF771" s="74"/>
      <c r="CG771" s="74"/>
      <c r="CH771" s="74"/>
    </row>
    <row r="772" spans="1:94" ht="15.75" customHeight="1">
      <c r="A772" s="62" t="s">
        <v>1268</v>
      </c>
      <c r="B772" s="62"/>
      <c r="C772" s="62" t="s">
        <v>10</v>
      </c>
      <c r="D772" s="62" t="s">
        <v>1272</v>
      </c>
      <c r="E772" s="62" t="s">
        <v>1040</v>
      </c>
      <c r="G772" s="64" t="s">
        <v>1269</v>
      </c>
      <c r="H772" s="64" t="s">
        <v>1270</v>
      </c>
      <c r="I772" s="62" t="s">
        <v>1097</v>
      </c>
      <c r="J772" s="62" t="s">
        <v>1129</v>
      </c>
      <c r="N772" s="18"/>
      <c r="AH772" s="62">
        <f>0.015*1000</f>
        <v>15</v>
      </c>
      <c r="AI772" s="63">
        <f>0.011*1000</f>
        <v>11</v>
      </c>
      <c r="AJ772" s="63">
        <f>0.005*1000</f>
        <v>5</v>
      </c>
      <c r="AK772" s="63">
        <f>MAX(AI772:AJ772)</f>
        <v>11</v>
      </c>
      <c r="BJ772" s="62" t="s">
        <v>1293</v>
      </c>
      <c r="BK772" s="62" t="s">
        <v>273</v>
      </c>
      <c r="BL772" s="62"/>
      <c r="BM772" s="62" t="s">
        <v>1110</v>
      </c>
      <c r="BN772"/>
      <c r="BS772" s="62"/>
      <c r="BT772" s="62"/>
      <c r="BU772" s="62"/>
      <c r="BV772" s="62"/>
      <c r="BW772" s="62"/>
      <c r="BX772" s="62"/>
      <c r="BY772" s="62"/>
    </row>
    <row r="773" spans="1:94" ht="15.75" customHeight="1">
      <c r="A773" s="72" t="s">
        <v>1268</v>
      </c>
      <c r="B773" s="72"/>
      <c r="C773" s="72" t="s">
        <v>10</v>
      </c>
      <c r="D773" s="72" t="s">
        <v>1272</v>
      </c>
      <c r="E773" s="72" t="s">
        <v>1040</v>
      </c>
      <c r="F773" s="74"/>
      <c r="G773" s="64" t="s">
        <v>1294</v>
      </c>
      <c r="H773" s="64" t="s">
        <v>1270</v>
      </c>
      <c r="I773" s="72" t="s">
        <v>1097</v>
      </c>
      <c r="J773" s="72" t="s">
        <v>1295</v>
      </c>
      <c r="K773" s="74"/>
      <c r="L773" s="74"/>
      <c r="M773" s="74"/>
      <c r="N773" s="75"/>
      <c r="O773" s="74"/>
      <c r="P773" s="74"/>
      <c r="Q773" s="74"/>
      <c r="R773" s="74"/>
      <c r="S773" s="74"/>
      <c r="T773" s="74"/>
      <c r="U773" s="74"/>
      <c r="V773" s="74"/>
      <c r="W773" s="74"/>
      <c r="X773" s="74"/>
      <c r="Y773" s="74"/>
      <c r="Z773" s="74"/>
      <c r="AA773" s="74"/>
      <c r="AB773" s="74"/>
      <c r="AC773" s="74"/>
      <c r="AD773" s="72">
        <f>0.006*1000</f>
        <v>6</v>
      </c>
      <c r="AE773" s="74"/>
      <c r="AF773" s="74"/>
      <c r="AG773" s="74">
        <f>0.008*1000</f>
        <v>8</v>
      </c>
      <c r="AH773" s="74"/>
      <c r="AI773" s="74"/>
      <c r="AJ773" s="74"/>
      <c r="AK773" s="74"/>
      <c r="AL773" s="74"/>
      <c r="AM773" s="74"/>
      <c r="AN773" s="74"/>
      <c r="AO773" s="74"/>
      <c r="AP773" s="74"/>
      <c r="AQ773" s="74"/>
      <c r="AR773" s="74"/>
      <c r="AS773" s="74"/>
      <c r="AT773" s="74"/>
      <c r="AU773" s="74"/>
      <c r="AV773" s="74"/>
      <c r="AW773" s="74"/>
      <c r="AX773" s="74"/>
      <c r="AY773" s="74"/>
      <c r="AZ773" s="74"/>
      <c r="BA773" s="74"/>
      <c r="BB773" s="74"/>
      <c r="BC773" s="74"/>
      <c r="BD773" s="74"/>
      <c r="BE773" s="74"/>
      <c r="BF773" s="74"/>
      <c r="BG773" s="74"/>
      <c r="BH773" s="74"/>
      <c r="BI773" s="74"/>
      <c r="BJ773" s="72" t="s">
        <v>1296</v>
      </c>
      <c r="BK773" s="72" t="s">
        <v>273</v>
      </c>
      <c r="BL773" s="72"/>
      <c r="BM773" s="72" t="s">
        <v>1110</v>
      </c>
      <c r="BN773" s="74"/>
      <c r="BO773" s="74"/>
      <c r="BP773" s="74"/>
      <c r="BQ773" s="74"/>
      <c r="BR773" s="74"/>
      <c r="BS773" s="72"/>
      <c r="BT773" s="72"/>
      <c r="BU773" s="72"/>
      <c r="BV773" s="72"/>
      <c r="BW773" s="72"/>
      <c r="BX773" s="72"/>
      <c r="BY773" s="72"/>
      <c r="CE773" s="74"/>
      <c r="CF773" s="74"/>
      <c r="CG773" s="74"/>
      <c r="CH773" s="74"/>
    </row>
    <row r="774" spans="1:94" ht="15.75" customHeight="1">
      <c r="A774" s="76" t="s">
        <v>1268</v>
      </c>
      <c r="C774" s="63" t="s">
        <v>10</v>
      </c>
      <c r="D774" s="63" t="s">
        <v>1039</v>
      </c>
      <c r="E774" s="63" t="s">
        <v>1040</v>
      </c>
      <c r="G774" s="63" t="s">
        <v>1108</v>
      </c>
      <c r="H774" s="63" t="s">
        <v>1109</v>
      </c>
      <c r="I774" s="63" t="s">
        <v>1108</v>
      </c>
      <c r="J774" s="63" t="s">
        <v>1109</v>
      </c>
      <c r="N774" s="18"/>
      <c r="BB774" s="63">
        <f>1000*0.0065</f>
        <v>6.5</v>
      </c>
      <c r="BE774" s="63">
        <f>1000*0.006</f>
        <v>6</v>
      </c>
      <c r="BF774" s="63">
        <f>1000*0.0085</f>
        <v>8.5</v>
      </c>
      <c r="BI774" s="63">
        <f>1000*0.005</f>
        <v>5</v>
      </c>
      <c r="BK774" s="63" t="s">
        <v>273</v>
      </c>
      <c r="BL774" s="62"/>
      <c r="BM774" s="62" t="s">
        <v>1297</v>
      </c>
      <c r="BN774"/>
    </row>
    <row r="775" spans="1:94" ht="15.75" customHeight="1">
      <c r="A775" s="76" t="s">
        <v>1268</v>
      </c>
      <c r="C775" s="63" t="s">
        <v>10</v>
      </c>
      <c r="D775" s="63" t="s">
        <v>1039</v>
      </c>
      <c r="E775" s="63" t="s">
        <v>1040</v>
      </c>
      <c r="G775" s="63" t="s">
        <v>1108</v>
      </c>
      <c r="H775" s="63" t="s">
        <v>1111</v>
      </c>
      <c r="I775" s="63" t="s">
        <v>1108</v>
      </c>
      <c r="J775" s="63" t="s">
        <v>1111</v>
      </c>
      <c r="N775" s="18"/>
      <c r="BF775" s="63">
        <v>12</v>
      </c>
      <c r="BI775" s="63">
        <f>1000*0.006</f>
        <v>6</v>
      </c>
      <c r="BJ775" s="63" t="s">
        <v>1112</v>
      </c>
      <c r="BK775" s="63" t="s">
        <v>273</v>
      </c>
      <c r="BL775" s="62"/>
      <c r="BM775" s="62" t="s">
        <v>1297</v>
      </c>
    </row>
    <row r="776" spans="1:94" s="14" customFormat="1">
      <c r="A776" s="77" t="s">
        <v>1268</v>
      </c>
      <c r="B776" s="77"/>
      <c r="C776" s="77" t="s">
        <v>10</v>
      </c>
      <c r="D776" s="77" t="s">
        <v>1272</v>
      </c>
      <c r="E776" s="77" t="s">
        <v>293</v>
      </c>
      <c r="F776" s="78"/>
      <c r="G776" s="77" t="s">
        <v>26</v>
      </c>
      <c r="H776" s="77" t="s">
        <v>30</v>
      </c>
      <c r="I776" s="77" t="s">
        <v>26</v>
      </c>
      <c r="J776" s="77" t="s">
        <v>30</v>
      </c>
      <c r="K776" s="78"/>
      <c r="L776" s="78"/>
      <c r="M776" s="78"/>
      <c r="N776" s="79"/>
      <c r="O776" s="78"/>
      <c r="P776" s="78"/>
      <c r="Q776" s="78"/>
      <c r="R776" s="78"/>
      <c r="S776" s="78"/>
      <c r="T776" s="78"/>
      <c r="U776" s="78"/>
      <c r="V776" s="78"/>
      <c r="W776" s="78"/>
      <c r="X776" s="78"/>
      <c r="Y776" s="78"/>
      <c r="Z776" s="78"/>
      <c r="AA776" s="78"/>
      <c r="AB776" s="78"/>
      <c r="AC776" s="78"/>
      <c r="AD776" s="78"/>
      <c r="AE776" s="78"/>
      <c r="AF776" s="78"/>
      <c r="AG776" s="78"/>
      <c r="AH776" s="78"/>
      <c r="AI776" s="78"/>
      <c r="AJ776" s="78"/>
      <c r="AK776" s="78"/>
      <c r="AL776" s="78"/>
      <c r="AM776" s="78"/>
      <c r="AN776" s="78"/>
      <c r="AO776" s="78"/>
      <c r="AP776" s="78"/>
      <c r="AQ776" s="78"/>
      <c r="AR776" s="78"/>
      <c r="AS776" s="78"/>
      <c r="AT776" s="78"/>
      <c r="AU776" s="78"/>
      <c r="AV776" s="78"/>
      <c r="AW776" s="78"/>
      <c r="AX776" s="78"/>
      <c r="AY776" s="78"/>
      <c r="AZ776" s="78"/>
      <c r="BA776" s="78"/>
      <c r="BB776" s="78"/>
      <c r="BC776" s="78"/>
      <c r="BD776" s="78"/>
      <c r="BE776" s="78"/>
      <c r="BF776" s="78"/>
      <c r="BG776" s="78"/>
      <c r="BH776" s="78"/>
      <c r="BI776" s="78"/>
      <c r="BJ776" s="77" t="s">
        <v>1299</v>
      </c>
      <c r="BK776" s="77" t="s">
        <v>273</v>
      </c>
      <c r="BL776" s="77"/>
      <c r="BM776" s="77" t="s">
        <v>1298</v>
      </c>
      <c r="BN776" s="77"/>
      <c r="BO776" s="77" t="s">
        <v>174</v>
      </c>
      <c r="BP776" s="77" t="s">
        <v>1298</v>
      </c>
      <c r="BQ776" s="78"/>
      <c r="BR776" s="78"/>
      <c r="BS776" s="78"/>
      <c r="BT776" s="78"/>
      <c r="BU776" s="78"/>
      <c r="BV776" s="78"/>
      <c r="BW776" s="78"/>
      <c r="BX776" s="78"/>
      <c r="BY776" s="78"/>
      <c r="BZ776" s="78"/>
      <c r="CA776" s="77"/>
      <c r="CB776" s="77"/>
      <c r="CC776" s="77"/>
      <c r="CD776" s="77"/>
      <c r="CE776" s="77"/>
      <c r="CF776" s="77"/>
      <c r="CG776" s="77"/>
      <c r="CO776" s="78"/>
      <c r="CP776" s="78"/>
    </row>
    <row r="777" spans="1:94" ht="15.75" customHeight="1">
      <c r="A777" s="62" t="s">
        <v>1300</v>
      </c>
      <c r="B777" s="62"/>
      <c r="C777" s="62" t="s">
        <v>10</v>
      </c>
      <c r="D777" s="62" t="s">
        <v>1272</v>
      </c>
      <c r="E777" s="62" t="s">
        <v>165</v>
      </c>
      <c r="G777" s="62" t="s">
        <v>355</v>
      </c>
      <c r="H777" s="62" t="s">
        <v>344</v>
      </c>
      <c r="I777" s="62" t="s">
        <v>355</v>
      </c>
      <c r="J777" s="62" t="s">
        <v>344</v>
      </c>
      <c r="M777" s="80" t="s">
        <v>1301</v>
      </c>
      <c r="AT777" s="62">
        <v>3.47</v>
      </c>
      <c r="AW777" s="62">
        <v>2.4900000000000002</v>
      </c>
      <c r="AX777" s="62">
        <v>3.71</v>
      </c>
      <c r="AY777" s="62">
        <v>2.78</v>
      </c>
      <c r="AZ777" s="62">
        <v>2.77</v>
      </c>
      <c r="BA777" s="63">
        <f>MAX(AY777:AZ777)</f>
        <v>2.78</v>
      </c>
      <c r="BB777" s="62">
        <v>3.97</v>
      </c>
      <c r="BC777" s="62">
        <v>3.29</v>
      </c>
      <c r="BD777" s="62">
        <v>3.15</v>
      </c>
      <c r="BE777" s="63">
        <f>MAX(BC777:BD777)</f>
        <v>3.29</v>
      </c>
      <c r="BF777" s="62">
        <v>4.57</v>
      </c>
      <c r="BG777" s="62">
        <v>2.95</v>
      </c>
      <c r="BH777" s="62">
        <v>2.54</v>
      </c>
      <c r="BI777" s="63">
        <f>MAX(BG777:BH777)</f>
        <v>2.95</v>
      </c>
      <c r="BK777" s="62" t="s">
        <v>273</v>
      </c>
      <c r="BL777" s="62"/>
      <c r="BM777" s="62" t="s">
        <v>1302</v>
      </c>
      <c r="BN777"/>
    </row>
    <row r="778" spans="1:94" ht="15.75" customHeight="1">
      <c r="A778" s="62" t="s">
        <v>1303</v>
      </c>
      <c r="B778" s="62"/>
      <c r="C778" s="62" t="s">
        <v>10</v>
      </c>
      <c r="D778" s="62" t="s">
        <v>1272</v>
      </c>
      <c r="E778" s="62" t="s">
        <v>165</v>
      </c>
      <c r="G778" s="62" t="s">
        <v>355</v>
      </c>
      <c r="H778" s="62" t="s">
        <v>344</v>
      </c>
      <c r="I778" s="62" t="s">
        <v>355</v>
      </c>
      <c r="J778" s="62" t="s">
        <v>344</v>
      </c>
      <c r="M778" s="80" t="s">
        <v>1304</v>
      </c>
      <c r="AD778" s="62">
        <v>3.9</v>
      </c>
      <c r="AE778" s="62">
        <v>5.78</v>
      </c>
      <c r="AF778" s="62">
        <v>6.09</v>
      </c>
      <c r="AG778" s="63">
        <f>MAXA(AE778:AF778)</f>
        <v>6.09</v>
      </c>
      <c r="BJ778" s="62" t="s">
        <v>1305</v>
      </c>
      <c r="BK778" s="62" t="s">
        <v>273</v>
      </c>
      <c r="BL778" s="62"/>
      <c r="BM778" s="62" t="s">
        <v>1302</v>
      </c>
      <c r="BN778"/>
    </row>
    <row r="779" spans="1:94" ht="15.75" customHeight="1">
      <c r="A779" s="62" t="s">
        <v>1306</v>
      </c>
      <c r="B779" s="62"/>
      <c r="C779" s="62" t="s">
        <v>10</v>
      </c>
      <c r="D779" s="62" t="s">
        <v>1272</v>
      </c>
      <c r="E779" s="62" t="s">
        <v>165</v>
      </c>
      <c r="G779" s="62" t="s">
        <v>355</v>
      </c>
      <c r="H779" s="62" t="s">
        <v>344</v>
      </c>
      <c r="I779" s="62" t="s">
        <v>355</v>
      </c>
      <c r="J779" s="62" t="s">
        <v>344</v>
      </c>
      <c r="M779" s="80" t="s">
        <v>1307</v>
      </c>
      <c r="AT779" s="62">
        <v>3.82</v>
      </c>
      <c r="AW779" s="62">
        <v>2.1</v>
      </c>
      <c r="AX779" s="62">
        <v>4.13</v>
      </c>
      <c r="AY779" s="62">
        <v>2.93</v>
      </c>
      <c r="AZ779" s="62">
        <v>2.88</v>
      </c>
      <c r="BA779" s="63">
        <f>MAX(AY779:AZ779)</f>
        <v>2.93</v>
      </c>
      <c r="BB779" s="62">
        <v>4.37</v>
      </c>
      <c r="BC779" s="62">
        <v>3.5</v>
      </c>
      <c r="BD779" s="62">
        <v>3.17</v>
      </c>
      <c r="BE779" s="63">
        <f>MAX(BC779:BD779)</f>
        <v>3.5</v>
      </c>
      <c r="BF779" s="62">
        <v>5.0199999999999996</v>
      </c>
      <c r="BG779" s="62">
        <v>3.13</v>
      </c>
      <c r="BH779" s="62">
        <v>2.5</v>
      </c>
      <c r="BI779" s="63">
        <f>MAX(BG779:BH779)</f>
        <v>3.13</v>
      </c>
      <c r="BK779" s="62" t="s">
        <v>273</v>
      </c>
      <c r="BL779" s="62"/>
      <c r="BM779" s="62" t="s">
        <v>1302</v>
      </c>
      <c r="BN779" s="62"/>
      <c r="BO779" s="62" t="s">
        <v>174</v>
      </c>
      <c r="BP779" s="62" t="s">
        <v>1302</v>
      </c>
    </row>
    <row r="780" spans="1:94" ht="15.75" customHeight="1">
      <c r="A780" s="62" t="s">
        <v>1300</v>
      </c>
      <c r="B780" s="62"/>
      <c r="C780" s="62" t="s">
        <v>10</v>
      </c>
      <c r="D780" s="62" t="s">
        <v>1272</v>
      </c>
      <c r="E780" s="62" t="s">
        <v>165</v>
      </c>
      <c r="F780" s="63"/>
      <c r="G780" s="62" t="s">
        <v>355</v>
      </c>
      <c r="H780" s="62" t="s">
        <v>1308</v>
      </c>
      <c r="I780" s="62" t="s">
        <v>355</v>
      </c>
      <c r="J780" s="62" t="s">
        <v>1308</v>
      </c>
      <c r="K780" s="63"/>
      <c r="L780" s="63"/>
      <c r="M780" s="80" t="s">
        <v>1309</v>
      </c>
      <c r="N780" s="63"/>
      <c r="O780" s="63"/>
      <c r="P780" s="63"/>
      <c r="Q780" s="63"/>
      <c r="R780" s="63"/>
      <c r="S780" s="63"/>
      <c r="T780" s="63"/>
      <c r="U780" s="63"/>
      <c r="V780" s="63"/>
      <c r="W780" s="63"/>
      <c r="X780" s="63"/>
      <c r="Y780" s="63"/>
      <c r="Z780" s="63"/>
      <c r="AA780" s="63"/>
      <c r="AB780" s="63"/>
      <c r="AC780" s="63"/>
      <c r="AD780" s="63"/>
      <c r="AE780" s="63"/>
      <c r="AF780" s="63"/>
      <c r="AG780" s="63"/>
      <c r="AH780" s="63"/>
      <c r="AI780" s="63"/>
      <c r="AJ780" s="63"/>
      <c r="AK780" s="63"/>
      <c r="AL780" s="63"/>
      <c r="AM780" s="63"/>
      <c r="AN780" s="63"/>
      <c r="AO780" s="63"/>
      <c r="AP780" s="63"/>
      <c r="AQ780" s="63"/>
      <c r="AR780" s="63"/>
      <c r="AS780" s="63"/>
      <c r="AT780" s="62">
        <v>3.61</v>
      </c>
      <c r="AU780" s="63"/>
      <c r="AV780" s="63"/>
      <c r="AW780" s="62">
        <v>2.35</v>
      </c>
      <c r="AX780" s="62">
        <v>3.96</v>
      </c>
      <c r="AY780" s="62">
        <v>2.98</v>
      </c>
      <c r="AZ780" s="62">
        <v>2.89</v>
      </c>
      <c r="BA780" s="63">
        <f>MAX(AY780:AZ780)</f>
        <v>2.98</v>
      </c>
      <c r="BB780" s="62">
        <v>4.22</v>
      </c>
      <c r="BC780" s="62">
        <v>3.39</v>
      </c>
      <c r="BD780" s="62">
        <v>3.13</v>
      </c>
      <c r="BE780" s="63">
        <f>MAX(BC780:BD780)</f>
        <v>3.39</v>
      </c>
      <c r="BF780" s="62">
        <v>5.18</v>
      </c>
      <c r="BG780" s="62">
        <v>3.01</v>
      </c>
      <c r="BH780" s="62">
        <v>2.4700000000000002</v>
      </c>
      <c r="BI780" s="63">
        <f>MAX(BG780:BH780)</f>
        <v>3.01</v>
      </c>
      <c r="BJ780" s="63"/>
      <c r="BK780" s="62" t="s">
        <v>273</v>
      </c>
      <c r="BL780" s="62"/>
      <c r="BM780" s="62" t="s">
        <v>1302</v>
      </c>
      <c r="BN780" s="63"/>
      <c r="BO780" s="63"/>
      <c r="BP780" s="63"/>
      <c r="BQ780" s="63"/>
      <c r="BR780" s="63"/>
    </row>
    <row r="781" spans="1:94" ht="15.75" customHeight="1">
      <c r="A781" s="62" t="s">
        <v>1310</v>
      </c>
      <c r="B781" s="62"/>
      <c r="C781" s="62" t="s">
        <v>10</v>
      </c>
      <c r="D781" s="62" t="s">
        <v>1272</v>
      </c>
      <c r="E781" s="62" t="s">
        <v>165</v>
      </c>
      <c r="F781" s="63"/>
      <c r="G781" s="62" t="s">
        <v>355</v>
      </c>
      <c r="H781" s="62" t="s">
        <v>1308</v>
      </c>
      <c r="I781" s="62" t="s">
        <v>355</v>
      </c>
      <c r="J781" s="62" t="s">
        <v>1308</v>
      </c>
      <c r="K781" s="63"/>
      <c r="L781" s="63"/>
      <c r="M781" s="80" t="s">
        <v>1311</v>
      </c>
      <c r="N781" s="63"/>
      <c r="O781" s="63"/>
      <c r="P781" s="63"/>
      <c r="Q781" s="63"/>
      <c r="R781" s="63"/>
      <c r="S781" s="63"/>
      <c r="T781" s="63"/>
      <c r="U781" s="63"/>
      <c r="V781" s="63"/>
      <c r="W781" s="63"/>
      <c r="X781" s="63"/>
      <c r="Y781" s="63"/>
      <c r="Z781" s="63"/>
      <c r="AA781" s="63"/>
      <c r="AB781" s="63"/>
      <c r="AC781" s="63"/>
      <c r="AD781" s="63"/>
      <c r="AE781" s="63"/>
      <c r="AF781" s="63"/>
      <c r="AG781" s="63"/>
      <c r="AH781" s="62">
        <v>4.32</v>
      </c>
      <c r="AI781" s="62">
        <v>5.45</v>
      </c>
      <c r="AJ781" s="62">
        <v>5.2</v>
      </c>
      <c r="AK781" s="63">
        <f>MAX(AI781:AJ781)</f>
        <v>5.45</v>
      </c>
      <c r="AL781" s="63"/>
      <c r="AM781" s="63"/>
      <c r="AN781" s="63"/>
      <c r="AO781" s="63"/>
      <c r="AP781" s="63"/>
      <c r="AQ781" s="63"/>
      <c r="AR781" s="63"/>
      <c r="AS781" s="63"/>
      <c r="AT781" s="63"/>
      <c r="AU781" s="63"/>
      <c r="AV781" s="63"/>
      <c r="AW781" s="63"/>
      <c r="AX781" s="63"/>
      <c r="AY781" s="63"/>
      <c r="AZ781" s="63"/>
      <c r="BA781" s="63"/>
      <c r="BB781" s="63"/>
      <c r="BC781" s="63"/>
      <c r="BD781" s="63"/>
      <c r="BE781" s="63"/>
      <c r="BF781" s="63"/>
      <c r="BG781" s="63"/>
      <c r="BH781" s="63"/>
      <c r="BI781" s="63"/>
      <c r="BJ781" s="63"/>
      <c r="BK781" s="62" t="s">
        <v>273</v>
      </c>
      <c r="BL781" s="62"/>
      <c r="BM781" s="62" t="s">
        <v>1302</v>
      </c>
      <c r="BN781" s="63"/>
      <c r="BO781" s="63"/>
      <c r="BP781" s="63"/>
      <c r="BQ781" s="63"/>
      <c r="BR781" s="63"/>
    </row>
    <row r="782" spans="1:94" ht="15.75" customHeight="1">
      <c r="A782" s="62" t="s">
        <v>1312</v>
      </c>
      <c r="B782" s="62"/>
      <c r="C782" s="62" t="s">
        <v>10</v>
      </c>
      <c r="D782" s="62" t="s">
        <v>1272</v>
      </c>
      <c r="E782" s="62" t="s">
        <v>165</v>
      </c>
      <c r="G782" s="62" t="s">
        <v>355</v>
      </c>
      <c r="H782" s="62" t="s">
        <v>1308</v>
      </c>
      <c r="I782" s="62" t="s">
        <v>355</v>
      </c>
      <c r="J782" s="62" t="s">
        <v>1308</v>
      </c>
      <c r="M782" s="80" t="s">
        <v>1313</v>
      </c>
      <c r="AT782" s="62">
        <v>3.75</v>
      </c>
      <c r="AW782" s="62">
        <v>2.27</v>
      </c>
      <c r="BK782" s="62" t="s">
        <v>273</v>
      </c>
      <c r="BL782" s="62"/>
      <c r="BM782" s="62" t="s">
        <v>1302</v>
      </c>
      <c r="BN782"/>
    </row>
    <row r="783" spans="1:94" ht="15.75" customHeight="1">
      <c r="A783" s="62" t="s">
        <v>1312</v>
      </c>
      <c r="B783" s="62"/>
      <c r="C783" s="62" t="s">
        <v>10</v>
      </c>
      <c r="D783" s="62" t="s">
        <v>1272</v>
      </c>
      <c r="E783" s="62" t="s">
        <v>165</v>
      </c>
      <c r="G783" s="62" t="s">
        <v>355</v>
      </c>
      <c r="H783" s="62" t="s">
        <v>1308</v>
      </c>
      <c r="I783" s="62" t="s">
        <v>355</v>
      </c>
      <c r="J783" s="62" t="s">
        <v>1308</v>
      </c>
      <c r="M783" s="80" t="s">
        <v>1313</v>
      </c>
      <c r="AX783" s="62">
        <v>3.92</v>
      </c>
      <c r="AZ783" s="62">
        <v>2.76</v>
      </c>
      <c r="BA783" s="63">
        <f>MAX(AY783:AZ783)</f>
        <v>2.76</v>
      </c>
      <c r="BK783" s="62" t="s">
        <v>273</v>
      </c>
      <c r="BL783" s="62"/>
      <c r="BM783" s="62" t="s">
        <v>1302</v>
      </c>
      <c r="BN783"/>
    </row>
    <row r="784" spans="1:94" ht="15.75" customHeight="1">
      <c r="A784" s="62" t="s">
        <v>1312</v>
      </c>
      <c r="B784" s="62"/>
      <c r="C784" s="62" t="s">
        <v>10</v>
      </c>
      <c r="D784" s="62" t="s">
        <v>1272</v>
      </c>
      <c r="E784" s="62" t="s">
        <v>165</v>
      </c>
      <c r="G784" s="62" t="s">
        <v>355</v>
      </c>
      <c r="H784" s="62" t="s">
        <v>1308</v>
      </c>
      <c r="I784" s="62" t="s">
        <v>355</v>
      </c>
      <c r="J784" s="62" t="s">
        <v>1308</v>
      </c>
      <c r="M784" s="80" t="s">
        <v>1313</v>
      </c>
      <c r="BB784" s="62">
        <v>4.25</v>
      </c>
      <c r="BC784" s="62">
        <v>3.44</v>
      </c>
      <c r="BD784" s="62">
        <v>3.17</v>
      </c>
      <c r="BE784" s="63">
        <f>MAX(BC784:BD784)</f>
        <v>3.44</v>
      </c>
      <c r="BK784" s="62" t="s">
        <v>273</v>
      </c>
      <c r="BL784" s="62"/>
      <c r="BM784" s="62" t="s">
        <v>1302</v>
      </c>
      <c r="BN784"/>
    </row>
    <row r="785" spans="1:70" ht="15.75" customHeight="1">
      <c r="A785" s="62" t="s">
        <v>1314</v>
      </c>
      <c r="B785" s="62"/>
      <c r="C785" s="62" t="s">
        <v>10</v>
      </c>
      <c r="D785" s="62" t="s">
        <v>1272</v>
      </c>
      <c r="E785" s="62" t="s">
        <v>165</v>
      </c>
      <c r="G785" s="62" t="s">
        <v>355</v>
      </c>
      <c r="H785" s="62" t="s">
        <v>1308</v>
      </c>
      <c r="I785" s="62" t="s">
        <v>355</v>
      </c>
      <c r="J785" s="62" t="s">
        <v>1308</v>
      </c>
      <c r="M785" s="80" t="s">
        <v>1315</v>
      </c>
      <c r="AT785" s="62">
        <v>3.45</v>
      </c>
      <c r="AW785" s="62">
        <v>2.31</v>
      </c>
      <c r="BK785" s="62" t="s">
        <v>273</v>
      </c>
      <c r="BL785" s="62"/>
      <c r="BM785" s="62" t="s">
        <v>1302</v>
      </c>
      <c r="BN785"/>
    </row>
    <row r="786" spans="1:70" ht="15.75" customHeight="1">
      <c r="A786" s="62" t="s">
        <v>1314</v>
      </c>
      <c r="B786" s="62"/>
      <c r="C786" s="62" t="s">
        <v>10</v>
      </c>
      <c r="D786" s="62" t="s">
        <v>1272</v>
      </c>
      <c r="E786" s="62" t="s">
        <v>165</v>
      </c>
      <c r="G786" s="62" t="s">
        <v>355</v>
      </c>
      <c r="H786" s="62" t="s">
        <v>1308</v>
      </c>
      <c r="I786" s="62" t="s">
        <v>355</v>
      </c>
      <c r="J786" s="62" t="s">
        <v>1308</v>
      </c>
      <c r="M786" s="80" t="s">
        <v>1315</v>
      </c>
      <c r="BB786" s="62">
        <v>3.97</v>
      </c>
      <c r="BC786" s="62">
        <v>3.2</v>
      </c>
      <c r="BD786" s="62">
        <v>2.81</v>
      </c>
      <c r="BE786" s="63">
        <f>MAX(BC786:BD786)</f>
        <v>3.2</v>
      </c>
      <c r="BK786" s="62" t="s">
        <v>273</v>
      </c>
      <c r="BL786" s="62"/>
      <c r="BM786" s="62" t="s">
        <v>1302</v>
      </c>
      <c r="BN786"/>
    </row>
    <row r="787" spans="1:70" ht="15.75" customHeight="1">
      <c r="A787" s="62" t="s">
        <v>1314</v>
      </c>
      <c r="B787" s="62"/>
      <c r="C787" s="62" t="s">
        <v>10</v>
      </c>
      <c r="D787" s="62" t="s">
        <v>1272</v>
      </c>
      <c r="E787" s="62" t="s">
        <v>165</v>
      </c>
      <c r="G787" s="62" t="s">
        <v>355</v>
      </c>
      <c r="H787" s="62" t="s">
        <v>1308</v>
      </c>
      <c r="I787" s="62" t="s">
        <v>355</v>
      </c>
      <c r="J787" s="62" t="s">
        <v>1308</v>
      </c>
      <c r="M787" s="80" t="s">
        <v>1315</v>
      </c>
      <c r="BF787" s="62">
        <v>4.9000000000000004</v>
      </c>
      <c r="BG787" s="62">
        <v>2.85</v>
      </c>
      <c r="BH787" s="62">
        <v>2.33</v>
      </c>
      <c r="BI787" s="63">
        <f>MAX(BG787:BH787)</f>
        <v>2.85</v>
      </c>
      <c r="BK787" s="62" t="s">
        <v>273</v>
      </c>
      <c r="BL787" s="62"/>
      <c r="BM787" s="62" t="s">
        <v>1302</v>
      </c>
      <c r="BN787"/>
    </row>
    <row r="788" spans="1:70" ht="15.75" customHeight="1">
      <c r="A788" s="62" t="s">
        <v>1316</v>
      </c>
      <c r="B788" s="62"/>
      <c r="C788" s="62" t="s">
        <v>10</v>
      </c>
      <c r="D788" s="62" t="s">
        <v>1272</v>
      </c>
      <c r="E788" s="62" t="s">
        <v>165</v>
      </c>
      <c r="G788" s="62" t="s">
        <v>355</v>
      </c>
      <c r="H788" s="62" t="s">
        <v>1308</v>
      </c>
      <c r="I788" s="62" t="s">
        <v>355</v>
      </c>
      <c r="J788" s="62" t="s">
        <v>1308</v>
      </c>
      <c r="M788" s="80" t="s">
        <v>1317</v>
      </c>
      <c r="AH788" s="62">
        <v>4.21</v>
      </c>
      <c r="AI788" s="62">
        <v>5.2</v>
      </c>
      <c r="AJ788" s="62">
        <v>4.75</v>
      </c>
      <c r="AK788" s="63">
        <f>MAX(AI788:AJ788)</f>
        <v>5.2</v>
      </c>
      <c r="BK788" s="62" t="s">
        <v>273</v>
      </c>
      <c r="BL788" s="62"/>
      <c r="BM788" s="62" t="s">
        <v>1302</v>
      </c>
      <c r="BN788"/>
    </row>
    <row r="789" spans="1:70" ht="15.75" customHeight="1">
      <c r="A789" s="62" t="s">
        <v>1318</v>
      </c>
      <c r="B789" s="62"/>
      <c r="C789" s="62" t="s">
        <v>10</v>
      </c>
      <c r="D789" s="62" t="s">
        <v>1272</v>
      </c>
      <c r="E789" s="62" t="s">
        <v>165</v>
      </c>
      <c r="G789" s="62" t="s">
        <v>355</v>
      </c>
      <c r="H789" s="62" t="s">
        <v>1308</v>
      </c>
      <c r="I789" s="62" t="s">
        <v>355</v>
      </c>
      <c r="J789" s="62" t="s">
        <v>1308</v>
      </c>
      <c r="M789" s="80" t="s">
        <v>1319</v>
      </c>
      <c r="AH789" s="62">
        <v>4.22</v>
      </c>
      <c r="AI789" s="62">
        <v>4.8499999999999996</v>
      </c>
      <c r="AJ789" s="62">
        <v>4.37</v>
      </c>
      <c r="AK789" s="63">
        <f>MAX(AI789:AJ789)</f>
        <v>4.8499999999999996</v>
      </c>
      <c r="BK789" s="62" t="s">
        <v>273</v>
      </c>
      <c r="BL789" s="62"/>
      <c r="BM789" s="62" t="s">
        <v>1302</v>
      </c>
      <c r="BN789"/>
    </row>
    <row r="790" spans="1:70" ht="15.75" customHeight="1">
      <c r="A790" s="62" t="s">
        <v>1320</v>
      </c>
      <c r="B790" s="62"/>
      <c r="C790" s="62" t="s">
        <v>10</v>
      </c>
      <c r="D790" s="62" t="s">
        <v>1272</v>
      </c>
      <c r="E790" s="62" t="s">
        <v>165</v>
      </c>
      <c r="G790" s="62" t="s">
        <v>355</v>
      </c>
      <c r="H790" s="62" t="s">
        <v>1308</v>
      </c>
      <c r="I790" s="62" t="s">
        <v>355</v>
      </c>
      <c r="J790" s="62" t="s">
        <v>1308</v>
      </c>
      <c r="M790" s="80" t="s">
        <v>1307</v>
      </c>
      <c r="AD790" s="62">
        <v>4.7699999999999996</v>
      </c>
      <c r="AE790" s="62">
        <v>6.16</v>
      </c>
      <c r="AF790" s="62">
        <v>6.54</v>
      </c>
      <c r="AG790" s="63">
        <f>MAX(AE790:AF790)</f>
        <v>6.54</v>
      </c>
      <c r="BK790" s="62" t="s">
        <v>273</v>
      </c>
      <c r="BL790" s="62"/>
      <c r="BM790" s="62" t="s">
        <v>1302</v>
      </c>
      <c r="BN790"/>
    </row>
    <row r="791" spans="1:70" ht="15.75" customHeight="1">
      <c r="A791" s="62" t="s">
        <v>1321</v>
      </c>
      <c r="B791" s="62"/>
      <c r="C791" s="62" t="s">
        <v>10</v>
      </c>
      <c r="D791" s="62" t="s">
        <v>1272</v>
      </c>
      <c r="E791" s="62" t="s">
        <v>165</v>
      </c>
      <c r="G791" s="62" t="s">
        <v>355</v>
      </c>
      <c r="H791" s="62" t="s">
        <v>1308</v>
      </c>
      <c r="I791" s="62" t="s">
        <v>355</v>
      </c>
      <c r="J791" s="62" t="s">
        <v>1308</v>
      </c>
      <c r="M791" s="80" t="s">
        <v>1322</v>
      </c>
      <c r="AH791" s="62">
        <v>3.94</v>
      </c>
      <c r="AI791" s="62">
        <v>4.88</v>
      </c>
      <c r="AJ791" s="62">
        <v>4.53</v>
      </c>
      <c r="AK791" s="63">
        <f>MAX(AI791:AJ791)</f>
        <v>4.88</v>
      </c>
      <c r="BK791" s="62" t="s">
        <v>273</v>
      </c>
      <c r="BL791" s="62"/>
      <c r="BM791" s="62" t="s">
        <v>1302</v>
      </c>
      <c r="BN791"/>
    </row>
    <row r="792" spans="1:70" ht="15.75" customHeight="1">
      <c r="A792" s="62" t="s">
        <v>1323</v>
      </c>
      <c r="B792" s="62"/>
      <c r="C792" s="62" t="s">
        <v>10</v>
      </c>
      <c r="D792" s="62" t="s">
        <v>1272</v>
      </c>
      <c r="E792" s="62" t="s">
        <v>165</v>
      </c>
      <c r="G792" s="62" t="s">
        <v>355</v>
      </c>
      <c r="H792" s="62" t="s">
        <v>1308</v>
      </c>
      <c r="I792" s="62" t="s">
        <v>355</v>
      </c>
      <c r="J792" s="62" t="s">
        <v>1308</v>
      </c>
      <c r="M792" s="80" t="s">
        <v>1324</v>
      </c>
      <c r="AH792" s="62">
        <v>4.1900000000000004</v>
      </c>
      <c r="AI792" s="62">
        <v>5.38</v>
      </c>
      <c r="AJ792" s="62">
        <v>4.91</v>
      </c>
      <c r="AK792" s="63">
        <f>MAX(AI792:AJ792)</f>
        <v>5.38</v>
      </c>
      <c r="BK792" s="62" t="s">
        <v>273</v>
      </c>
      <c r="BL792" s="62"/>
      <c r="BM792" s="62" t="s">
        <v>1302</v>
      </c>
      <c r="BN792"/>
    </row>
    <row r="793" spans="1:70" ht="15.75" customHeight="1">
      <c r="A793" s="62" t="s">
        <v>1325</v>
      </c>
      <c r="B793" s="62"/>
      <c r="C793" s="62" t="s">
        <v>10</v>
      </c>
      <c r="D793" s="62" t="s">
        <v>1272</v>
      </c>
      <c r="E793" s="62" t="s">
        <v>165</v>
      </c>
      <c r="G793" s="62" t="s">
        <v>355</v>
      </c>
      <c r="H793" s="62" t="s">
        <v>1308</v>
      </c>
      <c r="I793" s="62" t="s">
        <v>355</v>
      </c>
      <c r="J793" s="62" t="s">
        <v>1308</v>
      </c>
      <c r="M793" s="80" t="s">
        <v>1326</v>
      </c>
      <c r="AL793" s="62">
        <v>2.5</v>
      </c>
      <c r="AO793" s="62">
        <v>1.34</v>
      </c>
      <c r="BK793" s="62" t="s">
        <v>273</v>
      </c>
      <c r="BL793" s="62"/>
      <c r="BM793" s="62" t="s">
        <v>1302</v>
      </c>
      <c r="BN793" s="62"/>
      <c r="BO793" s="62" t="s">
        <v>174</v>
      </c>
      <c r="BP793" s="62" t="s">
        <v>1302</v>
      </c>
    </row>
    <row r="794" spans="1:70" ht="15.75" customHeight="1">
      <c r="A794" s="62" t="s">
        <v>1325</v>
      </c>
      <c r="B794" s="62"/>
      <c r="C794" s="62" t="s">
        <v>10</v>
      </c>
      <c r="D794" s="62" t="s">
        <v>1272</v>
      </c>
      <c r="E794" s="62" t="s">
        <v>165</v>
      </c>
      <c r="F794" s="63"/>
      <c r="G794" s="62" t="s">
        <v>355</v>
      </c>
      <c r="H794" s="62" t="s">
        <v>1308</v>
      </c>
      <c r="I794" s="62" t="s">
        <v>355</v>
      </c>
      <c r="J794" s="62" t="s">
        <v>1308</v>
      </c>
      <c r="K794" s="63"/>
      <c r="L794" s="63"/>
      <c r="M794" s="80" t="s">
        <v>1326</v>
      </c>
      <c r="N794" s="63"/>
      <c r="O794" s="63"/>
      <c r="P794" s="63"/>
      <c r="Q794" s="63"/>
      <c r="R794" s="63"/>
      <c r="S794" s="63"/>
      <c r="T794" s="63"/>
      <c r="U794" s="63"/>
      <c r="V794" s="63"/>
      <c r="W794" s="63"/>
      <c r="X794" s="63"/>
      <c r="Y794" s="63"/>
      <c r="Z794" s="63"/>
      <c r="AA794" s="63"/>
      <c r="AB794" s="63"/>
      <c r="AC794" s="63"/>
      <c r="AD794" s="63"/>
      <c r="AE794" s="63"/>
      <c r="AF794" s="63"/>
      <c r="AG794" s="63"/>
      <c r="AH794" s="63"/>
      <c r="AI794" s="63"/>
      <c r="AJ794" s="63"/>
      <c r="AK794" s="63"/>
      <c r="AL794" s="63"/>
      <c r="AM794" s="63"/>
      <c r="AN794" s="63"/>
      <c r="AO794" s="63"/>
      <c r="AP794" s="62">
        <v>3.16</v>
      </c>
      <c r="AQ794" s="63"/>
      <c r="AR794" s="63"/>
      <c r="AS794" s="62">
        <v>1.71</v>
      </c>
      <c r="AT794" s="62"/>
      <c r="AU794" s="63"/>
      <c r="AV794" s="63"/>
      <c r="AW794" s="63"/>
      <c r="AX794" s="63"/>
      <c r="AY794" s="63"/>
      <c r="AZ794" s="63"/>
      <c r="BA794" s="63"/>
      <c r="BB794" s="63"/>
      <c r="BC794" s="63"/>
      <c r="BD794" s="63"/>
      <c r="BE794" s="63"/>
      <c r="BF794" s="63"/>
      <c r="BG794" s="63"/>
      <c r="BH794" s="63"/>
      <c r="BI794" s="63"/>
      <c r="BJ794" s="63"/>
      <c r="BK794" s="62" t="s">
        <v>273</v>
      </c>
      <c r="BL794" s="62"/>
      <c r="BM794" s="62" t="s">
        <v>1302</v>
      </c>
      <c r="BN794" s="63"/>
      <c r="BO794" s="63"/>
      <c r="BP794" s="63"/>
      <c r="BQ794" s="63"/>
      <c r="BR794" s="63"/>
    </row>
    <row r="795" spans="1:70" ht="15.75" customHeight="1">
      <c r="A795" s="62" t="s">
        <v>1325</v>
      </c>
      <c r="B795" s="62"/>
      <c r="C795" s="62" t="s">
        <v>10</v>
      </c>
      <c r="D795" s="62" t="s">
        <v>1272</v>
      </c>
      <c r="E795" s="62" t="s">
        <v>165</v>
      </c>
      <c r="G795" s="62" t="s">
        <v>355</v>
      </c>
      <c r="H795" s="62" t="s">
        <v>1308</v>
      </c>
      <c r="I795" s="62" t="s">
        <v>355</v>
      </c>
      <c r="J795" s="62" t="s">
        <v>1308</v>
      </c>
      <c r="M795" s="80" t="s">
        <v>1326</v>
      </c>
      <c r="AT795" s="62">
        <v>3.44</v>
      </c>
      <c r="AW795" s="62">
        <v>2.39</v>
      </c>
      <c r="BK795" s="62" t="s">
        <v>273</v>
      </c>
      <c r="BL795" s="62"/>
      <c r="BM795" s="62" t="s">
        <v>1302</v>
      </c>
      <c r="BN795"/>
    </row>
    <row r="796" spans="1:70" ht="15.75" customHeight="1">
      <c r="A796" s="62" t="s">
        <v>1325</v>
      </c>
      <c r="B796" s="62"/>
      <c r="C796" s="62" t="s">
        <v>10</v>
      </c>
      <c r="D796" s="62" t="s">
        <v>1272</v>
      </c>
      <c r="E796" s="62" t="s">
        <v>165</v>
      </c>
      <c r="G796" s="62" t="s">
        <v>355</v>
      </c>
      <c r="H796" s="62" t="s">
        <v>1308</v>
      </c>
      <c r="I796" s="62" t="s">
        <v>355</v>
      </c>
      <c r="J796" s="62" t="s">
        <v>1308</v>
      </c>
      <c r="M796" s="80" t="s">
        <v>1326</v>
      </c>
      <c r="AX796" s="62">
        <v>3.92</v>
      </c>
      <c r="AY796" s="62">
        <v>2.98</v>
      </c>
      <c r="AZ796" s="62">
        <v>2.92</v>
      </c>
      <c r="BA796" s="63">
        <f>MAX(AY796:AZ796)</f>
        <v>2.98</v>
      </c>
      <c r="BK796" s="62" t="s">
        <v>273</v>
      </c>
      <c r="BL796" s="62"/>
      <c r="BM796" s="62" t="s">
        <v>1302</v>
      </c>
      <c r="BN796"/>
    </row>
    <row r="797" spans="1:70" ht="15.75" customHeight="1">
      <c r="A797" s="62" t="s">
        <v>1325</v>
      </c>
      <c r="B797" s="62"/>
      <c r="C797" s="62" t="s">
        <v>10</v>
      </c>
      <c r="D797" s="62" t="s">
        <v>1272</v>
      </c>
      <c r="E797" s="62" t="s">
        <v>165</v>
      </c>
      <c r="G797" s="62" t="s">
        <v>355</v>
      </c>
      <c r="H797" s="62" t="s">
        <v>1308</v>
      </c>
      <c r="I797" s="62" t="s">
        <v>355</v>
      </c>
      <c r="J797" s="62" t="s">
        <v>1308</v>
      </c>
      <c r="M797" s="80" t="s">
        <v>1326</v>
      </c>
      <c r="BB797" s="62">
        <v>4.09</v>
      </c>
      <c r="BC797" s="62">
        <v>3.31</v>
      </c>
      <c r="BD797" s="62">
        <v>3.03</v>
      </c>
      <c r="BE797" s="63">
        <f>MAX(BC797:BD797)</f>
        <v>3.31</v>
      </c>
      <c r="BK797" s="62" t="s">
        <v>273</v>
      </c>
      <c r="BL797" s="62"/>
      <c r="BM797" s="62" t="s">
        <v>1302</v>
      </c>
      <c r="BN797"/>
    </row>
    <row r="798" spans="1:70" ht="15.75" customHeight="1">
      <c r="A798" s="62" t="s">
        <v>1325</v>
      </c>
      <c r="B798" s="62"/>
      <c r="C798" s="62" t="s">
        <v>10</v>
      </c>
      <c r="D798" s="62" t="s">
        <v>1272</v>
      </c>
      <c r="E798" s="62" t="s">
        <v>165</v>
      </c>
      <c r="G798" s="62" t="s">
        <v>355</v>
      </c>
      <c r="H798" s="62" t="s">
        <v>1308</v>
      </c>
      <c r="I798" s="62" t="s">
        <v>355</v>
      </c>
      <c r="J798" s="62" t="s">
        <v>1308</v>
      </c>
      <c r="M798" s="80" t="s">
        <v>1326</v>
      </c>
      <c r="BF798" s="62">
        <v>5.21</v>
      </c>
      <c r="BG798" s="62">
        <v>2.9</v>
      </c>
      <c r="BH798" s="62">
        <v>2.54</v>
      </c>
      <c r="BI798" s="63">
        <f>MAX(BG798:BH798)</f>
        <v>2.9</v>
      </c>
      <c r="BK798" s="62" t="s">
        <v>273</v>
      </c>
      <c r="BL798" s="62"/>
      <c r="BM798" s="62" t="s">
        <v>1302</v>
      </c>
      <c r="BN798"/>
    </row>
    <row r="799" spans="1:70" ht="15.75" customHeight="1">
      <c r="A799" s="62" t="s">
        <v>1327</v>
      </c>
      <c r="B799" s="62"/>
      <c r="C799" s="62" t="s">
        <v>10</v>
      </c>
      <c r="D799" s="62" t="s">
        <v>1272</v>
      </c>
      <c r="E799" s="62" t="s">
        <v>165</v>
      </c>
      <c r="G799" s="62" t="s">
        <v>355</v>
      </c>
      <c r="H799" s="62" t="s">
        <v>1308</v>
      </c>
      <c r="I799" s="62" t="s">
        <v>355</v>
      </c>
      <c r="J799" s="62" t="s">
        <v>1308</v>
      </c>
      <c r="M799" s="80" t="s">
        <v>1328</v>
      </c>
      <c r="AT799" s="62">
        <v>3.8</v>
      </c>
      <c r="AW799" s="62">
        <v>2.41</v>
      </c>
      <c r="BK799" s="62" t="s">
        <v>273</v>
      </c>
      <c r="BL799" s="62"/>
      <c r="BM799" s="62" t="s">
        <v>1302</v>
      </c>
      <c r="BN799"/>
    </row>
    <row r="800" spans="1:70" ht="15.75" customHeight="1">
      <c r="A800" s="62" t="s">
        <v>1327</v>
      </c>
      <c r="B800" s="62"/>
      <c r="C800" s="62" t="s">
        <v>10</v>
      </c>
      <c r="D800" s="62" t="s">
        <v>1272</v>
      </c>
      <c r="E800" s="62" t="s">
        <v>165</v>
      </c>
      <c r="G800" s="62" t="s">
        <v>355</v>
      </c>
      <c r="H800" s="62" t="s">
        <v>1308</v>
      </c>
      <c r="I800" s="62" t="s">
        <v>355</v>
      </c>
      <c r="J800" s="62" t="s">
        <v>1308</v>
      </c>
      <c r="M800" s="80" t="s">
        <v>1328</v>
      </c>
      <c r="AX800" s="62">
        <v>4.05</v>
      </c>
      <c r="AY800" s="62">
        <v>2.98</v>
      </c>
      <c r="AZ800" s="62">
        <v>3</v>
      </c>
      <c r="BA800" s="63">
        <f>MAX(AY800:AZ800)</f>
        <v>3</v>
      </c>
      <c r="BK800" s="62" t="s">
        <v>273</v>
      </c>
      <c r="BL800" s="62"/>
      <c r="BM800" s="62" t="s">
        <v>1302</v>
      </c>
      <c r="BN800"/>
    </row>
    <row r="801" spans="1:70" ht="15.75" customHeight="1">
      <c r="A801" s="62" t="s">
        <v>1327</v>
      </c>
      <c r="B801" s="62"/>
      <c r="C801" s="62" t="s">
        <v>10</v>
      </c>
      <c r="D801" s="62" t="s">
        <v>1272</v>
      </c>
      <c r="E801" s="62" t="s">
        <v>165</v>
      </c>
      <c r="G801" s="62" t="s">
        <v>355</v>
      </c>
      <c r="H801" s="62" t="s">
        <v>1308</v>
      </c>
      <c r="I801" s="62" t="s">
        <v>355</v>
      </c>
      <c r="J801" s="62" t="s">
        <v>1308</v>
      </c>
      <c r="M801" s="80" t="s">
        <v>1328</v>
      </c>
      <c r="BB801" s="62">
        <v>4.5599999999999996</v>
      </c>
      <c r="BC801" s="62">
        <v>3.62</v>
      </c>
      <c r="BD801" s="62">
        <v>3.49</v>
      </c>
      <c r="BE801" s="63">
        <f>MAX(BC801:BD801)</f>
        <v>3.62</v>
      </c>
      <c r="BK801" s="62" t="s">
        <v>273</v>
      </c>
      <c r="BL801" s="62"/>
      <c r="BM801" s="62" t="s">
        <v>1302</v>
      </c>
      <c r="BN801"/>
    </row>
    <row r="802" spans="1:70" ht="15.75" customHeight="1">
      <c r="A802" s="62" t="s">
        <v>1327</v>
      </c>
      <c r="B802" s="62"/>
      <c r="C802" s="62" t="s">
        <v>10</v>
      </c>
      <c r="D802" s="62" t="s">
        <v>1272</v>
      </c>
      <c r="E802" s="62" t="s">
        <v>165</v>
      </c>
      <c r="G802" s="62" t="s">
        <v>355</v>
      </c>
      <c r="H802" s="62" t="s">
        <v>1308</v>
      </c>
      <c r="I802" s="62" t="s">
        <v>355</v>
      </c>
      <c r="J802" s="62" t="s">
        <v>1308</v>
      </c>
      <c r="M802" s="80" t="s">
        <v>1328</v>
      </c>
      <c r="BE802" s="62"/>
      <c r="BF802" s="62">
        <v>5.43</v>
      </c>
      <c r="BG802" s="62">
        <v>3.28</v>
      </c>
      <c r="BH802" s="62">
        <v>2.54</v>
      </c>
      <c r="BI802" s="63">
        <f>MAX(BG802:BH802)</f>
        <v>3.28</v>
      </c>
      <c r="BK802" s="62" t="s">
        <v>273</v>
      </c>
      <c r="BL802" s="62"/>
      <c r="BM802" s="62" t="s">
        <v>1302</v>
      </c>
      <c r="BN802"/>
    </row>
    <row r="803" spans="1:70" ht="15.75" customHeight="1">
      <c r="A803" s="62" t="s">
        <v>1329</v>
      </c>
      <c r="B803" s="62"/>
      <c r="C803" s="62" t="s">
        <v>10</v>
      </c>
      <c r="D803" s="62" t="s">
        <v>1272</v>
      </c>
      <c r="E803" s="62" t="s">
        <v>165</v>
      </c>
      <c r="G803" s="62" t="s">
        <v>355</v>
      </c>
      <c r="H803" s="62" t="s">
        <v>1308</v>
      </c>
      <c r="I803" s="62" t="s">
        <v>355</v>
      </c>
      <c r="J803" s="62" t="s">
        <v>1308</v>
      </c>
      <c r="M803" s="80" t="s">
        <v>1322</v>
      </c>
      <c r="Z803" s="62">
        <v>4.57</v>
      </c>
      <c r="AA803" s="62">
        <v>5.63</v>
      </c>
      <c r="AB803" s="62">
        <v>5.79</v>
      </c>
      <c r="AC803" s="63">
        <f>MAX(AA803:AB803)</f>
        <v>5.79</v>
      </c>
      <c r="BK803" s="62" t="s">
        <v>273</v>
      </c>
      <c r="BL803" s="62"/>
      <c r="BM803" s="62" t="s">
        <v>1302</v>
      </c>
      <c r="BN803"/>
    </row>
    <row r="804" spans="1:70" ht="15.75" customHeight="1">
      <c r="A804" s="62" t="s">
        <v>1330</v>
      </c>
      <c r="B804" s="62"/>
      <c r="C804" s="62" t="s">
        <v>10</v>
      </c>
      <c r="D804" s="62" t="s">
        <v>1272</v>
      </c>
      <c r="E804" s="62" t="s">
        <v>165</v>
      </c>
      <c r="G804" s="62" t="s">
        <v>355</v>
      </c>
      <c r="H804" s="62" t="s">
        <v>1308</v>
      </c>
      <c r="I804" s="62" t="s">
        <v>355</v>
      </c>
      <c r="J804" s="62" t="s">
        <v>1308</v>
      </c>
      <c r="M804" s="80" t="s">
        <v>1322</v>
      </c>
      <c r="AH804" s="62">
        <v>3.85</v>
      </c>
      <c r="AI804" s="62">
        <v>5.27</v>
      </c>
      <c r="AJ804" s="62">
        <v>4.5999999999999996</v>
      </c>
      <c r="AK804" s="63">
        <f>MAX(AI804:AJ804)</f>
        <v>5.27</v>
      </c>
      <c r="BK804" s="62" t="s">
        <v>273</v>
      </c>
      <c r="BL804" s="62"/>
      <c r="BM804" s="62" t="s">
        <v>1302</v>
      </c>
      <c r="BN804"/>
    </row>
    <row r="805" spans="1:70" ht="15.75" customHeight="1">
      <c r="A805" s="62" t="s">
        <v>1331</v>
      </c>
      <c r="B805" s="62"/>
      <c r="C805" s="62" t="s">
        <v>10</v>
      </c>
      <c r="D805" s="62" t="s">
        <v>1272</v>
      </c>
      <c r="E805" s="62" t="s">
        <v>165</v>
      </c>
      <c r="G805" s="62" t="s">
        <v>355</v>
      </c>
      <c r="H805" s="62" t="s">
        <v>1308</v>
      </c>
      <c r="I805" s="62" t="s">
        <v>355</v>
      </c>
      <c r="J805" s="62" t="s">
        <v>1308</v>
      </c>
      <c r="M805" s="80" t="s">
        <v>1322</v>
      </c>
      <c r="Z805" s="62">
        <v>4.05</v>
      </c>
      <c r="AA805" s="62">
        <v>5.26</v>
      </c>
      <c r="AB805" s="62">
        <v>5.31</v>
      </c>
      <c r="AC805" s="63">
        <f>MAX(AA805:AB805)</f>
        <v>5.31</v>
      </c>
      <c r="BK805" s="62" t="s">
        <v>273</v>
      </c>
      <c r="BL805" s="62"/>
      <c r="BM805" s="62" t="s">
        <v>1302</v>
      </c>
      <c r="BN805"/>
    </row>
    <row r="806" spans="1:70" ht="15.75" customHeight="1">
      <c r="A806" s="62" t="s">
        <v>1332</v>
      </c>
      <c r="B806" s="62"/>
      <c r="C806" s="62" t="s">
        <v>10</v>
      </c>
      <c r="D806" s="62" t="s">
        <v>1272</v>
      </c>
      <c r="E806" s="62" t="s">
        <v>165</v>
      </c>
      <c r="G806" s="62" t="s">
        <v>355</v>
      </c>
      <c r="H806" s="62" t="s">
        <v>1308</v>
      </c>
      <c r="I806" s="62" t="s">
        <v>355</v>
      </c>
      <c r="J806" s="62" t="s">
        <v>1308</v>
      </c>
      <c r="M806" s="80" t="s">
        <v>1333</v>
      </c>
      <c r="AD806" s="62">
        <v>4.76</v>
      </c>
      <c r="AE806" s="62">
        <v>5.96</v>
      </c>
      <c r="AF806" s="62">
        <v>6.24</v>
      </c>
      <c r="AG806" s="63">
        <f>MAX(AE806:AF806)</f>
        <v>6.24</v>
      </c>
      <c r="BK806" s="62" t="s">
        <v>273</v>
      </c>
      <c r="BL806" s="62"/>
      <c r="BM806" s="62" t="s">
        <v>1302</v>
      </c>
      <c r="BN806"/>
    </row>
    <row r="807" spans="1:70" ht="15.75" customHeight="1">
      <c r="A807" s="62" t="s">
        <v>1300</v>
      </c>
      <c r="B807" s="62"/>
      <c r="C807" s="62" t="s">
        <v>10</v>
      </c>
      <c r="D807" s="62" t="s">
        <v>1272</v>
      </c>
      <c r="E807" s="62" t="s">
        <v>165</v>
      </c>
      <c r="F807" s="63"/>
      <c r="G807" s="62" t="s">
        <v>85</v>
      </c>
      <c r="H807" s="62" t="s">
        <v>194</v>
      </c>
      <c r="I807" s="62" t="s">
        <v>85</v>
      </c>
      <c r="J807" s="62" t="s">
        <v>194</v>
      </c>
      <c r="K807" s="63"/>
      <c r="L807" s="63"/>
      <c r="M807" s="80" t="s">
        <v>1309</v>
      </c>
      <c r="N807" s="63"/>
      <c r="O807" s="63"/>
      <c r="P807" s="63"/>
      <c r="Q807" s="63"/>
      <c r="R807" s="63"/>
      <c r="S807" s="63"/>
      <c r="T807" s="63"/>
      <c r="U807" s="63"/>
      <c r="V807" s="63"/>
      <c r="W807" s="63"/>
      <c r="X807" s="63"/>
      <c r="Y807" s="63"/>
      <c r="Z807" s="63"/>
      <c r="AA807" s="63"/>
      <c r="AB807" s="63"/>
      <c r="AC807" s="63"/>
      <c r="AD807" s="63"/>
      <c r="AE807" s="63"/>
      <c r="AF807" s="63"/>
      <c r="AG807" s="63"/>
      <c r="AH807" s="63"/>
      <c r="AI807" s="63"/>
      <c r="AJ807" s="63"/>
      <c r="AK807" s="63"/>
      <c r="AL807" s="63"/>
      <c r="AM807" s="63"/>
      <c r="AN807" s="63"/>
      <c r="AO807" s="63"/>
      <c r="AP807" s="63"/>
      <c r="AQ807" s="63"/>
      <c r="AR807" s="63"/>
      <c r="AS807" s="63"/>
      <c r="AT807" s="62">
        <v>3.17</v>
      </c>
      <c r="AU807" s="63"/>
      <c r="AV807" s="63"/>
      <c r="AW807" s="62">
        <v>1.73</v>
      </c>
      <c r="AX807" s="62">
        <v>3.23</v>
      </c>
      <c r="AY807" s="62">
        <v>2.0699999999999998</v>
      </c>
      <c r="AZ807" s="62">
        <v>2.13</v>
      </c>
      <c r="BA807" s="63">
        <f>MAX(AY807:AZ807)</f>
        <v>2.13</v>
      </c>
      <c r="BB807" s="62">
        <v>3.53</v>
      </c>
      <c r="BC807" s="62">
        <v>2.59</v>
      </c>
      <c r="BD807" s="62">
        <v>2.4300000000000002</v>
      </c>
      <c r="BE807" s="63">
        <f>MAX(BC807:BD807)</f>
        <v>2.59</v>
      </c>
      <c r="BF807" s="62">
        <v>4.17</v>
      </c>
      <c r="BG807" s="62">
        <v>2.5</v>
      </c>
      <c r="BH807" s="62">
        <v>1.98</v>
      </c>
      <c r="BI807" s="63">
        <f>MAX(BG807:BH807)</f>
        <v>2.5</v>
      </c>
      <c r="BJ807" s="63"/>
      <c r="BK807" s="62" t="s">
        <v>273</v>
      </c>
      <c r="BL807" s="62"/>
      <c r="BM807" s="62" t="s">
        <v>1302</v>
      </c>
      <c r="BN807" s="63"/>
      <c r="BO807" s="63"/>
      <c r="BP807" s="63"/>
      <c r="BQ807" s="63"/>
      <c r="BR807" s="63"/>
    </row>
    <row r="808" spans="1:70" ht="15.75" customHeight="1">
      <c r="A808" s="62" t="s">
        <v>1300</v>
      </c>
      <c r="B808" s="62"/>
      <c r="C808" s="62" t="s">
        <v>10</v>
      </c>
      <c r="D808" s="62" t="s">
        <v>1272</v>
      </c>
      <c r="E808" s="62" t="s">
        <v>165</v>
      </c>
      <c r="F808" s="63"/>
      <c r="G808" s="62" t="s">
        <v>85</v>
      </c>
      <c r="H808" s="62" t="s">
        <v>194</v>
      </c>
      <c r="I808" s="62" t="s">
        <v>85</v>
      </c>
      <c r="J808" s="62" t="s">
        <v>194</v>
      </c>
      <c r="K808" s="63"/>
      <c r="L808" s="63"/>
      <c r="M808" s="80" t="s">
        <v>1334</v>
      </c>
      <c r="N808" s="63"/>
      <c r="O808" s="63"/>
      <c r="P808" s="63"/>
      <c r="Q808" s="63"/>
      <c r="R808" s="63"/>
      <c r="S808" s="63"/>
      <c r="T808" s="63"/>
      <c r="U808" s="63"/>
      <c r="V808" s="63"/>
      <c r="W808" s="63"/>
      <c r="X808" s="63"/>
      <c r="Y808" s="63"/>
      <c r="Z808" s="63"/>
      <c r="AA808" s="63"/>
      <c r="AB808" s="63"/>
      <c r="AC808" s="63"/>
      <c r="AD808" s="63"/>
      <c r="AE808" s="63"/>
      <c r="AF808" s="63"/>
      <c r="AG808" s="63"/>
      <c r="AH808" s="63"/>
      <c r="AI808" s="63"/>
      <c r="AJ808" s="63"/>
      <c r="AK808" s="63"/>
      <c r="AL808" s="63"/>
      <c r="AM808" s="63"/>
      <c r="AN808" s="63"/>
      <c r="AO808" s="63"/>
      <c r="AP808" s="63"/>
      <c r="AQ808" s="63"/>
      <c r="AR808" s="63"/>
      <c r="AS808" s="63"/>
      <c r="AT808" s="63"/>
      <c r="AU808" s="63"/>
      <c r="AV808" s="63"/>
      <c r="AW808" s="63"/>
      <c r="AX808" s="62">
        <v>3.36</v>
      </c>
      <c r="AY808" s="62">
        <v>2.1800000000000002</v>
      </c>
      <c r="AZ808" s="62">
        <v>2.2799999999999998</v>
      </c>
      <c r="BA808" s="63">
        <f>MAX(AY808:AZ808)</f>
        <v>2.2799999999999998</v>
      </c>
      <c r="BB808" s="63"/>
      <c r="BC808" s="63"/>
      <c r="BD808" s="63"/>
      <c r="BE808" s="63"/>
      <c r="BF808" s="63"/>
      <c r="BG808" s="63"/>
      <c r="BH808" s="63"/>
      <c r="BI808" s="63"/>
      <c r="BJ808" s="63"/>
      <c r="BK808" s="62" t="s">
        <v>273</v>
      </c>
      <c r="BL808" s="62"/>
      <c r="BM808" s="62" t="s">
        <v>1302</v>
      </c>
      <c r="BN808" s="63"/>
      <c r="BO808" s="63"/>
      <c r="BP808" s="63"/>
      <c r="BQ808" s="63"/>
      <c r="BR808" s="63"/>
    </row>
    <row r="809" spans="1:70" ht="15.75" customHeight="1">
      <c r="A809" s="62" t="s">
        <v>1300</v>
      </c>
      <c r="B809" s="62"/>
      <c r="C809" s="62" t="s">
        <v>10</v>
      </c>
      <c r="D809" s="62" t="s">
        <v>1272</v>
      </c>
      <c r="E809" s="62" t="s">
        <v>165</v>
      </c>
      <c r="F809" s="63"/>
      <c r="G809" s="62" t="s">
        <v>85</v>
      </c>
      <c r="H809" s="62" t="s">
        <v>194</v>
      </c>
      <c r="I809" s="62" t="s">
        <v>85</v>
      </c>
      <c r="J809" s="62" t="s">
        <v>194</v>
      </c>
      <c r="K809" s="63"/>
      <c r="L809" s="63"/>
      <c r="M809" s="80" t="s">
        <v>1301</v>
      </c>
      <c r="N809" s="63"/>
      <c r="O809" s="63"/>
      <c r="P809" s="63"/>
      <c r="Q809" s="63"/>
      <c r="R809" s="63"/>
      <c r="S809" s="63"/>
      <c r="T809" s="63"/>
      <c r="U809" s="63"/>
      <c r="V809" s="63"/>
      <c r="W809" s="63"/>
      <c r="X809" s="63"/>
      <c r="Y809" s="63"/>
      <c r="Z809" s="63"/>
      <c r="AA809" s="63"/>
      <c r="AB809" s="63"/>
      <c r="AC809" s="63"/>
      <c r="AD809" s="63"/>
      <c r="AE809" s="63"/>
      <c r="AF809" s="63"/>
      <c r="AG809" s="63"/>
      <c r="AH809" s="63"/>
      <c r="AI809" s="63"/>
      <c r="AJ809" s="63"/>
      <c r="AK809" s="63"/>
      <c r="AL809" s="63"/>
      <c r="AM809" s="63"/>
      <c r="AN809" s="63"/>
      <c r="AO809" s="63"/>
      <c r="AP809" s="63"/>
      <c r="AQ809" s="63"/>
      <c r="AR809" s="63"/>
      <c r="AS809" s="63"/>
      <c r="AT809" s="62">
        <v>2.9</v>
      </c>
      <c r="AU809" s="63"/>
      <c r="AV809" s="63"/>
      <c r="AW809" s="62">
        <v>1.77</v>
      </c>
      <c r="AX809" s="62">
        <v>3.23</v>
      </c>
      <c r="AY809" s="62">
        <v>2.14</v>
      </c>
      <c r="AZ809" s="62">
        <v>2.38</v>
      </c>
      <c r="BA809" s="63">
        <f>MAX(AY809:AZ809)</f>
        <v>2.38</v>
      </c>
      <c r="BB809" s="62">
        <v>3.6</v>
      </c>
      <c r="BC809" s="62">
        <v>2.67</v>
      </c>
      <c r="BD809" s="62">
        <v>2.64</v>
      </c>
      <c r="BE809" s="63">
        <f>MAX(BC809:BD809)</f>
        <v>2.67</v>
      </c>
      <c r="BF809" s="62">
        <v>3.96</v>
      </c>
      <c r="BG809" s="62">
        <v>2.46</v>
      </c>
      <c r="BH809" s="62">
        <v>2.0299999999999998</v>
      </c>
      <c r="BI809" s="63">
        <f>MAX(BG809:BH809)</f>
        <v>2.46</v>
      </c>
      <c r="BJ809" s="63"/>
      <c r="BK809" s="62" t="s">
        <v>273</v>
      </c>
      <c r="BL809" s="62"/>
      <c r="BM809" s="62" t="s">
        <v>1302</v>
      </c>
      <c r="BN809" s="63"/>
      <c r="BO809" s="63"/>
      <c r="BP809" s="63"/>
      <c r="BQ809" s="63"/>
      <c r="BR809" s="63"/>
    </row>
    <row r="810" spans="1:70" ht="15.75" customHeight="1">
      <c r="A810" s="62" t="s">
        <v>1300</v>
      </c>
      <c r="B810" s="62"/>
      <c r="C810" s="62" t="s">
        <v>10</v>
      </c>
      <c r="D810" s="62" t="s">
        <v>1272</v>
      </c>
      <c r="E810" s="62" t="s">
        <v>165</v>
      </c>
      <c r="F810" s="63"/>
      <c r="G810" s="62" t="s">
        <v>85</v>
      </c>
      <c r="H810" s="62" t="s">
        <v>194</v>
      </c>
      <c r="I810" s="62" t="s">
        <v>85</v>
      </c>
      <c r="J810" s="62" t="s">
        <v>194</v>
      </c>
      <c r="K810" s="63"/>
      <c r="L810" s="63"/>
      <c r="M810" s="80" t="s">
        <v>1301</v>
      </c>
      <c r="N810" s="63"/>
      <c r="O810" s="63"/>
      <c r="P810" s="63"/>
      <c r="Q810" s="63"/>
      <c r="R810" s="63"/>
      <c r="S810" s="63"/>
      <c r="T810" s="63"/>
      <c r="U810" s="63"/>
      <c r="V810" s="63"/>
      <c r="W810" s="63"/>
      <c r="X810" s="63"/>
      <c r="Y810" s="63"/>
      <c r="Z810" s="62">
        <v>3.42</v>
      </c>
      <c r="AA810" s="62">
        <v>4.42</v>
      </c>
      <c r="AB810" s="62">
        <v>4.53</v>
      </c>
      <c r="AC810" s="63">
        <f>MAXA(AA810:AB810)</f>
        <v>4.53</v>
      </c>
      <c r="AD810" s="62">
        <v>3.78</v>
      </c>
      <c r="AE810" s="62">
        <v>5.17</v>
      </c>
      <c r="AF810" s="62">
        <v>5.49</v>
      </c>
      <c r="AG810" s="63">
        <f>MAX(AE810:AF810)</f>
        <v>5.49</v>
      </c>
      <c r="AH810" s="62">
        <v>3.15</v>
      </c>
      <c r="AI810" s="62">
        <v>3.69</v>
      </c>
      <c r="AJ810" s="62">
        <v>3.39</v>
      </c>
      <c r="AK810" s="63">
        <f>MAX(AI810:AJ810)</f>
        <v>3.69</v>
      </c>
      <c r="AL810" s="63"/>
      <c r="AM810" s="63"/>
      <c r="AN810" s="63"/>
      <c r="AO810" s="63"/>
      <c r="AP810" s="63"/>
      <c r="AQ810" s="63"/>
      <c r="AR810" s="63"/>
      <c r="AS810" s="63"/>
      <c r="AT810" s="63"/>
      <c r="AU810" s="63"/>
      <c r="AV810" s="63"/>
      <c r="AW810" s="63"/>
      <c r="AX810" s="63"/>
      <c r="AY810" s="63"/>
      <c r="AZ810" s="63"/>
      <c r="BA810" s="63"/>
      <c r="BB810" s="63"/>
      <c r="BC810" s="63"/>
      <c r="BD810" s="63"/>
      <c r="BE810" s="63"/>
      <c r="BF810" s="63"/>
      <c r="BG810" s="63"/>
      <c r="BH810" s="63"/>
      <c r="BI810" s="63"/>
      <c r="BJ810" s="63"/>
      <c r="BK810" s="62" t="s">
        <v>273</v>
      </c>
      <c r="BL810" s="62"/>
      <c r="BM810" s="62" t="s">
        <v>1302</v>
      </c>
      <c r="BN810" s="63"/>
      <c r="BO810" s="63"/>
      <c r="BP810" s="63"/>
      <c r="BQ810" s="63"/>
      <c r="BR810" s="63"/>
    </row>
    <row r="811" spans="1:70" ht="15.75" customHeight="1">
      <c r="A811" s="62" t="s">
        <v>197</v>
      </c>
      <c r="B811" s="62"/>
      <c r="C811" s="62" t="s">
        <v>10</v>
      </c>
      <c r="D811" s="62" t="s">
        <v>1272</v>
      </c>
      <c r="E811" s="62" t="s">
        <v>165</v>
      </c>
      <c r="G811" s="62" t="s">
        <v>85</v>
      </c>
      <c r="H811" s="62" t="s">
        <v>194</v>
      </c>
      <c r="I811" s="62" t="s">
        <v>85</v>
      </c>
      <c r="J811" s="62" t="s">
        <v>194</v>
      </c>
      <c r="M811" s="80" t="s">
        <v>1301</v>
      </c>
      <c r="Z811" s="62">
        <v>3.11</v>
      </c>
      <c r="AA811" s="62">
        <v>3.62</v>
      </c>
      <c r="AB811" s="62">
        <v>3.96</v>
      </c>
      <c r="AC811" s="63">
        <f>MAX(AA811:AB811)</f>
        <v>3.96</v>
      </c>
      <c r="AD811" s="62"/>
      <c r="AE811" s="62">
        <v>4.3099999999999996</v>
      </c>
      <c r="AF811" s="62">
        <v>4.7300000000000004</v>
      </c>
      <c r="AG811" s="63">
        <f>MAX(AE811:AF811)</f>
        <v>4.7300000000000004</v>
      </c>
      <c r="BJ811" s="62" t="s">
        <v>1335</v>
      </c>
      <c r="BK811" s="62" t="s">
        <v>273</v>
      </c>
      <c r="BL811" s="62"/>
      <c r="BM811" s="62" t="s">
        <v>1302</v>
      </c>
      <c r="BN811"/>
    </row>
    <row r="812" spans="1:70" ht="15.75" customHeight="1">
      <c r="A812" s="62" t="s">
        <v>195</v>
      </c>
      <c r="B812" s="62"/>
      <c r="C812" s="62" t="s">
        <v>10</v>
      </c>
      <c r="D812" s="62" t="s">
        <v>1272</v>
      </c>
      <c r="E812" s="62" t="s">
        <v>165</v>
      </c>
      <c r="G812" s="62" t="s">
        <v>85</v>
      </c>
      <c r="H812" s="62" t="s">
        <v>194</v>
      </c>
      <c r="I812" s="62" t="s">
        <v>85</v>
      </c>
      <c r="J812" s="62" t="s">
        <v>194</v>
      </c>
      <c r="M812" s="80" t="s">
        <v>1301</v>
      </c>
      <c r="Z812" s="62">
        <v>3.36</v>
      </c>
      <c r="AA812" s="62">
        <v>4.45</v>
      </c>
      <c r="AB812" s="62">
        <v>4.45</v>
      </c>
      <c r="AC812" s="63">
        <f>MAX(AA812:AB812)</f>
        <v>4.45</v>
      </c>
      <c r="AD812" s="62">
        <v>3.59</v>
      </c>
      <c r="AE812" s="62">
        <v>4.9800000000000004</v>
      </c>
      <c r="AF812" s="62">
        <v>5.23</v>
      </c>
      <c r="AG812" s="63">
        <f>MAX(AE812:AF812)</f>
        <v>5.23</v>
      </c>
      <c r="AH812" s="62">
        <v>2.5099999999999998</v>
      </c>
      <c r="AI812" s="62">
        <v>3.99</v>
      </c>
      <c r="AJ812" s="62">
        <v>3.28</v>
      </c>
      <c r="AK812" s="63">
        <f>MAX(AI812:AJ812)</f>
        <v>3.99</v>
      </c>
      <c r="BK812" s="62" t="s">
        <v>273</v>
      </c>
      <c r="BL812" s="62"/>
      <c r="BM812" s="62" t="s">
        <v>1302</v>
      </c>
      <c r="BN812"/>
    </row>
    <row r="813" spans="1:70" ht="15.75" customHeight="1">
      <c r="A813" s="62" t="s">
        <v>1336</v>
      </c>
      <c r="B813" s="62"/>
      <c r="C813" s="62" t="s">
        <v>10</v>
      </c>
      <c r="D813" s="62" t="s">
        <v>1272</v>
      </c>
      <c r="E813" s="62" t="s">
        <v>165</v>
      </c>
      <c r="G813" s="62" t="s">
        <v>85</v>
      </c>
      <c r="H813" s="62" t="s">
        <v>194</v>
      </c>
      <c r="I813" s="62" t="s">
        <v>85</v>
      </c>
      <c r="J813" s="62" t="s">
        <v>194</v>
      </c>
      <c r="M813" s="80" t="s">
        <v>1313</v>
      </c>
      <c r="BB813" s="62">
        <v>3.64</v>
      </c>
      <c r="BC813" s="62">
        <v>2.68</v>
      </c>
      <c r="BD813" s="62">
        <v>2.73</v>
      </c>
      <c r="BE813" s="63">
        <f>MAX(BC813:BD813)</f>
        <v>2.73</v>
      </c>
      <c r="BK813" s="62" t="s">
        <v>273</v>
      </c>
      <c r="BL813" s="62"/>
      <c r="BM813" s="62" t="s">
        <v>1302</v>
      </c>
      <c r="BN813"/>
    </row>
    <row r="814" spans="1:70" ht="15.75" customHeight="1">
      <c r="A814" s="62" t="s">
        <v>1336</v>
      </c>
      <c r="B814" s="62"/>
      <c r="C814" s="62" t="s">
        <v>10</v>
      </c>
      <c r="D814" s="62" t="s">
        <v>1272</v>
      </c>
      <c r="E814" s="62" t="s">
        <v>165</v>
      </c>
      <c r="G814" s="62" t="s">
        <v>85</v>
      </c>
      <c r="H814" s="62" t="s">
        <v>194</v>
      </c>
      <c r="I814" s="62" t="s">
        <v>85</v>
      </c>
      <c r="J814" s="62" t="s">
        <v>194</v>
      </c>
      <c r="M814" s="80" t="s">
        <v>1313</v>
      </c>
      <c r="BF814" s="62">
        <v>4.1399999999999997</v>
      </c>
      <c r="BG814" s="62">
        <v>2.44</v>
      </c>
      <c r="BH814" s="62">
        <v>2</v>
      </c>
      <c r="BI814" s="63">
        <f>MAX(BG814:BH814)</f>
        <v>2.44</v>
      </c>
      <c r="BK814" s="62" t="s">
        <v>273</v>
      </c>
      <c r="BL814" s="62"/>
      <c r="BM814" s="62" t="s">
        <v>1302</v>
      </c>
      <c r="BN814"/>
    </row>
    <row r="815" spans="1:70" ht="15.75" customHeight="1">
      <c r="A815" s="62" t="s">
        <v>1337</v>
      </c>
      <c r="B815" s="62"/>
      <c r="C815" s="62" t="s">
        <v>10</v>
      </c>
      <c r="D815" s="62" t="s">
        <v>1272</v>
      </c>
      <c r="E815" s="62" t="s">
        <v>165</v>
      </c>
      <c r="G815" s="62" t="s">
        <v>85</v>
      </c>
      <c r="H815" s="62" t="s">
        <v>194</v>
      </c>
      <c r="I815" s="62" t="s">
        <v>85</v>
      </c>
      <c r="J815" s="62" t="s">
        <v>194</v>
      </c>
      <c r="M815" s="80" t="s">
        <v>1338</v>
      </c>
      <c r="AX815" s="62">
        <v>3.18</v>
      </c>
      <c r="AY815" s="62">
        <v>2.2400000000000002</v>
      </c>
      <c r="AZ815" s="62">
        <v>2.2799999999999998</v>
      </c>
      <c r="BA815" s="63">
        <f>MAX(AY815:AZ815)</f>
        <v>2.2799999999999998</v>
      </c>
      <c r="BK815" s="62" t="s">
        <v>273</v>
      </c>
      <c r="BL815" s="62"/>
      <c r="BM815" s="62" t="s">
        <v>1302</v>
      </c>
      <c r="BN815"/>
    </row>
    <row r="816" spans="1:70" ht="15.75" customHeight="1">
      <c r="A816" s="62" t="s">
        <v>1337</v>
      </c>
      <c r="B816" s="62"/>
      <c r="C816" s="62" t="s">
        <v>10</v>
      </c>
      <c r="D816" s="62" t="s">
        <v>1272</v>
      </c>
      <c r="E816" s="62" t="s">
        <v>165</v>
      </c>
      <c r="F816" s="63"/>
      <c r="G816" s="62" t="s">
        <v>85</v>
      </c>
      <c r="H816" s="62" t="s">
        <v>194</v>
      </c>
      <c r="I816" s="62" t="s">
        <v>85</v>
      </c>
      <c r="J816" s="62" t="s">
        <v>194</v>
      </c>
      <c r="K816" s="63"/>
      <c r="L816" s="63"/>
      <c r="M816" s="80" t="s">
        <v>1338</v>
      </c>
      <c r="N816" s="63"/>
      <c r="O816" s="63"/>
      <c r="P816" s="63"/>
      <c r="Q816" s="63"/>
      <c r="R816" s="63"/>
      <c r="S816" s="63"/>
      <c r="T816" s="63"/>
      <c r="U816" s="63"/>
      <c r="V816" s="63"/>
      <c r="W816" s="63"/>
      <c r="X816" s="63"/>
      <c r="Y816" s="63"/>
      <c r="Z816" s="63"/>
      <c r="AA816" s="63"/>
      <c r="AB816" s="63"/>
      <c r="AC816" s="63"/>
      <c r="AD816" s="63"/>
      <c r="AE816" s="63"/>
      <c r="AF816" s="63"/>
      <c r="AG816" s="63"/>
      <c r="AH816" s="63"/>
      <c r="AI816" s="63"/>
      <c r="AJ816" s="63"/>
      <c r="AK816" s="63"/>
      <c r="AL816" s="63"/>
      <c r="AM816" s="63"/>
      <c r="AN816" s="63"/>
      <c r="AO816" s="63"/>
      <c r="AP816" s="63"/>
      <c r="AQ816" s="63"/>
      <c r="AR816" s="63"/>
      <c r="AS816" s="63"/>
      <c r="AT816" s="63"/>
      <c r="AU816" s="63"/>
      <c r="AV816" s="63"/>
      <c r="AW816" s="63"/>
      <c r="AX816" s="63"/>
      <c r="AY816" s="63"/>
      <c r="AZ816" s="63"/>
      <c r="BA816" s="63"/>
      <c r="BB816" s="62">
        <v>3.4</v>
      </c>
      <c r="BC816" s="62">
        <v>2.68</v>
      </c>
      <c r="BD816" s="62">
        <v>2.5499999999999998</v>
      </c>
      <c r="BE816" s="63">
        <f>MAX(BC816:BD816)</f>
        <v>2.68</v>
      </c>
      <c r="BF816" s="63"/>
      <c r="BG816" s="63"/>
      <c r="BH816" s="63"/>
      <c r="BI816" s="63"/>
      <c r="BJ816" s="63"/>
      <c r="BK816" s="62" t="s">
        <v>273</v>
      </c>
      <c r="BL816" s="62"/>
      <c r="BM816" s="62" t="s">
        <v>1302</v>
      </c>
      <c r="BN816" s="63"/>
      <c r="BO816" s="63"/>
      <c r="BP816" s="63"/>
      <c r="BQ816" s="63"/>
      <c r="BR816" s="63"/>
    </row>
    <row r="817" spans="1:66" ht="15.75" customHeight="1">
      <c r="A817" s="62" t="s">
        <v>1337</v>
      </c>
      <c r="B817" s="62"/>
      <c r="C817" s="62" t="s">
        <v>10</v>
      </c>
      <c r="D817" s="62" t="s">
        <v>1272</v>
      </c>
      <c r="E817" s="62" t="s">
        <v>165</v>
      </c>
      <c r="G817" s="62" t="s">
        <v>85</v>
      </c>
      <c r="H817" s="62" t="s">
        <v>194</v>
      </c>
      <c r="I817" s="62" t="s">
        <v>85</v>
      </c>
      <c r="J817" s="62" t="s">
        <v>194</v>
      </c>
      <c r="M817" s="80" t="s">
        <v>1338</v>
      </c>
      <c r="BF817" s="62">
        <v>4.13</v>
      </c>
      <c r="BG817" s="62">
        <v>2.58</v>
      </c>
      <c r="BH817" s="62">
        <v>2.02</v>
      </c>
      <c r="BI817" s="63">
        <f>MAX(BG817:BH817)</f>
        <v>2.58</v>
      </c>
      <c r="BK817" s="62" t="s">
        <v>273</v>
      </c>
      <c r="BL817" s="62"/>
      <c r="BM817" s="62" t="s">
        <v>1302</v>
      </c>
      <c r="BN817"/>
    </row>
    <row r="818" spans="1:66" ht="15.75" customHeight="1">
      <c r="A818" s="62" t="s">
        <v>1339</v>
      </c>
      <c r="B818" s="62"/>
      <c r="C818" s="62" t="s">
        <v>10</v>
      </c>
      <c r="D818" s="62" t="s">
        <v>1272</v>
      </c>
      <c r="E818" s="62" t="s">
        <v>165</v>
      </c>
      <c r="G818" s="62" t="s">
        <v>85</v>
      </c>
      <c r="H818" s="62" t="s">
        <v>194</v>
      </c>
      <c r="I818" s="62" t="s">
        <v>85</v>
      </c>
      <c r="J818" s="62" t="s">
        <v>194</v>
      </c>
      <c r="M818" s="80" t="s">
        <v>1340</v>
      </c>
      <c r="AL818" s="62">
        <v>2.2200000000000002</v>
      </c>
      <c r="AO818" s="62">
        <v>1.02</v>
      </c>
      <c r="BK818" s="62" t="s">
        <v>273</v>
      </c>
      <c r="BL818" s="62"/>
      <c r="BM818" s="62" t="s">
        <v>1302</v>
      </c>
      <c r="BN818"/>
    </row>
    <row r="819" spans="1:66" ht="15.75" customHeight="1">
      <c r="A819" s="62" t="s">
        <v>1339</v>
      </c>
      <c r="B819" s="62"/>
      <c r="C819" s="62" t="s">
        <v>10</v>
      </c>
      <c r="D819" s="62" t="s">
        <v>1272</v>
      </c>
      <c r="E819" s="62" t="s">
        <v>165</v>
      </c>
      <c r="G819" s="62" t="s">
        <v>85</v>
      </c>
      <c r="H819" s="62" t="s">
        <v>194</v>
      </c>
      <c r="I819" s="62" t="s">
        <v>85</v>
      </c>
      <c r="J819" s="62" t="s">
        <v>194</v>
      </c>
      <c r="M819" s="80" t="s">
        <v>1340</v>
      </c>
      <c r="AT819" s="62">
        <v>3</v>
      </c>
      <c r="AW819" s="62">
        <v>1.62</v>
      </c>
      <c r="BK819" s="62" t="s">
        <v>273</v>
      </c>
      <c r="BL819" s="62"/>
      <c r="BM819" s="62" t="s">
        <v>1302</v>
      </c>
      <c r="BN819"/>
    </row>
    <row r="820" spans="1:66" ht="15.75" customHeight="1">
      <c r="A820" s="62" t="s">
        <v>1339</v>
      </c>
      <c r="B820" s="62"/>
      <c r="C820" s="62" t="s">
        <v>10</v>
      </c>
      <c r="D820" s="62" t="s">
        <v>1272</v>
      </c>
      <c r="E820" s="62" t="s">
        <v>165</v>
      </c>
      <c r="G820" s="62" t="s">
        <v>85</v>
      </c>
      <c r="H820" s="62" t="s">
        <v>194</v>
      </c>
      <c r="I820" s="62" t="s">
        <v>85</v>
      </c>
      <c r="J820" s="62" t="s">
        <v>194</v>
      </c>
      <c r="M820" s="80" t="s">
        <v>1340</v>
      </c>
      <c r="AX820" s="62">
        <v>3.03</v>
      </c>
      <c r="AY820" s="62">
        <v>2.04</v>
      </c>
      <c r="AZ820" s="62">
        <v>2.16</v>
      </c>
      <c r="BA820" s="63">
        <f>MAX(AY820:AZ820)</f>
        <v>2.16</v>
      </c>
      <c r="BK820" s="62" t="s">
        <v>273</v>
      </c>
      <c r="BL820" s="62"/>
      <c r="BM820" s="62" t="s">
        <v>1302</v>
      </c>
      <c r="BN820"/>
    </row>
    <row r="821" spans="1:66" ht="15.75" customHeight="1">
      <c r="A821" s="62" t="s">
        <v>1339</v>
      </c>
      <c r="B821" s="62"/>
      <c r="C821" s="62" t="s">
        <v>10</v>
      </c>
      <c r="D821" s="62" t="s">
        <v>1272</v>
      </c>
      <c r="E821" s="62" t="s">
        <v>165</v>
      </c>
      <c r="G821" s="62" t="s">
        <v>85</v>
      </c>
      <c r="H821" s="62" t="s">
        <v>194</v>
      </c>
      <c r="I821" s="62" t="s">
        <v>85</v>
      </c>
      <c r="J821" s="62" t="s">
        <v>194</v>
      </c>
      <c r="M821" s="80" t="s">
        <v>1340</v>
      </c>
      <c r="BB821" s="62">
        <v>3.35</v>
      </c>
      <c r="BC821" s="62">
        <v>2.4500000000000002</v>
      </c>
      <c r="BD821" s="62">
        <v>2.17</v>
      </c>
      <c r="BE821" s="63">
        <f>MAX(BC821:BD821)</f>
        <v>2.4500000000000002</v>
      </c>
      <c r="BK821" s="62" t="s">
        <v>273</v>
      </c>
      <c r="BL821" s="62"/>
      <c r="BM821" s="62" t="s">
        <v>1302</v>
      </c>
      <c r="BN821"/>
    </row>
    <row r="822" spans="1:66" ht="15.75" customHeight="1">
      <c r="A822" s="62" t="s">
        <v>1341</v>
      </c>
      <c r="B822" s="62"/>
      <c r="C822" s="62" t="s">
        <v>10</v>
      </c>
      <c r="D822" s="62" t="s">
        <v>1272</v>
      </c>
      <c r="E822" s="62" t="s">
        <v>165</v>
      </c>
      <c r="G822" s="62" t="s">
        <v>85</v>
      </c>
      <c r="H822" s="62" t="s">
        <v>194</v>
      </c>
      <c r="I822" s="62" t="s">
        <v>85</v>
      </c>
      <c r="J822" s="62" t="s">
        <v>194</v>
      </c>
      <c r="M822" s="80" t="s">
        <v>1334</v>
      </c>
      <c r="AX822" s="62">
        <v>3.36</v>
      </c>
      <c r="AY822" s="62">
        <v>2.14</v>
      </c>
      <c r="AZ822" s="62">
        <v>2.2799999999999998</v>
      </c>
      <c r="BA822" s="63">
        <f>MAX(AY822:AZ822)</f>
        <v>2.2799999999999998</v>
      </c>
      <c r="BJ822" s="62" t="s">
        <v>200</v>
      </c>
      <c r="BK822" s="62" t="s">
        <v>273</v>
      </c>
      <c r="BL822" s="62"/>
      <c r="BM822" s="62" t="s">
        <v>1302</v>
      </c>
      <c r="BN822"/>
    </row>
    <row r="823" spans="1:66" ht="15.75" customHeight="1">
      <c r="A823" s="62" t="s">
        <v>1300</v>
      </c>
      <c r="B823" s="62"/>
      <c r="C823" s="62" t="s">
        <v>10</v>
      </c>
      <c r="D823" s="62" t="s">
        <v>1272</v>
      </c>
      <c r="E823" s="62" t="s">
        <v>165</v>
      </c>
      <c r="G823" s="62" t="s">
        <v>500</v>
      </c>
      <c r="H823" s="62" t="s">
        <v>312</v>
      </c>
      <c r="I823" s="62" t="s">
        <v>500</v>
      </c>
      <c r="J823" s="62" t="s">
        <v>312</v>
      </c>
      <c r="M823" s="18"/>
      <c r="AX823" s="62">
        <v>3.84</v>
      </c>
      <c r="AY823" s="62">
        <v>2.81</v>
      </c>
      <c r="AZ823" s="62">
        <v>2.71</v>
      </c>
      <c r="BA823" s="63">
        <f>MAX(AY823:AZ823)</f>
        <v>2.81</v>
      </c>
      <c r="BB823" s="62">
        <v>4.1900000000000004</v>
      </c>
      <c r="BC823" s="62">
        <v>3.44</v>
      </c>
      <c r="BD823" s="62">
        <v>3.13</v>
      </c>
      <c r="BE823" s="63">
        <f>MAX(BC823:BD823)</f>
        <v>3.44</v>
      </c>
      <c r="BF823" s="62">
        <v>4.8499999999999996</v>
      </c>
      <c r="BG823" s="62">
        <v>3.01</v>
      </c>
      <c r="BH823" s="62">
        <v>2.39</v>
      </c>
      <c r="BI823" s="63">
        <f>MAX(BG823:BH823)</f>
        <v>3.01</v>
      </c>
      <c r="BK823" s="62" t="s">
        <v>273</v>
      </c>
      <c r="BL823" s="62"/>
      <c r="BM823" s="62" t="s">
        <v>1302</v>
      </c>
      <c r="BN823"/>
    </row>
    <row r="824" spans="1:66" ht="15.75" customHeight="1">
      <c r="A824" s="62" t="s">
        <v>1342</v>
      </c>
      <c r="B824" s="62"/>
      <c r="C824" s="62" t="s">
        <v>10</v>
      </c>
      <c r="D824" s="62" t="s">
        <v>1272</v>
      </c>
      <c r="E824" s="62" t="s">
        <v>165</v>
      </c>
      <c r="G824" s="62" t="s">
        <v>500</v>
      </c>
      <c r="H824" s="62" t="s">
        <v>312</v>
      </c>
      <c r="I824" s="62" t="s">
        <v>500</v>
      </c>
      <c r="J824" s="62" t="s">
        <v>312</v>
      </c>
      <c r="M824" s="80" t="s">
        <v>1313</v>
      </c>
      <c r="BB824" s="62">
        <v>4.43</v>
      </c>
      <c r="BC824" s="62">
        <v>3.72</v>
      </c>
      <c r="BD824" s="62">
        <v>3.42</v>
      </c>
      <c r="BE824" s="63">
        <f>MAX(BC824:BD824)</f>
        <v>3.72</v>
      </c>
      <c r="BK824" s="62" t="s">
        <v>273</v>
      </c>
      <c r="BL824" s="62"/>
      <c r="BM824" s="62" t="s">
        <v>1302</v>
      </c>
      <c r="BN824"/>
    </row>
    <row r="825" spans="1:66" ht="15.75" customHeight="1">
      <c r="A825" s="62" t="s">
        <v>1342</v>
      </c>
      <c r="B825" s="62"/>
      <c r="C825" s="62" t="s">
        <v>10</v>
      </c>
      <c r="D825" s="62" t="s">
        <v>1272</v>
      </c>
      <c r="E825" s="62" t="s">
        <v>165</v>
      </c>
      <c r="G825" s="62" t="s">
        <v>500</v>
      </c>
      <c r="H825" s="62" t="s">
        <v>312</v>
      </c>
      <c r="I825" s="62" t="s">
        <v>500</v>
      </c>
      <c r="J825" s="62" t="s">
        <v>312</v>
      </c>
      <c r="M825" s="80" t="s">
        <v>1313</v>
      </c>
      <c r="BF825" s="62">
        <v>5.56</v>
      </c>
      <c r="BG825" s="62">
        <v>3.56</v>
      </c>
      <c r="BH825" s="62">
        <v>2.85</v>
      </c>
      <c r="BI825" s="63">
        <f>MAX(BG825:BH825)</f>
        <v>3.56</v>
      </c>
      <c r="BK825" s="62" t="s">
        <v>273</v>
      </c>
      <c r="BL825" s="62"/>
      <c r="BM825" s="62" t="s">
        <v>1302</v>
      </c>
      <c r="BN825"/>
    </row>
    <row r="826" spans="1:66" ht="15.75" customHeight="1">
      <c r="A826" s="62" t="s">
        <v>1343</v>
      </c>
      <c r="B826" s="62"/>
      <c r="C826" s="62" t="s">
        <v>10</v>
      </c>
      <c r="D826" s="62" t="s">
        <v>1272</v>
      </c>
      <c r="E826" s="62" t="s">
        <v>165</v>
      </c>
      <c r="G826" s="62" t="s">
        <v>500</v>
      </c>
      <c r="H826" s="62" t="s">
        <v>312</v>
      </c>
      <c r="I826" s="62" t="s">
        <v>500</v>
      </c>
      <c r="J826" s="62" t="s">
        <v>312</v>
      </c>
      <c r="M826" s="80" t="s">
        <v>1315</v>
      </c>
      <c r="BB826" s="62">
        <v>4.5199999999999996</v>
      </c>
      <c r="BC826" s="62">
        <v>3.72</v>
      </c>
      <c r="BD826" s="62">
        <v>3.38</v>
      </c>
      <c r="BE826" s="63">
        <f>MAX(BC826:BD826)</f>
        <v>3.72</v>
      </c>
      <c r="BK826" s="62" t="s">
        <v>273</v>
      </c>
      <c r="BL826" s="62"/>
      <c r="BM826" s="62" t="s">
        <v>1302</v>
      </c>
      <c r="BN826"/>
    </row>
    <row r="827" spans="1:66" ht="15.75" customHeight="1">
      <c r="A827" s="62" t="s">
        <v>1343</v>
      </c>
      <c r="B827" s="62"/>
      <c r="C827" s="62" t="s">
        <v>10</v>
      </c>
      <c r="D827" s="62" t="s">
        <v>1272</v>
      </c>
      <c r="E827" s="62" t="s">
        <v>165</v>
      </c>
      <c r="G827" s="62" t="s">
        <v>500</v>
      </c>
      <c r="H827" s="62" t="s">
        <v>312</v>
      </c>
      <c r="I827" s="62" t="s">
        <v>500</v>
      </c>
      <c r="J827" s="62" t="s">
        <v>312</v>
      </c>
      <c r="M827" s="80" t="s">
        <v>1315</v>
      </c>
      <c r="BF827" s="62">
        <v>5.29</v>
      </c>
      <c r="BG827" s="62">
        <v>3.47</v>
      </c>
      <c r="BH827" s="62">
        <v>2.75</v>
      </c>
      <c r="BI827" s="63">
        <f>MAX(BG827:BH827)</f>
        <v>3.47</v>
      </c>
      <c r="BK827" s="62" t="s">
        <v>273</v>
      </c>
      <c r="BL827" s="62"/>
      <c r="BM827" s="62" t="s">
        <v>1302</v>
      </c>
      <c r="BN827"/>
    </row>
    <row r="828" spans="1:66" ht="15.75" customHeight="1">
      <c r="A828" s="62" t="s">
        <v>1344</v>
      </c>
      <c r="B828" s="62"/>
      <c r="C828" s="62" t="s">
        <v>10</v>
      </c>
      <c r="D828" s="62" t="s">
        <v>1272</v>
      </c>
      <c r="E828" s="62" t="s">
        <v>165</v>
      </c>
      <c r="G828" s="62" t="s">
        <v>500</v>
      </c>
      <c r="H828" s="62" t="s">
        <v>312</v>
      </c>
      <c r="I828" s="62" t="s">
        <v>500</v>
      </c>
      <c r="J828" s="62" t="s">
        <v>312</v>
      </c>
      <c r="M828" s="80" t="s">
        <v>1345</v>
      </c>
      <c r="Z828" s="62">
        <v>3.5</v>
      </c>
      <c r="AA828" s="62">
        <v>4.72</v>
      </c>
      <c r="AB828" s="62">
        <v>4.83</v>
      </c>
      <c r="AC828" s="63">
        <f>MAX(AA828:AB828)</f>
        <v>4.83</v>
      </c>
      <c r="BK828" s="62" t="s">
        <v>273</v>
      </c>
      <c r="BL828" s="62"/>
      <c r="BM828" s="62" t="s">
        <v>1302</v>
      </c>
      <c r="BN828"/>
    </row>
    <row r="829" spans="1:66" ht="15.75" customHeight="1">
      <c r="A829" s="62" t="s">
        <v>1346</v>
      </c>
      <c r="B829" s="62"/>
      <c r="C829" s="62" t="s">
        <v>10</v>
      </c>
      <c r="D829" s="62" t="s">
        <v>1272</v>
      </c>
      <c r="E829" s="62" t="s">
        <v>165</v>
      </c>
      <c r="G829" s="62" t="s">
        <v>500</v>
      </c>
      <c r="H829" s="62" t="s">
        <v>312</v>
      </c>
      <c r="I829" s="62" t="s">
        <v>500</v>
      </c>
      <c r="J829" s="62" t="s">
        <v>312</v>
      </c>
      <c r="M829" s="80" t="s">
        <v>1347</v>
      </c>
      <c r="Z829" s="62">
        <v>3.8</v>
      </c>
      <c r="AA829" s="62">
        <v>5.08</v>
      </c>
      <c r="AB829" s="62">
        <v>5.3</v>
      </c>
      <c r="AC829" s="63">
        <f>MAX(AA829:AB829)</f>
        <v>5.3</v>
      </c>
      <c r="BJ829" s="62" t="s">
        <v>1348</v>
      </c>
      <c r="BK829" s="62" t="s">
        <v>273</v>
      </c>
      <c r="BL829" s="62"/>
      <c r="BM829" s="62" t="s">
        <v>1302</v>
      </c>
      <c r="BN829"/>
    </row>
    <row r="830" spans="1:66" ht="15.75" customHeight="1">
      <c r="A830" s="62" t="s">
        <v>1349</v>
      </c>
      <c r="B830" s="62"/>
      <c r="C830" s="62" t="s">
        <v>10</v>
      </c>
      <c r="D830" s="62" t="s">
        <v>1272</v>
      </c>
      <c r="E830" s="62" t="s">
        <v>165</v>
      </c>
      <c r="G830" s="62" t="s">
        <v>500</v>
      </c>
      <c r="H830" s="62" t="s">
        <v>312</v>
      </c>
      <c r="I830" s="62" t="s">
        <v>500</v>
      </c>
      <c r="J830" s="62" t="s">
        <v>312</v>
      </c>
      <c r="M830" s="80" t="s">
        <v>1350</v>
      </c>
      <c r="BB830" s="62">
        <v>3.91</v>
      </c>
      <c r="BC830" s="62">
        <v>2.92</v>
      </c>
      <c r="BD830" s="62">
        <v>2.77</v>
      </c>
      <c r="BE830" s="63">
        <f>MAX(BC830:BD830)</f>
        <v>2.92</v>
      </c>
      <c r="BK830" s="62" t="s">
        <v>273</v>
      </c>
      <c r="BL830" s="62"/>
      <c r="BM830" s="62" t="s">
        <v>1302</v>
      </c>
      <c r="BN830"/>
    </row>
    <row r="831" spans="1:66" ht="15.75" customHeight="1">
      <c r="A831" s="62" t="s">
        <v>1349</v>
      </c>
      <c r="B831" s="62"/>
      <c r="C831" s="62" t="s">
        <v>10</v>
      </c>
      <c r="D831" s="62" t="s">
        <v>1272</v>
      </c>
      <c r="E831" s="62" t="s">
        <v>165</v>
      </c>
      <c r="G831" s="62" t="s">
        <v>500</v>
      </c>
      <c r="H831" s="62" t="s">
        <v>312</v>
      </c>
      <c r="I831" s="62" t="s">
        <v>500</v>
      </c>
      <c r="J831" s="62" t="s">
        <v>312</v>
      </c>
      <c r="M831" s="80" t="s">
        <v>1350</v>
      </c>
      <c r="BF831" s="62">
        <v>4.42</v>
      </c>
      <c r="BG831" s="62">
        <v>2.67</v>
      </c>
      <c r="BH831" s="62">
        <v>2.11</v>
      </c>
      <c r="BI831" s="63">
        <f>MAX(BG831:BH831)</f>
        <v>2.67</v>
      </c>
      <c r="BK831" s="62" t="s">
        <v>273</v>
      </c>
      <c r="BL831" s="62"/>
      <c r="BM831" s="62" t="s">
        <v>1302</v>
      </c>
      <c r="BN831"/>
    </row>
    <row r="832" spans="1:66" ht="15.75" customHeight="1">
      <c r="A832" s="62" t="s">
        <v>1351</v>
      </c>
      <c r="B832" s="62"/>
      <c r="C832" s="62" t="s">
        <v>10</v>
      </c>
      <c r="D832" s="62" t="s">
        <v>1272</v>
      </c>
      <c r="E832" s="62" t="s">
        <v>165</v>
      </c>
      <c r="G832" s="62" t="s">
        <v>500</v>
      </c>
      <c r="H832" s="62" t="s">
        <v>312</v>
      </c>
      <c r="I832" s="62" t="s">
        <v>500</v>
      </c>
      <c r="J832" s="62" t="s">
        <v>312</v>
      </c>
      <c r="M832" s="80" t="s">
        <v>1350</v>
      </c>
      <c r="AX832" s="62">
        <v>4.04</v>
      </c>
      <c r="AY832" s="62">
        <v>3.15</v>
      </c>
      <c r="AZ832" s="62">
        <v>2.96</v>
      </c>
      <c r="BA832" s="63">
        <f>MAX(AY832:AZ832)</f>
        <v>3.15</v>
      </c>
      <c r="BK832" s="62" t="s">
        <v>273</v>
      </c>
      <c r="BL832" s="62"/>
      <c r="BM832" s="62" t="s">
        <v>1302</v>
      </c>
      <c r="BN832"/>
    </row>
    <row r="833" spans="1:70" ht="15.75" customHeight="1">
      <c r="A833" s="62" t="s">
        <v>1351</v>
      </c>
      <c r="B833" s="62"/>
      <c r="C833" s="62" t="s">
        <v>10</v>
      </c>
      <c r="D833" s="62" t="s">
        <v>1272</v>
      </c>
      <c r="E833" s="62" t="s">
        <v>165</v>
      </c>
      <c r="G833" s="62" t="s">
        <v>500</v>
      </c>
      <c r="H833" s="62" t="s">
        <v>312</v>
      </c>
      <c r="I833" s="62" t="s">
        <v>500</v>
      </c>
      <c r="J833" s="62" t="s">
        <v>312</v>
      </c>
      <c r="M833" s="80" t="s">
        <v>1350</v>
      </c>
      <c r="BB833" s="62">
        <v>4.47</v>
      </c>
      <c r="BC833" s="62">
        <v>3.87</v>
      </c>
      <c r="BD833" s="62">
        <v>3.49</v>
      </c>
      <c r="BE833" s="63">
        <f>MAX(BC833:BD833)</f>
        <v>3.87</v>
      </c>
      <c r="BK833" s="62" t="s">
        <v>273</v>
      </c>
      <c r="BL833" s="62"/>
      <c r="BM833" s="62" t="s">
        <v>1302</v>
      </c>
      <c r="BN833"/>
    </row>
    <row r="834" spans="1:70" ht="15.75" customHeight="1">
      <c r="A834" s="62" t="s">
        <v>1352</v>
      </c>
      <c r="B834" s="62"/>
      <c r="C834" s="62" t="s">
        <v>10</v>
      </c>
      <c r="D834" s="62" t="s">
        <v>1272</v>
      </c>
      <c r="E834" s="62" t="s">
        <v>165</v>
      </c>
      <c r="G834" s="62" t="s">
        <v>500</v>
      </c>
      <c r="H834" s="62" t="s">
        <v>312</v>
      </c>
      <c r="I834" s="62" t="s">
        <v>500</v>
      </c>
      <c r="J834" s="62" t="s">
        <v>312</v>
      </c>
      <c r="M834" s="80" t="s">
        <v>1317</v>
      </c>
      <c r="AT834" s="62">
        <v>3.51</v>
      </c>
      <c r="AU834" s="62">
        <v>2.27</v>
      </c>
      <c r="AW834" s="63">
        <f>MAX(AU834:AV834)</f>
        <v>2.27</v>
      </c>
      <c r="BK834" s="62" t="s">
        <v>273</v>
      </c>
      <c r="BL834" s="62"/>
      <c r="BM834" s="62" t="s">
        <v>1302</v>
      </c>
      <c r="BN834"/>
    </row>
    <row r="835" spans="1:70" ht="15.75" customHeight="1">
      <c r="A835" s="62" t="s">
        <v>1352</v>
      </c>
      <c r="B835" s="62"/>
      <c r="C835" s="62" t="s">
        <v>10</v>
      </c>
      <c r="D835" s="62" t="s">
        <v>1272</v>
      </c>
      <c r="E835" s="62" t="s">
        <v>165</v>
      </c>
      <c r="G835" s="62" t="s">
        <v>500</v>
      </c>
      <c r="H835" s="62" t="s">
        <v>312</v>
      </c>
      <c r="I835" s="62" t="s">
        <v>500</v>
      </c>
      <c r="J835" s="62" t="s">
        <v>312</v>
      </c>
      <c r="M835" s="80" t="s">
        <v>1317</v>
      </c>
      <c r="AX835" s="62">
        <v>3.9</v>
      </c>
      <c r="AY835" s="62">
        <v>2.78</v>
      </c>
      <c r="AZ835" s="62">
        <v>2.6</v>
      </c>
      <c r="BA835" s="63">
        <f>MAX(AY835:AZ835)</f>
        <v>2.78</v>
      </c>
      <c r="BK835" s="62" t="s">
        <v>273</v>
      </c>
      <c r="BL835" s="62"/>
      <c r="BM835" s="62" t="s">
        <v>1302</v>
      </c>
      <c r="BN835"/>
    </row>
    <row r="836" spans="1:70" ht="15.75" customHeight="1">
      <c r="A836" s="62" t="s">
        <v>1353</v>
      </c>
      <c r="B836" s="62"/>
      <c r="C836" s="62" t="s">
        <v>10</v>
      </c>
      <c r="D836" s="62" t="s">
        <v>1272</v>
      </c>
      <c r="E836" s="62" t="s">
        <v>165</v>
      </c>
      <c r="G836" s="62" t="s">
        <v>500</v>
      </c>
      <c r="H836" s="62" t="s">
        <v>312</v>
      </c>
      <c r="I836" s="62" t="s">
        <v>500</v>
      </c>
      <c r="J836" s="62" t="s">
        <v>312</v>
      </c>
      <c r="M836" s="80" t="s">
        <v>1317</v>
      </c>
      <c r="AJ836" s="62">
        <v>4.6399999999999997</v>
      </c>
      <c r="AK836" s="62">
        <v>4.6399999999999997</v>
      </c>
      <c r="BJ836" s="62"/>
      <c r="BK836" s="62" t="s">
        <v>273</v>
      </c>
      <c r="BL836" s="62"/>
      <c r="BM836" s="62" t="s">
        <v>1302</v>
      </c>
      <c r="BN836"/>
    </row>
    <row r="837" spans="1:70" ht="15.75" customHeight="1">
      <c r="A837" s="62" t="s">
        <v>1354</v>
      </c>
      <c r="B837" s="62"/>
      <c r="C837" s="62" t="s">
        <v>10</v>
      </c>
      <c r="D837" s="62" t="s">
        <v>1272</v>
      </c>
      <c r="E837" s="62" t="s">
        <v>165</v>
      </c>
      <c r="G837" s="62" t="s">
        <v>500</v>
      </c>
      <c r="H837" s="62" t="s">
        <v>312</v>
      </c>
      <c r="I837" s="62" t="s">
        <v>500</v>
      </c>
      <c r="J837" s="62" t="s">
        <v>312</v>
      </c>
      <c r="M837" s="80" t="s">
        <v>1355</v>
      </c>
      <c r="AD837" s="62">
        <v>3.69</v>
      </c>
      <c r="AE837" s="62">
        <v>5.63</v>
      </c>
      <c r="AF837" s="62">
        <v>5.82</v>
      </c>
      <c r="AG837" s="63">
        <f>MAX(AE837:AF837)</f>
        <v>5.82</v>
      </c>
      <c r="BK837" s="62" t="s">
        <v>273</v>
      </c>
      <c r="BL837" s="62"/>
      <c r="BM837" s="62" t="s">
        <v>1302</v>
      </c>
      <c r="BN837"/>
    </row>
    <row r="838" spans="1:70" ht="15.75" customHeight="1">
      <c r="A838" s="62" t="s">
        <v>1356</v>
      </c>
      <c r="B838" s="62"/>
      <c r="C838" s="62" t="s">
        <v>10</v>
      </c>
      <c r="D838" s="62" t="s">
        <v>1272</v>
      </c>
      <c r="E838" s="62" t="s">
        <v>165</v>
      </c>
      <c r="G838" s="62" t="s">
        <v>500</v>
      </c>
      <c r="H838" s="62" t="s">
        <v>312</v>
      </c>
      <c r="I838" s="62" t="s">
        <v>500</v>
      </c>
      <c r="J838" s="62" t="s">
        <v>312</v>
      </c>
      <c r="M838" s="80" t="s">
        <v>1340</v>
      </c>
      <c r="Z838" s="62">
        <v>3.75</v>
      </c>
      <c r="AA838" s="62">
        <v>4.7</v>
      </c>
      <c r="AB838" s="62">
        <v>4.9400000000000004</v>
      </c>
      <c r="AC838" s="63">
        <f>MAX(AA838:AB838)</f>
        <v>4.9400000000000004</v>
      </c>
      <c r="BJ838" s="62" t="s">
        <v>1357</v>
      </c>
      <c r="BK838" s="62" t="s">
        <v>273</v>
      </c>
      <c r="BL838" s="62"/>
      <c r="BM838" s="62" t="s">
        <v>1302</v>
      </c>
      <c r="BN838"/>
    </row>
    <row r="839" spans="1:70" ht="15.75" customHeight="1">
      <c r="A839" s="62" t="s">
        <v>1358</v>
      </c>
      <c r="B839" s="62"/>
      <c r="C839" s="62" t="s">
        <v>10</v>
      </c>
      <c r="D839" s="62" t="s">
        <v>1272</v>
      </c>
      <c r="E839" s="62" t="s">
        <v>165</v>
      </c>
      <c r="G839" s="62" t="s">
        <v>500</v>
      </c>
      <c r="H839" s="62" t="s">
        <v>312</v>
      </c>
      <c r="I839" s="62" t="s">
        <v>500</v>
      </c>
      <c r="J839" s="62" t="s">
        <v>312</v>
      </c>
      <c r="M839" s="80" t="s">
        <v>1307</v>
      </c>
      <c r="BB839" s="62">
        <v>3.68</v>
      </c>
      <c r="BC839" s="62">
        <v>3.14</v>
      </c>
      <c r="BD839" s="62">
        <v>2.89</v>
      </c>
      <c r="BE839" s="63">
        <f>MAX(BC839:BD839)</f>
        <v>3.14</v>
      </c>
      <c r="BK839" s="62" t="s">
        <v>273</v>
      </c>
      <c r="BL839" s="62"/>
      <c r="BM839" s="62" t="s">
        <v>1302</v>
      </c>
      <c r="BN839"/>
    </row>
    <row r="840" spans="1:70" ht="15.75" customHeight="1">
      <c r="A840" s="62" t="s">
        <v>1358</v>
      </c>
      <c r="B840" s="62"/>
      <c r="C840" s="62" t="s">
        <v>10</v>
      </c>
      <c r="D840" s="62" t="s">
        <v>1272</v>
      </c>
      <c r="E840" s="62" t="s">
        <v>165</v>
      </c>
      <c r="F840" s="63"/>
      <c r="G840" s="62" t="s">
        <v>500</v>
      </c>
      <c r="H840" s="62" t="s">
        <v>312</v>
      </c>
      <c r="I840" s="62" t="s">
        <v>500</v>
      </c>
      <c r="J840" s="62" t="s">
        <v>312</v>
      </c>
      <c r="K840" s="63"/>
      <c r="L840" s="63"/>
      <c r="M840" s="80" t="s">
        <v>1307</v>
      </c>
      <c r="N840" s="63"/>
      <c r="O840" s="63"/>
      <c r="P840" s="63"/>
      <c r="Q840" s="63"/>
      <c r="R840" s="63"/>
      <c r="S840" s="63"/>
      <c r="T840" s="63"/>
      <c r="U840" s="63"/>
      <c r="V840" s="63"/>
      <c r="W840" s="63"/>
      <c r="X840" s="63"/>
      <c r="Y840" s="63"/>
      <c r="Z840" s="63"/>
      <c r="AA840" s="63"/>
      <c r="AB840" s="63"/>
      <c r="AC840" s="63"/>
      <c r="AD840" s="63"/>
      <c r="AE840" s="63"/>
      <c r="AF840" s="63"/>
      <c r="AG840" s="63"/>
      <c r="AH840" s="63"/>
      <c r="AI840" s="63"/>
      <c r="AJ840" s="63"/>
      <c r="AK840" s="63"/>
      <c r="AL840" s="63"/>
      <c r="AM840" s="63"/>
      <c r="AN840" s="63"/>
      <c r="AO840" s="63"/>
      <c r="AP840" s="63"/>
      <c r="AQ840" s="63"/>
      <c r="AR840" s="63"/>
      <c r="AS840" s="63"/>
      <c r="AT840" s="63"/>
      <c r="AU840" s="63"/>
      <c r="AV840" s="63"/>
      <c r="AW840" s="63"/>
      <c r="AX840" s="63"/>
      <c r="AY840" s="63"/>
      <c r="AZ840" s="63"/>
      <c r="BA840" s="63"/>
      <c r="BB840" s="63"/>
      <c r="BC840" s="63"/>
      <c r="BD840" s="63"/>
      <c r="BE840" s="63"/>
      <c r="BF840" s="62">
        <v>4.5599999999999996</v>
      </c>
      <c r="BG840" s="62">
        <v>2.88</v>
      </c>
      <c r="BH840" s="62">
        <v>2.23</v>
      </c>
      <c r="BI840" s="63">
        <f>MAX(BG840:BH840)</f>
        <v>2.88</v>
      </c>
      <c r="BJ840" s="63"/>
      <c r="BK840" s="62" t="s">
        <v>273</v>
      </c>
      <c r="BL840" s="62"/>
      <c r="BM840" s="62" t="s">
        <v>1302</v>
      </c>
      <c r="BN840" s="63"/>
      <c r="BO840" s="63"/>
      <c r="BP840" s="63"/>
      <c r="BQ840" s="63"/>
      <c r="BR840" s="63"/>
    </row>
    <row r="841" spans="1:70" ht="15.75" customHeight="1">
      <c r="A841" s="62" t="s">
        <v>1359</v>
      </c>
      <c r="B841" s="62"/>
      <c r="C841" s="62" t="s">
        <v>10</v>
      </c>
      <c r="D841" s="62" t="s">
        <v>1272</v>
      </c>
      <c r="E841" s="62" t="s">
        <v>165</v>
      </c>
      <c r="F841" s="63"/>
      <c r="G841" s="62" t="s">
        <v>500</v>
      </c>
      <c r="H841" s="62" t="s">
        <v>312</v>
      </c>
      <c r="I841" s="62" t="s">
        <v>500</v>
      </c>
      <c r="J841" s="62" t="s">
        <v>312</v>
      </c>
      <c r="K841" s="63"/>
      <c r="L841" s="63"/>
      <c r="M841" s="80" t="s">
        <v>1324</v>
      </c>
      <c r="N841" s="63"/>
      <c r="O841" s="63"/>
      <c r="P841" s="63"/>
      <c r="Q841" s="63"/>
      <c r="R841" s="63"/>
      <c r="S841" s="63"/>
      <c r="T841" s="63"/>
      <c r="U841" s="63"/>
      <c r="V841" s="63"/>
      <c r="W841" s="63"/>
      <c r="X841" s="63"/>
      <c r="Y841" s="63"/>
      <c r="Z841" s="63"/>
      <c r="AA841" s="63"/>
      <c r="AB841" s="62">
        <v>5.23</v>
      </c>
      <c r="AC841" s="63">
        <f>MAX(AA841:AB841)</f>
        <v>5.23</v>
      </c>
      <c r="AD841" s="63"/>
      <c r="AE841" s="63"/>
      <c r="AF841" s="63"/>
      <c r="AG841" s="63"/>
      <c r="AH841" s="63"/>
      <c r="AI841" s="63"/>
      <c r="AJ841" s="63"/>
      <c r="AK841" s="63"/>
      <c r="AL841" s="63"/>
      <c r="AM841" s="63"/>
      <c r="AN841" s="63"/>
      <c r="AO841" s="63"/>
      <c r="AP841" s="63"/>
      <c r="AQ841" s="63"/>
      <c r="AR841" s="63"/>
      <c r="AS841" s="63"/>
      <c r="AT841" s="63"/>
      <c r="AU841" s="63"/>
      <c r="AV841" s="63"/>
      <c r="AW841" s="63"/>
      <c r="AX841" s="63"/>
      <c r="AY841" s="63"/>
      <c r="AZ841" s="63"/>
      <c r="BA841" s="63"/>
      <c r="BB841" s="63"/>
      <c r="BC841" s="63"/>
      <c r="BD841" s="63"/>
      <c r="BE841" s="63"/>
      <c r="BF841" s="63"/>
      <c r="BG841" s="63"/>
      <c r="BH841" s="63"/>
      <c r="BI841" s="63"/>
      <c r="BJ841" s="63"/>
      <c r="BK841" s="62" t="s">
        <v>273</v>
      </c>
      <c r="BL841" s="62"/>
      <c r="BM841" s="62" t="s">
        <v>1302</v>
      </c>
      <c r="BN841" s="63"/>
      <c r="BO841" s="63"/>
      <c r="BP841" s="63"/>
      <c r="BQ841" s="63"/>
      <c r="BR841" s="63"/>
    </row>
    <row r="842" spans="1:70" ht="15.75" customHeight="1">
      <c r="A842" s="62" t="s">
        <v>1359</v>
      </c>
      <c r="B842" s="62"/>
      <c r="C842" s="62" t="s">
        <v>10</v>
      </c>
      <c r="D842" s="62" t="s">
        <v>1272</v>
      </c>
      <c r="E842" s="62" t="s">
        <v>165</v>
      </c>
      <c r="F842" s="63"/>
      <c r="G842" s="62" t="s">
        <v>500</v>
      </c>
      <c r="H842" s="62" t="s">
        <v>312</v>
      </c>
      <c r="I842" s="62" t="s">
        <v>500</v>
      </c>
      <c r="J842" s="62" t="s">
        <v>312</v>
      </c>
      <c r="K842" s="63"/>
      <c r="L842" s="63"/>
      <c r="M842" s="80" t="s">
        <v>1324</v>
      </c>
      <c r="N842" s="63"/>
      <c r="O842" s="63"/>
      <c r="P842" s="63"/>
      <c r="Q842" s="63"/>
      <c r="R842" s="63"/>
      <c r="S842" s="63"/>
      <c r="T842" s="63"/>
      <c r="U842" s="63"/>
      <c r="V842" s="63"/>
      <c r="W842" s="63"/>
      <c r="X842" s="63"/>
      <c r="Y842" s="63"/>
      <c r="Z842" s="63"/>
      <c r="AA842" s="63"/>
      <c r="AB842" s="63"/>
      <c r="AC842" s="63"/>
      <c r="AD842" s="62">
        <v>4.78</v>
      </c>
      <c r="AE842" s="62">
        <v>5.77</v>
      </c>
      <c r="AF842" s="62">
        <v>6.12</v>
      </c>
      <c r="AG842" s="63">
        <f>MAX(AE842:AF842)</f>
        <v>6.12</v>
      </c>
      <c r="AH842" s="63"/>
      <c r="AI842" s="63"/>
      <c r="AJ842" s="63"/>
      <c r="AK842" s="63"/>
      <c r="AL842" s="63"/>
      <c r="AM842" s="63"/>
      <c r="AN842" s="63"/>
      <c r="AO842" s="63"/>
      <c r="AP842" s="63"/>
      <c r="AQ842" s="63"/>
      <c r="AR842" s="63"/>
      <c r="AS842" s="63"/>
      <c r="AT842" s="63"/>
      <c r="AU842" s="63"/>
      <c r="AV842" s="63"/>
      <c r="AW842" s="63"/>
      <c r="AX842" s="63"/>
      <c r="AY842" s="63"/>
      <c r="AZ842" s="63"/>
      <c r="BA842" s="63"/>
      <c r="BB842" s="63"/>
      <c r="BC842" s="63"/>
      <c r="BD842" s="63"/>
      <c r="BE842" s="63"/>
      <c r="BF842" s="63"/>
      <c r="BG842" s="63"/>
      <c r="BH842" s="63"/>
      <c r="BI842" s="63"/>
      <c r="BJ842" s="63"/>
      <c r="BK842" s="62" t="s">
        <v>273</v>
      </c>
      <c r="BL842" s="62"/>
      <c r="BM842" s="62" t="s">
        <v>1302</v>
      </c>
      <c r="BN842" s="63"/>
      <c r="BO842" s="63"/>
      <c r="BP842" s="63"/>
      <c r="BQ842" s="63"/>
      <c r="BR842" s="63"/>
    </row>
    <row r="843" spans="1:70" ht="15.75" customHeight="1">
      <c r="A843" s="62" t="s">
        <v>1360</v>
      </c>
      <c r="B843" s="62"/>
      <c r="C843" s="62" t="s">
        <v>10</v>
      </c>
      <c r="D843" s="62" t="s">
        <v>1272</v>
      </c>
      <c r="E843" s="62" t="s">
        <v>165</v>
      </c>
      <c r="G843" s="62" t="s">
        <v>500</v>
      </c>
      <c r="H843" s="62" t="s">
        <v>312</v>
      </c>
      <c r="I843" s="62" t="s">
        <v>500</v>
      </c>
      <c r="J843" s="62" t="s">
        <v>312</v>
      </c>
      <c r="M843" s="80" t="s">
        <v>1322</v>
      </c>
      <c r="AZ843" s="62">
        <v>2.79</v>
      </c>
      <c r="BA843" s="62">
        <v>2.79</v>
      </c>
      <c r="BK843" s="62" t="s">
        <v>273</v>
      </c>
      <c r="BL843" s="62"/>
      <c r="BM843" s="62" t="s">
        <v>1302</v>
      </c>
      <c r="BN843"/>
    </row>
    <row r="844" spans="1:70" ht="15.75" customHeight="1">
      <c r="A844" s="62" t="s">
        <v>1360</v>
      </c>
      <c r="B844" s="62"/>
      <c r="C844" s="62" t="s">
        <v>10</v>
      </c>
      <c r="D844" s="62" t="s">
        <v>1272</v>
      </c>
      <c r="E844" s="62" t="s">
        <v>165</v>
      </c>
      <c r="G844" s="62" t="s">
        <v>500</v>
      </c>
      <c r="H844" s="62" t="s">
        <v>312</v>
      </c>
      <c r="I844" s="62" t="s">
        <v>500</v>
      </c>
      <c r="J844" s="62" t="s">
        <v>312</v>
      </c>
      <c r="M844" s="80" t="s">
        <v>1322</v>
      </c>
      <c r="BB844" s="62">
        <v>4.41</v>
      </c>
      <c r="BC844" s="62">
        <v>3.55</v>
      </c>
      <c r="BD844" s="62">
        <v>3.27</v>
      </c>
      <c r="BE844" s="63">
        <f>MAX(BC844:BD844)</f>
        <v>3.55</v>
      </c>
      <c r="BK844" s="62" t="s">
        <v>273</v>
      </c>
      <c r="BL844" s="62"/>
      <c r="BM844" s="62" t="s">
        <v>1302</v>
      </c>
      <c r="BN844"/>
    </row>
    <row r="845" spans="1:70" ht="15.75" customHeight="1">
      <c r="A845" s="62" t="s">
        <v>1360</v>
      </c>
      <c r="B845" s="62"/>
      <c r="C845" s="62" t="s">
        <v>10</v>
      </c>
      <c r="D845" s="62" t="s">
        <v>1272</v>
      </c>
      <c r="E845" s="62" t="s">
        <v>165</v>
      </c>
      <c r="F845" s="63"/>
      <c r="G845" s="62" t="s">
        <v>500</v>
      </c>
      <c r="H845" s="62" t="s">
        <v>312</v>
      </c>
      <c r="I845" s="62" t="s">
        <v>500</v>
      </c>
      <c r="J845" s="62" t="s">
        <v>312</v>
      </c>
      <c r="K845" s="63"/>
      <c r="L845" s="63"/>
      <c r="M845" s="80" t="s">
        <v>1322</v>
      </c>
      <c r="N845" s="63"/>
      <c r="O845" s="63"/>
      <c r="P845" s="63"/>
      <c r="Q845" s="63"/>
      <c r="R845" s="63"/>
      <c r="S845" s="63"/>
      <c r="T845" s="63"/>
      <c r="U845" s="63"/>
      <c r="V845" s="63"/>
      <c r="W845" s="63"/>
      <c r="X845" s="63"/>
      <c r="Y845" s="63"/>
      <c r="Z845" s="63"/>
      <c r="AA845" s="63"/>
      <c r="AB845" s="63"/>
      <c r="AC845" s="63"/>
      <c r="AD845" s="63"/>
      <c r="AE845" s="63"/>
      <c r="AF845" s="63"/>
      <c r="AG845" s="63"/>
      <c r="AH845" s="63"/>
      <c r="AI845" s="63"/>
      <c r="AJ845" s="63"/>
      <c r="AK845" s="63"/>
      <c r="AL845" s="63"/>
      <c r="AM845" s="63"/>
      <c r="AN845" s="63"/>
      <c r="AO845" s="63"/>
      <c r="AP845" s="63"/>
      <c r="AQ845" s="63"/>
      <c r="AR845" s="63"/>
      <c r="AS845" s="63"/>
      <c r="AT845" s="63"/>
      <c r="AU845" s="63"/>
      <c r="AV845" s="63"/>
      <c r="AW845" s="63"/>
      <c r="AX845" s="63"/>
      <c r="AY845" s="63"/>
      <c r="AZ845" s="63"/>
      <c r="BA845" s="63"/>
      <c r="BB845" s="63"/>
      <c r="BC845" s="63"/>
      <c r="BD845" s="63"/>
      <c r="BE845" s="63"/>
      <c r="BF845" s="63"/>
      <c r="BG845" s="62">
        <v>3.28</v>
      </c>
      <c r="BH845" s="63"/>
      <c r="BI845" s="62">
        <v>3.28</v>
      </c>
      <c r="BJ845" s="63"/>
      <c r="BK845" s="62" t="s">
        <v>273</v>
      </c>
      <c r="BL845" s="62"/>
      <c r="BM845" s="62" t="s">
        <v>1302</v>
      </c>
      <c r="BN845" s="63"/>
      <c r="BO845" s="63"/>
      <c r="BP845" s="63"/>
      <c r="BQ845" s="63"/>
      <c r="BR845" s="63"/>
    </row>
    <row r="846" spans="1:70" ht="15.75" customHeight="1">
      <c r="A846" s="62" t="s">
        <v>1361</v>
      </c>
      <c r="B846" s="62"/>
      <c r="C846" s="62" t="s">
        <v>10</v>
      </c>
      <c r="D846" s="62" t="s">
        <v>1272</v>
      </c>
      <c r="E846" s="62" t="s">
        <v>165</v>
      </c>
      <c r="F846" s="63"/>
      <c r="G846" s="62" t="s">
        <v>500</v>
      </c>
      <c r="H846" s="62" t="s">
        <v>312</v>
      </c>
      <c r="I846" s="62" t="s">
        <v>500</v>
      </c>
      <c r="J846" s="62" t="s">
        <v>312</v>
      </c>
      <c r="K846" s="63"/>
      <c r="L846" s="63"/>
      <c r="M846" s="80" t="s">
        <v>1307</v>
      </c>
      <c r="N846" s="63"/>
      <c r="O846" s="63"/>
      <c r="P846" s="63"/>
      <c r="Q846" s="63"/>
      <c r="R846" s="63"/>
      <c r="S846" s="63"/>
      <c r="T846" s="63"/>
      <c r="U846" s="63"/>
      <c r="V846" s="63"/>
      <c r="W846" s="63"/>
      <c r="X846" s="63"/>
      <c r="Y846" s="63"/>
      <c r="Z846" s="63"/>
      <c r="AA846" s="63"/>
      <c r="AB846" s="63"/>
      <c r="AC846" s="63"/>
      <c r="AD846" s="62">
        <v>4.55</v>
      </c>
      <c r="AE846" s="62">
        <v>6.29</v>
      </c>
      <c r="AF846" s="62">
        <v>6.66</v>
      </c>
      <c r="AG846" s="63">
        <f>MAX(AE846:AF846)</f>
        <v>6.66</v>
      </c>
      <c r="AH846" s="63"/>
      <c r="AI846" s="63"/>
      <c r="AJ846" s="63"/>
      <c r="AK846" s="63"/>
      <c r="AL846" s="63"/>
      <c r="AM846" s="63"/>
      <c r="AN846" s="63"/>
      <c r="AO846" s="63"/>
      <c r="AP846" s="63"/>
      <c r="AQ846" s="63"/>
      <c r="AR846" s="63"/>
      <c r="AS846" s="63"/>
      <c r="AT846" s="63"/>
      <c r="AU846" s="63"/>
      <c r="AV846" s="63"/>
      <c r="AW846" s="63"/>
      <c r="AX846" s="63"/>
      <c r="AY846" s="63"/>
      <c r="AZ846" s="63"/>
      <c r="BA846" s="63"/>
      <c r="BB846" s="63"/>
      <c r="BC846" s="63"/>
      <c r="BD846" s="63"/>
      <c r="BE846" s="63"/>
      <c r="BF846" s="63"/>
      <c r="BG846" s="63"/>
      <c r="BH846" s="63"/>
      <c r="BI846" s="63"/>
      <c r="BJ846" s="63"/>
      <c r="BK846" s="62" t="s">
        <v>273</v>
      </c>
      <c r="BL846" s="62"/>
      <c r="BM846" s="62" t="s">
        <v>1302</v>
      </c>
      <c r="BN846" s="63"/>
      <c r="BO846" s="63"/>
      <c r="BP846" s="63"/>
      <c r="BQ846" s="63"/>
      <c r="BR846" s="63"/>
    </row>
    <row r="847" spans="1:70" ht="15.75" customHeight="1">
      <c r="A847" s="62" t="s">
        <v>1361</v>
      </c>
      <c r="B847" s="62"/>
      <c r="C847" s="62" t="s">
        <v>10</v>
      </c>
      <c r="D847" s="62" t="s">
        <v>1272</v>
      </c>
      <c r="E847" s="62" t="s">
        <v>165</v>
      </c>
      <c r="G847" s="62" t="s">
        <v>500</v>
      </c>
      <c r="H847" s="62" t="s">
        <v>312</v>
      </c>
      <c r="I847" s="62" t="s">
        <v>500</v>
      </c>
      <c r="J847" s="62" t="s">
        <v>312</v>
      </c>
      <c r="M847" s="80" t="s">
        <v>1307</v>
      </c>
      <c r="AH847" s="62">
        <v>4.3</v>
      </c>
      <c r="AI847" s="62">
        <v>5.48</v>
      </c>
      <c r="AJ847" s="62">
        <v>4.88</v>
      </c>
      <c r="AK847" s="63">
        <f>MAX(AI847:AJ847)</f>
        <v>5.48</v>
      </c>
      <c r="BK847" s="62" t="s">
        <v>273</v>
      </c>
      <c r="BL847" s="62"/>
      <c r="BM847" s="62" t="s">
        <v>1302</v>
      </c>
      <c r="BN847"/>
    </row>
    <row r="848" spans="1:70" ht="15.75" customHeight="1">
      <c r="A848" s="62" t="s">
        <v>1362</v>
      </c>
      <c r="B848" s="62"/>
      <c r="C848" s="62" t="s">
        <v>10</v>
      </c>
      <c r="D848" s="62" t="s">
        <v>1272</v>
      </c>
      <c r="E848" s="62" t="s">
        <v>165</v>
      </c>
      <c r="G848" s="62" t="s">
        <v>500</v>
      </c>
      <c r="H848" s="62" t="s">
        <v>312</v>
      </c>
      <c r="I848" s="62" t="s">
        <v>500</v>
      </c>
      <c r="J848" s="62" t="s">
        <v>312</v>
      </c>
      <c r="M848" s="80" t="s">
        <v>1307</v>
      </c>
      <c r="AD848" s="62">
        <v>4.0599999999999996</v>
      </c>
      <c r="AE848" s="62">
        <v>5.63</v>
      </c>
      <c r="AF848" s="62">
        <v>5.87</v>
      </c>
      <c r="AG848" s="63">
        <f>MAX(AE848:AF848)</f>
        <v>5.87</v>
      </c>
      <c r="BK848" s="62" t="s">
        <v>273</v>
      </c>
      <c r="BL848" s="62"/>
      <c r="BM848" s="62" t="s">
        <v>1302</v>
      </c>
      <c r="BN848"/>
    </row>
    <row r="849" spans="1:70" ht="15.75" customHeight="1">
      <c r="A849" s="62" t="s">
        <v>187</v>
      </c>
      <c r="B849" s="62"/>
      <c r="C849" s="62" t="s">
        <v>10</v>
      </c>
      <c r="D849" s="62" t="s">
        <v>1272</v>
      </c>
      <c r="E849" s="62" t="s">
        <v>165</v>
      </c>
      <c r="F849" s="63"/>
      <c r="G849" s="62" t="s">
        <v>500</v>
      </c>
      <c r="H849" s="62" t="s">
        <v>1363</v>
      </c>
      <c r="I849" s="62" t="s">
        <v>500</v>
      </c>
      <c r="J849" s="62" t="s">
        <v>1363</v>
      </c>
      <c r="K849" s="63"/>
      <c r="L849" s="63"/>
      <c r="M849" s="80" t="s">
        <v>1333</v>
      </c>
      <c r="N849" s="63"/>
      <c r="O849" s="63"/>
      <c r="P849" s="63"/>
      <c r="Q849" s="63"/>
      <c r="R849" s="63"/>
      <c r="S849" s="63"/>
      <c r="T849" s="63"/>
      <c r="U849" s="63"/>
      <c r="V849" s="63"/>
      <c r="W849" s="63"/>
      <c r="X849" s="63"/>
      <c r="Y849" s="63"/>
      <c r="Z849" s="63"/>
      <c r="AA849" s="63"/>
      <c r="AB849" s="63"/>
      <c r="AC849" s="63"/>
      <c r="AD849" s="63"/>
      <c r="AE849" s="63"/>
      <c r="AF849" s="63"/>
      <c r="AG849" s="63"/>
      <c r="AH849" s="63"/>
      <c r="AI849" s="63"/>
      <c r="AJ849" s="63"/>
      <c r="AK849" s="63"/>
      <c r="AL849" s="63"/>
      <c r="AM849" s="63"/>
      <c r="AN849" s="63"/>
      <c r="AO849" s="63"/>
      <c r="AP849" s="63"/>
      <c r="AQ849" s="63"/>
      <c r="AR849" s="63"/>
      <c r="AS849" s="63"/>
      <c r="AT849" s="63"/>
      <c r="AU849" s="63"/>
      <c r="AV849" s="63"/>
      <c r="AW849" s="63"/>
      <c r="AX849" s="63"/>
      <c r="AY849" s="63"/>
      <c r="AZ849" s="63"/>
      <c r="BA849" s="63"/>
      <c r="BB849" s="62">
        <v>5.28</v>
      </c>
      <c r="BC849" s="62">
        <v>4.01</v>
      </c>
      <c r="BD849" s="62">
        <v>3.7</v>
      </c>
      <c r="BE849" s="63">
        <f>MAX(BC849:BD849)</f>
        <v>4.01</v>
      </c>
      <c r="BF849" s="63"/>
      <c r="BG849" s="63"/>
      <c r="BH849" s="63"/>
      <c r="BI849" s="63"/>
      <c r="BJ849" s="63"/>
      <c r="BK849" s="62" t="s">
        <v>273</v>
      </c>
      <c r="BL849" s="62"/>
      <c r="BM849" s="62" t="s">
        <v>1302</v>
      </c>
      <c r="BN849" s="63"/>
      <c r="BO849" s="63"/>
      <c r="BP849" s="63"/>
      <c r="BQ849" s="63"/>
      <c r="BR849" s="63"/>
    </row>
    <row r="850" spans="1:70" ht="15.75" customHeight="1">
      <c r="A850" s="62" t="s">
        <v>1300</v>
      </c>
      <c r="B850" s="62"/>
      <c r="C850" s="62" t="s">
        <v>10</v>
      </c>
      <c r="D850" s="62" t="s">
        <v>1272</v>
      </c>
      <c r="E850" s="62" t="s">
        <v>165</v>
      </c>
      <c r="G850" s="62" t="s">
        <v>500</v>
      </c>
      <c r="H850" s="62" t="s">
        <v>1363</v>
      </c>
      <c r="I850" s="62" t="s">
        <v>500</v>
      </c>
      <c r="J850" s="62" t="s">
        <v>1363</v>
      </c>
      <c r="M850" s="18"/>
      <c r="AX850" s="62">
        <v>4.3600000000000003</v>
      </c>
      <c r="AY850" s="62">
        <v>3.1</v>
      </c>
      <c r="AZ850" s="62">
        <v>3.22</v>
      </c>
      <c r="BA850" s="63">
        <f>MAX(AY850:AZ850)</f>
        <v>3.22</v>
      </c>
      <c r="BB850" s="62">
        <v>5.08</v>
      </c>
      <c r="BC850" s="62">
        <v>3.91</v>
      </c>
      <c r="BD850" s="62">
        <v>3.65</v>
      </c>
      <c r="BE850" s="63">
        <f>MAX(BC850:BD850)</f>
        <v>3.91</v>
      </c>
      <c r="BF850" s="62">
        <v>5.72</v>
      </c>
      <c r="BG850" s="62">
        <v>3.58</v>
      </c>
      <c r="BH850" s="62">
        <v>2.92</v>
      </c>
      <c r="BI850" s="63">
        <f>MAX(BG850:BH850)</f>
        <v>3.58</v>
      </c>
      <c r="BK850" s="62" t="s">
        <v>273</v>
      </c>
      <c r="BL850" s="62"/>
      <c r="BM850" s="62" t="s">
        <v>1302</v>
      </c>
      <c r="BN850"/>
    </row>
    <row r="851" spans="1:70" ht="15.75" customHeight="1">
      <c r="A851" s="62" t="s">
        <v>1364</v>
      </c>
      <c r="B851" s="62"/>
      <c r="C851" s="62" t="s">
        <v>10</v>
      </c>
      <c r="D851" s="62" t="s">
        <v>1272</v>
      </c>
      <c r="E851" s="62" t="s">
        <v>165</v>
      </c>
      <c r="F851" s="63"/>
      <c r="G851" s="62" t="s">
        <v>500</v>
      </c>
      <c r="H851" s="62" t="s">
        <v>1363</v>
      </c>
      <c r="I851" s="62" t="s">
        <v>500</v>
      </c>
      <c r="J851" s="62" t="s">
        <v>1363</v>
      </c>
      <c r="K851" s="63"/>
      <c r="L851" s="63"/>
      <c r="M851" s="80" t="s">
        <v>1340</v>
      </c>
      <c r="N851" s="63"/>
      <c r="O851" s="63"/>
      <c r="P851" s="63"/>
      <c r="Q851" s="63"/>
      <c r="R851" s="63"/>
      <c r="S851" s="63"/>
      <c r="T851" s="63"/>
      <c r="U851" s="63"/>
      <c r="V851" s="63"/>
      <c r="W851" s="63"/>
      <c r="X851" s="63"/>
      <c r="Y851" s="63"/>
      <c r="Z851" s="63"/>
      <c r="AA851" s="63"/>
      <c r="AB851" s="63"/>
      <c r="AC851" s="63"/>
      <c r="AD851" s="62">
        <v>4.78</v>
      </c>
      <c r="AE851" s="62">
        <v>6.2</v>
      </c>
      <c r="AF851" s="62">
        <v>6.49</v>
      </c>
      <c r="AG851" s="63">
        <f>MAX(AE851:AF851)</f>
        <v>6.49</v>
      </c>
      <c r="AH851" s="63"/>
      <c r="AI851" s="63"/>
      <c r="AJ851" s="63"/>
      <c r="AK851" s="63"/>
      <c r="AL851" s="63"/>
      <c r="AM851" s="63"/>
      <c r="AN851" s="63"/>
      <c r="AO851" s="63"/>
      <c r="AP851" s="63"/>
      <c r="AQ851" s="63"/>
      <c r="AR851" s="63"/>
      <c r="AS851" s="63"/>
      <c r="AT851" s="63"/>
      <c r="AU851" s="63"/>
      <c r="AV851" s="63"/>
      <c r="AW851" s="63"/>
      <c r="AX851" s="63"/>
      <c r="AY851" s="63"/>
      <c r="AZ851" s="63"/>
      <c r="BA851" s="63"/>
      <c r="BB851" s="63"/>
      <c r="BC851" s="63"/>
      <c r="BD851" s="63"/>
      <c r="BE851" s="63"/>
      <c r="BF851" s="63"/>
      <c r="BG851" s="63"/>
      <c r="BH851" s="63"/>
      <c r="BI851" s="63"/>
      <c r="BJ851" s="63"/>
      <c r="BK851" s="62" t="s">
        <v>273</v>
      </c>
      <c r="BL851" s="62"/>
      <c r="BM851" s="62" t="s">
        <v>1302</v>
      </c>
      <c r="BN851" s="63"/>
      <c r="BO851" s="63"/>
      <c r="BP851" s="63"/>
      <c r="BQ851" s="63"/>
      <c r="BR851" s="63"/>
    </row>
    <row r="852" spans="1:70" ht="15.75" customHeight="1">
      <c r="A852" s="62" t="s">
        <v>1365</v>
      </c>
      <c r="B852" s="62"/>
      <c r="C852" s="62" t="s">
        <v>10</v>
      </c>
      <c r="D852" s="62" t="s">
        <v>1272</v>
      </c>
      <c r="E852" s="62" t="s">
        <v>165</v>
      </c>
      <c r="F852" s="63"/>
      <c r="G852" s="62" t="s">
        <v>500</v>
      </c>
      <c r="H852" s="62" t="s">
        <v>1363</v>
      </c>
      <c r="I852" s="62" t="s">
        <v>500</v>
      </c>
      <c r="J852" s="62" t="s">
        <v>1363</v>
      </c>
      <c r="K852" s="63"/>
      <c r="L852" s="63"/>
      <c r="M852" s="80" t="s">
        <v>1319</v>
      </c>
      <c r="N852" s="63"/>
      <c r="O852" s="63"/>
      <c r="P852" s="63"/>
      <c r="Q852" s="63"/>
      <c r="R852" s="63"/>
      <c r="S852" s="63"/>
      <c r="T852" s="63"/>
      <c r="U852" s="63"/>
      <c r="V852" s="63"/>
      <c r="W852" s="63"/>
      <c r="X852" s="63"/>
      <c r="Y852" s="63"/>
      <c r="Z852" s="63"/>
      <c r="AA852" s="63"/>
      <c r="AB852" s="63"/>
      <c r="AC852" s="63"/>
      <c r="AD852" s="63"/>
      <c r="AE852" s="63"/>
      <c r="AF852" s="63"/>
      <c r="AG852" s="63"/>
      <c r="AH852" s="62">
        <v>4.7</v>
      </c>
      <c r="AI852" s="62">
        <v>5.73</v>
      </c>
      <c r="AJ852" s="62">
        <v>5.29</v>
      </c>
      <c r="AK852" s="63">
        <f>MAX(AI852:AJ852)</f>
        <v>5.73</v>
      </c>
      <c r="AL852" s="63"/>
      <c r="AM852" s="63"/>
      <c r="AN852" s="63"/>
      <c r="AO852" s="63"/>
      <c r="AP852" s="63"/>
      <c r="AQ852" s="63"/>
      <c r="AR852" s="63"/>
      <c r="AS852" s="63"/>
      <c r="AT852" s="63"/>
      <c r="AU852" s="63"/>
      <c r="AV852" s="63"/>
      <c r="AW852" s="63"/>
      <c r="AX852" s="63"/>
      <c r="AY852" s="63"/>
      <c r="AZ852" s="63"/>
      <c r="BA852" s="63"/>
      <c r="BB852" s="63"/>
      <c r="BC852" s="63"/>
      <c r="BD852" s="63"/>
      <c r="BE852" s="63"/>
      <c r="BF852" s="63"/>
      <c r="BG852" s="63"/>
      <c r="BH852" s="63"/>
      <c r="BI852" s="63"/>
      <c r="BJ852" s="63"/>
      <c r="BK852" s="62" t="s">
        <v>273</v>
      </c>
      <c r="BL852" s="62"/>
      <c r="BM852" s="62" t="s">
        <v>1302</v>
      </c>
      <c r="BN852" s="62"/>
      <c r="BO852" s="62" t="s">
        <v>174</v>
      </c>
      <c r="BP852" s="62" t="s">
        <v>1302</v>
      </c>
      <c r="BQ852" s="63"/>
      <c r="BR852" s="63"/>
    </row>
    <row r="853" spans="1:70" ht="15.75" customHeight="1">
      <c r="A853" s="62" t="s">
        <v>1366</v>
      </c>
      <c r="B853" s="62"/>
      <c r="C853" s="62" t="s">
        <v>10</v>
      </c>
      <c r="D853" s="62" t="s">
        <v>1272</v>
      </c>
      <c r="E853" s="62" t="s">
        <v>165</v>
      </c>
      <c r="F853" s="63"/>
      <c r="G853" s="62" t="s">
        <v>500</v>
      </c>
      <c r="H853" s="62" t="s">
        <v>1363</v>
      </c>
      <c r="I853" s="62" t="s">
        <v>500</v>
      </c>
      <c r="J853" s="62" t="s">
        <v>1363</v>
      </c>
      <c r="K853" s="63"/>
      <c r="L853" s="63"/>
      <c r="M853" s="80" t="s">
        <v>1313</v>
      </c>
      <c r="N853" s="63"/>
      <c r="O853" s="63"/>
      <c r="P853" s="63"/>
      <c r="Q853" s="63"/>
      <c r="R853" s="63"/>
      <c r="S853" s="63"/>
      <c r="T853" s="63"/>
      <c r="U853" s="63"/>
      <c r="V853" s="63"/>
      <c r="W853" s="63"/>
      <c r="X853" s="63"/>
      <c r="Y853" s="63"/>
      <c r="Z853" s="63"/>
      <c r="AA853" s="63"/>
      <c r="AB853" s="62">
        <v>6.3</v>
      </c>
      <c r="AC853" s="62">
        <v>6.3</v>
      </c>
      <c r="AD853" s="63"/>
      <c r="AE853" s="63"/>
      <c r="AF853" s="63"/>
      <c r="AG853" s="63"/>
      <c r="AH853" s="63"/>
      <c r="AI853" s="63"/>
      <c r="AJ853" s="63"/>
      <c r="AK853" s="63"/>
      <c r="AL853" s="63"/>
      <c r="AM853" s="63"/>
      <c r="AN853" s="63"/>
      <c r="AO853" s="63"/>
      <c r="AP853" s="63"/>
      <c r="AQ853" s="63"/>
      <c r="AR853" s="63"/>
      <c r="AS853" s="63"/>
      <c r="AT853" s="63"/>
      <c r="AU853" s="63"/>
      <c r="AV853" s="63"/>
      <c r="AW853" s="63"/>
      <c r="AX853" s="63"/>
      <c r="AY853" s="63"/>
      <c r="AZ853" s="63"/>
      <c r="BA853" s="63"/>
      <c r="BB853" s="63"/>
      <c r="BC853" s="63"/>
      <c r="BD853" s="63"/>
      <c r="BE853" s="63"/>
      <c r="BF853" s="63"/>
      <c r="BG853" s="63"/>
      <c r="BH853" s="63"/>
      <c r="BI853" s="63"/>
      <c r="BJ853" s="63"/>
      <c r="BK853" s="62" t="s">
        <v>273</v>
      </c>
      <c r="BL853" s="62"/>
      <c r="BM853" s="62" t="s">
        <v>1302</v>
      </c>
      <c r="BN853" s="62"/>
      <c r="BO853" s="62" t="s">
        <v>174</v>
      </c>
      <c r="BP853" s="62" t="s">
        <v>1302</v>
      </c>
      <c r="BQ853" s="63"/>
      <c r="BR853" s="63"/>
    </row>
    <row r="854" spans="1:70" ht="15.75" customHeight="1">
      <c r="A854" s="62" t="s">
        <v>1367</v>
      </c>
      <c r="B854" s="62"/>
      <c r="C854" s="62" t="s">
        <v>10</v>
      </c>
      <c r="D854" s="62" t="s">
        <v>1272</v>
      </c>
      <c r="E854" s="62" t="s">
        <v>165</v>
      </c>
      <c r="G854" s="62" t="s">
        <v>500</v>
      </c>
      <c r="H854" s="62" t="s">
        <v>1363</v>
      </c>
      <c r="I854" s="62" t="s">
        <v>500</v>
      </c>
      <c r="J854" s="62" t="s">
        <v>1363</v>
      </c>
      <c r="M854" s="80" t="s">
        <v>1368</v>
      </c>
      <c r="BB854" s="62">
        <v>5.05</v>
      </c>
      <c r="BC854" s="62">
        <v>3.85</v>
      </c>
      <c r="BD854" s="62">
        <v>3.69</v>
      </c>
      <c r="BE854" s="63">
        <f>MAX(BC854:BD854)</f>
        <v>3.85</v>
      </c>
      <c r="BK854" s="62" t="s">
        <v>273</v>
      </c>
      <c r="BL854" s="62"/>
      <c r="BM854" s="62" t="s">
        <v>1302</v>
      </c>
      <c r="BN854"/>
    </row>
    <row r="855" spans="1:70" ht="15.75" customHeight="1">
      <c r="A855" s="62" t="s">
        <v>1367</v>
      </c>
      <c r="B855" s="62"/>
      <c r="C855" s="62" t="s">
        <v>10</v>
      </c>
      <c r="D855" s="62" t="s">
        <v>1272</v>
      </c>
      <c r="E855" s="62" t="s">
        <v>165</v>
      </c>
      <c r="G855" s="62" t="s">
        <v>500</v>
      </c>
      <c r="H855" s="62" t="s">
        <v>1363</v>
      </c>
      <c r="I855" s="62" t="s">
        <v>500</v>
      </c>
      <c r="J855" s="62" t="s">
        <v>1363</v>
      </c>
      <c r="M855" s="80" t="s">
        <v>1368</v>
      </c>
      <c r="BF855" s="62">
        <v>5.57</v>
      </c>
      <c r="BG855" s="62">
        <v>3.57</v>
      </c>
      <c r="BH855" s="62">
        <v>2.92</v>
      </c>
      <c r="BI855" s="63">
        <f>MAX(BG855:BH855)</f>
        <v>3.57</v>
      </c>
      <c r="BK855" s="62" t="s">
        <v>273</v>
      </c>
      <c r="BL855" s="62"/>
      <c r="BM855" s="62" t="s">
        <v>1302</v>
      </c>
      <c r="BN855"/>
    </row>
    <row r="856" spans="1:70" ht="15.75" customHeight="1">
      <c r="A856" s="62" t="s">
        <v>1369</v>
      </c>
      <c r="B856" s="62"/>
      <c r="C856" s="62" t="s">
        <v>10</v>
      </c>
      <c r="D856" s="62" t="s">
        <v>1272</v>
      </c>
      <c r="E856" s="62" t="s">
        <v>165</v>
      </c>
      <c r="F856" s="63"/>
      <c r="G856" s="62" t="s">
        <v>500</v>
      </c>
      <c r="H856" s="62" t="s">
        <v>1363</v>
      </c>
      <c r="I856" s="62" t="s">
        <v>500</v>
      </c>
      <c r="J856" s="62" t="s">
        <v>1363</v>
      </c>
      <c r="K856" s="63"/>
      <c r="L856" s="63"/>
      <c r="M856" s="80" t="s">
        <v>1370</v>
      </c>
      <c r="N856" s="63"/>
      <c r="O856" s="63"/>
      <c r="P856" s="63"/>
      <c r="Q856" s="63"/>
      <c r="R856" s="63"/>
      <c r="S856" s="63"/>
      <c r="T856" s="63"/>
      <c r="U856" s="63"/>
      <c r="V856" s="63"/>
      <c r="W856" s="63"/>
      <c r="X856" s="63"/>
      <c r="Y856" s="63"/>
      <c r="Z856" s="63"/>
      <c r="AA856" s="63"/>
      <c r="AB856" s="63"/>
      <c r="AC856" s="63"/>
      <c r="AD856" s="63"/>
      <c r="AE856" s="62">
        <v>6.52</v>
      </c>
      <c r="AF856" s="62">
        <v>6.93</v>
      </c>
      <c r="AG856" s="63">
        <f>MAX(AE856:AF856)</f>
        <v>6.93</v>
      </c>
      <c r="AH856" s="63"/>
      <c r="AI856" s="63"/>
      <c r="AJ856" s="63"/>
      <c r="AK856" s="63"/>
      <c r="AL856" s="63"/>
      <c r="AM856" s="63"/>
      <c r="AN856" s="63"/>
      <c r="AO856" s="63"/>
      <c r="AP856" s="63"/>
      <c r="AQ856" s="63"/>
      <c r="AR856" s="63"/>
      <c r="AS856" s="63"/>
      <c r="AT856" s="63"/>
      <c r="AU856" s="63"/>
      <c r="AV856" s="63"/>
      <c r="AW856" s="63"/>
      <c r="AX856" s="63"/>
      <c r="AY856" s="63"/>
      <c r="AZ856" s="63"/>
      <c r="BA856" s="63"/>
      <c r="BB856" s="63"/>
      <c r="BC856" s="63"/>
      <c r="BD856" s="63"/>
      <c r="BE856" s="63"/>
      <c r="BF856" s="63"/>
      <c r="BG856" s="63"/>
      <c r="BH856" s="63"/>
      <c r="BI856" s="63"/>
      <c r="BJ856" s="63"/>
      <c r="BK856" s="62" t="s">
        <v>273</v>
      </c>
      <c r="BL856" s="62"/>
      <c r="BM856" s="62" t="s">
        <v>1302</v>
      </c>
      <c r="BN856" s="63"/>
      <c r="BO856" s="63"/>
      <c r="BP856" s="63"/>
      <c r="BQ856" s="63"/>
      <c r="BR856" s="63"/>
    </row>
    <row r="857" spans="1:70" ht="15.75" customHeight="1">
      <c r="A857" s="62" t="s">
        <v>1371</v>
      </c>
      <c r="B857" s="62"/>
      <c r="C857" s="62" t="s">
        <v>10</v>
      </c>
      <c r="D857" s="62" t="s">
        <v>1272</v>
      </c>
      <c r="E857" s="62" t="s">
        <v>165</v>
      </c>
      <c r="F857" s="63"/>
      <c r="G857" s="62" t="s">
        <v>500</v>
      </c>
      <c r="H857" s="62" t="s">
        <v>1363</v>
      </c>
      <c r="I857" s="62" t="s">
        <v>500</v>
      </c>
      <c r="J857" s="62" t="s">
        <v>1363</v>
      </c>
      <c r="K857" s="63"/>
      <c r="L857" s="63"/>
      <c r="M857" s="80" t="s">
        <v>1350</v>
      </c>
      <c r="N857" s="63"/>
      <c r="O857" s="63"/>
      <c r="P857" s="63"/>
      <c r="Q857" s="63"/>
      <c r="R857" s="63"/>
      <c r="S857" s="63"/>
      <c r="T857" s="63"/>
      <c r="U857" s="63"/>
      <c r="V857" s="63"/>
      <c r="W857" s="63"/>
      <c r="X857" s="63"/>
      <c r="Y857" s="63"/>
      <c r="Z857" s="63"/>
      <c r="AA857" s="63"/>
      <c r="AB857" s="63"/>
      <c r="AC857" s="63"/>
      <c r="AD857" s="62">
        <v>5.09</v>
      </c>
      <c r="AE857" s="62">
        <v>6.07</v>
      </c>
      <c r="AF857" s="62">
        <v>6.52</v>
      </c>
      <c r="AG857" s="63">
        <f>MAX(AE857:AF857)</f>
        <v>6.52</v>
      </c>
      <c r="AH857" s="63"/>
      <c r="AI857" s="63"/>
      <c r="AJ857" s="63"/>
      <c r="AK857" s="63"/>
      <c r="AL857" s="63"/>
      <c r="AM857" s="63"/>
      <c r="AN857" s="63"/>
      <c r="AO857" s="63"/>
      <c r="AP857" s="63"/>
      <c r="AQ857" s="63"/>
      <c r="AR857" s="63"/>
      <c r="AS857" s="63"/>
      <c r="AT857" s="63"/>
      <c r="AU857" s="63"/>
      <c r="AV857" s="63"/>
      <c r="AW857" s="63"/>
      <c r="AX857" s="63"/>
      <c r="AY857" s="63"/>
      <c r="AZ857" s="63"/>
      <c r="BA857" s="63"/>
      <c r="BB857" s="63"/>
      <c r="BC857" s="63"/>
      <c r="BD857" s="63"/>
      <c r="BE857" s="63"/>
      <c r="BF857" s="63"/>
      <c r="BG857" s="63"/>
      <c r="BH857" s="63"/>
      <c r="BI857" s="63"/>
      <c r="BJ857" s="62" t="s">
        <v>1372</v>
      </c>
      <c r="BK857" s="62" t="s">
        <v>273</v>
      </c>
      <c r="BL857" s="62"/>
      <c r="BM857" s="62" t="s">
        <v>1302</v>
      </c>
      <c r="BN857" s="63"/>
      <c r="BO857" s="63"/>
      <c r="BP857" s="63"/>
      <c r="BQ857" s="63"/>
      <c r="BR857" s="63"/>
    </row>
    <row r="858" spans="1:70" ht="15.75" customHeight="1">
      <c r="A858" s="62" t="s">
        <v>1373</v>
      </c>
      <c r="B858" s="62"/>
      <c r="C858" s="62" t="s">
        <v>10</v>
      </c>
      <c r="D858" s="62" t="s">
        <v>1272</v>
      </c>
      <c r="E858" s="62" t="s">
        <v>165</v>
      </c>
      <c r="F858" s="63"/>
      <c r="G858" s="62" t="s">
        <v>500</v>
      </c>
      <c r="H858" s="62" t="s">
        <v>1363</v>
      </c>
      <c r="I858" s="62" t="s">
        <v>500</v>
      </c>
      <c r="J858" s="62" t="s">
        <v>1363</v>
      </c>
      <c r="K858" s="63"/>
      <c r="L858" s="63"/>
      <c r="M858" s="80" t="s">
        <v>1350</v>
      </c>
      <c r="N858" s="63"/>
      <c r="O858" s="63"/>
      <c r="P858" s="63"/>
      <c r="Q858" s="63"/>
      <c r="R858" s="63"/>
      <c r="S858" s="63"/>
      <c r="T858" s="63"/>
      <c r="U858" s="63"/>
      <c r="V858" s="63"/>
      <c r="W858" s="63"/>
      <c r="X858" s="63"/>
      <c r="Y858" s="63"/>
      <c r="Z858" s="63"/>
      <c r="AA858" s="63"/>
      <c r="AB858" s="62">
        <v>6.03</v>
      </c>
      <c r="AC858" s="62">
        <v>6.03</v>
      </c>
      <c r="AD858" s="63"/>
      <c r="AE858" s="63"/>
      <c r="AF858" s="63"/>
      <c r="AG858" s="63"/>
      <c r="AH858" s="63"/>
      <c r="AI858" s="63"/>
      <c r="AJ858" s="63"/>
      <c r="AK858" s="63"/>
      <c r="AL858" s="63"/>
      <c r="AM858" s="63"/>
      <c r="AN858" s="63"/>
      <c r="AO858" s="63"/>
      <c r="AP858" s="63"/>
      <c r="AQ858" s="63"/>
      <c r="AR858" s="63"/>
      <c r="AS858" s="63"/>
      <c r="AT858" s="63"/>
      <c r="AU858" s="63"/>
      <c r="AV858" s="63"/>
      <c r="AW858" s="63"/>
      <c r="AX858" s="63"/>
      <c r="AY858" s="63"/>
      <c r="AZ858" s="63"/>
      <c r="BA858" s="63"/>
      <c r="BB858" s="63"/>
      <c r="BC858" s="63"/>
      <c r="BD858" s="63"/>
      <c r="BE858" s="63"/>
      <c r="BF858" s="63"/>
      <c r="BG858" s="63"/>
      <c r="BH858" s="63"/>
      <c r="BI858" s="63"/>
      <c r="BJ858" s="63"/>
      <c r="BK858" s="62" t="s">
        <v>273</v>
      </c>
      <c r="BL858" s="62"/>
      <c r="BM858" s="62" t="s">
        <v>1302</v>
      </c>
      <c r="BN858" s="63"/>
      <c r="BO858" s="63"/>
      <c r="BP858" s="63"/>
      <c r="BQ858" s="63"/>
      <c r="BR858" s="63"/>
    </row>
    <row r="859" spans="1:70" ht="15.75" customHeight="1">
      <c r="A859" s="62" t="s">
        <v>1374</v>
      </c>
      <c r="B859" s="62"/>
      <c r="C859" s="62" t="s">
        <v>10</v>
      </c>
      <c r="D859" s="62" t="s">
        <v>1272</v>
      </c>
      <c r="E859" s="62" t="s">
        <v>165</v>
      </c>
      <c r="F859" s="63"/>
      <c r="G859" s="62" t="s">
        <v>500</v>
      </c>
      <c r="H859" s="62" t="s">
        <v>1363</v>
      </c>
      <c r="I859" s="62" t="s">
        <v>500</v>
      </c>
      <c r="J859" s="62" t="s">
        <v>1363</v>
      </c>
      <c r="K859" s="63"/>
      <c r="L859" s="63"/>
      <c r="M859" s="80" t="s">
        <v>1350</v>
      </c>
      <c r="N859" s="63"/>
      <c r="O859" s="63"/>
      <c r="P859" s="63"/>
      <c r="Q859" s="63"/>
      <c r="R859" s="63"/>
      <c r="S859" s="63"/>
      <c r="T859" s="63"/>
      <c r="U859" s="63"/>
      <c r="V859" s="63"/>
      <c r="W859" s="63"/>
      <c r="X859" s="63"/>
      <c r="Y859" s="63"/>
      <c r="Z859" s="63"/>
      <c r="AA859" s="63"/>
      <c r="AB859" s="63"/>
      <c r="AC859" s="63"/>
      <c r="AD859" s="62">
        <v>5.66</v>
      </c>
      <c r="AE859" s="62">
        <v>6.45</v>
      </c>
      <c r="AF859" s="62">
        <v>7.06</v>
      </c>
      <c r="AG859" s="63">
        <f>MAX(AE859:AF859)</f>
        <v>7.06</v>
      </c>
      <c r="AH859" s="63"/>
      <c r="AI859" s="63"/>
      <c r="AJ859" s="63"/>
      <c r="AK859" s="63"/>
      <c r="AL859" s="63"/>
      <c r="AM859" s="63"/>
      <c r="AN859" s="63"/>
      <c r="AO859" s="63"/>
      <c r="AP859" s="63"/>
      <c r="AQ859" s="63"/>
      <c r="AR859" s="63"/>
      <c r="AS859" s="63"/>
      <c r="AT859" s="63"/>
      <c r="AU859" s="63"/>
      <c r="AV859" s="63"/>
      <c r="AW859" s="63"/>
      <c r="AX859" s="63"/>
      <c r="AY859" s="63"/>
      <c r="AZ859" s="63"/>
      <c r="BA859" s="63"/>
      <c r="BB859" s="63"/>
      <c r="BC859" s="63"/>
      <c r="BD859" s="63"/>
      <c r="BE859" s="63"/>
      <c r="BF859" s="63"/>
      <c r="BG859" s="63"/>
      <c r="BH859" s="63"/>
      <c r="BI859" s="63"/>
      <c r="BJ859" s="63"/>
      <c r="BK859" s="62" t="s">
        <v>273</v>
      </c>
      <c r="BL859" s="62"/>
      <c r="BM859" s="62" t="s">
        <v>1302</v>
      </c>
      <c r="BN859" s="62"/>
      <c r="BO859" s="62" t="s">
        <v>174</v>
      </c>
      <c r="BP859" s="62" t="s">
        <v>1302</v>
      </c>
      <c r="BQ859" s="63"/>
      <c r="BR859" s="63"/>
    </row>
    <row r="860" spans="1:70" ht="15.75" customHeight="1">
      <c r="A860" s="62" t="s">
        <v>1375</v>
      </c>
      <c r="B860" s="62"/>
      <c r="C860" s="62" t="s">
        <v>10</v>
      </c>
      <c r="D860" s="62" t="s">
        <v>1272</v>
      </c>
      <c r="E860" s="62" t="s">
        <v>165</v>
      </c>
      <c r="G860" s="62" t="s">
        <v>500</v>
      </c>
      <c r="H860" s="62" t="s">
        <v>1363</v>
      </c>
      <c r="I860" s="62" t="s">
        <v>500</v>
      </c>
      <c r="J860" s="62" t="s">
        <v>1363</v>
      </c>
      <c r="M860" s="80" t="s">
        <v>1376</v>
      </c>
      <c r="AD860" s="62">
        <v>5</v>
      </c>
      <c r="AE860" s="62">
        <v>6.53</v>
      </c>
      <c r="AF860" s="62">
        <v>7.08</v>
      </c>
      <c r="AG860" s="63">
        <f>MAX(AE860:AF860)</f>
        <v>7.08</v>
      </c>
      <c r="BJ860" s="62" t="s">
        <v>1377</v>
      </c>
      <c r="BK860" s="62" t="s">
        <v>273</v>
      </c>
      <c r="BL860" s="62"/>
      <c r="BM860" s="62" t="s">
        <v>1302</v>
      </c>
      <c r="BN860"/>
    </row>
    <row r="861" spans="1:70" ht="15.75" customHeight="1">
      <c r="A861" s="62" t="s">
        <v>1378</v>
      </c>
      <c r="B861" s="62"/>
      <c r="C861" s="62" t="s">
        <v>10</v>
      </c>
      <c r="D861" s="62" t="s">
        <v>1272</v>
      </c>
      <c r="E861" s="62" t="s">
        <v>165</v>
      </c>
      <c r="G861" s="62" t="s">
        <v>500</v>
      </c>
      <c r="H861" s="62" t="s">
        <v>1363</v>
      </c>
      <c r="I861" s="62" t="s">
        <v>500</v>
      </c>
      <c r="J861" s="62" t="s">
        <v>1363</v>
      </c>
      <c r="M861" s="80" t="s">
        <v>1379</v>
      </c>
      <c r="AF861" s="62">
        <v>6.91</v>
      </c>
      <c r="AG861" s="62">
        <v>6.91</v>
      </c>
      <c r="BK861" s="62" t="s">
        <v>273</v>
      </c>
      <c r="BL861" s="62"/>
      <c r="BM861" s="62" t="s">
        <v>1302</v>
      </c>
      <c r="BN861"/>
    </row>
    <row r="862" spans="1:70" ht="15.75" customHeight="1">
      <c r="A862" s="62" t="s">
        <v>1380</v>
      </c>
      <c r="B862" s="62"/>
      <c r="C862" s="62" t="s">
        <v>10</v>
      </c>
      <c r="D862" s="62" t="s">
        <v>1272</v>
      </c>
      <c r="E862" s="62" t="s">
        <v>165</v>
      </c>
      <c r="G862" s="62" t="s">
        <v>500</v>
      </c>
      <c r="H862" s="62" t="s">
        <v>1363</v>
      </c>
      <c r="I862" s="62" t="s">
        <v>500</v>
      </c>
      <c r="J862" s="62" t="s">
        <v>1363</v>
      </c>
      <c r="M862" s="80" t="s">
        <v>1381</v>
      </c>
      <c r="BC862" s="62">
        <v>3.93</v>
      </c>
      <c r="BD862" s="62">
        <v>3.8</v>
      </c>
      <c r="BE862" s="63">
        <f>MAX(BC862:BD862)</f>
        <v>3.93</v>
      </c>
      <c r="BK862" s="62" t="s">
        <v>273</v>
      </c>
      <c r="BL862" s="62"/>
      <c r="BM862" s="62" t="s">
        <v>1302</v>
      </c>
      <c r="BN862"/>
    </row>
    <row r="863" spans="1:70" ht="15.75" customHeight="1">
      <c r="A863" s="62" t="s">
        <v>1380</v>
      </c>
      <c r="B863" s="62"/>
      <c r="C863" s="62" t="s">
        <v>10</v>
      </c>
      <c r="D863" s="62" t="s">
        <v>1272</v>
      </c>
      <c r="E863" s="62" t="s">
        <v>165</v>
      </c>
      <c r="G863" s="62" t="s">
        <v>500</v>
      </c>
      <c r="H863" s="62" t="s">
        <v>1363</v>
      </c>
      <c r="I863" s="62" t="s">
        <v>500</v>
      </c>
      <c r="J863" s="62" t="s">
        <v>1363</v>
      </c>
      <c r="M863" s="80" t="s">
        <v>1381</v>
      </c>
      <c r="BF863" s="62">
        <v>6.16</v>
      </c>
      <c r="BG863" s="62">
        <v>3.5</v>
      </c>
      <c r="BH863" s="62">
        <v>2.83</v>
      </c>
      <c r="BI863" s="63">
        <f>MAX(BG863:BH863)</f>
        <v>3.5</v>
      </c>
      <c r="BK863" s="62" t="s">
        <v>273</v>
      </c>
      <c r="BL863" s="62"/>
      <c r="BM863" s="62" t="s">
        <v>1302</v>
      </c>
      <c r="BN863"/>
    </row>
    <row r="864" spans="1:70" ht="15.75" customHeight="1">
      <c r="A864" s="62" t="s">
        <v>1382</v>
      </c>
      <c r="B864" s="62"/>
      <c r="C864" s="62" t="s">
        <v>10</v>
      </c>
      <c r="D864" s="62" t="s">
        <v>1272</v>
      </c>
      <c r="E864" s="62" t="s">
        <v>165</v>
      </c>
      <c r="G864" s="62" t="s">
        <v>500</v>
      </c>
      <c r="H864" s="62" t="s">
        <v>1363</v>
      </c>
      <c r="I864" s="62" t="s">
        <v>500</v>
      </c>
      <c r="J864" s="62" t="s">
        <v>1363</v>
      </c>
      <c r="M864" s="80" t="s">
        <v>1383</v>
      </c>
      <c r="AX864" s="62">
        <v>4.09</v>
      </c>
      <c r="AY864" s="62">
        <v>2.9</v>
      </c>
      <c r="AZ864" s="62">
        <v>2.95</v>
      </c>
      <c r="BA864" s="63">
        <f>MAX(AY864:AZ864)</f>
        <v>2.95</v>
      </c>
      <c r="BK864" s="62" t="s">
        <v>273</v>
      </c>
      <c r="BL864" s="62"/>
      <c r="BM864" s="62" t="s">
        <v>1302</v>
      </c>
      <c r="BN864"/>
    </row>
    <row r="865" spans="1:70" ht="15.75" customHeight="1">
      <c r="A865" s="62" t="s">
        <v>1382</v>
      </c>
      <c r="B865" s="62"/>
      <c r="C865" s="62" t="s">
        <v>10</v>
      </c>
      <c r="D865" s="62" t="s">
        <v>1272</v>
      </c>
      <c r="E865" s="62" t="s">
        <v>165</v>
      </c>
      <c r="G865" s="62" t="s">
        <v>500</v>
      </c>
      <c r="H865" s="62" t="s">
        <v>1363</v>
      </c>
      <c r="I865" s="62" t="s">
        <v>500</v>
      </c>
      <c r="J865" s="62" t="s">
        <v>1363</v>
      </c>
      <c r="M865" s="80" t="s">
        <v>1383</v>
      </c>
      <c r="BB865" s="62">
        <v>5</v>
      </c>
      <c r="BC865" s="62">
        <v>3.8</v>
      </c>
      <c r="BD865" s="62">
        <v>3.5</v>
      </c>
      <c r="BE865" s="63">
        <f>MAX(BC865:BD865)</f>
        <v>3.8</v>
      </c>
      <c r="BK865" s="62" t="s">
        <v>273</v>
      </c>
      <c r="BL865" s="62"/>
      <c r="BM865" s="62" t="s">
        <v>1302</v>
      </c>
      <c r="BN865"/>
    </row>
    <row r="866" spans="1:70" ht="15.75" customHeight="1">
      <c r="A866" s="62" t="s">
        <v>1384</v>
      </c>
      <c r="B866" s="62"/>
      <c r="C866" s="62" t="s">
        <v>10</v>
      </c>
      <c r="D866" s="62" t="s">
        <v>1272</v>
      </c>
      <c r="E866" s="62" t="s">
        <v>165</v>
      </c>
      <c r="F866" s="63"/>
      <c r="G866" s="62" t="s">
        <v>500</v>
      </c>
      <c r="H866" s="62" t="s">
        <v>1363</v>
      </c>
      <c r="I866" s="62" t="s">
        <v>500</v>
      </c>
      <c r="J866" s="62" t="s">
        <v>1363</v>
      </c>
      <c r="K866" s="63"/>
      <c r="L866" s="63"/>
      <c r="M866" s="80" t="s">
        <v>1317</v>
      </c>
      <c r="N866" s="63"/>
      <c r="O866" s="63"/>
      <c r="P866" s="63"/>
      <c r="Q866" s="63"/>
      <c r="R866" s="63"/>
      <c r="S866" s="63"/>
      <c r="T866" s="63"/>
      <c r="U866" s="63"/>
      <c r="V866" s="63"/>
      <c r="W866" s="63"/>
      <c r="X866" s="63"/>
      <c r="Y866" s="63"/>
      <c r="Z866" s="63"/>
      <c r="AA866" s="63"/>
      <c r="AB866" s="63"/>
      <c r="AC866" s="63"/>
      <c r="AD866" s="63"/>
      <c r="AE866" s="63"/>
      <c r="AF866" s="63"/>
      <c r="AG866" s="63"/>
      <c r="AH866" s="63"/>
      <c r="AI866" s="63"/>
      <c r="AJ866" s="63"/>
      <c r="AK866" s="63"/>
      <c r="AL866" s="62">
        <v>2.97</v>
      </c>
      <c r="AM866" s="62">
        <v>1.42</v>
      </c>
      <c r="AN866" s="63"/>
      <c r="AO866" s="62">
        <v>1.42</v>
      </c>
      <c r="AP866" s="63"/>
      <c r="AQ866" s="63"/>
      <c r="AR866" s="63"/>
      <c r="AS866" s="63"/>
      <c r="AT866" s="63"/>
      <c r="AU866" s="63"/>
      <c r="AV866" s="63"/>
      <c r="AW866" s="63"/>
      <c r="AX866" s="63"/>
      <c r="AY866" s="63"/>
      <c r="AZ866" s="63"/>
      <c r="BA866" s="63"/>
      <c r="BB866" s="63"/>
      <c r="BC866" s="63"/>
      <c r="BD866" s="63"/>
      <c r="BE866" s="63"/>
      <c r="BF866" s="63"/>
      <c r="BG866" s="63"/>
      <c r="BH866" s="63"/>
      <c r="BI866" s="63"/>
      <c r="BJ866" s="63"/>
      <c r="BK866" s="62" t="s">
        <v>273</v>
      </c>
      <c r="BL866" s="62"/>
      <c r="BM866" s="62" t="s">
        <v>1302</v>
      </c>
      <c r="BN866" s="62"/>
      <c r="BO866" s="62" t="s">
        <v>1385</v>
      </c>
      <c r="BP866" s="62" t="s">
        <v>1302</v>
      </c>
      <c r="BQ866" s="63"/>
      <c r="BR866" s="63"/>
    </row>
    <row r="867" spans="1:70" ht="15.75" customHeight="1">
      <c r="A867" s="62" t="s">
        <v>1384</v>
      </c>
      <c r="B867" s="62"/>
      <c r="C867" s="62" t="s">
        <v>10</v>
      </c>
      <c r="D867" s="62" t="s">
        <v>1272</v>
      </c>
      <c r="E867" s="62" t="s">
        <v>165</v>
      </c>
      <c r="F867" s="63"/>
      <c r="G867" s="62" t="s">
        <v>500</v>
      </c>
      <c r="H867" s="62" t="s">
        <v>1363</v>
      </c>
      <c r="I867" s="62" t="s">
        <v>500</v>
      </c>
      <c r="J867" s="62" t="s">
        <v>1363</v>
      </c>
      <c r="K867" s="63"/>
      <c r="L867" s="63"/>
      <c r="M867" s="80" t="s">
        <v>1317</v>
      </c>
      <c r="N867" s="63"/>
      <c r="O867" s="63"/>
      <c r="P867" s="63"/>
      <c r="Q867" s="63"/>
      <c r="R867" s="63"/>
      <c r="S867" s="63"/>
      <c r="T867" s="63"/>
      <c r="U867" s="63"/>
      <c r="V867" s="63"/>
      <c r="W867" s="63"/>
      <c r="X867" s="63"/>
      <c r="Y867" s="63"/>
      <c r="Z867" s="63"/>
      <c r="AA867" s="63"/>
      <c r="AB867" s="63"/>
      <c r="AC867" s="63"/>
      <c r="AD867" s="63"/>
      <c r="AE867" s="63"/>
      <c r="AF867" s="63"/>
      <c r="AG867" s="63"/>
      <c r="AH867" s="63"/>
      <c r="AI867" s="63"/>
      <c r="AJ867" s="63"/>
      <c r="AK867" s="63"/>
      <c r="AL867" s="63"/>
      <c r="AM867" s="63"/>
      <c r="AN867" s="63"/>
      <c r="AO867" s="63"/>
      <c r="AP867" s="62">
        <v>3.24</v>
      </c>
      <c r="AQ867" s="63"/>
      <c r="AR867" s="63"/>
      <c r="AS867" s="62">
        <v>1.76</v>
      </c>
      <c r="AT867" s="63"/>
      <c r="AU867" s="63"/>
      <c r="AV867" s="63"/>
      <c r="AW867" s="63"/>
      <c r="AX867" s="63"/>
      <c r="AY867" s="63"/>
      <c r="AZ867" s="63"/>
      <c r="BA867" s="63"/>
      <c r="BB867" s="63"/>
      <c r="BC867" s="63"/>
      <c r="BD867" s="63"/>
      <c r="BE867" s="63"/>
      <c r="BF867" s="63"/>
      <c r="BG867" s="63"/>
      <c r="BH867" s="63"/>
      <c r="BI867" s="63"/>
      <c r="BJ867" s="62" t="s">
        <v>1386</v>
      </c>
      <c r="BK867" s="62" t="s">
        <v>273</v>
      </c>
      <c r="BL867" s="62"/>
      <c r="BM867" s="62" t="s">
        <v>1302</v>
      </c>
      <c r="BN867" s="63"/>
      <c r="BO867" s="63"/>
      <c r="BP867" s="63"/>
      <c r="BQ867" s="63"/>
      <c r="BR867" s="63"/>
    </row>
    <row r="868" spans="1:70" ht="15.75" customHeight="1">
      <c r="A868" s="62" t="s">
        <v>1384</v>
      </c>
      <c r="B868" s="62"/>
      <c r="C868" s="62" t="s">
        <v>10</v>
      </c>
      <c r="D868" s="62" t="s">
        <v>1272</v>
      </c>
      <c r="E868" s="62" t="s">
        <v>165</v>
      </c>
      <c r="F868" s="63"/>
      <c r="G868" s="62" t="s">
        <v>500</v>
      </c>
      <c r="H868" s="62" t="s">
        <v>1363</v>
      </c>
      <c r="I868" s="62" t="s">
        <v>500</v>
      </c>
      <c r="J868" s="62" t="s">
        <v>1363</v>
      </c>
      <c r="K868" s="63"/>
      <c r="L868" s="63"/>
      <c r="M868" s="80" t="s">
        <v>1317</v>
      </c>
      <c r="N868" s="63"/>
      <c r="O868" s="63"/>
      <c r="P868" s="63"/>
      <c r="Q868" s="63"/>
      <c r="R868" s="63"/>
      <c r="S868" s="63"/>
      <c r="T868" s="63"/>
      <c r="U868" s="63"/>
      <c r="V868" s="63"/>
      <c r="W868" s="63"/>
      <c r="X868" s="63"/>
      <c r="Y868" s="63"/>
      <c r="Z868" s="63"/>
      <c r="AA868" s="63"/>
      <c r="AB868" s="63"/>
      <c r="AC868" s="63"/>
      <c r="AD868" s="63"/>
      <c r="AE868" s="63"/>
      <c r="AF868" s="63"/>
      <c r="AG868" s="63"/>
      <c r="AH868" s="63"/>
      <c r="AI868" s="63"/>
      <c r="AJ868" s="63"/>
      <c r="AK868" s="63"/>
      <c r="AL868" s="63"/>
      <c r="AM868" s="63"/>
      <c r="AN868" s="63"/>
      <c r="AO868" s="63"/>
      <c r="AP868" s="63"/>
      <c r="AQ868" s="63"/>
      <c r="AR868" s="63"/>
      <c r="AS868" s="63"/>
      <c r="AT868" s="63"/>
      <c r="AU868" s="63"/>
      <c r="AV868" s="63"/>
      <c r="AW868" s="63"/>
      <c r="AX868" s="62">
        <v>4.6399999999999997</v>
      </c>
      <c r="AY868" s="62">
        <v>3.17</v>
      </c>
      <c r="AZ868" s="62">
        <v>3.32</v>
      </c>
      <c r="BA868" s="63">
        <f>MAX(AY868:AZ868)</f>
        <v>3.32</v>
      </c>
      <c r="BB868" s="63"/>
      <c r="BC868" s="63"/>
      <c r="BD868" s="63"/>
      <c r="BE868" s="63"/>
      <c r="BF868" s="63"/>
      <c r="BG868" s="63"/>
      <c r="BH868" s="63"/>
      <c r="BI868" s="63"/>
      <c r="BJ868" s="63"/>
      <c r="BK868" s="62" t="s">
        <v>273</v>
      </c>
      <c r="BL868" s="62"/>
      <c r="BM868" s="62" t="s">
        <v>1302</v>
      </c>
      <c r="BN868" s="63"/>
      <c r="BO868" s="63"/>
      <c r="BP868" s="63"/>
      <c r="BQ868" s="63"/>
      <c r="BR868" s="63"/>
    </row>
    <row r="869" spans="1:70" ht="15.75" customHeight="1">
      <c r="A869" s="62" t="s">
        <v>1384</v>
      </c>
      <c r="B869" s="62"/>
      <c r="C869" s="62" t="s">
        <v>10</v>
      </c>
      <c r="D869" s="62" t="s">
        <v>1272</v>
      </c>
      <c r="E869" s="62" t="s">
        <v>165</v>
      </c>
      <c r="F869" s="63"/>
      <c r="G869" s="62" t="s">
        <v>500</v>
      </c>
      <c r="H869" s="62" t="s">
        <v>1363</v>
      </c>
      <c r="I869" s="62" t="s">
        <v>500</v>
      </c>
      <c r="J869" s="62" t="s">
        <v>1363</v>
      </c>
      <c r="K869" s="63"/>
      <c r="L869" s="63"/>
      <c r="M869" s="80" t="s">
        <v>1317</v>
      </c>
      <c r="N869" s="63"/>
      <c r="O869" s="63"/>
      <c r="P869" s="63"/>
      <c r="Q869" s="63"/>
      <c r="R869" s="63"/>
      <c r="S869" s="63"/>
      <c r="T869" s="63"/>
      <c r="U869" s="63"/>
      <c r="V869" s="63"/>
      <c r="W869" s="63"/>
      <c r="X869" s="63"/>
      <c r="Y869" s="63"/>
      <c r="Z869" s="63"/>
      <c r="AA869" s="63"/>
      <c r="AB869" s="63"/>
      <c r="AC869" s="63"/>
      <c r="AD869" s="63"/>
      <c r="AE869" s="63"/>
      <c r="AF869" s="63"/>
      <c r="AG869" s="63"/>
      <c r="AH869" s="63"/>
      <c r="AI869" s="63"/>
      <c r="AJ869" s="63"/>
      <c r="AK869" s="63"/>
      <c r="AL869" s="63"/>
      <c r="AM869" s="63"/>
      <c r="AN869" s="63"/>
      <c r="AO869" s="63"/>
      <c r="AP869" s="63"/>
      <c r="AQ869" s="63"/>
      <c r="AR869" s="63"/>
      <c r="AS869" s="63"/>
      <c r="AT869" s="63"/>
      <c r="AU869" s="63"/>
      <c r="AV869" s="63"/>
      <c r="AW869" s="63"/>
      <c r="AX869" s="63"/>
      <c r="AY869" s="63"/>
      <c r="AZ869" s="63"/>
      <c r="BA869" s="63"/>
      <c r="BB869" s="62">
        <v>4.96</v>
      </c>
      <c r="BC869" s="62">
        <v>3.9</v>
      </c>
      <c r="BD869" s="62">
        <v>3.65</v>
      </c>
      <c r="BE869" s="63">
        <f>MAX(BC869:BD869)</f>
        <v>3.9</v>
      </c>
      <c r="BF869" s="63"/>
      <c r="BG869" s="63"/>
      <c r="BH869" s="63"/>
      <c r="BI869" s="63"/>
      <c r="BJ869" s="63"/>
      <c r="BK869" s="62" t="s">
        <v>273</v>
      </c>
      <c r="BL869" s="62"/>
      <c r="BM869" s="62" t="s">
        <v>1302</v>
      </c>
      <c r="BN869" s="63"/>
      <c r="BO869" s="63"/>
      <c r="BP869" s="63"/>
      <c r="BQ869" s="63"/>
      <c r="BR869" s="63"/>
    </row>
    <row r="870" spans="1:70" ht="15.75" customHeight="1">
      <c r="A870" s="62" t="s">
        <v>1387</v>
      </c>
      <c r="B870" s="62"/>
      <c r="C870" s="62" t="s">
        <v>10</v>
      </c>
      <c r="D870" s="62" t="s">
        <v>1272</v>
      </c>
      <c r="E870" s="62" t="s">
        <v>165</v>
      </c>
      <c r="G870" s="62" t="s">
        <v>500</v>
      </c>
      <c r="H870" s="62" t="s">
        <v>1363</v>
      </c>
      <c r="I870" s="62" t="s">
        <v>500</v>
      </c>
      <c r="J870" s="62" t="s">
        <v>1363</v>
      </c>
      <c r="M870" s="80" t="s">
        <v>1388</v>
      </c>
      <c r="AT870" s="62">
        <v>4.38</v>
      </c>
      <c r="AW870" s="62">
        <v>2.6</v>
      </c>
      <c r="BK870" s="62" t="s">
        <v>273</v>
      </c>
      <c r="BL870" s="62"/>
      <c r="BM870" s="62" t="s">
        <v>1302</v>
      </c>
      <c r="BN870"/>
    </row>
    <row r="871" spans="1:70" ht="15.75" customHeight="1">
      <c r="A871" s="62" t="s">
        <v>1387</v>
      </c>
      <c r="B871" s="62"/>
      <c r="C871" s="62" t="s">
        <v>10</v>
      </c>
      <c r="D871" s="62" t="s">
        <v>1272</v>
      </c>
      <c r="E871" s="62" t="s">
        <v>165</v>
      </c>
      <c r="G871" s="62" t="s">
        <v>500</v>
      </c>
      <c r="H871" s="62" t="s">
        <v>1363</v>
      </c>
      <c r="I871" s="62" t="s">
        <v>500</v>
      </c>
      <c r="J871" s="62" t="s">
        <v>1363</v>
      </c>
      <c r="M871" s="80" t="s">
        <v>1388</v>
      </c>
      <c r="AX871" s="62">
        <v>4.43</v>
      </c>
      <c r="AY871" s="62">
        <v>3.08</v>
      </c>
      <c r="AZ871" s="62">
        <v>3.06</v>
      </c>
      <c r="BA871" s="63">
        <f>MAX(AY871:AZ871)</f>
        <v>3.08</v>
      </c>
      <c r="BK871" s="62" t="s">
        <v>273</v>
      </c>
      <c r="BL871" s="62"/>
      <c r="BM871" s="62" t="s">
        <v>1302</v>
      </c>
      <c r="BN871"/>
    </row>
    <row r="872" spans="1:70" ht="15.75" customHeight="1">
      <c r="A872" s="62" t="s">
        <v>1387</v>
      </c>
      <c r="B872" s="62"/>
      <c r="C872" s="62" t="s">
        <v>10</v>
      </c>
      <c r="D872" s="62" t="s">
        <v>1272</v>
      </c>
      <c r="E872" s="62" t="s">
        <v>165</v>
      </c>
      <c r="G872" s="62" t="s">
        <v>500</v>
      </c>
      <c r="H872" s="62" t="s">
        <v>1363</v>
      </c>
      <c r="I872" s="62" t="s">
        <v>500</v>
      </c>
      <c r="J872" s="62" t="s">
        <v>1363</v>
      </c>
      <c r="M872" s="80" t="s">
        <v>1388</v>
      </c>
      <c r="BB872" s="62">
        <v>4.62</v>
      </c>
      <c r="BC872" s="62">
        <v>3.8</v>
      </c>
      <c r="BD872" s="62">
        <v>3.43</v>
      </c>
      <c r="BE872" s="63">
        <f>MAX(BC872:BD872)</f>
        <v>3.8</v>
      </c>
      <c r="BK872" s="62" t="s">
        <v>273</v>
      </c>
      <c r="BL872" s="62"/>
      <c r="BM872" s="62" t="s">
        <v>1302</v>
      </c>
      <c r="BN872"/>
    </row>
    <row r="873" spans="1:70" ht="15.75" customHeight="1">
      <c r="A873" s="62" t="s">
        <v>1387</v>
      </c>
      <c r="B873" s="62"/>
      <c r="C873" s="62" t="s">
        <v>10</v>
      </c>
      <c r="D873" s="62" t="s">
        <v>1272</v>
      </c>
      <c r="E873" s="62" t="s">
        <v>165</v>
      </c>
      <c r="F873" s="63"/>
      <c r="G873" s="62" t="s">
        <v>500</v>
      </c>
      <c r="H873" s="62" t="s">
        <v>1363</v>
      </c>
      <c r="I873" s="62" t="s">
        <v>500</v>
      </c>
      <c r="J873" s="62" t="s">
        <v>1363</v>
      </c>
      <c r="K873" s="63"/>
      <c r="L873" s="63"/>
      <c r="M873" s="80" t="s">
        <v>1388</v>
      </c>
      <c r="N873" s="63"/>
      <c r="O873" s="63"/>
      <c r="P873" s="63"/>
      <c r="Q873" s="63"/>
      <c r="R873" s="63"/>
      <c r="S873" s="63"/>
      <c r="T873" s="63"/>
      <c r="U873" s="63"/>
      <c r="V873" s="63"/>
      <c r="W873" s="63"/>
      <c r="X873" s="63"/>
      <c r="Y873" s="63"/>
      <c r="Z873" s="63"/>
      <c r="AA873" s="63"/>
      <c r="AB873" s="63"/>
      <c r="AC873" s="63"/>
      <c r="AD873" s="63"/>
      <c r="AE873" s="63"/>
      <c r="AF873" s="63"/>
      <c r="AG873" s="63"/>
      <c r="AH873" s="63"/>
      <c r="AI873" s="63"/>
      <c r="AJ873" s="63"/>
      <c r="AK873" s="63"/>
      <c r="AL873" s="63"/>
      <c r="AM873" s="63"/>
      <c r="AN873" s="63"/>
      <c r="AO873" s="63"/>
      <c r="AP873" s="63"/>
      <c r="AQ873" s="63"/>
      <c r="AR873" s="63"/>
      <c r="AS873" s="63"/>
      <c r="AT873" s="63"/>
      <c r="AU873" s="63"/>
      <c r="AV873" s="63"/>
      <c r="AW873" s="63"/>
      <c r="AX873" s="63"/>
      <c r="AY873" s="63"/>
      <c r="AZ873" s="63"/>
      <c r="BA873" s="63"/>
      <c r="BB873" s="63"/>
      <c r="BC873" s="63"/>
      <c r="BD873" s="63"/>
      <c r="BE873" s="63"/>
      <c r="BF873" s="62">
        <v>5.82</v>
      </c>
      <c r="BG873" s="62">
        <v>3.6</v>
      </c>
      <c r="BH873" s="62">
        <v>2.88</v>
      </c>
      <c r="BI873" s="63">
        <f>MAX(BG873:BH873)</f>
        <v>3.6</v>
      </c>
      <c r="BJ873" s="63"/>
      <c r="BK873" s="62" t="s">
        <v>273</v>
      </c>
      <c r="BL873" s="62"/>
      <c r="BM873" s="62" t="s">
        <v>1302</v>
      </c>
      <c r="BN873" s="63"/>
      <c r="BO873" s="63"/>
      <c r="BP873" s="63"/>
      <c r="BQ873" s="63"/>
      <c r="BR873" s="63"/>
    </row>
    <row r="874" spans="1:70" ht="15.75" customHeight="1">
      <c r="A874" s="62" t="s">
        <v>1389</v>
      </c>
      <c r="B874" s="62"/>
      <c r="C874" s="62" t="s">
        <v>10</v>
      </c>
      <c r="D874" s="62" t="s">
        <v>1272</v>
      </c>
      <c r="E874" s="62" t="s">
        <v>165</v>
      </c>
      <c r="F874" s="63"/>
      <c r="G874" s="62" t="s">
        <v>500</v>
      </c>
      <c r="H874" s="62" t="s">
        <v>312</v>
      </c>
      <c r="I874" s="62" t="s">
        <v>500</v>
      </c>
      <c r="J874" s="62" t="s">
        <v>1390</v>
      </c>
      <c r="K874" s="63"/>
      <c r="L874" s="63"/>
      <c r="M874" s="80" t="s">
        <v>1391</v>
      </c>
      <c r="N874" s="63"/>
      <c r="O874" s="63"/>
      <c r="P874" s="63"/>
      <c r="Q874" s="63"/>
      <c r="R874" s="63"/>
      <c r="S874" s="63"/>
      <c r="T874" s="63"/>
      <c r="U874" s="63"/>
      <c r="V874" s="63"/>
      <c r="W874" s="63"/>
      <c r="X874" s="63"/>
      <c r="Y874" s="63"/>
      <c r="Z874" s="63"/>
      <c r="AA874" s="63"/>
      <c r="AB874" s="63"/>
      <c r="AC874" s="63"/>
      <c r="AD874" s="63"/>
      <c r="AE874" s="63"/>
      <c r="AF874" s="63"/>
      <c r="AG874" s="63"/>
      <c r="AH874" s="63"/>
      <c r="AI874" s="63"/>
      <c r="AJ874" s="63"/>
      <c r="AK874" s="63"/>
      <c r="AL874" s="63"/>
      <c r="AM874" s="63"/>
      <c r="AN874" s="63"/>
      <c r="AO874" s="63"/>
      <c r="AP874" s="63"/>
      <c r="AQ874" s="63"/>
      <c r="AR874" s="63"/>
      <c r="AS874" s="63"/>
      <c r="AT874" s="63"/>
      <c r="AU874" s="63"/>
      <c r="AV874" s="63"/>
      <c r="AW874" s="63"/>
      <c r="AX874" s="62">
        <v>4</v>
      </c>
      <c r="AY874" s="62">
        <v>2.65</v>
      </c>
      <c r="AZ874" s="62">
        <v>2.7</v>
      </c>
      <c r="BA874" s="63">
        <f>MAX(AY874:AZ874)</f>
        <v>2.7</v>
      </c>
      <c r="BB874" s="62">
        <v>4.4000000000000004</v>
      </c>
      <c r="BC874" s="62">
        <v>3.3</v>
      </c>
      <c r="BD874" s="62">
        <v>3.05</v>
      </c>
      <c r="BE874" s="63">
        <f>MAX(BC874:BD874)</f>
        <v>3.3</v>
      </c>
      <c r="BF874" s="62">
        <v>4.9000000000000004</v>
      </c>
      <c r="BG874" s="62">
        <v>3.1</v>
      </c>
      <c r="BH874" s="62">
        <v>2.4</v>
      </c>
      <c r="BI874" s="63">
        <f>MAX(BG874:BH874)</f>
        <v>3.1</v>
      </c>
      <c r="BJ874" s="62" t="s">
        <v>1392</v>
      </c>
      <c r="BK874" s="62" t="s">
        <v>273</v>
      </c>
      <c r="BL874" s="62"/>
      <c r="BM874" s="62" t="s">
        <v>1302</v>
      </c>
      <c r="BN874" s="63"/>
      <c r="BO874" s="63"/>
      <c r="BP874" s="63"/>
      <c r="BQ874" s="63"/>
      <c r="BR874" s="63"/>
    </row>
    <row r="875" spans="1:70" ht="15.75" customHeight="1">
      <c r="A875" s="62" t="s">
        <v>219</v>
      </c>
      <c r="B875" s="62"/>
      <c r="C875" s="62" t="s">
        <v>10</v>
      </c>
      <c r="D875" s="62" t="s">
        <v>1272</v>
      </c>
      <c r="E875" s="62" t="s">
        <v>165</v>
      </c>
      <c r="F875" s="63"/>
      <c r="G875" s="71" t="s">
        <v>490</v>
      </c>
      <c r="H875" s="62" t="s">
        <v>491</v>
      </c>
      <c r="I875" s="62" t="s">
        <v>220</v>
      </c>
      <c r="J875" s="62" t="s">
        <v>223</v>
      </c>
      <c r="K875" s="63"/>
      <c r="L875" s="63"/>
      <c r="M875" s="80" t="s">
        <v>1334</v>
      </c>
      <c r="N875" s="63"/>
      <c r="O875" s="63"/>
      <c r="P875" s="63"/>
      <c r="Q875" s="63"/>
      <c r="R875" s="63"/>
      <c r="S875" s="63"/>
      <c r="T875" s="63"/>
      <c r="U875" s="63"/>
      <c r="V875" s="63"/>
      <c r="W875" s="63"/>
      <c r="X875" s="63"/>
      <c r="Y875" s="63"/>
      <c r="Z875" s="63"/>
      <c r="AA875" s="63"/>
      <c r="AB875" s="63"/>
      <c r="AC875" s="63"/>
      <c r="AD875" s="63"/>
      <c r="AE875" s="63"/>
      <c r="AF875" s="63"/>
      <c r="AG875" s="63"/>
      <c r="AH875" s="63"/>
      <c r="AI875" s="63"/>
      <c r="AJ875" s="63"/>
      <c r="AK875" s="63"/>
      <c r="AL875" s="63"/>
      <c r="AM875" s="63"/>
      <c r="AN875" s="63"/>
      <c r="AO875" s="63"/>
      <c r="AP875" s="63"/>
      <c r="AQ875" s="63"/>
      <c r="AR875" s="63"/>
      <c r="AS875" s="63"/>
      <c r="AT875" s="63"/>
      <c r="AU875" s="63"/>
      <c r="AV875" s="63"/>
      <c r="AW875" s="63"/>
      <c r="AX875" s="63"/>
      <c r="AY875" s="63"/>
      <c r="AZ875" s="62">
        <v>3.65</v>
      </c>
      <c r="BA875" s="63">
        <f>MAX(AY875:AZ875)</f>
        <v>3.65</v>
      </c>
      <c r="BB875" s="62">
        <v>5.8</v>
      </c>
      <c r="BC875" s="62">
        <v>5.1100000000000003</v>
      </c>
      <c r="BD875" s="62">
        <v>4.46</v>
      </c>
      <c r="BE875" s="63">
        <f>MAX(BC875:BD875)</f>
        <v>5.1100000000000003</v>
      </c>
      <c r="BF875" s="62">
        <v>6.27</v>
      </c>
      <c r="BG875" s="62">
        <v>4.2</v>
      </c>
      <c r="BH875" s="62">
        <v>3.4</v>
      </c>
      <c r="BI875" s="63">
        <f>MAX(BG875:BH875)</f>
        <v>4.2</v>
      </c>
      <c r="BJ875" s="63"/>
      <c r="BK875" s="62" t="s">
        <v>273</v>
      </c>
      <c r="BL875" s="62"/>
      <c r="BM875" s="62" t="s">
        <v>1302</v>
      </c>
      <c r="BN875" s="63"/>
      <c r="BO875" s="63"/>
      <c r="BP875" s="63"/>
      <c r="BQ875" s="63"/>
      <c r="BR875" s="63"/>
    </row>
    <row r="876" spans="1:70" ht="15.75" customHeight="1">
      <c r="A876" s="62" t="s">
        <v>1300</v>
      </c>
      <c r="B876" s="62"/>
      <c r="C876" s="62" t="s">
        <v>10</v>
      </c>
      <c r="D876" s="62" t="s">
        <v>1272</v>
      </c>
      <c r="E876" s="62" t="s">
        <v>165</v>
      </c>
      <c r="F876" s="63"/>
      <c r="G876" s="71" t="s">
        <v>490</v>
      </c>
      <c r="H876" s="62" t="s">
        <v>491</v>
      </c>
      <c r="I876" s="62" t="s">
        <v>220</v>
      </c>
      <c r="J876" s="62" t="s">
        <v>223</v>
      </c>
      <c r="K876" s="63"/>
      <c r="L876" s="63"/>
      <c r="M876" s="80" t="s">
        <v>1309</v>
      </c>
      <c r="N876" s="63"/>
      <c r="O876" s="63"/>
      <c r="P876" s="63"/>
      <c r="Q876" s="63"/>
      <c r="R876" s="63"/>
      <c r="S876" s="63"/>
      <c r="T876" s="63"/>
      <c r="U876" s="63"/>
      <c r="V876" s="63"/>
      <c r="W876" s="63"/>
      <c r="X876" s="63"/>
      <c r="Y876" s="63"/>
      <c r="Z876" s="63"/>
      <c r="AA876" s="63"/>
      <c r="AB876" s="63"/>
      <c r="AC876" s="63"/>
      <c r="AD876" s="63"/>
      <c r="AE876" s="63"/>
      <c r="AF876" s="63"/>
      <c r="AG876" s="63"/>
      <c r="AH876" s="63"/>
      <c r="AI876" s="63"/>
      <c r="AJ876" s="63"/>
      <c r="AK876" s="63"/>
      <c r="AL876" s="63"/>
      <c r="AM876" s="63"/>
      <c r="AN876" s="63"/>
      <c r="AO876" s="63"/>
      <c r="AP876" s="63"/>
      <c r="AQ876" s="63"/>
      <c r="AR876" s="63"/>
      <c r="AS876" s="63"/>
      <c r="AT876" s="62">
        <v>4.74</v>
      </c>
      <c r="AU876" s="63"/>
      <c r="AV876" s="63"/>
      <c r="AW876" s="62">
        <v>3.07</v>
      </c>
      <c r="AX876" s="62">
        <v>4.97</v>
      </c>
      <c r="AY876" s="62">
        <v>3.83</v>
      </c>
      <c r="AZ876" s="62">
        <v>3.85</v>
      </c>
      <c r="BA876" s="63">
        <f>MAX(AY876:AZ876)</f>
        <v>3.85</v>
      </c>
      <c r="BB876" s="62">
        <v>5.66</v>
      </c>
      <c r="BC876" s="62">
        <v>5</v>
      </c>
      <c r="BD876" s="62">
        <v>4.34</v>
      </c>
      <c r="BE876" s="63">
        <f>MAX(BC876:BD876)</f>
        <v>5</v>
      </c>
      <c r="BF876" s="62">
        <v>6.4</v>
      </c>
      <c r="BG876" s="62">
        <v>4.45</v>
      </c>
      <c r="BH876" s="62">
        <v>3.52</v>
      </c>
      <c r="BI876" s="63">
        <f>MAX(BG876:BH876)</f>
        <v>4.45</v>
      </c>
      <c r="BJ876" s="63"/>
      <c r="BK876" s="62" t="s">
        <v>273</v>
      </c>
      <c r="BL876" s="62"/>
      <c r="BM876" s="62" t="s">
        <v>1302</v>
      </c>
      <c r="BN876" s="63"/>
      <c r="BO876" s="63"/>
      <c r="BP876" s="63"/>
      <c r="BQ876" s="63"/>
      <c r="BR876" s="63"/>
    </row>
    <row r="877" spans="1:70" ht="15.75" customHeight="1">
      <c r="A877" s="62" t="s">
        <v>1300</v>
      </c>
      <c r="B877" s="62"/>
      <c r="C877" s="62" t="s">
        <v>10</v>
      </c>
      <c r="D877" s="62" t="s">
        <v>1272</v>
      </c>
      <c r="E877" s="62" t="s">
        <v>165</v>
      </c>
      <c r="F877" s="63"/>
      <c r="G877" s="71" t="s">
        <v>490</v>
      </c>
      <c r="H877" s="62" t="s">
        <v>491</v>
      </c>
      <c r="I877" s="62" t="s">
        <v>220</v>
      </c>
      <c r="J877" s="62" t="s">
        <v>223</v>
      </c>
      <c r="K877" s="63"/>
      <c r="L877" s="63"/>
      <c r="M877" s="80" t="s">
        <v>1334</v>
      </c>
      <c r="N877" s="63"/>
      <c r="O877" s="63"/>
      <c r="P877" s="63"/>
      <c r="Q877" s="63"/>
      <c r="R877" s="63"/>
      <c r="S877" s="63"/>
      <c r="T877" s="63"/>
      <c r="U877" s="63"/>
      <c r="V877" s="63"/>
      <c r="W877" s="63"/>
      <c r="X877" s="63"/>
      <c r="Y877" s="63"/>
      <c r="Z877" s="63"/>
      <c r="AA877" s="63"/>
      <c r="AB877" s="63"/>
      <c r="AC877" s="63"/>
      <c r="AD877" s="63"/>
      <c r="AE877" s="63"/>
      <c r="AF877" s="63"/>
      <c r="AG877" s="63"/>
      <c r="AH877" s="63"/>
      <c r="AI877" s="63"/>
      <c r="AJ877" s="63"/>
      <c r="AK877" s="63"/>
      <c r="AL877" s="63"/>
      <c r="AM877" s="63"/>
      <c r="AN877" s="63"/>
      <c r="AO877" s="63"/>
      <c r="AP877" s="63"/>
      <c r="AQ877" s="63"/>
      <c r="AR877" s="63"/>
      <c r="AS877" s="63"/>
      <c r="AT877" s="62">
        <v>4.22</v>
      </c>
      <c r="AU877" s="63"/>
      <c r="AV877" s="63"/>
      <c r="AW877" s="62">
        <v>3.2</v>
      </c>
      <c r="AX877" s="62">
        <v>4.9400000000000004</v>
      </c>
      <c r="AY877" s="62">
        <v>3.94</v>
      </c>
      <c r="AZ877" s="62">
        <v>3.83</v>
      </c>
      <c r="BA877" s="63">
        <f>MAX(AY877:AZ877)</f>
        <v>3.94</v>
      </c>
      <c r="BB877" s="62">
        <v>5.84</v>
      </c>
      <c r="BC877" s="62">
        <v>5.16</v>
      </c>
      <c r="BD877" s="62">
        <v>4.6100000000000003</v>
      </c>
      <c r="BE877" s="63">
        <f>MAX(BC877:BD877)</f>
        <v>5.16</v>
      </c>
      <c r="BF877" s="62">
        <v>6.3</v>
      </c>
      <c r="BG877" s="62">
        <v>4.32</v>
      </c>
      <c r="BH877" s="62">
        <v>3.5</v>
      </c>
      <c r="BI877" s="63">
        <f>MAX(BG877:BH877)</f>
        <v>4.32</v>
      </c>
      <c r="BJ877" s="63"/>
      <c r="BK877" s="62" t="s">
        <v>273</v>
      </c>
      <c r="BL877" s="62"/>
      <c r="BM877" s="62" t="s">
        <v>1302</v>
      </c>
      <c r="BN877" s="63"/>
      <c r="BO877" s="63"/>
      <c r="BP877" s="63"/>
      <c r="BQ877" s="63"/>
      <c r="BR877" s="63"/>
    </row>
    <row r="878" spans="1:70" ht="15.75" customHeight="1">
      <c r="A878" s="62" t="s">
        <v>1300</v>
      </c>
      <c r="B878" s="62"/>
      <c r="C878" s="62" t="s">
        <v>10</v>
      </c>
      <c r="D878" s="62" t="s">
        <v>1272</v>
      </c>
      <c r="E878" s="62" t="s">
        <v>165</v>
      </c>
      <c r="F878" s="63"/>
      <c r="G878" s="71" t="s">
        <v>490</v>
      </c>
      <c r="H878" s="62" t="s">
        <v>491</v>
      </c>
      <c r="I878" s="62" t="s">
        <v>220</v>
      </c>
      <c r="J878" s="62" t="s">
        <v>223</v>
      </c>
      <c r="K878" s="63"/>
      <c r="L878" s="63"/>
      <c r="M878" s="80" t="s">
        <v>1301</v>
      </c>
      <c r="N878" s="63"/>
      <c r="O878" s="63"/>
      <c r="P878" s="63"/>
      <c r="Q878" s="63"/>
      <c r="R878" s="63"/>
      <c r="S878" s="63"/>
      <c r="T878" s="63"/>
      <c r="U878" s="63"/>
      <c r="V878" s="63"/>
      <c r="W878" s="63"/>
      <c r="X878" s="63"/>
      <c r="Y878" s="63"/>
      <c r="Z878" s="63"/>
      <c r="AA878" s="63"/>
      <c r="AB878" s="63"/>
      <c r="AC878" s="63"/>
      <c r="AD878" s="63"/>
      <c r="AE878" s="63"/>
      <c r="AF878" s="63"/>
      <c r="AG878" s="63"/>
      <c r="AH878" s="63"/>
      <c r="AI878" s="63"/>
      <c r="AJ878" s="63"/>
      <c r="AK878" s="63"/>
      <c r="AL878" s="63"/>
      <c r="AM878" s="63"/>
      <c r="AN878" s="63"/>
      <c r="AO878" s="63"/>
      <c r="AP878" s="63"/>
      <c r="AQ878" s="63"/>
      <c r="AR878" s="63"/>
      <c r="AS878" s="63"/>
      <c r="AT878" s="62">
        <v>4.5999999999999996</v>
      </c>
      <c r="AU878" s="63"/>
      <c r="AV878" s="63"/>
      <c r="AW878" s="62">
        <v>2.81</v>
      </c>
      <c r="AX878" s="62">
        <v>5.18</v>
      </c>
      <c r="AY878" s="62">
        <v>3.86</v>
      </c>
      <c r="AZ878" s="62">
        <v>4.0599999999999996</v>
      </c>
      <c r="BA878" s="63">
        <f>MAX(AY878:AZ878)</f>
        <v>4.0599999999999996</v>
      </c>
      <c r="BB878" s="62">
        <v>5.5</v>
      </c>
      <c r="BC878" s="62">
        <v>5.09</v>
      </c>
      <c r="BD878" s="62">
        <v>4.96</v>
      </c>
      <c r="BE878" s="63">
        <f>MAX(BC878:BD878)</f>
        <v>5.09</v>
      </c>
      <c r="BF878" s="62">
        <v>6.52</v>
      </c>
      <c r="BG878" s="62">
        <v>4.55</v>
      </c>
      <c r="BH878" s="62">
        <v>3.61</v>
      </c>
      <c r="BI878" s="63">
        <f>MAX(BG878:BH878)</f>
        <v>4.55</v>
      </c>
      <c r="BJ878" s="63"/>
      <c r="BK878" s="62" t="s">
        <v>273</v>
      </c>
      <c r="BL878" s="62"/>
      <c r="BM878" s="62" t="s">
        <v>1302</v>
      </c>
      <c r="BN878" s="63"/>
      <c r="BO878" s="63"/>
      <c r="BP878" s="63"/>
      <c r="BQ878" s="63"/>
      <c r="BR878" s="63"/>
    </row>
    <row r="879" spans="1:70" ht="15.75" customHeight="1">
      <c r="A879" s="62" t="s">
        <v>1300</v>
      </c>
      <c r="B879" s="62"/>
      <c r="C879" s="62" t="s">
        <v>10</v>
      </c>
      <c r="D879" s="62" t="s">
        <v>1272</v>
      </c>
      <c r="E879" s="62" t="s">
        <v>165</v>
      </c>
      <c r="G879" s="71" t="s">
        <v>490</v>
      </c>
      <c r="H879" s="62" t="s">
        <v>491</v>
      </c>
      <c r="I879" s="62" t="s">
        <v>220</v>
      </c>
      <c r="J879" s="62" t="s">
        <v>223</v>
      </c>
      <c r="M879" s="80" t="s">
        <v>1309</v>
      </c>
      <c r="Z879" s="62">
        <v>5.17</v>
      </c>
      <c r="AA879" s="62">
        <v>6.58</v>
      </c>
      <c r="AB879" s="62">
        <v>6.9</v>
      </c>
      <c r="AC879" s="63">
        <f>MAX(AA879:AB879)</f>
        <v>6.9</v>
      </c>
      <c r="AD879" s="62">
        <v>5.81</v>
      </c>
      <c r="AE879" s="62">
        <v>7.7</v>
      </c>
      <c r="AF879" s="62">
        <v>7.98</v>
      </c>
      <c r="AG879" s="63">
        <f>MAX(AE879:AF879)</f>
        <v>7.98</v>
      </c>
      <c r="AH879" s="62">
        <v>5.27</v>
      </c>
      <c r="AI879" s="62">
        <v>6.66</v>
      </c>
      <c r="AJ879" s="62">
        <v>5.99</v>
      </c>
      <c r="AK879" s="63">
        <f>MAX(AI879:AJ879)</f>
        <v>6.66</v>
      </c>
      <c r="BK879" s="62" t="s">
        <v>273</v>
      </c>
      <c r="BL879" s="62"/>
      <c r="BM879" s="62" t="s">
        <v>1302</v>
      </c>
      <c r="BN879"/>
    </row>
    <row r="880" spans="1:70" ht="15.75" customHeight="1">
      <c r="A880" s="62" t="s">
        <v>1300</v>
      </c>
      <c r="B880" s="62"/>
      <c r="C880" s="62" t="s">
        <v>10</v>
      </c>
      <c r="D880" s="62" t="s">
        <v>1272</v>
      </c>
      <c r="E880" s="62" t="s">
        <v>165</v>
      </c>
      <c r="F880" s="63"/>
      <c r="G880" s="71" t="s">
        <v>490</v>
      </c>
      <c r="H880" s="62" t="s">
        <v>491</v>
      </c>
      <c r="I880" s="62" t="s">
        <v>220</v>
      </c>
      <c r="J880" s="62" t="s">
        <v>223</v>
      </c>
      <c r="K880" s="63"/>
      <c r="L880" s="63"/>
      <c r="M880" s="80" t="s">
        <v>1301</v>
      </c>
      <c r="N880" s="63"/>
      <c r="O880" s="63"/>
      <c r="P880" s="63"/>
      <c r="Q880" s="63"/>
      <c r="R880" s="63"/>
      <c r="S880" s="63"/>
      <c r="T880" s="63"/>
      <c r="U880" s="63"/>
      <c r="V880" s="63"/>
      <c r="W880" s="63"/>
      <c r="X880" s="63"/>
      <c r="Y880" s="63"/>
      <c r="Z880" s="62">
        <v>5.09</v>
      </c>
      <c r="AA880" s="62">
        <v>6.03</v>
      </c>
      <c r="AB880" s="62">
        <v>6.38</v>
      </c>
      <c r="AC880" s="63">
        <f>MAX(AA880:AB880)</f>
        <v>6.38</v>
      </c>
      <c r="AD880" s="62">
        <v>5.87</v>
      </c>
      <c r="AE880" s="62">
        <v>7.66</v>
      </c>
      <c r="AF880" s="62">
        <v>8.1300000000000008</v>
      </c>
      <c r="AG880" s="63">
        <f>MAX(AE880:AF880)</f>
        <v>8.1300000000000008</v>
      </c>
      <c r="AH880" s="62">
        <v>4.99</v>
      </c>
      <c r="AI880" s="62">
        <v>5.87</v>
      </c>
      <c r="AJ880" s="62">
        <v>5.38</v>
      </c>
      <c r="AK880" s="63">
        <f>MAX(AI880:AJ880)</f>
        <v>5.87</v>
      </c>
      <c r="AL880" s="63"/>
      <c r="AM880" s="63"/>
      <c r="AN880" s="63"/>
      <c r="AO880" s="63"/>
      <c r="AP880" s="63"/>
      <c r="AQ880" s="63"/>
      <c r="AR880" s="63"/>
      <c r="AS880" s="63"/>
      <c r="AT880" s="63"/>
      <c r="AU880" s="63"/>
      <c r="AV880" s="63"/>
      <c r="AW880" s="63"/>
      <c r="AX880" s="63"/>
      <c r="AY880" s="63"/>
      <c r="AZ880" s="63"/>
      <c r="BA880" s="63"/>
      <c r="BB880" s="63"/>
      <c r="BC880" s="63"/>
      <c r="BD880" s="63"/>
      <c r="BE880" s="63"/>
      <c r="BF880" s="63"/>
      <c r="BG880" s="63"/>
      <c r="BH880" s="63"/>
      <c r="BI880" s="63"/>
      <c r="BJ880" s="63"/>
      <c r="BK880" s="62" t="s">
        <v>273</v>
      </c>
      <c r="BL880" s="62"/>
      <c r="BM880" s="62" t="s">
        <v>1302</v>
      </c>
      <c r="BN880" s="63"/>
      <c r="BO880" s="63"/>
      <c r="BP880" s="63"/>
      <c r="BQ880" s="63"/>
      <c r="BR880" s="63"/>
    </row>
    <row r="881" spans="1:70" ht="15.75" customHeight="1">
      <c r="A881" s="62" t="s">
        <v>1393</v>
      </c>
      <c r="B881" s="62"/>
      <c r="C881" s="62" t="s">
        <v>10</v>
      </c>
      <c r="D881" s="62" t="s">
        <v>1272</v>
      </c>
      <c r="E881" s="62" t="s">
        <v>165</v>
      </c>
      <c r="G881" s="71" t="s">
        <v>490</v>
      </c>
      <c r="H881" s="62" t="s">
        <v>491</v>
      </c>
      <c r="I881" s="62" t="s">
        <v>220</v>
      </c>
      <c r="J881" s="62" t="s">
        <v>223</v>
      </c>
      <c r="M881" s="80" t="s">
        <v>1394</v>
      </c>
      <c r="AX881" s="62">
        <v>5.0199999999999996</v>
      </c>
      <c r="AY881" s="62">
        <v>3.8</v>
      </c>
      <c r="AZ881" s="62">
        <v>3.88</v>
      </c>
      <c r="BA881" s="63">
        <f>MAX(AY881:AZ881)</f>
        <v>3.88</v>
      </c>
      <c r="BB881" s="62">
        <v>5.78</v>
      </c>
      <c r="BC881" s="62">
        <v>4.9400000000000004</v>
      </c>
      <c r="BD881" s="62">
        <v>4.34</v>
      </c>
      <c r="BE881" s="63">
        <f>MAX(BC881:BD881)</f>
        <v>4.9400000000000004</v>
      </c>
      <c r="BK881" s="62" t="s">
        <v>273</v>
      </c>
      <c r="BL881" s="62"/>
      <c r="BM881" s="62" t="s">
        <v>1302</v>
      </c>
      <c r="BN881"/>
    </row>
    <row r="882" spans="1:70" ht="15.75" customHeight="1">
      <c r="A882" s="62" t="s">
        <v>1395</v>
      </c>
      <c r="B882" s="62"/>
      <c r="C882" s="62" t="s">
        <v>10</v>
      </c>
      <c r="D882" s="62" t="s">
        <v>1272</v>
      </c>
      <c r="E882" s="62" t="s">
        <v>165</v>
      </c>
      <c r="G882" s="71" t="s">
        <v>490</v>
      </c>
      <c r="H882" s="62" t="s">
        <v>491</v>
      </c>
      <c r="I882" s="62" t="s">
        <v>220</v>
      </c>
      <c r="J882" s="62" t="s">
        <v>223</v>
      </c>
      <c r="M882" s="80" t="s">
        <v>1396</v>
      </c>
      <c r="BB882" s="62">
        <v>5.56</v>
      </c>
      <c r="BC882" s="62">
        <v>5.09</v>
      </c>
      <c r="BD882" s="62">
        <v>4.47</v>
      </c>
      <c r="BE882" s="63">
        <f>MAX(BC882:BD882)</f>
        <v>5.09</v>
      </c>
      <c r="BF882" s="62">
        <v>6.38</v>
      </c>
      <c r="BG882" s="62">
        <v>4.67</v>
      </c>
      <c r="BH882" s="62">
        <v>3.63</v>
      </c>
      <c r="BI882" s="63">
        <f>MAX(BG882:BH882)</f>
        <v>4.67</v>
      </c>
      <c r="BK882" s="62" t="s">
        <v>273</v>
      </c>
      <c r="BL882" s="62"/>
      <c r="BM882" s="62" t="s">
        <v>1302</v>
      </c>
      <c r="BN882"/>
    </row>
    <row r="883" spans="1:70" ht="15.75" customHeight="1">
      <c r="A883" s="62" t="s">
        <v>1397</v>
      </c>
      <c r="B883" s="62"/>
      <c r="C883" s="62" t="s">
        <v>10</v>
      </c>
      <c r="D883" s="62" t="s">
        <v>1272</v>
      </c>
      <c r="E883" s="62" t="s">
        <v>165</v>
      </c>
      <c r="G883" s="71" t="s">
        <v>490</v>
      </c>
      <c r="H883" s="62" t="s">
        <v>491</v>
      </c>
      <c r="I883" s="62" t="s">
        <v>220</v>
      </c>
      <c r="J883" s="62" t="s">
        <v>223</v>
      </c>
      <c r="M883" s="80" t="s">
        <v>1315</v>
      </c>
      <c r="BB883" s="62">
        <v>5.29</v>
      </c>
      <c r="BC883" s="62">
        <v>4.8</v>
      </c>
      <c r="BD883" s="62">
        <v>4.24</v>
      </c>
      <c r="BE883" s="63">
        <f>MAX(BC883:BD883)</f>
        <v>4.8</v>
      </c>
      <c r="BF883" s="62">
        <v>6.5</v>
      </c>
      <c r="BG883" s="62">
        <v>4.57</v>
      </c>
      <c r="BH883" s="62">
        <v>3.82</v>
      </c>
      <c r="BI883" s="63">
        <f>MAX(BG883:BH883)</f>
        <v>4.57</v>
      </c>
      <c r="BK883" s="62" t="s">
        <v>273</v>
      </c>
      <c r="BL883" s="62"/>
      <c r="BM883" s="62" t="s">
        <v>1302</v>
      </c>
      <c r="BN883"/>
    </row>
    <row r="884" spans="1:70" ht="15.75" customHeight="1">
      <c r="A884" s="62" t="s">
        <v>1398</v>
      </c>
      <c r="B884" s="62"/>
      <c r="C884" s="62" t="s">
        <v>10</v>
      </c>
      <c r="D884" s="62" t="s">
        <v>1272</v>
      </c>
      <c r="E884" s="62" t="s">
        <v>165</v>
      </c>
      <c r="G884" s="71" t="s">
        <v>490</v>
      </c>
      <c r="H884" s="62" t="s">
        <v>491</v>
      </c>
      <c r="I884" s="62" t="s">
        <v>220</v>
      </c>
      <c r="J884" s="62" t="s">
        <v>223</v>
      </c>
      <c r="M884" s="80" t="s">
        <v>1315</v>
      </c>
      <c r="AT884" s="62">
        <v>4.76</v>
      </c>
      <c r="AW884" s="62">
        <v>3.16</v>
      </c>
      <c r="AX884" s="62">
        <v>5.01</v>
      </c>
      <c r="AY884" s="62">
        <v>3.86</v>
      </c>
      <c r="AZ884" s="62">
        <v>3.78</v>
      </c>
      <c r="BA884" s="63">
        <f>MAX(AY884:AZ884)</f>
        <v>3.86</v>
      </c>
      <c r="BB884" s="62">
        <v>5.89</v>
      </c>
      <c r="BC884" s="62">
        <v>5.38</v>
      </c>
      <c r="BD884" s="62">
        <v>4.6900000000000004</v>
      </c>
      <c r="BE884" s="63">
        <f>MAX(BC884:BD884)</f>
        <v>5.38</v>
      </c>
      <c r="BF884" s="62">
        <v>6.95</v>
      </c>
      <c r="BG884" s="62">
        <v>4.74</v>
      </c>
      <c r="BH884" s="62">
        <v>3.82</v>
      </c>
      <c r="BI884" s="63">
        <f>MAX(BG884:BH884)</f>
        <v>4.74</v>
      </c>
      <c r="BJ884" s="62" t="s">
        <v>1399</v>
      </c>
      <c r="BK884" s="62" t="s">
        <v>273</v>
      </c>
      <c r="BL884" s="62"/>
      <c r="BM884" s="62" t="s">
        <v>1302</v>
      </c>
      <c r="BN884" s="62"/>
      <c r="BO884" s="62" t="s">
        <v>174</v>
      </c>
      <c r="BP884" s="62" t="s">
        <v>1302</v>
      </c>
    </row>
    <row r="885" spans="1:70" ht="15.75" customHeight="1">
      <c r="A885" s="62" t="s">
        <v>1400</v>
      </c>
      <c r="B885" s="62"/>
      <c r="C885" s="62" t="s">
        <v>10</v>
      </c>
      <c r="D885" s="62" t="s">
        <v>1272</v>
      </c>
      <c r="E885" s="62" t="s">
        <v>165</v>
      </c>
      <c r="F885" s="63"/>
      <c r="G885" s="71" t="s">
        <v>490</v>
      </c>
      <c r="H885" s="62" t="s">
        <v>491</v>
      </c>
      <c r="I885" s="62" t="s">
        <v>220</v>
      </c>
      <c r="J885" s="62" t="s">
        <v>223</v>
      </c>
      <c r="K885" s="63"/>
      <c r="L885" s="63"/>
      <c r="M885" s="80" t="s">
        <v>1401</v>
      </c>
      <c r="N885" s="63"/>
      <c r="O885" s="63"/>
      <c r="P885" s="63"/>
      <c r="Q885" s="63"/>
      <c r="R885" s="63"/>
      <c r="S885" s="63"/>
      <c r="T885" s="63"/>
      <c r="U885" s="63"/>
      <c r="V885" s="63"/>
      <c r="W885" s="63"/>
      <c r="X885" s="63"/>
      <c r="Y885" s="63"/>
      <c r="Z885" s="63"/>
      <c r="AA885" s="63"/>
      <c r="AB885" s="63"/>
      <c r="AC885" s="63"/>
      <c r="AD885" s="63"/>
      <c r="AE885" s="63"/>
      <c r="AF885" s="63"/>
      <c r="AG885" s="63"/>
      <c r="AH885" s="63"/>
      <c r="AI885" s="63"/>
      <c r="AJ885" s="63"/>
      <c r="AK885" s="63"/>
      <c r="AL885" s="63"/>
      <c r="AM885" s="63"/>
      <c r="AN885" s="63"/>
      <c r="AO885" s="63"/>
      <c r="AP885" s="63"/>
      <c r="AQ885" s="63"/>
      <c r="AR885" s="63"/>
      <c r="AS885" s="63"/>
      <c r="AT885" s="63"/>
      <c r="AU885" s="63"/>
      <c r="AV885" s="63"/>
      <c r="AW885" s="63"/>
      <c r="AX885" s="63"/>
      <c r="AY885" s="63"/>
      <c r="AZ885" s="63"/>
      <c r="BA885" s="63"/>
      <c r="BB885" s="63"/>
      <c r="BC885" s="63"/>
      <c r="BD885" s="62">
        <v>4.55</v>
      </c>
      <c r="BE885" s="63">
        <f>MAX(BC885:BD885)</f>
        <v>4.55</v>
      </c>
      <c r="BF885" s="62">
        <v>6.21</v>
      </c>
      <c r="BG885" s="62">
        <v>4.5</v>
      </c>
      <c r="BH885" s="62">
        <v>3.7</v>
      </c>
      <c r="BI885" s="63">
        <f>MAX(BG885:BH885)</f>
        <v>4.5</v>
      </c>
      <c r="BJ885" s="63"/>
      <c r="BK885" s="62" t="s">
        <v>273</v>
      </c>
      <c r="BL885" s="62"/>
      <c r="BM885" s="62" t="s">
        <v>1302</v>
      </c>
      <c r="BN885" s="63"/>
      <c r="BO885" s="63"/>
      <c r="BP885" s="63"/>
      <c r="BQ885" s="63"/>
      <c r="BR885" s="63"/>
    </row>
    <row r="886" spans="1:70" ht="15.75" customHeight="1">
      <c r="A886" s="62" t="s">
        <v>1402</v>
      </c>
      <c r="B886" s="62"/>
      <c r="C886" s="62" t="s">
        <v>10</v>
      </c>
      <c r="D886" s="62" t="s">
        <v>1272</v>
      </c>
      <c r="E886" s="62" t="s">
        <v>165</v>
      </c>
      <c r="F886" s="63"/>
      <c r="G886" s="71" t="s">
        <v>490</v>
      </c>
      <c r="H886" s="62" t="s">
        <v>491</v>
      </c>
      <c r="I886" s="62" t="s">
        <v>220</v>
      </c>
      <c r="J886" s="62" t="s">
        <v>223</v>
      </c>
      <c r="K886" s="63"/>
      <c r="L886" s="63"/>
      <c r="M886" s="80" t="s">
        <v>1401</v>
      </c>
      <c r="N886" s="63"/>
      <c r="O886" s="63"/>
      <c r="P886" s="63"/>
      <c r="Q886" s="63"/>
      <c r="R886" s="63"/>
      <c r="S886" s="63"/>
      <c r="T886" s="63"/>
      <c r="U886" s="63"/>
      <c r="V886" s="63"/>
      <c r="W886" s="63"/>
      <c r="X886" s="63"/>
      <c r="Y886" s="63"/>
      <c r="Z886" s="63"/>
      <c r="AA886" s="63"/>
      <c r="AB886" s="63"/>
      <c r="AC886" s="63"/>
      <c r="AD886" s="63"/>
      <c r="AE886" s="63"/>
      <c r="AF886" s="63"/>
      <c r="AG886" s="63"/>
      <c r="AH886" s="63"/>
      <c r="AI886" s="63"/>
      <c r="AJ886" s="63"/>
      <c r="AK886" s="63"/>
      <c r="AL886" s="63"/>
      <c r="AM886" s="63"/>
      <c r="AN886" s="63"/>
      <c r="AO886" s="63"/>
      <c r="AP886" s="63"/>
      <c r="AQ886" s="63"/>
      <c r="AR886" s="63"/>
      <c r="AS886" s="63"/>
      <c r="AT886" s="63"/>
      <c r="AU886" s="63"/>
      <c r="AV886" s="63"/>
      <c r="AW886" s="63"/>
      <c r="AX886" s="63"/>
      <c r="AY886" s="63"/>
      <c r="AZ886" s="63"/>
      <c r="BA886" s="63"/>
      <c r="BB886" s="62">
        <v>5.84</v>
      </c>
      <c r="BC886" s="62">
        <v>5.17</v>
      </c>
      <c r="BD886" s="62">
        <v>4.72</v>
      </c>
      <c r="BE886" s="63">
        <f>MAX(BC886:BD886)</f>
        <v>5.17</v>
      </c>
      <c r="BF886" s="62">
        <v>6.07</v>
      </c>
      <c r="BG886" s="62">
        <v>4.41</v>
      </c>
      <c r="BH886" s="62">
        <v>3.46</v>
      </c>
      <c r="BI886" s="63">
        <f>MAX(BG886:BH886)</f>
        <v>4.41</v>
      </c>
      <c r="BJ886" s="63"/>
      <c r="BK886" s="62" t="s">
        <v>273</v>
      </c>
      <c r="BL886" s="62"/>
      <c r="BM886" s="62" t="s">
        <v>1302</v>
      </c>
      <c r="BN886" s="63"/>
      <c r="BO886" s="63"/>
      <c r="BP886" s="63"/>
      <c r="BQ886" s="63"/>
      <c r="BR886" s="63"/>
    </row>
    <row r="887" spans="1:70" ht="15.75" customHeight="1">
      <c r="A887" s="62" t="s">
        <v>1403</v>
      </c>
      <c r="B887" s="62"/>
      <c r="C887" s="62" t="s">
        <v>10</v>
      </c>
      <c r="D887" s="62" t="s">
        <v>1272</v>
      </c>
      <c r="E887" s="62" t="s">
        <v>165</v>
      </c>
      <c r="G887" s="71" t="s">
        <v>490</v>
      </c>
      <c r="H887" s="62" t="s">
        <v>491</v>
      </c>
      <c r="I887" s="62" t="s">
        <v>220</v>
      </c>
      <c r="J887" s="62" t="s">
        <v>223</v>
      </c>
      <c r="M887" s="80" t="s">
        <v>1307</v>
      </c>
      <c r="Z887" s="62">
        <v>5.01</v>
      </c>
      <c r="AA887" s="62">
        <v>6.56</v>
      </c>
      <c r="AB887" s="62">
        <v>6.91</v>
      </c>
      <c r="AC887" s="63">
        <f>MAX(AA887:AB887)</f>
        <v>6.91</v>
      </c>
      <c r="AD887" s="62">
        <v>5.84</v>
      </c>
      <c r="AE887" s="62">
        <v>8.0399999999999991</v>
      </c>
      <c r="AF887" s="62">
        <v>8.4700000000000006</v>
      </c>
      <c r="AG887" s="63">
        <f>MAX(AE887:AF887)</f>
        <v>8.4700000000000006</v>
      </c>
      <c r="AH887" s="62">
        <v>5.94</v>
      </c>
      <c r="AI887" s="62">
        <v>6.28</v>
      </c>
      <c r="AJ887" s="62">
        <v>5.57</v>
      </c>
      <c r="AK887" s="63">
        <f>MAX(AI887:AJ887)</f>
        <v>6.28</v>
      </c>
      <c r="BK887" s="62" t="s">
        <v>273</v>
      </c>
      <c r="BL887" s="62"/>
      <c r="BM887" s="62" t="s">
        <v>1302</v>
      </c>
      <c r="BN887" s="62"/>
      <c r="BO887" s="62" t="s">
        <v>174</v>
      </c>
      <c r="BP887" s="62" t="s">
        <v>1302</v>
      </c>
    </row>
    <row r="888" spans="1:70" ht="15.75" customHeight="1">
      <c r="A888" s="62" t="s">
        <v>1404</v>
      </c>
      <c r="B888" s="62"/>
      <c r="C888" s="62" t="s">
        <v>10</v>
      </c>
      <c r="D888" s="62" t="s">
        <v>1272</v>
      </c>
      <c r="E888" s="62" t="s">
        <v>165</v>
      </c>
      <c r="G888" s="71" t="s">
        <v>490</v>
      </c>
      <c r="H888" s="62" t="s">
        <v>491</v>
      </c>
      <c r="I888" s="62" t="s">
        <v>220</v>
      </c>
      <c r="J888" s="62" t="s">
        <v>223</v>
      </c>
      <c r="M888" s="80" t="s">
        <v>1307</v>
      </c>
      <c r="N888" s="62">
        <v>3.22</v>
      </c>
      <c r="Q888" s="62">
        <v>2.0499999999999998</v>
      </c>
      <c r="R888" s="62">
        <v>3.8</v>
      </c>
      <c r="V888" s="62">
        <v>4.3</v>
      </c>
      <c r="W888" s="62">
        <v>5.67</v>
      </c>
      <c r="X888" s="62">
        <v>5.89</v>
      </c>
      <c r="Y888" s="63">
        <f>MAX(W888:X888)</f>
        <v>5.89</v>
      </c>
      <c r="Z888" s="62">
        <v>5.5</v>
      </c>
      <c r="AA888" s="62">
        <v>6.73</v>
      </c>
      <c r="AB888" s="62">
        <v>6.89</v>
      </c>
      <c r="AC888" s="63">
        <f>MAX(AA888:AB888)</f>
        <v>6.89</v>
      </c>
      <c r="AD888" s="62">
        <v>5.92</v>
      </c>
      <c r="AE888" s="62">
        <v>8.1300000000000008</v>
      </c>
      <c r="AF888" s="62">
        <v>8.26</v>
      </c>
      <c r="AG888" s="63">
        <f>MAX(AE888:AF888)</f>
        <v>8.26</v>
      </c>
      <c r="AH888" s="62">
        <v>5.42</v>
      </c>
      <c r="AI888" s="62">
        <v>6.84</v>
      </c>
      <c r="AJ888" s="62">
        <v>6.15</v>
      </c>
      <c r="AK888" s="63">
        <f>MAX(AI888:AJ888)</f>
        <v>6.84</v>
      </c>
      <c r="BK888" s="62" t="s">
        <v>273</v>
      </c>
      <c r="BL888" s="62"/>
      <c r="BM888" s="62" t="s">
        <v>1302</v>
      </c>
      <c r="BN888" s="62"/>
      <c r="BO888" s="62" t="s">
        <v>174</v>
      </c>
      <c r="BP888" s="62" t="s">
        <v>1302</v>
      </c>
    </row>
    <row r="889" spans="1:70" ht="15.75" customHeight="1">
      <c r="A889" s="62" t="s">
        <v>1405</v>
      </c>
      <c r="B889" s="62"/>
      <c r="C889" s="62" t="s">
        <v>10</v>
      </c>
      <c r="D889" s="62" t="s">
        <v>1272</v>
      </c>
      <c r="E889" s="62" t="s">
        <v>165</v>
      </c>
      <c r="G889" s="71" t="s">
        <v>490</v>
      </c>
      <c r="H889" s="62" t="s">
        <v>491</v>
      </c>
      <c r="I889" s="62" t="s">
        <v>220</v>
      </c>
      <c r="J889" s="62" t="s">
        <v>223</v>
      </c>
      <c r="M889" s="80" t="s">
        <v>1309</v>
      </c>
      <c r="AL889" s="62">
        <v>3.4</v>
      </c>
      <c r="AO889" s="62">
        <v>1.93</v>
      </c>
      <c r="AT889" s="62">
        <v>4.66</v>
      </c>
      <c r="AW889" s="62">
        <v>3.3</v>
      </c>
      <c r="AX889" s="62">
        <v>5.13</v>
      </c>
      <c r="AY889" s="62">
        <v>3.94</v>
      </c>
      <c r="AZ889" s="62">
        <v>4.0599999999999996</v>
      </c>
      <c r="BA889" s="63">
        <f>MAX(AY889:AZ889)</f>
        <v>4.0599999999999996</v>
      </c>
      <c r="BB889" s="62">
        <v>5.69</v>
      </c>
      <c r="BC889" s="62">
        <v>5.2</v>
      </c>
      <c r="BD889" s="62">
        <v>4.92</v>
      </c>
      <c r="BE889" s="63">
        <f>MAX(BC889:BD889)</f>
        <v>5.2</v>
      </c>
      <c r="BG889" s="62">
        <v>4.5999999999999996</v>
      </c>
      <c r="BI889" s="63">
        <f>MAX(BG889:BH889)</f>
        <v>4.5999999999999996</v>
      </c>
      <c r="BK889" s="62" t="s">
        <v>273</v>
      </c>
      <c r="BL889" s="62"/>
      <c r="BM889" s="62" t="s">
        <v>1302</v>
      </c>
      <c r="BN889" s="62"/>
      <c r="BO889" s="62" t="s">
        <v>174</v>
      </c>
      <c r="BP889" s="62" t="s">
        <v>1302</v>
      </c>
    </row>
    <row r="890" spans="1:70" ht="15.75" customHeight="1">
      <c r="A890" s="81" t="s">
        <v>368</v>
      </c>
      <c r="B890" s="81"/>
      <c r="C890" s="81" t="s">
        <v>10</v>
      </c>
      <c r="D890" s="81" t="s">
        <v>1272</v>
      </c>
      <c r="E890" s="81" t="s">
        <v>165</v>
      </c>
      <c r="F890" s="81"/>
      <c r="G890" s="81" t="s">
        <v>476</v>
      </c>
      <c r="H890" s="81" t="s">
        <v>369</v>
      </c>
      <c r="I890" s="81" t="s">
        <v>476</v>
      </c>
      <c r="J890" s="81" t="s">
        <v>369</v>
      </c>
      <c r="K890" s="81"/>
      <c r="L890" s="81"/>
      <c r="M890" s="81"/>
      <c r="N890" s="81"/>
      <c r="O890" s="81"/>
      <c r="P890" s="81"/>
      <c r="Q890" s="81"/>
      <c r="R890" s="81"/>
      <c r="S890" s="81"/>
      <c r="T890" s="81"/>
      <c r="U890" s="81"/>
      <c r="V890" s="81"/>
      <c r="W890" s="81"/>
      <c r="X890" s="81"/>
      <c r="Y890" s="81"/>
      <c r="Z890" s="81"/>
      <c r="AA890" s="81"/>
      <c r="AB890" s="81"/>
      <c r="AC890" s="81"/>
      <c r="AD890" s="81"/>
      <c r="AE890" s="81"/>
      <c r="AF890" s="81"/>
      <c r="AG890" s="81"/>
      <c r="AH890" s="81"/>
      <c r="AI890" s="81"/>
      <c r="AJ890" s="81"/>
      <c r="AK890" s="81"/>
      <c r="AL890" s="81"/>
      <c r="AM890" s="81"/>
      <c r="AN890" s="81"/>
      <c r="AO890" s="81"/>
      <c r="AP890" s="81"/>
      <c r="AQ890" s="81"/>
      <c r="AR890" s="81"/>
      <c r="AS890" s="81"/>
      <c r="AT890" s="81"/>
      <c r="AU890" s="81"/>
      <c r="AV890" s="81"/>
      <c r="AW890" s="81"/>
      <c r="AX890" s="81"/>
      <c r="AY890" s="81"/>
      <c r="AZ890" s="81"/>
      <c r="BA890" s="81"/>
      <c r="BB890" s="81"/>
      <c r="BC890" s="81"/>
      <c r="BD890" s="81"/>
      <c r="BE890" s="81"/>
      <c r="BF890" s="81"/>
      <c r="BG890" s="81"/>
      <c r="BH890" s="81"/>
      <c r="BI890" s="81"/>
      <c r="BJ890" s="81"/>
      <c r="BK890" s="81" t="s">
        <v>273</v>
      </c>
      <c r="BL890" s="81"/>
      <c r="BM890" s="81" t="s">
        <v>361</v>
      </c>
      <c r="BN890" s="81"/>
      <c r="BO890" s="81" t="s">
        <v>362</v>
      </c>
      <c r="BP890" s="81" t="s">
        <v>361</v>
      </c>
      <c r="BQ890" s="81"/>
      <c r="BR890" s="81"/>
    </row>
    <row r="891" spans="1:70" ht="15.75" customHeight="1">
      <c r="A891" s="62" t="s">
        <v>368</v>
      </c>
      <c r="B891" s="62"/>
      <c r="C891" s="62" t="s">
        <v>10</v>
      </c>
      <c r="D891" s="62" t="s">
        <v>1272</v>
      </c>
      <c r="E891" s="62" t="s">
        <v>165</v>
      </c>
      <c r="F891" s="63"/>
      <c r="G891" s="62" t="s">
        <v>476</v>
      </c>
      <c r="H891" s="62" t="s">
        <v>369</v>
      </c>
      <c r="I891" s="62" t="s">
        <v>476</v>
      </c>
      <c r="J891" s="62" t="s">
        <v>369</v>
      </c>
      <c r="K891" s="63"/>
      <c r="L891" s="63"/>
      <c r="M891" s="63"/>
      <c r="N891" s="63"/>
      <c r="O891" s="63"/>
      <c r="P891" s="63"/>
      <c r="Q891" s="63"/>
      <c r="R891" s="63"/>
      <c r="S891" s="63"/>
      <c r="T891" s="63"/>
      <c r="U891" s="63"/>
      <c r="V891" s="63"/>
      <c r="W891" s="63"/>
      <c r="X891" s="63"/>
      <c r="Y891" s="63"/>
      <c r="Z891" s="63"/>
      <c r="AA891" s="63"/>
      <c r="AB891" s="63"/>
      <c r="AC891" s="63"/>
      <c r="AD891" s="63"/>
      <c r="AE891" s="63"/>
      <c r="AF891" s="63"/>
      <c r="AG891" s="63"/>
      <c r="AH891" s="63"/>
      <c r="AI891" s="63"/>
      <c r="AJ891" s="63"/>
      <c r="AK891" s="63"/>
      <c r="AL891" s="63"/>
      <c r="AM891" s="63"/>
      <c r="AN891" s="63"/>
      <c r="AO891" s="63"/>
      <c r="AP891" s="63"/>
      <c r="AQ891" s="63"/>
      <c r="AR891" s="63"/>
      <c r="AS891" s="63"/>
      <c r="AT891" s="63"/>
      <c r="AU891" s="63"/>
      <c r="AV891" s="63"/>
      <c r="AW891" s="63"/>
      <c r="AX891" s="63"/>
      <c r="AY891" s="63"/>
      <c r="AZ891" s="63"/>
      <c r="BA891" s="63"/>
      <c r="BB891" s="63"/>
      <c r="BC891" s="63"/>
      <c r="BD891" s="63"/>
      <c r="BE891" s="63"/>
      <c r="BF891" s="63"/>
      <c r="BG891" s="63"/>
      <c r="BH891" s="63"/>
      <c r="BI891" s="63"/>
      <c r="BJ891" s="63"/>
      <c r="BK891" s="62" t="s">
        <v>1406</v>
      </c>
      <c r="BL891" s="62"/>
      <c r="BM891" s="62" t="s">
        <v>361</v>
      </c>
      <c r="BN891" s="62"/>
      <c r="BO891" s="62" t="s">
        <v>1407</v>
      </c>
      <c r="BP891" s="62" t="s">
        <v>361</v>
      </c>
      <c r="BQ891" s="63"/>
      <c r="BR891" s="63"/>
    </row>
    <row r="892" spans="1:70" ht="15.75" customHeight="1">
      <c r="A892" s="81" t="s">
        <v>366</v>
      </c>
      <c r="B892" s="81"/>
      <c r="C892" s="81" t="s">
        <v>10</v>
      </c>
      <c r="D892" s="81" t="s">
        <v>1272</v>
      </c>
      <c r="E892" s="81" t="s">
        <v>165</v>
      </c>
      <c r="F892" s="81"/>
      <c r="G892" s="81" t="s">
        <v>476</v>
      </c>
      <c r="H892" s="81" t="s">
        <v>367</v>
      </c>
      <c r="I892" s="81" t="s">
        <v>476</v>
      </c>
      <c r="J892" s="81" t="s">
        <v>367</v>
      </c>
      <c r="K892" s="81"/>
      <c r="L892" s="81"/>
      <c r="M892" s="81"/>
      <c r="N892" s="81"/>
      <c r="O892" s="81"/>
      <c r="P892" s="81"/>
      <c r="Q892" s="81"/>
      <c r="R892" s="81"/>
      <c r="S892" s="81"/>
      <c r="T892" s="81"/>
      <c r="U892" s="81"/>
      <c r="V892" s="81"/>
      <c r="W892" s="81"/>
      <c r="X892" s="81"/>
      <c r="Y892" s="81"/>
      <c r="Z892" s="81"/>
      <c r="AA892" s="81"/>
      <c r="AB892" s="81"/>
      <c r="AC892" s="81"/>
      <c r="AD892" s="81"/>
      <c r="AE892" s="81"/>
      <c r="AF892" s="81"/>
      <c r="AG892" s="81"/>
      <c r="AH892" s="81"/>
      <c r="AI892" s="81"/>
      <c r="AJ892" s="81"/>
      <c r="AK892" s="81"/>
      <c r="AL892" s="81"/>
      <c r="AM892" s="81"/>
      <c r="AN892" s="81"/>
      <c r="AO892" s="81"/>
      <c r="AP892" s="81"/>
      <c r="AQ892" s="81"/>
      <c r="AR892" s="81"/>
      <c r="AS892" s="81"/>
      <c r="AT892" s="81"/>
      <c r="AU892" s="81"/>
      <c r="AV892" s="81"/>
      <c r="AW892" s="81"/>
      <c r="AX892" s="81"/>
      <c r="AY892" s="81"/>
      <c r="AZ892" s="81"/>
      <c r="BA892" s="81"/>
      <c r="BB892" s="81"/>
      <c r="BC892" s="81"/>
      <c r="BD892" s="81"/>
      <c r="BE892" s="81"/>
      <c r="BF892" s="81"/>
      <c r="BG892" s="81"/>
      <c r="BH892" s="81"/>
      <c r="BI892" s="81"/>
      <c r="BJ892" s="81"/>
      <c r="BK892" s="81" t="s">
        <v>273</v>
      </c>
      <c r="BL892" s="81"/>
      <c r="BM892" s="81" t="s">
        <v>361</v>
      </c>
      <c r="BN892" s="81"/>
      <c r="BO892" s="81" t="s">
        <v>362</v>
      </c>
      <c r="BP892" s="81" t="s">
        <v>361</v>
      </c>
      <c r="BQ892" s="81"/>
      <c r="BR892" s="81"/>
    </row>
    <row r="893" spans="1:70" ht="15.75" customHeight="1">
      <c r="A893" s="62" t="s">
        <v>1408</v>
      </c>
      <c r="B893" s="62"/>
      <c r="C893" s="62" t="s">
        <v>10</v>
      </c>
      <c r="D893" s="62" t="s">
        <v>1272</v>
      </c>
      <c r="E893" s="62" t="s">
        <v>165</v>
      </c>
      <c r="G893" s="62" t="s">
        <v>476</v>
      </c>
      <c r="H893" s="62" t="s">
        <v>367</v>
      </c>
      <c r="I893" s="62" t="s">
        <v>476</v>
      </c>
      <c r="J893" s="62" t="s">
        <v>367</v>
      </c>
      <c r="BJ893" s="62" t="s">
        <v>200</v>
      </c>
      <c r="BK893" s="62" t="s">
        <v>1406</v>
      </c>
      <c r="BL893" s="62"/>
      <c r="BM893" s="62" t="s">
        <v>361</v>
      </c>
      <c r="BN893" s="62"/>
      <c r="BO893" s="62" t="s">
        <v>1407</v>
      </c>
      <c r="BP893" s="62" t="s">
        <v>361</v>
      </c>
    </row>
    <row r="894" spans="1:70" ht="15.75" customHeight="1">
      <c r="A894" s="81" t="s">
        <v>365</v>
      </c>
      <c r="B894" s="81"/>
      <c r="C894" s="81" t="s">
        <v>10</v>
      </c>
      <c r="D894" s="81" t="s">
        <v>1272</v>
      </c>
      <c r="E894" s="81" t="s">
        <v>165</v>
      </c>
      <c r="F894" s="81" t="s">
        <v>157</v>
      </c>
      <c r="G894" s="81" t="s">
        <v>166</v>
      </c>
      <c r="H894" s="81" t="s">
        <v>264</v>
      </c>
      <c r="I894" s="81" t="s">
        <v>166</v>
      </c>
      <c r="J894" s="81" t="s">
        <v>264</v>
      </c>
      <c r="K894" s="81"/>
      <c r="L894" s="81"/>
      <c r="M894" s="81"/>
      <c r="N894" s="81"/>
      <c r="O894" s="81"/>
      <c r="P894" s="81"/>
      <c r="Q894" s="81"/>
      <c r="R894" s="81"/>
      <c r="S894" s="81"/>
      <c r="T894" s="81"/>
      <c r="U894" s="81"/>
      <c r="V894" s="81"/>
      <c r="W894" s="81"/>
      <c r="X894" s="81"/>
      <c r="Y894" s="81"/>
      <c r="Z894" s="81"/>
      <c r="AA894" s="81"/>
      <c r="AB894" s="81"/>
      <c r="AC894" s="81"/>
      <c r="AD894" s="81"/>
      <c r="AE894" s="81"/>
      <c r="AF894" s="81"/>
      <c r="AG894" s="81"/>
      <c r="AH894" s="81"/>
      <c r="AI894" s="81"/>
      <c r="AJ894" s="81"/>
      <c r="AK894" s="81"/>
      <c r="AL894" s="81"/>
      <c r="AM894" s="81"/>
      <c r="AN894" s="81"/>
      <c r="AO894" s="81"/>
      <c r="AP894" s="81"/>
      <c r="AQ894" s="81"/>
      <c r="AR894" s="81"/>
      <c r="AS894" s="81"/>
      <c r="AT894" s="81"/>
      <c r="AU894" s="81"/>
      <c r="AV894" s="81"/>
      <c r="AW894" s="81"/>
      <c r="AX894" s="81"/>
      <c r="AY894" s="81"/>
      <c r="AZ894" s="81"/>
      <c r="BA894" s="81"/>
      <c r="BB894" s="81"/>
      <c r="BC894" s="81"/>
      <c r="BD894" s="81"/>
      <c r="BE894" s="81"/>
      <c r="BF894" s="81"/>
      <c r="BG894" s="81"/>
      <c r="BH894" s="81"/>
      <c r="BI894" s="81"/>
      <c r="BJ894" s="81"/>
      <c r="BK894" s="81" t="s">
        <v>273</v>
      </c>
      <c r="BL894" s="81"/>
      <c r="BM894" s="81" t="s">
        <v>361</v>
      </c>
      <c r="BN894" s="81"/>
      <c r="BO894" s="81" t="s">
        <v>362</v>
      </c>
      <c r="BP894" s="81" t="s">
        <v>361</v>
      </c>
      <c r="BQ894" s="81"/>
      <c r="BR894" s="81"/>
    </row>
    <row r="895" spans="1:70" ht="15.75" customHeight="1">
      <c r="A895" s="62" t="s">
        <v>1409</v>
      </c>
      <c r="B895" s="62"/>
      <c r="C895" s="62" t="s">
        <v>483</v>
      </c>
      <c r="E895" s="62" t="s">
        <v>1410</v>
      </c>
      <c r="G895" s="62" t="s">
        <v>1411</v>
      </c>
      <c r="H895" s="62" t="s">
        <v>1412</v>
      </c>
      <c r="I895" s="62" t="s">
        <v>1411</v>
      </c>
      <c r="J895" s="62" t="s">
        <v>1412</v>
      </c>
      <c r="K895" s="62" t="s">
        <v>1413</v>
      </c>
      <c r="BK895" s="62" t="s">
        <v>1406</v>
      </c>
      <c r="BL895" s="62"/>
      <c r="BM895" s="62" t="s">
        <v>361</v>
      </c>
      <c r="BN895" s="62"/>
      <c r="BO895" s="62" t="s">
        <v>1414</v>
      </c>
    </row>
    <row r="896" spans="1:70" ht="15.75" customHeight="1">
      <c r="A896" s="62" t="s">
        <v>1415</v>
      </c>
      <c r="B896" s="62"/>
      <c r="C896" s="62" t="s">
        <v>483</v>
      </c>
      <c r="E896" s="62" t="s">
        <v>1410</v>
      </c>
      <c r="G896" s="62" t="s">
        <v>1411</v>
      </c>
      <c r="H896" s="62" t="s">
        <v>1412</v>
      </c>
      <c r="I896" s="62" t="s">
        <v>1411</v>
      </c>
      <c r="J896" s="62" t="s">
        <v>1412</v>
      </c>
      <c r="BK896" s="62" t="s">
        <v>1406</v>
      </c>
      <c r="BL896" s="62"/>
      <c r="BM896" s="62" t="s">
        <v>361</v>
      </c>
      <c r="BN896" s="62"/>
      <c r="BO896" s="62" t="s">
        <v>1414</v>
      </c>
    </row>
    <row r="897" spans="1:70" ht="15.75" customHeight="1">
      <c r="A897" s="62" t="s">
        <v>1415</v>
      </c>
      <c r="B897" s="62"/>
      <c r="C897" s="62" t="s">
        <v>483</v>
      </c>
      <c r="E897" s="62" t="s">
        <v>1410</v>
      </c>
      <c r="G897" s="62" t="s">
        <v>1416</v>
      </c>
      <c r="H897" s="62" t="s">
        <v>1417</v>
      </c>
      <c r="I897" s="62" t="s">
        <v>1411</v>
      </c>
      <c r="J897" s="62" t="s">
        <v>1417</v>
      </c>
      <c r="BK897" s="62" t="s">
        <v>1406</v>
      </c>
      <c r="BL897" s="62"/>
      <c r="BM897" s="62" t="s">
        <v>361</v>
      </c>
      <c r="BN897" s="62"/>
      <c r="BO897" s="62" t="s">
        <v>1414</v>
      </c>
    </row>
    <row r="898" spans="1:70" ht="15.75" customHeight="1">
      <c r="A898" s="62" t="s">
        <v>1418</v>
      </c>
      <c r="B898" s="62"/>
      <c r="C898" s="62" t="s">
        <v>483</v>
      </c>
      <c r="E898" s="62" t="s">
        <v>1410</v>
      </c>
      <c r="G898" s="62" t="s">
        <v>1419</v>
      </c>
      <c r="H898" s="62" t="s">
        <v>1420</v>
      </c>
      <c r="I898" s="62" t="s">
        <v>1419</v>
      </c>
      <c r="J898" s="62" t="s">
        <v>1421</v>
      </c>
      <c r="BK898" s="62" t="s">
        <v>159</v>
      </c>
      <c r="BL898" s="62"/>
      <c r="BM898" s="62" t="s">
        <v>361</v>
      </c>
      <c r="BN898" s="62"/>
      <c r="BO898" s="62" t="s">
        <v>1422</v>
      </c>
    </row>
    <row r="899" spans="1:70" ht="15.75" customHeight="1">
      <c r="A899" s="62" t="s">
        <v>1423</v>
      </c>
      <c r="B899" s="62"/>
      <c r="C899" s="62" t="s">
        <v>483</v>
      </c>
      <c r="E899" s="62" t="s">
        <v>1410</v>
      </c>
      <c r="G899" s="62" t="s">
        <v>1419</v>
      </c>
      <c r="H899" s="62" t="s">
        <v>1420</v>
      </c>
      <c r="I899" s="62" t="s">
        <v>1419</v>
      </c>
      <c r="J899" s="62" t="s">
        <v>1421</v>
      </c>
      <c r="BJ899" s="62" t="s">
        <v>1424</v>
      </c>
      <c r="BK899" s="62" t="s">
        <v>159</v>
      </c>
      <c r="BL899" s="62"/>
      <c r="BM899" s="62" t="s">
        <v>361</v>
      </c>
      <c r="BN899" s="62"/>
      <c r="BO899" s="62" t="s">
        <v>1422</v>
      </c>
    </row>
    <row r="900" spans="1:70" ht="15.75" customHeight="1">
      <c r="A900" s="62" t="s">
        <v>1425</v>
      </c>
      <c r="B900" s="62"/>
      <c r="C900" s="62" t="s">
        <v>483</v>
      </c>
      <c r="E900" s="62" t="s">
        <v>1410</v>
      </c>
      <c r="G900" s="62" t="s">
        <v>1419</v>
      </c>
      <c r="H900" s="62" t="s">
        <v>1420</v>
      </c>
      <c r="I900" s="62" t="s">
        <v>1419</v>
      </c>
      <c r="J900" s="62" t="s">
        <v>1420</v>
      </c>
      <c r="BK900" s="62" t="s">
        <v>159</v>
      </c>
      <c r="BL900" s="62"/>
      <c r="BM900" s="62" t="s">
        <v>361</v>
      </c>
      <c r="BN900" s="62"/>
      <c r="BO900" s="62" t="s">
        <v>1422</v>
      </c>
    </row>
    <row r="901" spans="1:70" ht="15.75" customHeight="1">
      <c r="A901" s="62" t="s">
        <v>1426</v>
      </c>
      <c r="B901" s="62"/>
      <c r="C901" s="62" t="s">
        <v>483</v>
      </c>
      <c r="E901" s="62" t="s">
        <v>1410</v>
      </c>
      <c r="G901" s="62" t="s">
        <v>1427</v>
      </c>
      <c r="H901" s="62" t="s">
        <v>1428</v>
      </c>
      <c r="I901" s="62" t="s">
        <v>1427</v>
      </c>
      <c r="J901" s="62" t="s">
        <v>1428</v>
      </c>
      <c r="V901" s="62">
        <v>24.4</v>
      </c>
      <c r="Y901" s="62">
        <v>24.6</v>
      </c>
      <c r="Z901" s="62">
        <v>25.4</v>
      </c>
      <c r="AC901" s="62">
        <v>27.1</v>
      </c>
      <c r="AG901" s="62">
        <v>28.5</v>
      </c>
      <c r="AP901" s="62">
        <v>25.6</v>
      </c>
      <c r="AS901" s="62">
        <v>14.8</v>
      </c>
      <c r="AT901" s="62">
        <v>28.9</v>
      </c>
      <c r="AW901" s="62">
        <v>16.399999999999999</v>
      </c>
      <c r="AX901" s="62">
        <v>30</v>
      </c>
      <c r="BA901" s="62">
        <v>17.5</v>
      </c>
      <c r="BB901" s="62">
        <v>31.4</v>
      </c>
      <c r="BE901" s="62">
        <v>18.100000000000001</v>
      </c>
      <c r="BK901" s="62" t="s">
        <v>1406</v>
      </c>
      <c r="BL901" s="62"/>
      <c r="BM901" s="62" t="s">
        <v>361</v>
      </c>
      <c r="BN901" s="62"/>
      <c r="BO901" s="62" t="s">
        <v>1414</v>
      </c>
    </row>
    <row r="902" spans="1:70" ht="15.75" customHeight="1">
      <c r="A902" s="82" t="s">
        <v>1429</v>
      </c>
      <c r="B902" s="82"/>
      <c r="C902" s="82" t="s">
        <v>483</v>
      </c>
      <c r="D902" s="83"/>
      <c r="E902" s="82" t="s">
        <v>1410</v>
      </c>
      <c r="F902" s="83"/>
      <c r="G902" s="82" t="s">
        <v>1427</v>
      </c>
      <c r="H902" s="82" t="s">
        <v>1428</v>
      </c>
      <c r="I902" s="82" t="s">
        <v>1427</v>
      </c>
      <c r="J902" s="82" t="s">
        <v>1428</v>
      </c>
      <c r="K902" s="82" t="s">
        <v>1430</v>
      </c>
      <c r="L902" s="83"/>
      <c r="M902" s="83"/>
      <c r="N902" s="83"/>
      <c r="O902" s="83"/>
      <c r="P902" s="83"/>
      <c r="Q902" s="83"/>
      <c r="R902" s="82">
        <v>22.5</v>
      </c>
      <c r="S902" s="83"/>
      <c r="T902" s="83"/>
      <c r="U902" s="82">
        <v>17.3</v>
      </c>
      <c r="V902" s="82">
        <v>26.3</v>
      </c>
      <c r="W902" s="83"/>
      <c r="X902" s="83"/>
      <c r="Y902" s="82">
        <v>26.8</v>
      </c>
      <c r="Z902" s="82">
        <v>34.799999999999997</v>
      </c>
      <c r="AA902" s="83"/>
      <c r="AB902" s="83"/>
      <c r="AC902" s="82">
        <v>34.700000000000003</v>
      </c>
      <c r="AD902" s="82">
        <v>29</v>
      </c>
      <c r="AE902" s="83"/>
      <c r="AF902" s="83"/>
      <c r="AG902" s="82">
        <v>33.299999999999997</v>
      </c>
      <c r="AH902" s="82">
        <v>22.6</v>
      </c>
      <c r="AI902" s="83"/>
      <c r="AJ902" s="83"/>
      <c r="AK902" s="83"/>
      <c r="AL902" s="83"/>
      <c r="AM902" s="83"/>
      <c r="AN902" s="83"/>
      <c r="AO902" s="83"/>
      <c r="AP902" s="83"/>
      <c r="AQ902" s="83"/>
      <c r="AR902" s="83"/>
      <c r="AS902" s="83"/>
      <c r="AT902" s="82">
        <v>26.7</v>
      </c>
      <c r="AU902" s="83"/>
      <c r="AV902" s="83"/>
      <c r="AW902" s="82">
        <v>17.2</v>
      </c>
      <c r="AX902" s="82">
        <v>33.9</v>
      </c>
      <c r="AY902" s="83"/>
      <c r="AZ902" s="83"/>
      <c r="BA902" s="82">
        <v>19.3</v>
      </c>
      <c r="BB902" s="82">
        <v>42.7</v>
      </c>
      <c r="BC902" s="83"/>
      <c r="BD902" s="83"/>
      <c r="BE902" s="83"/>
      <c r="BF902" s="83"/>
      <c r="BG902" s="83"/>
      <c r="BH902" s="83"/>
      <c r="BI902" s="83"/>
      <c r="BJ902" s="82" t="s">
        <v>1431</v>
      </c>
      <c r="BK902" s="82" t="s">
        <v>1406</v>
      </c>
      <c r="BL902" s="62"/>
      <c r="BM902" s="62" t="s">
        <v>361</v>
      </c>
      <c r="BN902" s="82"/>
      <c r="BO902" s="82" t="s">
        <v>1407</v>
      </c>
      <c r="BP902" s="62" t="s">
        <v>361</v>
      </c>
      <c r="BQ902" s="83"/>
      <c r="BR902" s="83"/>
    </row>
    <row r="903" spans="1:70" ht="15.75" customHeight="1">
      <c r="A903" s="62" t="s">
        <v>1432</v>
      </c>
      <c r="B903" s="62"/>
      <c r="C903" s="62" t="s">
        <v>483</v>
      </c>
      <c r="E903" s="62" t="s">
        <v>1410</v>
      </c>
      <c r="G903" s="62" t="s">
        <v>1427</v>
      </c>
      <c r="H903" s="62" t="s">
        <v>1428</v>
      </c>
      <c r="I903" s="62" t="s">
        <v>1427</v>
      </c>
      <c r="J903" s="62" t="s">
        <v>1428</v>
      </c>
      <c r="K903" s="62" t="s">
        <v>1430</v>
      </c>
      <c r="AD903" s="62"/>
      <c r="AG903" s="62"/>
      <c r="AH903" s="62">
        <v>31.7</v>
      </c>
      <c r="AK903" s="62">
        <v>34.700000000000003</v>
      </c>
      <c r="BB903" s="62">
        <v>35</v>
      </c>
      <c r="BE903" s="62">
        <v>18.600000000000001</v>
      </c>
      <c r="BK903" s="62" t="s">
        <v>1406</v>
      </c>
      <c r="BL903" s="62"/>
      <c r="BM903" s="62" t="s">
        <v>361</v>
      </c>
      <c r="BN903" s="62"/>
      <c r="BO903" s="62" t="s">
        <v>1407</v>
      </c>
      <c r="BP903" s="62" t="s">
        <v>361</v>
      </c>
    </row>
    <row r="904" spans="1:70" ht="15.75" customHeight="1">
      <c r="A904" s="62" t="s">
        <v>1433</v>
      </c>
      <c r="B904" s="62"/>
      <c r="C904" s="62" t="s">
        <v>483</v>
      </c>
      <c r="E904" s="62" t="s">
        <v>1410</v>
      </c>
      <c r="G904" s="62" t="s">
        <v>1427</v>
      </c>
      <c r="H904" s="62" t="s">
        <v>1428</v>
      </c>
      <c r="I904" s="62" t="s">
        <v>1427</v>
      </c>
      <c r="J904" s="62" t="s">
        <v>1428</v>
      </c>
      <c r="V904" s="62">
        <v>22.8</v>
      </c>
      <c r="Y904" s="62">
        <v>23.5</v>
      </c>
      <c r="AD904" s="62">
        <v>26.8</v>
      </c>
      <c r="AG904" s="62">
        <v>26.6</v>
      </c>
      <c r="AH904" s="62">
        <v>22.5</v>
      </c>
      <c r="AK904" s="62">
        <v>27.8</v>
      </c>
      <c r="AP904" s="62">
        <v>25</v>
      </c>
      <c r="AS904" s="62">
        <v>15.1</v>
      </c>
      <c r="AX904" s="62">
        <v>28.7</v>
      </c>
      <c r="BA904" s="62">
        <v>15.3</v>
      </c>
      <c r="BB904" s="62">
        <v>32.200000000000003</v>
      </c>
      <c r="BE904" s="62">
        <v>15.3</v>
      </c>
      <c r="BF904" s="62">
        <v>30</v>
      </c>
      <c r="BI904" s="62">
        <v>13.9</v>
      </c>
      <c r="BK904" s="62" t="s">
        <v>1406</v>
      </c>
      <c r="BL904" s="62"/>
      <c r="BM904" s="62" t="s">
        <v>361</v>
      </c>
      <c r="BN904" s="62"/>
      <c r="BO904" s="62" t="s">
        <v>1414</v>
      </c>
    </row>
    <row r="905" spans="1:70" ht="15.75" customHeight="1">
      <c r="A905" s="62" t="s">
        <v>1434</v>
      </c>
      <c r="B905" s="62"/>
      <c r="C905" s="62" t="s">
        <v>483</v>
      </c>
      <c r="E905" s="62" t="s">
        <v>1410</v>
      </c>
      <c r="G905" s="62" t="s">
        <v>1427</v>
      </c>
      <c r="H905" s="62" t="s">
        <v>1428</v>
      </c>
      <c r="I905" s="62" t="s">
        <v>1427</v>
      </c>
      <c r="J905" s="62" t="s">
        <v>1428</v>
      </c>
      <c r="N905" s="62">
        <v>18.399999999999999</v>
      </c>
      <c r="Q905" s="62">
        <v>15.4</v>
      </c>
      <c r="R905" s="62">
        <v>20.3</v>
      </c>
      <c r="U905" s="62">
        <v>17.2</v>
      </c>
      <c r="Z905" s="62">
        <v>26</v>
      </c>
      <c r="AC905" s="62">
        <v>25.8</v>
      </c>
      <c r="AD905" s="62">
        <v>26.4</v>
      </c>
      <c r="AG905" s="62">
        <v>30.7</v>
      </c>
      <c r="AH905" s="62">
        <v>25.9</v>
      </c>
      <c r="AK905" s="62">
        <v>25.4</v>
      </c>
      <c r="BK905" s="62" t="s">
        <v>1406</v>
      </c>
      <c r="BL905" s="62"/>
      <c r="BM905" s="62" t="s">
        <v>361</v>
      </c>
      <c r="BN905" s="62"/>
      <c r="BO905" s="62" t="s">
        <v>1414</v>
      </c>
    </row>
    <row r="906" spans="1:70" ht="15.75" customHeight="1">
      <c r="A906" s="62" t="s">
        <v>1435</v>
      </c>
      <c r="B906" s="62"/>
      <c r="C906" s="62" t="s">
        <v>483</v>
      </c>
      <c r="E906" s="62" t="s">
        <v>1410</v>
      </c>
      <c r="G906" s="62" t="s">
        <v>1427</v>
      </c>
      <c r="H906" s="62" t="s">
        <v>1436</v>
      </c>
      <c r="I906" s="62" t="s">
        <v>1427</v>
      </c>
      <c r="J906" s="62" t="s">
        <v>1436</v>
      </c>
      <c r="AP906" s="62">
        <v>16.8</v>
      </c>
      <c r="AS906" s="62">
        <v>7.5</v>
      </c>
      <c r="AT906" s="62">
        <v>19.3</v>
      </c>
      <c r="AW906" s="62">
        <v>8.4</v>
      </c>
      <c r="AX906" s="62">
        <v>19.8</v>
      </c>
      <c r="BA906" s="62">
        <v>8.8000000000000007</v>
      </c>
      <c r="BB906" s="62">
        <v>21.3</v>
      </c>
      <c r="BE906" s="62">
        <v>9.3000000000000007</v>
      </c>
      <c r="BF906" s="62">
        <v>20.5</v>
      </c>
      <c r="BK906" s="62" t="s">
        <v>1406</v>
      </c>
      <c r="BL906" s="62"/>
      <c r="BM906" s="62" t="s">
        <v>361</v>
      </c>
      <c r="BN906" s="62"/>
      <c r="BO906" s="62" t="s">
        <v>1407</v>
      </c>
      <c r="BP906" s="62" t="s">
        <v>361</v>
      </c>
    </row>
    <row r="907" spans="1:70" ht="15.75" customHeight="1">
      <c r="A907" s="82" t="s">
        <v>1437</v>
      </c>
      <c r="B907" s="82"/>
      <c r="C907" s="82" t="s">
        <v>483</v>
      </c>
      <c r="D907" s="83"/>
      <c r="E907" s="82" t="s">
        <v>1410</v>
      </c>
      <c r="F907" s="83"/>
      <c r="G907" s="82" t="s">
        <v>1427</v>
      </c>
      <c r="H907" s="82" t="s">
        <v>1438</v>
      </c>
      <c r="I907" s="82" t="s">
        <v>1427</v>
      </c>
      <c r="J907" s="82" t="s">
        <v>1438</v>
      </c>
      <c r="K907" s="83"/>
      <c r="L907" s="83"/>
      <c r="M907" s="83"/>
      <c r="N907" s="82">
        <v>12.5</v>
      </c>
      <c r="O907" s="83"/>
      <c r="P907" s="83"/>
      <c r="Q907" s="82">
        <v>8.5</v>
      </c>
      <c r="R907" s="82">
        <v>14.5</v>
      </c>
      <c r="S907" s="83"/>
      <c r="T907" s="83"/>
      <c r="U907" s="82">
        <v>9</v>
      </c>
      <c r="V907" s="82">
        <v>15.8</v>
      </c>
      <c r="W907" s="83"/>
      <c r="X907" s="83"/>
      <c r="Y907" s="82">
        <v>14.5</v>
      </c>
      <c r="Z907" s="82">
        <v>19.5</v>
      </c>
      <c r="AA907" s="83"/>
      <c r="AB907" s="83"/>
      <c r="AC907" s="82">
        <v>16.899999999999999</v>
      </c>
      <c r="AD907" s="82">
        <v>18.7</v>
      </c>
      <c r="AE907" s="83"/>
      <c r="AF907" s="83"/>
      <c r="AG907" s="82">
        <v>19.399999999999999</v>
      </c>
      <c r="AH907" s="82">
        <v>13.8</v>
      </c>
      <c r="AI907" s="83"/>
      <c r="AJ907" s="83"/>
      <c r="AK907" s="82">
        <v>15.1</v>
      </c>
      <c r="AL907" s="83"/>
      <c r="AM907" s="83"/>
      <c r="AN907" s="83"/>
      <c r="AO907" s="83"/>
      <c r="AP907" s="83"/>
      <c r="AQ907" s="83"/>
      <c r="AR907" s="83"/>
      <c r="AS907" s="83"/>
      <c r="AT907" s="83"/>
      <c r="AU907" s="83"/>
      <c r="AV907" s="83"/>
      <c r="AW907" s="83"/>
      <c r="AX907" s="83"/>
      <c r="AY907" s="83"/>
      <c r="AZ907" s="83"/>
      <c r="BA907" s="83"/>
      <c r="BB907" s="83"/>
      <c r="BC907" s="83"/>
      <c r="BD907" s="83"/>
      <c r="BE907" s="83"/>
      <c r="BF907" s="83"/>
      <c r="BG907" s="83"/>
      <c r="BH907" s="83"/>
      <c r="BI907" s="83"/>
      <c r="BJ907" s="82" t="s">
        <v>1439</v>
      </c>
      <c r="BK907" s="82" t="s">
        <v>1406</v>
      </c>
      <c r="BL907" s="62"/>
      <c r="BM907" s="62" t="s">
        <v>361</v>
      </c>
      <c r="BN907" s="82"/>
      <c r="BO907" s="62" t="s">
        <v>1407</v>
      </c>
      <c r="BP907" s="62" t="s">
        <v>361</v>
      </c>
      <c r="BQ907" s="83"/>
      <c r="BR907" s="83"/>
    </row>
    <row r="908" spans="1:70">
      <c r="BN908"/>
    </row>
    <row r="909" spans="1:70">
      <c r="BN909"/>
    </row>
    <row r="910" spans="1:70">
      <c r="BN910"/>
    </row>
    <row r="911" spans="1:70">
      <c r="BN911"/>
    </row>
    <row r="912" spans="1:70">
      <c r="BN912"/>
    </row>
    <row r="913" spans="66:66">
      <c r="BN913"/>
    </row>
    <row r="914" spans="66:66">
      <c r="BN914"/>
    </row>
    <row r="915" spans="66:66">
      <c r="BN915"/>
    </row>
    <row r="916" spans="66:66">
      <c r="BN916"/>
    </row>
    <row r="917" spans="66:66">
      <c r="BN917"/>
    </row>
    <row r="918" spans="66:66">
      <c r="BN918"/>
    </row>
  </sheetData>
  <autoFilter ref="A1:BR760" xr:uid="{6C5935A3-E0C1-46C8-98F4-25B0A1C6F1ED}"/>
  <sortState xmlns:xlrd2="http://schemas.microsoft.com/office/spreadsheetml/2017/richdata2" ref="A2:BR759">
    <sortCondition ref="BM2:BM759"/>
    <sortCondition ref="E2:E759"/>
    <sortCondition ref="G2:G759"/>
    <sortCondition ref="H2:H759"/>
  </sortState>
  <phoneticPr fontId="6" type="noConversion"/>
  <pageMargins left="0.7" right="0.7" top="0.75" bottom="0.75" header="0.3" footer="0.3"/>
  <pageSetup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55248-95F5-0A41-9B4A-30A31EA8D5B2}">
  <dimension ref="A1"/>
  <sheetViews>
    <sheetView topLeftCell="A26"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Species List</vt:lpstr>
      <vt:lpstr>Synonyms</vt:lpstr>
      <vt:lpstr>ArchaicUngulate_UploadFile_2021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2020-09-30T17:38:38Z</dcterms:created>
  <dcterms:modified xsi:type="dcterms:W3CDTF">2022-08-24T23:20:34Z</dcterms:modified>
  <cp:category/>
  <cp:contentStatus/>
</cp:coreProperties>
</file>