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M:\EmmaS\Natural Gas\July 2024 NG Reconstruction\Activity\"/>
    </mc:Choice>
  </mc:AlternateContent>
  <xr:revisionPtr revIDLastSave="0" documentId="13_ncr:1_{013AB020-D853-4D33-B8FB-096E4C0BD31C}" xr6:coauthVersionLast="47" xr6:coauthVersionMax="47" xr10:uidLastSave="{00000000-0000-0000-0000-000000000000}"/>
  <bookViews>
    <workbookView xWindow="-110" yWindow="-110" windowWidth="22620" windowHeight="13500" activeTab="1" xr2:uid="{C61EE689-CBEF-43F8-9AC0-C7B0A9D1A5A0}"/>
  </bookViews>
  <sheets>
    <sheet name="LengthAllocation_2022" sheetId="1" r:id="rId1"/>
    <sheet name="capacityAllocation+2022" sheetId="2" r:id="rId2"/>
    <sheet name="JCIMS Transmission"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80" i="2" l="1"/>
  <c r="I14" i="1"/>
  <c r="F14" i="1"/>
  <c r="D14" i="1"/>
  <c r="C14" i="1"/>
  <c r="T42" i="2"/>
  <c r="P80" i="2"/>
  <c r="Q66" i="2"/>
  <c r="R66" i="2"/>
  <c r="S66" i="2"/>
  <c r="T66" i="2"/>
  <c r="U66" i="2"/>
  <c r="V66" i="2"/>
  <c r="W66" i="2"/>
  <c r="X66" i="2"/>
  <c r="Y66" i="2"/>
  <c r="Z66" i="2"/>
  <c r="Q67" i="2"/>
  <c r="R67" i="2"/>
  <c r="S67" i="2"/>
  <c r="T67" i="2"/>
  <c r="U67" i="2"/>
  <c r="V67" i="2"/>
  <c r="W67" i="2"/>
  <c r="X67" i="2"/>
  <c r="Y67" i="2"/>
  <c r="Z67" i="2"/>
  <c r="Q68" i="2"/>
  <c r="R68" i="2"/>
  <c r="S68" i="2"/>
  <c r="T68" i="2"/>
  <c r="U68" i="2"/>
  <c r="V68" i="2"/>
  <c r="W68" i="2"/>
  <c r="X68" i="2"/>
  <c r="Y68" i="2"/>
  <c r="Z68" i="2"/>
  <c r="Q69" i="2"/>
  <c r="R69" i="2"/>
  <c r="S69" i="2"/>
  <c r="T69" i="2"/>
  <c r="U69" i="2"/>
  <c r="V69" i="2"/>
  <c r="W69" i="2"/>
  <c r="X69" i="2"/>
  <c r="Y69" i="2"/>
  <c r="Z69" i="2"/>
  <c r="Q70" i="2"/>
  <c r="R70" i="2"/>
  <c r="S70" i="2"/>
  <c r="T70" i="2"/>
  <c r="U70" i="2"/>
  <c r="V70" i="2"/>
  <c r="W70" i="2"/>
  <c r="X70" i="2"/>
  <c r="Y70" i="2"/>
  <c r="Z70" i="2"/>
  <c r="Q71" i="2"/>
  <c r="R71" i="2"/>
  <c r="S71" i="2"/>
  <c r="T71" i="2"/>
  <c r="U71" i="2"/>
  <c r="V71" i="2"/>
  <c r="W71" i="2"/>
  <c r="X71" i="2"/>
  <c r="Y71" i="2"/>
  <c r="Z71" i="2"/>
  <c r="Q72" i="2"/>
  <c r="R72" i="2"/>
  <c r="S72" i="2"/>
  <c r="T72" i="2"/>
  <c r="U72" i="2"/>
  <c r="V72" i="2"/>
  <c r="W72" i="2"/>
  <c r="X72" i="2"/>
  <c r="Y72" i="2"/>
  <c r="Z72" i="2"/>
  <c r="P72" i="2"/>
  <c r="P71" i="2"/>
  <c r="P70" i="2"/>
  <c r="P69" i="2"/>
  <c r="P68" i="2"/>
  <c r="P67" i="2"/>
  <c r="P66" i="2"/>
  <c r="U48" i="2"/>
  <c r="V48" i="2" s="1"/>
  <c r="W48" i="2" s="1"/>
  <c r="X48" i="2" s="1"/>
  <c r="Y48" i="2" s="1"/>
  <c r="Z48" i="2" s="1"/>
  <c r="V47" i="2"/>
  <c r="W47" i="2" s="1"/>
  <c r="X47" i="2" s="1"/>
  <c r="Y47" i="2" s="1"/>
  <c r="Z47" i="2" s="1"/>
  <c r="U47" i="2"/>
  <c r="U46" i="2"/>
  <c r="V46" i="2" s="1"/>
  <c r="W46" i="2" s="1"/>
  <c r="X46" i="2" s="1"/>
  <c r="Y46" i="2" s="1"/>
  <c r="Z46" i="2" s="1"/>
  <c r="U45" i="2"/>
  <c r="V45" i="2" s="1"/>
  <c r="W45" i="2" s="1"/>
  <c r="X45" i="2" s="1"/>
  <c r="Y45" i="2" s="1"/>
  <c r="Z45" i="2" s="1"/>
  <c r="U44" i="2"/>
  <c r="V44" i="2" s="1"/>
  <c r="W44" i="2" s="1"/>
  <c r="X44" i="2" s="1"/>
  <c r="Y44" i="2" s="1"/>
  <c r="Z44" i="2" s="1"/>
  <c r="U43" i="2"/>
  <c r="V43" i="2" s="1"/>
  <c r="W43" i="2" s="1"/>
  <c r="X43" i="2" s="1"/>
  <c r="Y43" i="2" s="1"/>
  <c r="Z43" i="2" s="1"/>
  <c r="U42" i="2"/>
  <c r="V42" i="2" s="1"/>
  <c r="W42" i="2" s="1"/>
  <c r="X42" i="2" s="1"/>
  <c r="Y42" i="2" s="1"/>
  <c r="Z42" i="2" s="1"/>
  <c r="R48" i="2"/>
  <c r="S48" i="2" s="1"/>
  <c r="Q48" i="2"/>
  <c r="Q47" i="2"/>
  <c r="R47" i="2" s="1"/>
  <c r="S47" i="2" s="1"/>
  <c r="Q46" i="2"/>
  <c r="R46" i="2" s="1"/>
  <c r="S46" i="2" s="1"/>
  <c r="R45" i="2"/>
  <c r="S45" i="2" s="1"/>
  <c r="Q45" i="2"/>
  <c r="Q44" i="2"/>
  <c r="R44" i="2" s="1"/>
  <c r="S44" i="2" s="1"/>
  <c r="Q43" i="2"/>
  <c r="R43" i="2" s="1"/>
  <c r="S43" i="2" s="1"/>
  <c r="R42" i="2"/>
  <c r="S42" i="2" s="1"/>
  <c r="Q42" i="2"/>
  <c r="T48" i="2"/>
  <c r="T47" i="2"/>
  <c r="T46" i="2"/>
  <c r="T45" i="2"/>
  <c r="T44" i="2"/>
  <c r="T43" i="2"/>
  <c r="P48" i="2"/>
  <c r="P47" i="2"/>
  <c r="P46" i="2"/>
  <c r="P45" i="2"/>
  <c r="P44" i="2"/>
  <c r="P43" i="2"/>
  <c r="P42" i="2"/>
  <c r="Z53" i="2"/>
  <c r="Z54" i="2"/>
  <c r="Z55" i="2"/>
  <c r="Z56" i="2"/>
  <c r="Z57" i="2"/>
  <c r="Z58" i="2"/>
  <c r="Z59" i="2"/>
  <c r="Z60" i="2"/>
  <c r="Z61" i="2"/>
  <c r="Z62" i="2"/>
  <c r="Q53" i="2"/>
  <c r="R53" i="2"/>
  <c r="S53" i="2"/>
  <c r="T53" i="2"/>
  <c r="U53" i="2"/>
  <c r="V53" i="2"/>
  <c r="W53" i="2"/>
  <c r="X53" i="2"/>
  <c r="Y53" i="2"/>
  <c r="Q54" i="2"/>
  <c r="R54" i="2"/>
  <c r="S54" i="2"/>
  <c r="T54" i="2"/>
  <c r="U54" i="2"/>
  <c r="V54" i="2"/>
  <c r="W54" i="2"/>
  <c r="X54" i="2"/>
  <c r="Y54" i="2"/>
  <c r="Q55" i="2"/>
  <c r="R55" i="2"/>
  <c r="S55" i="2"/>
  <c r="T55" i="2"/>
  <c r="U55" i="2"/>
  <c r="V55" i="2"/>
  <c r="W55" i="2"/>
  <c r="X55" i="2"/>
  <c r="Y55" i="2"/>
  <c r="Q56" i="2"/>
  <c r="R56" i="2"/>
  <c r="S56" i="2"/>
  <c r="T56" i="2"/>
  <c r="U56" i="2"/>
  <c r="V56" i="2"/>
  <c r="W56" i="2"/>
  <c r="X56" i="2"/>
  <c r="Y56" i="2"/>
  <c r="Q57" i="2"/>
  <c r="R57" i="2"/>
  <c r="S57" i="2"/>
  <c r="T57" i="2"/>
  <c r="U57" i="2"/>
  <c r="V57" i="2"/>
  <c r="W57" i="2"/>
  <c r="X57" i="2"/>
  <c r="Y57" i="2"/>
  <c r="Q58" i="2"/>
  <c r="R58" i="2"/>
  <c r="S58" i="2"/>
  <c r="T58" i="2"/>
  <c r="U58" i="2"/>
  <c r="V58" i="2"/>
  <c r="W58" i="2"/>
  <c r="X58" i="2"/>
  <c r="Y58" i="2"/>
  <c r="Q59" i="2"/>
  <c r="R59" i="2"/>
  <c r="S59" i="2"/>
  <c r="T59" i="2"/>
  <c r="U59" i="2"/>
  <c r="V59" i="2"/>
  <c r="W59" i="2"/>
  <c r="X59" i="2"/>
  <c r="Y59" i="2"/>
  <c r="Q60" i="2"/>
  <c r="R60" i="2"/>
  <c r="S60" i="2"/>
  <c r="T60" i="2"/>
  <c r="U60" i="2"/>
  <c r="V60" i="2"/>
  <c r="W60" i="2"/>
  <c r="X60" i="2"/>
  <c r="Y60" i="2"/>
  <c r="Q61" i="2"/>
  <c r="R61" i="2"/>
  <c r="S61" i="2"/>
  <c r="T61" i="2"/>
  <c r="U61" i="2"/>
  <c r="V61" i="2"/>
  <c r="W61" i="2"/>
  <c r="X61" i="2"/>
  <c r="Y61" i="2"/>
  <c r="Q62" i="2"/>
  <c r="R62" i="2"/>
  <c r="S62" i="2"/>
  <c r="T62" i="2"/>
  <c r="U62" i="2"/>
  <c r="V62" i="2"/>
  <c r="W62" i="2"/>
  <c r="X62" i="2"/>
  <c r="Y62" i="2"/>
  <c r="P54" i="2"/>
  <c r="P55" i="2"/>
  <c r="P56" i="2"/>
  <c r="P57" i="2"/>
  <c r="P58" i="2"/>
  <c r="P59" i="2"/>
  <c r="P60" i="2"/>
  <c r="P61" i="2"/>
  <c r="P62" i="2"/>
  <c r="P53" i="2"/>
  <c r="Z74" i="2" l="1"/>
  <c r="Y74" i="2"/>
  <c r="X74" i="2"/>
  <c r="W74" i="2"/>
  <c r="V74" i="2"/>
  <c r="U74" i="2"/>
  <c r="T74" i="2"/>
  <c r="S74" i="2"/>
  <c r="R74" i="2"/>
  <c r="Q74" i="2"/>
  <c r="P74" i="2"/>
  <c r="J58" i="3"/>
  <c r="D58" i="3"/>
  <c r="E58" i="3"/>
  <c r="F58" i="3"/>
  <c r="G58" i="3"/>
  <c r="H58" i="3"/>
  <c r="I58" i="3"/>
  <c r="C58" i="3"/>
  <c r="I43" i="3"/>
  <c r="H43" i="3"/>
  <c r="E43" i="3"/>
  <c r="D43" i="3"/>
  <c r="C43" i="3"/>
  <c r="I40" i="3"/>
  <c r="F40" i="3"/>
  <c r="E40" i="3"/>
  <c r="D40" i="3"/>
  <c r="C40" i="3"/>
  <c r="F39" i="3"/>
  <c r="C35" i="3"/>
  <c r="I34" i="3"/>
  <c r="F34" i="3"/>
  <c r="E34" i="3"/>
  <c r="D34" i="3"/>
  <c r="H33" i="3"/>
  <c r="G33" i="3"/>
  <c r="F33" i="3"/>
  <c r="E33" i="3"/>
  <c r="F30" i="3"/>
  <c r="F7" i="3"/>
  <c r="I29" i="3" s="1"/>
  <c r="F8" i="3"/>
  <c r="E30" i="3" s="1"/>
  <c r="F9" i="3"/>
  <c r="E31" i="3" s="1"/>
  <c r="F11" i="3"/>
  <c r="D33" i="3" s="1"/>
  <c r="F12" i="3"/>
  <c r="H34" i="3" s="1"/>
  <c r="F13" i="3"/>
  <c r="I35" i="3" s="1"/>
  <c r="F16" i="3"/>
  <c r="F17" i="3"/>
  <c r="I39" i="3" s="1"/>
  <c r="F18" i="3"/>
  <c r="H40" i="3" s="1"/>
  <c r="F21" i="3"/>
  <c r="G43" i="3" s="1"/>
  <c r="F22" i="3"/>
  <c r="I44" i="3" s="1"/>
  <c r="F6" i="3"/>
  <c r="F28" i="3" s="1"/>
  <c r="H3" i="3"/>
  <c r="F10" i="3" s="1"/>
  <c r="H1" i="3"/>
  <c r="B44" i="3"/>
  <c r="B43" i="3"/>
  <c r="B42" i="3"/>
  <c r="B41" i="3"/>
  <c r="B40" i="3"/>
  <c r="B39" i="3"/>
  <c r="B38" i="3"/>
  <c r="B37" i="3"/>
  <c r="B36" i="3"/>
  <c r="B35" i="3"/>
  <c r="B34" i="3"/>
  <c r="B33" i="3"/>
  <c r="B32" i="3"/>
  <c r="B31" i="3"/>
  <c r="B30" i="3"/>
  <c r="B29" i="3"/>
  <c r="B28" i="3"/>
  <c r="D22" i="3"/>
  <c r="D18" i="3"/>
  <c r="D12" i="3"/>
  <c r="H10" i="3"/>
  <c r="H7" i="3"/>
  <c r="D7" i="3" s="1"/>
  <c r="E7" i="3"/>
  <c r="M6" i="3"/>
  <c r="L6" i="3"/>
  <c r="K6" i="3"/>
  <c r="H6" i="3"/>
  <c r="E6" i="3"/>
  <c r="J310" i="2"/>
  <c r="I310" i="2"/>
  <c r="H310" i="2"/>
  <c r="G310" i="2"/>
  <c r="F310" i="2"/>
  <c r="E310" i="2"/>
  <c r="D310" i="2"/>
  <c r="C310" i="2"/>
  <c r="B310" i="2"/>
  <c r="K309" i="2"/>
  <c r="J309" i="2"/>
  <c r="I309" i="2"/>
  <c r="H309" i="2"/>
  <c r="G309" i="2"/>
  <c r="F309" i="2"/>
  <c r="E309" i="2"/>
  <c r="D309" i="2"/>
  <c r="C309" i="2"/>
  <c r="B309" i="2"/>
  <c r="K308" i="2"/>
  <c r="J308" i="2"/>
  <c r="I308" i="2"/>
  <c r="H308" i="2"/>
  <c r="G308" i="2"/>
  <c r="F308" i="2"/>
  <c r="E308" i="2"/>
  <c r="D308" i="2"/>
  <c r="C308" i="2"/>
  <c r="B308" i="2"/>
  <c r="K307" i="2"/>
  <c r="J307" i="2"/>
  <c r="I307" i="2"/>
  <c r="H307" i="2"/>
  <c r="G307" i="2"/>
  <c r="F307" i="2"/>
  <c r="E307" i="2"/>
  <c r="D307" i="2"/>
  <c r="C307" i="2"/>
  <c r="B307" i="2"/>
  <c r="K306" i="2"/>
  <c r="J306" i="2"/>
  <c r="I306" i="2"/>
  <c r="H306" i="2"/>
  <c r="G306" i="2"/>
  <c r="F306" i="2"/>
  <c r="E306" i="2"/>
  <c r="D306" i="2"/>
  <c r="C306" i="2"/>
  <c r="B306" i="2"/>
  <c r="K305" i="2"/>
  <c r="J305" i="2"/>
  <c r="I305" i="2"/>
  <c r="H305" i="2"/>
  <c r="G305" i="2"/>
  <c r="F305" i="2"/>
  <c r="E305" i="2"/>
  <c r="D305" i="2"/>
  <c r="C305" i="2"/>
  <c r="B305" i="2"/>
  <c r="K304" i="2"/>
  <c r="J304" i="2"/>
  <c r="I304" i="2"/>
  <c r="H304" i="2"/>
  <c r="G304" i="2"/>
  <c r="F304" i="2"/>
  <c r="E304" i="2"/>
  <c r="D304" i="2"/>
  <c r="C304" i="2"/>
  <c r="B304" i="2"/>
  <c r="K303" i="2"/>
  <c r="J303" i="2"/>
  <c r="I303" i="2"/>
  <c r="H303" i="2"/>
  <c r="G303" i="2"/>
  <c r="F303" i="2"/>
  <c r="E303" i="2"/>
  <c r="D303" i="2"/>
  <c r="C303" i="2"/>
  <c r="B303" i="2"/>
  <c r="K302" i="2"/>
  <c r="J302" i="2"/>
  <c r="I302" i="2"/>
  <c r="H302" i="2"/>
  <c r="G302" i="2"/>
  <c r="F302" i="2"/>
  <c r="E302" i="2"/>
  <c r="D302" i="2"/>
  <c r="C302" i="2"/>
  <c r="B302" i="2"/>
  <c r="K301" i="2"/>
  <c r="J301" i="2"/>
  <c r="I301" i="2"/>
  <c r="H301" i="2"/>
  <c r="G301" i="2"/>
  <c r="F301" i="2"/>
  <c r="E301" i="2"/>
  <c r="D301" i="2"/>
  <c r="C301" i="2"/>
  <c r="B301" i="2"/>
  <c r="K300" i="2"/>
  <c r="J300" i="2"/>
  <c r="I300" i="2"/>
  <c r="H300" i="2"/>
  <c r="G300" i="2"/>
  <c r="F300" i="2"/>
  <c r="E300" i="2"/>
  <c r="D300" i="2"/>
  <c r="C300" i="2"/>
  <c r="B300" i="2"/>
  <c r="K299" i="2"/>
  <c r="J299" i="2"/>
  <c r="I299" i="2"/>
  <c r="H299" i="2"/>
  <c r="G299" i="2"/>
  <c r="F299" i="2"/>
  <c r="E299" i="2"/>
  <c r="D299" i="2"/>
  <c r="C299" i="2"/>
  <c r="B299" i="2"/>
  <c r="K298" i="2"/>
  <c r="J298" i="2"/>
  <c r="I298" i="2"/>
  <c r="H298" i="2"/>
  <c r="G298" i="2"/>
  <c r="F298" i="2"/>
  <c r="E298" i="2"/>
  <c r="D298" i="2"/>
  <c r="C298" i="2"/>
  <c r="B298" i="2"/>
  <c r="K297" i="2"/>
  <c r="J297" i="2"/>
  <c r="I297" i="2"/>
  <c r="H297" i="2"/>
  <c r="G297" i="2"/>
  <c r="F297" i="2"/>
  <c r="E297" i="2"/>
  <c r="D297" i="2"/>
  <c r="C297" i="2"/>
  <c r="B297" i="2"/>
  <c r="K296" i="2"/>
  <c r="J296" i="2"/>
  <c r="I296" i="2"/>
  <c r="H296" i="2"/>
  <c r="G296" i="2"/>
  <c r="F296" i="2"/>
  <c r="E296" i="2"/>
  <c r="D296" i="2"/>
  <c r="C296" i="2"/>
  <c r="B296" i="2"/>
  <c r="K295" i="2"/>
  <c r="J295" i="2"/>
  <c r="I295" i="2"/>
  <c r="H295" i="2"/>
  <c r="G295" i="2"/>
  <c r="F295" i="2"/>
  <c r="E295" i="2"/>
  <c r="D295" i="2"/>
  <c r="C295" i="2"/>
  <c r="B295" i="2"/>
  <c r="K294" i="2"/>
  <c r="J294" i="2"/>
  <c r="I294" i="2"/>
  <c r="H294" i="2"/>
  <c r="G294" i="2"/>
  <c r="F294" i="2"/>
  <c r="E294" i="2"/>
  <c r="D294" i="2"/>
  <c r="C294" i="2"/>
  <c r="B294" i="2"/>
  <c r="K293" i="2"/>
  <c r="J293" i="2"/>
  <c r="I293" i="2"/>
  <c r="H293" i="2"/>
  <c r="G293" i="2"/>
  <c r="F293" i="2"/>
  <c r="E293" i="2"/>
  <c r="D293" i="2"/>
  <c r="C293" i="2"/>
  <c r="B293" i="2"/>
  <c r="K292" i="2"/>
  <c r="J292" i="2"/>
  <c r="I292" i="2"/>
  <c r="H292" i="2"/>
  <c r="G292" i="2"/>
  <c r="F292" i="2"/>
  <c r="E292" i="2"/>
  <c r="D292" i="2"/>
  <c r="C292" i="2"/>
  <c r="B292" i="2"/>
  <c r="K291" i="2"/>
  <c r="J291" i="2"/>
  <c r="I291" i="2"/>
  <c r="H291" i="2"/>
  <c r="G291" i="2"/>
  <c r="F291" i="2"/>
  <c r="E291" i="2"/>
  <c r="D291" i="2"/>
  <c r="C291" i="2"/>
  <c r="B291" i="2"/>
  <c r="K290" i="2"/>
  <c r="J290" i="2"/>
  <c r="I290" i="2"/>
  <c r="H290" i="2"/>
  <c r="G290" i="2"/>
  <c r="F290" i="2"/>
  <c r="E290" i="2"/>
  <c r="D290" i="2"/>
  <c r="C290" i="2"/>
  <c r="B290" i="2"/>
  <c r="K289" i="2"/>
  <c r="J289" i="2"/>
  <c r="I289" i="2"/>
  <c r="H289" i="2"/>
  <c r="G289" i="2"/>
  <c r="F289" i="2"/>
  <c r="E289" i="2"/>
  <c r="D289" i="2"/>
  <c r="C289" i="2"/>
  <c r="B289" i="2"/>
  <c r="K288" i="2"/>
  <c r="J288" i="2"/>
  <c r="I288" i="2"/>
  <c r="H288" i="2"/>
  <c r="G288" i="2"/>
  <c r="F288" i="2"/>
  <c r="E288" i="2"/>
  <c r="D288" i="2"/>
  <c r="C288" i="2"/>
  <c r="B288" i="2"/>
  <c r="K287" i="2"/>
  <c r="J287" i="2"/>
  <c r="I287" i="2"/>
  <c r="H287" i="2"/>
  <c r="G287" i="2"/>
  <c r="F287" i="2"/>
  <c r="E287" i="2"/>
  <c r="D287" i="2"/>
  <c r="C287" i="2"/>
  <c r="B287" i="2"/>
  <c r="K286" i="2"/>
  <c r="J286" i="2"/>
  <c r="I286" i="2"/>
  <c r="H286" i="2"/>
  <c r="G286" i="2"/>
  <c r="F286" i="2"/>
  <c r="E286" i="2"/>
  <c r="D286" i="2"/>
  <c r="C286" i="2"/>
  <c r="B286" i="2"/>
  <c r="K285" i="2"/>
  <c r="J285" i="2"/>
  <c r="I285" i="2"/>
  <c r="H285" i="2"/>
  <c r="G285" i="2"/>
  <c r="F285" i="2"/>
  <c r="E285" i="2"/>
  <c r="D285" i="2"/>
  <c r="C285" i="2"/>
  <c r="B285" i="2"/>
  <c r="K284" i="2"/>
  <c r="J284" i="2"/>
  <c r="I284" i="2"/>
  <c r="H284" i="2"/>
  <c r="G284" i="2"/>
  <c r="F284" i="2"/>
  <c r="E284" i="2"/>
  <c r="D284" i="2"/>
  <c r="C284" i="2"/>
  <c r="B284" i="2"/>
  <c r="K283" i="2"/>
  <c r="J283" i="2"/>
  <c r="I283" i="2"/>
  <c r="H283" i="2"/>
  <c r="G283" i="2"/>
  <c r="F283" i="2"/>
  <c r="E283" i="2"/>
  <c r="D283" i="2"/>
  <c r="C283" i="2"/>
  <c r="B283" i="2"/>
  <c r="K282" i="2"/>
  <c r="J282" i="2"/>
  <c r="I282" i="2"/>
  <c r="H282" i="2"/>
  <c r="G282" i="2"/>
  <c r="F282" i="2"/>
  <c r="E282" i="2"/>
  <c r="D282" i="2"/>
  <c r="C282" i="2"/>
  <c r="B282" i="2"/>
  <c r="K281" i="2"/>
  <c r="J281" i="2"/>
  <c r="I281" i="2"/>
  <c r="H281" i="2"/>
  <c r="G281" i="2"/>
  <c r="F281" i="2"/>
  <c r="E281" i="2"/>
  <c r="D281" i="2"/>
  <c r="C281" i="2"/>
  <c r="B281" i="2"/>
  <c r="K280" i="2"/>
  <c r="J280" i="2"/>
  <c r="I280" i="2"/>
  <c r="H280" i="2"/>
  <c r="G280" i="2"/>
  <c r="F280" i="2"/>
  <c r="E280" i="2"/>
  <c r="D280" i="2"/>
  <c r="C280" i="2"/>
  <c r="B280" i="2"/>
  <c r="K279" i="2"/>
  <c r="J279" i="2"/>
  <c r="I279" i="2"/>
  <c r="H279" i="2"/>
  <c r="G279" i="2"/>
  <c r="F279" i="2"/>
  <c r="E279" i="2"/>
  <c r="D279" i="2"/>
  <c r="C279" i="2"/>
  <c r="B279" i="2"/>
  <c r="K278" i="2"/>
  <c r="J278" i="2"/>
  <c r="I278" i="2"/>
  <c r="H278" i="2"/>
  <c r="G278" i="2"/>
  <c r="F278" i="2"/>
  <c r="E278" i="2"/>
  <c r="D278" i="2"/>
  <c r="C278" i="2"/>
  <c r="B278" i="2"/>
  <c r="K277" i="2"/>
  <c r="J277" i="2"/>
  <c r="I277" i="2"/>
  <c r="H277" i="2"/>
  <c r="G277" i="2"/>
  <c r="F277" i="2"/>
  <c r="E277" i="2"/>
  <c r="D277" i="2"/>
  <c r="C277" i="2"/>
  <c r="B277" i="2"/>
  <c r="L275" i="2" s="1"/>
  <c r="P8" i="2" s="1"/>
  <c r="K276" i="2"/>
  <c r="J276" i="2"/>
  <c r="I276" i="2"/>
  <c r="H276" i="2"/>
  <c r="G276" i="2"/>
  <c r="F276" i="2"/>
  <c r="E276" i="2"/>
  <c r="D276" i="2"/>
  <c r="C276" i="2"/>
  <c r="B276" i="2"/>
  <c r="J272" i="2"/>
  <c r="I272" i="2"/>
  <c r="H272" i="2"/>
  <c r="G272" i="2"/>
  <c r="F272" i="2"/>
  <c r="E272" i="2"/>
  <c r="D272" i="2"/>
  <c r="C272" i="2"/>
  <c r="B272" i="2"/>
  <c r="K271" i="2"/>
  <c r="J271" i="2"/>
  <c r="I271" i="2"/>
  <c r="H271" i="2"/>
  <c r="G271" i="2"/>
  <c r="F271" i="2"/>
  <c r="E271" i="2"/>
  <c r="D271" i="2"/>
  <c r="C271" i="2"/>
  <c r="B271" i="2"/>
  <c r="K270" i="2"/>
  <c r="J270" i="2"/>
  <c r="I270" i="2"/>
  <c r="H270" i="2"/>
  <c r="G270" i="2"/>
  <c r="F270" i="2"/>
  <c r="E270" i="2"/>
  <c r="D270" i="2"/>
  <c r="C270" i="2"/>
  <c r="B270" i="2"/>
  <c r="K269" i="2"/>
  <c r="J269" i="2"/>
  <c r="I269" i="2"/>
  <c r="H269" i="2"/>
  <c r="G269" i="2"/>
  <c r="F269" i="2"/>
  <c r="E269" i="2"/>
  <c r="D269" i="2"/>
  <c r="C269" i="2"/>
  <c r="B269" i="2"/>
  <c r="K268" i="2"/>
  <c r="J268" i="2"/>
  <c r="I268" i="2"/>
  <c r="H268" i="2"/>
  <c r="G268" i="2"/>
  <c r="F268" i="2"/>
  <c r="E268" i="2"/>
  <c r="D268" i="2"/>
  <c r="C268" i="2"/>
  <c r="B268" i="2"/>
  <c r="K267" i="2"/>
  <c r="J267" i="2"/>
  <c r="I267" i="2"/>
  <c r="H267" i="2"/>
  <c r="G267" i="2"/>
  <c r="F267" i="2"/>
  <c r="E267" i="2"/>
  <c r="D267" i="2"/>
  <c r="C267" i="2"/>
  <c r="B267" i="2"/>
  <c r="K266" i="2"/>
  <c r="J266" i="2"/>
  <c r="I266" i="2"/>
  <c r="H266" i="2"/>
  <c r="G266" i="2"/>
  <c r="F266" i="2"/>
  <c r="E266" i="2"/>
  <c r="D266" i="2"/>
  <c r="C266" i="2"/>
  <c r="B266" i="2"/>
  <c r="K265" i="2"/>
  <c r="J265" i="2"/>
  <c r="I265" i="2"/>
  <c r="H265" i="2"/>
  <c r="G265" i="2"/>
  <c r="F265" i="2"/>
  <c r="E265" i="2"/>
  <c r="D265" i="2"/>
  <c r="C265" i="2"/>
  <c r="B265" i="2"/>
  <c r="K264" i="2"/>
  <c r="J264" i="2"/>
  <c r="I264" i="2"/>
  <c r="H264" i="2"/>
  <c r="G264" i="2"/>
  <c r="F264" i="2"/>
  <c r="E264" i="2"/>
  <c r="D264" i="2"/>
  <c r="C264" i="2"/>
  <c r="B264" i="2"/>
  <c r="K263" i="2"/>
  <c r="J263" i="2"/>
  <c r="I263" i="2"/>
  <c r="H263" i="2"/>
  <c r="G263" i="2"/>
  <c r="F263" i="2"/>
  <c r="E263" i="2"/>
  <c r="D263" i="2"/>
  <c r="C263" i="2"/>
  <c r="B263" i="2"/>
  <c r="K262" i="2"/>
  <c r="J262" i="2"/>
  <c r="I262" i="2"/>
  <c r="H262" i="2"/>
  <c r="G262" i="2"/>
  <c r="F262" i="2"/>
  <c r="E262" i="2"/>
  <c r="D262" i="2"/>
  <c r="C262" i="2"/>
  <c r="B262" i="2"/>
  <c r="K261" i="2"/>
  <c r="J261" i="2"/>
  <c r="I261" i="2"/>
  <c r="H261" i="2"/>
  <c r="G261" i="2"/>
  <c r="F261" i="2"/>
  <c r="E261" i="2"/>
  <c r="D261" i="2"/>
  <c r="C261" i="2"/>
  <c r="B261" i="2"/>
  <c r="K260" i="2"/>
  <c r="J260" i="2"/>
  <c r="I260" i="2"/>
  <c r="H260" i="2"/>
  <c r="G260" i="2"/>
  <c r="F260" i="2"/>
  <c r="E260" i="2"/>
  <c r="D260" i="2"/>
  <c r="C260" i="2"/>
  <c r="B260" i="2"/>
  <c r="K259" i="2"/>
  <c r="J259" i="2"/>
  <c r="I259" i="2"/>
  <c r="H259" i="2"/>
  <c r="G259" i="2"/>
  <c r="F259" i="2"/>
  <c r="E259" i="2"/>
  <c r="D259" i="2"/>
  <c r="C259" i="2"/>
  <c r="B259" i="2"/>
  <c r="K258" i="2"/>
  <c r="J258" i="2"/>
  <c r="I258" i="2"/>
  <c r="H258" i="2"/>
  <c r="G258" i="2"/>
  <c r="F258" i="2"/>
  <c r="E258" i="2"/>
  <c r="D258" i="2"/>
  <c r="C258" i="2"/>
  <c r="B258" i="2"/>
  <c r="K257" i="2"/>
  <c r="J257" i="2"/>
  <c r="I257" i="2"/>
  <c r="H257" i="2"/>
  <c r="G257" i="2"/>
  <c r="F257" i="2"/>
  <c r="E257" i="2"/>
  <c r="D257" i="2"/>
  <c r="C257" i="2"/>
  <c r="B257" i="2"/>
  <c r="K256" i="2"/>
  <c r="J256" i="2"/>
  <c r="I256" i="2"/>
  <c r="H256" i="2"/>
  <c r="G256" i="2"/>
  <c r="F256" i="2"/>
  <c r="E256" i="2"/>
  <c r="D256" i="2"/>
  <c r="C256" i="2"/>
  <c r="B256" i="2"/>
  <c r="K255" i="2"/>
  <c r="J255" i="2"/>
  <c r="I255" i="2"/>
  <c r="H255" i="2"/>
  <c r="G255" i="2"/>
  <c r="F255" i="2"/>
  <c r="E255" i="2"/>
  <c r="D255" i="2"/>
  <c r="C255" i="2"/>
  <c r="B255" i="2"/>
  <c r="K254" i="2"/>
  <c r="J254" i="2"/>
  <c r="I254" i="2"/>
  <c r="H254" i="2"/>
  <c r="G254" i="2"/>
  <c r="F254" i="2"/>
  <c r="E254" i="2"/>
  <c r="D254" i="2"/>
  <c r="C254" i="2"/>
  <c r="B254" i="2"/>
  <c r="K253" i="2"/>
  <c r="J253" i="2"/>
  <c r="I253" i="2"/>
  <c r="H253" i="2"/>
  <c r="G253" i="2"/>
  <c r="F253" i="2"/>
  <c r="E253" i="2"/>
  <c r="D253" i="2"/>
  <c r="C253" i="2"/>
  <c r="B253" i="2"/>
  <c r="K252" i="2"/>
  <c r="J252" i="2"/>
  <c r="I252" i="2"/>
  <c r="H252" i="2"/>
  <c r="G252" i="2"/>
  <c r="F252" i="2"/>
  <c r="E252" i="2"/>
  <c r="D252" i="2"/>
  <c r="C252" i="2"/>
  <c r="B252" i="2"/>
  <c r="K251" i="2"/>
  <c r="J251" i="2"/>
  <c r="I251" i="2"/>
  <c r="H251" i="2"/>
  <c r="G251" i="2"/>
  <c r="F251" i="2"/>
  <c r="E251" i="2"/>
  <c r="D251" i="2"/>
  <c r="C251" i="2"/>
  <c r="B251" i="2"/>
  <c r="K250" i="2"/>
  <c r="J250" i="2"/>
  <c r="I250" i="2"/>
  <c r="H250" i="2"/>
  <c r="G250" i="2"/>
  <c r="F250" i="2"/>
  <c r="E250" i="2"/>
  <c r="D250" i="2"/>
  <c r="C250" i="2"/>
  <c r="B250" i="2"/>
  <c r="K249" i="2"/>
  <c r="J249" i="2"/>
  <c r="I249" i="2"/>
  <c r="H249" i="2"/>
  <c r="G249" i="2"/>
  <c r="F249" i="2"/>
  <c r="E249" i="2"/>
  <c r="D249" i="2"/>
  <c r="C249" i="2"/>
  <c r="B249" i="2"/>
  <c r="K248" i="2"/>
  <c r="J248" i="2"/>
  <c r="I248" i="2"/>
  <c r="H248" i="2"/>
  <c r="G248" i="2"/>
  <c r="F248" i="2"/>
  <c r="E248" i="2"/>
  <c r="D248" i="2"/>
  <c r="C248" i="2"/>
  <c r="B248" i="2"/>
  <c r="K247" i="2"/>
  <c r="J247" i="2"/>
  <c r="I247" i="2"/>
  <c r="H247" i="2"/>
  <c r="G247" i="2"/>
  <c r="F247" i="2"/>
  <c r="E247" i="2"/>
  <c r="D247" i="2"/>
  <c r="C247" i="2"/>
  <c r="B247" i="2"/>
  <c r="K246" i="2"/>
  <c r="J246" i="2"/>
  <c r="I246" i="2"/>
  <c r="H246" i="2"/>
  <c r="G246" i="2"/>
  <c r="F246" i="2"/>
  <c r="E246" i="2"/>
  <c r="D246" i="2"/>
  <c r="C246" i="2"/>
  <c r="B246" i="2"/>
  <c r="K245" i="2"/>
  <c r="J245" i="2"/>
  <c r="I245" i="2"/>
  <c r="H245" i="2"/>
  <c r="G245" i="2"/>
  <c r="F245" i="2"/>
  <c r="E245" i="2"/>
  <c r="D245" i="2"/>
  <c r="C245" i="2"/>
  <c r="B245" i="2"/>
  <c r="K244" i="2"/>
  <c r="J244" i="2"/>
  <c r="I244" i="2"/>
  <c r="H244" i="2"/>
  <c r="G244" i="2"/>
  <c r="F244" i="2"/>
  <c r="E244" i="2"/>
  <c r="D244" i="2"/>
  <c r="C244" i="2"/>
  <c r="B244" i="2"/>
  <c r="K243" i="2"/>
  <c r="J243" i="2"/>
  <c r="I243" i="2"/>
  <c r="H243" i="2"/>
  <c r="G243" i="2"/>
  <c r="F243" i="2"/>
  <c r="E243" i="2"/>
  <c r="D243" i="2"/>
  <c r="C243" i="2"/>
  <c r="B243" i="2"/>
  <c r="K242" i="2"/>
  <c r="J242" i="2"/>
  <c r="I242" i="2"/>
  <c r="H242" i="2"/>
  <c r="G242" i="2"/>
  <c r="F242" i="2"/>
  <c r="E242" i="2"/>
  <c r="D242" i="2"/>
  <c r="C242" i="2"/>
  <c r="B242" i="2"/>
  <c r="K241" i="2"/>
  <c r="J241" i="2"/>
  <c r="I241" i="2"/>
  <c r="H241" i="2"/>
  <c r="G241" i="2"/>
  <c r="F241" i="2"/>
  <c r="E241" i="2"/>
  <c r="D241" i="2"/>
  <c r="C241" i="2"/>
  <c r="B241" i="2"/>
  <c r="K240" i="2"/>
  <c r="J240" i="2"/>
  <c r="I240" i="2"/>
  <c r="H240" i="2"/>
  <c r="G240" i="2"/>
  <c r="F240" i="2"/>
  <c r="E240" i="2"/>
  <c r="D240" i="2"/>
  <c r="C240" i="2"/>
  <c r="B240" i="2"/>
  <c r="K239" i="2"/>
  <c r="J239" i="2"/>
  <c r="I239" i="2"/>
  <c r="H239" i="2"/>
  <c r="G239" i="2"/>
  <c r="F239" i="2"/>
  <c r="E239" i="2"/>
  <c r="D239" i="2"/>
  <c r="C239" i="2"/>
  <c r="B239" i="2"/>
  <c r="K238" i="2"/>
  <c r="J238" i="2"/>
  <c r="I238" i="2"/>
  <c r="H238" i="2"/>
  <c r="G238" i="2"/>
  <c r="F238" i="2"/>
  <c r="E238" i="2"/>
  <c r="D238" i="2"/>
  <c r="C238" i="2"/>
  <c r="B238" i="2"/>
  <c r="J234" i="2"/>
  <c r="I234" i="2"/>
  <c r="H234" i="2"/>
  <c r="G234" i="2"/>
  <c r="F234" i="2"/>
  <c r="E234" i="2"/>
  <c r="D234" i="2"/>
  <c r="C234" i="2"/>
  <c r="B234" i="2"/>
  <c r="K233" i="2"/>
  <c r="J233" i="2"/>
  <c r="I233" i="2"/>
  <c r="H233" i="2"/>
  <c r="G233" i="2"/>
  <c r="F233" i="2"/>
  <c r="E233" i="2"/>
  <c r="D233" i="2"/>
  <c r="C233" i="2"/>
  <c r="B233" i="2"/>
  <c r="K232" i="2"/>
  <c r="J232" i="2"/>
  <c r="I232" i="2"/>
  <c r="H232" i="2"/>
  <c r="G232" i="2"/>
  <c r="F232" i="2"/>
  <c r="E232" i="2"/>
  <c r="D232" i="2"/>
  <c r="C232" i="2"/>
  <c r="B232" i="2"/>
  <c r="K231" i="2"/>
  <c r="J231" i="2"/>
  <c r="I231" i="2"/>
  <c r="H231" i="2"/>
  <c r="G231" i="2"/>
  <c r="F231" i="2"/>
  <c r="E231" i="2"/>
  <c r="D231" i="2"/>
  <c r="C231" i="2"/>
  <c r="B231" i="2"/>
  <c r="K230" i="2"/>
  <c r="J230" i="2"/>
  <c r="I230" i="2"/>
  <c r="H230" i="2"/>
  <c r="G230" i="2"/>
  <c r="F230" i="2"/>
  <c r="E230" i="2"/>
  <c r="D230" i="2"/>
  <c r="C230" i="2"/>
  <c r="B230" i="2"/>
  <c r="K229" i="2"/>
  <c r="J229" i="2"/>
  <c r="I229" i="2"/>
  <c r="H229" i="2"/>
  <c r="G229" i="2"/>
  <c r="F229" i="2"/>
  <c r="E229" i="2"/>
  <c r="D229" i="2"/>
  <c r="C229" i="2"/>
  <c r="B229" i="2"/>
  <c r="K228" i="2"/>
  <c r="J228" i="2"/>
  <c r="I228" i="2"/>
  <c r="H228" i="2"/>
  <c r="G228" i="2"/>
  <c r="F228" i="2"/>
  <c r="E228" i="2"/>
  <c r="D228" i="2"/>
  <c r="C228" i="2"/>
  <c r="B228" i="2"/>
  <c r="K227" i="2"/>
  <c r="J227" i="2"/>
  <c r="I227" i="2"/>
  <c r="H227" i="2"/>
  <c r="G227" i="2"/>
  <c r="F227" i="2"/>
  <c r="E227" i="2"/>
  <c r="D227" i="2"/>
  <c r="C227" i="2"/>
  <c r="B227" i="2"/>
  <c r="K226" i="2"/>
  <c r="J226" i="2"/>
  <c r="I226" i="2"/>
  <c r="H226" i="2"/>
  <c r="G226" i="2"/>
  <c r="F226" i="2"/>
  <c r="E226" i="2"/>
  <c r="D226" i="2"/>
  <c r="C226" i="2"/>
  <c r="B226" i="2"/>
  <c r="K225" i="2"/>
  <c r="J225" i="2"/>
  <c r="I225" i="2"/>
  <c r="H225" i="2"/>
  <c r="G225" i="2"/>
  <c r="F225" i="2"/>
  <c r="E225" i="2"/>
  <c r="D225" i="2"/>
  <c r="C225" i="2"/>
  <c r="B225" i="2"/>
  <c r="K224" i="2"/>
  <c r="J224" i="2"/>
  <c r="I224" i="2"/>
  <c r="H224" i="2"/>
  <c r="G224" i="2"/>
  <c r="F224" i="2"/>
  <c r="E224" i="2"/>
  <c r="D224" i="2"/>
  <c r="C224" i="2"/>
  <c r="B224" i="2"/>
  <c r="K223" i="2"/>
  <c r="J223" i="2"/>
  <c r="I223" i="2"/>
  <c r="H223" i="2"/>
  <c r="G223" i="2"/>
  <c r="F223" i="2"/>
  <c r="E223" i="2"/>
  <c r="D223" i="2"/>
  <c r="C223" i="2"/>
  <c r="B223" i="2"/>
  <c r="K222" i="2"/>
  <c r="J222" i="2"/>
  <c r="I222" i="2"/>
  <c r="H222" i="2"/>
  <c r="G222" i="2"/>
  <c r="F222" i="2"/>
  <c r="E222" i="2"/>
  <c r="D222" i="2"/>
  <c r="C222" i="2"/>
  <c r="B222" i="2"/>
  <c r="K221" i="2"/>
  <c r="J221" i="2"/>
  <c r="I221" i="2"/>
  <c r="H221" i="2"/>
  <c r="G221" i="2"/>
  <c r="F221" i="2"/>
  <c r="E221" i="2"/>
  <c r="D221" i="2"/>
  <c r="C221" i="2"/>
  <c r="B221" i="2"/>
  <c r="K220" i="2"/>
  <c r="J220" i="2"/>
  <c r="I220" i="2"/>
  <c r="H220" i="2"/>
  <c r="G220" i="2"/>
  <c r="F220" i="2"/>
  <c r="E220" i="2"/>
  <c r="D220" i="2"/>
  <c r="C220" i="2"/>
  <c r="B220" i="2"/>
  <c r="K219" i="2"/>
  <c r="J219" i="2"/>
  <c r="I219" i="2"/>
  <c r="H219" i="2"/>
  <c r="G219" i="2"/>
  <c r="F219" i="2"/>
  <c r="E219" i="2"/>
  <c r="D219" i="2"/>
  <c r="C219" i="2"/>
  <c r="B219" i="2"/>
  <c r="K218" i="2"/>
  <c r="J218" i="2"/>
  <c r="I218" i="2"/>
  <c r="H218" i="2"/>
  <c r="G218" i="2"/>
  <c r="F218" i="2"/>
  <c r="E218" i="2"/>
  <c r="D218" i="2"/>
  <c r="C218" i="2"/>
  <c r="B218" i="2"/>
  <c r="K217" i="2"/>
  <c r="J217" i="2"/>
  <c r="I217" i="2"/>
  <c r="H217" i="2"/>
  <c r="G217" i="2"/>
  <c r="F217" i="2"/>
  <c r="E217" i="2"/>
  <c r="D217" i="2"/>
  <c r="C217" i="2"/>
  <c r="B217" i="2"/>
  <c r="K216" i="2"/>
  <c r="J216" i="2"/>
  <c r="I216" i="2"/>
  <c r="H216" i="2"/>
  <c r="G216" i="2"/>
  <c r="F216" i="2"/>
  <c r="E216" i="2"/>
  <c r="D216" i="2"/>
  <c r="C216" i="2"/>
  <c r="B216" i="2"/>
  <c r="K215" i="2"/>
  <c r="J215" i="2"/>
  <c r="I215" i="2"/>
  <c r="H215" i="2"/>
  <c r="G215" i="2"/>
  <c r="F215" i="2"/>
  <c r="E215" i="2"/>
  <c r="D215" i="2"/>
  <c r="C215" i="2"/>
  <c r="B215" i="2"/>
  <c r="K214" i="2"/>
  <c r="J214" i="2"/>
  <c r="I214" i="2"/>
  <c r="H214" i="2"/>
  <c r="G214" i="2"/>
  <c r="F214" i="2"/>
  <c r="E214" i="2"/>
  <c r="D214" i="2"/>
  <c r="C214" i="2"/>
  <c r="B214" i="2"/>
  <c r="K213" i="2"/>
  <c r="J213" i="2"/>
  <c r="I213" i="2"/>
  <c r="H213" i="2"/>
  <c r="G213" i="2"/>
  <c r="F213" i="2"/>
  <c r="E213" i="2"/>
  <c r="D213" i="2"/>
  <c r="C213" i="2"/>
  <c r="B213" i="2"/>
  <c r="K212" i="2"/>
  <c r="J212" i="2"/>
  <c r="I212" i="2"/>
  <c r="H212" i="2"/>
  <c r="G212" i="2"/>
  <c r="F212" i="2"/>
  <c r="E212" i="2"/>
  <c r="D212" i="2"/>
  <c r="C212" i="2"/>
  <c r="B212" i="2"/>
  <c r="K211" i="2"/>
  <c r="J211" i="2"/>
  <c r="I211" i="2"/>
  <c r="H211" i="2"/>
  <c r="G211" i="2"/>
  <c r="F211" i="2"/>
  <c r="E211" i="2"/>
  <c r="D211" i="2"/>
  <c r="C211" i="2"/>
  <c r="B211" i="2"/>
  <c r="K210" i="2"/>
  <c r="J210" i="2"/>
  <c r="I210" i="2"/>
  <c r="H210" i="2"/>
  <c r="G210" i="2"/>
  <c r="F210" i="2"/>
  <c r="E210" i="2"/>
  <c r="D210" i="2"/>
  <c r="C210" i="2"/>
  <c r="B210" i="2"/>
  <c r="K209" i="2"/>
  <c r="J209" i="2"/>
  <c r="I209" i="2"/>
  <c r="H209" i="2"/>
  <c r="G209" i="2"/>
  <c r="F209" i="2"/>
  <c r="E209" i="2"/>
  <c r="D209" i="2"/>
  <c r="C209" i="2"/>
  <c r="B209" i="2"/>
  <c r="K208" i="2"/>
  <c r="J208" i="2"/>
  <c r="I208" i="2"/>
  <c r="H208" i="2"/>
  <c r="G208" i="2"/>
  <c r="F208" i="2"/>
  <c r="E208" i="2"/>
  <c r="D208" i="2"/>
  <c r="C208" i="2"/>
  <c r="B208" i="2"/>
  <c r="K207" i="2"/>
  <c r="J207" i="2"/>
  <c r="I207" i="2"/>
  <c r="H207" i="2"/>
  <c r="G207" i="2"/>
  <c r="F207" i="2"/>
  <c r="E207" i="2"/>
  <c r="D207" i="2"/>
  <c r="C207" i="2"/>
  <c r="B207" i="2"/>
  <c r="K206" i="2"/>
  <c r="J206" i="2"/>
  <c r="I206" i="2"/>
  <c r="H206" i="2"/>
  <c r="G206" i="2"/>
  <c r="F206" i="2"/>
  <c r="E206" i="2"/>
  <c r="D206" i="2"/>
  <c r="C206" i="2"/>
  <c r="B206" i="2"/>
  <c r="K205" i="2"/>
  <c r="J205" i="2"/>
  <c r="I205" i="2"/>
  <c r="H205" i="2"/>
  <c r="G205" i="2"/>
  <c r="F205" i="2"/>
  <c r="E205" i="2"/>
  <c r="D205" i="2"/>
  <c r="C205" i="2"/>
  <c r="B205" i="2"/>
  <c r="K204" i="2"/>
  <c r="J204" i="2"/>
  <c r="I204" i="2"/>
  <c r="H204" i="2"/>
  <c r="G204" i="2"/>
  <c r="F204" i="2"/>
  <c r="E204" i="2"/>
  <c r="D204" i="2"/>
  <c r="C204" i="2"/>
  <c r="B204" i="2"/>
  <c r="K203" i="2"/>
  <c r="J203" i="2"/>
  <c r="I203" i="2"/>
  <c r="H203" i="2"/>
  <c r="G203" i="2"/>
  <c r="F203" i="2"/>
  <c r="E203" i="2"/>
  <c r="D203" i="2"/>
  <c r="C203" i="2"/>
  <c r="B203" i="2"/>
  <c r="K202" i="2"/>
  <c r="J202" i="2"/>
  <c r="I202" i="2"/>
  <c r="H202" i="2"/>
  <c r="G202" i="2"/>
  <c r="F202" i="2"/>
  <c r="E202" i="2"/>
  <c r="D202" i="2"/>
  <c r="C202" i="2"/>
  <c r="B202" i="2"/>
  <c r="K201" i="2"/>
  <c r="J201" i="2"/>
  <c r="I201" i="2"/>
  <c r="H201" i="2"/>
  <c r="G201" i="2"/>
  <c r="F201" i="2"/>
  <c r="E201" i="2"/>
  <c r="D201" i="2"/>
  <c r="C201" i="2"/>
  <c r="B201" i="2"/>
  <c r="K200" i="2"/>
  <c r="J200" i="2"/>
  <c r="I200" i="2"/>
  <c r="H200" i="2"/>
  <c r="G200" i="2"/>
  <c r="F200" i="2"/>
  <c r="E200" i="2"/>
  <c r="D200" i="2"/>
  <c r="C200" i="2"/>
  <c r="B200" i="2"/>
  <c r="J196" i="2"/>
  <c r="I196" i="2"/>
  <c r="H196" i="2"/>
  <c r="G196" i="2"/>
  <c r="F196" i="2"/>
  <c r="E196" i="2"/>
  <c r="D196" i="2"/>
  <c r="C196" i="2"/>
  <c r="B196" i="2"/>
  <c r="K195" i="2"/>
  <c r="J195" i="2"/>
  <c r="I195" i="2"/>
  <c r="H195" i="2"/>
  <c r="G195" i="2"/>
  <c r="F195" i="2"/>
  <c r="E195" i="2"/>
  <c r="D195" i="2"/>
  <c r="C195" i="2"/>
  <c r="B195" i="2"/>
  <c r="K194" i="2"/>
  <c r="J194" i="2"/>
  <c r="I194" i="2"/>
  <c r="H194" i="2"/>
  <c r="G194" i="2"/>
  <c r="F194" i="2"/>
  <c r="E194" i="2"/>
  <c r="D194" i="2"/>
  <c r="C194" i="2"/>
  <c r="B194" i="2"/>
  <c r="K193" i="2"/>
  <c r="J193" i="2"/>
  <c r="I193" i="2"/>
  <c r="H193" i="2"/>
  <c r="G193" i="2"/>
  <c r="F193" i="2"/>
  <c r="E193" i="2"/>
  <c r="D193" i="2"/>
  <c r="C193" i="2"/>
  <c r="B193" i="2"/>
  <c r="K192" i="2"/>
  <c r="J192" i="2"/>
  <c r="I192" i="2"/>
  <c r="H192" i="2"/>
  <c r="G192" i="2"/>
  <c r="F192" i="2"/>
  <c r="E192" i="2"/>
  <c r="D192" i="2"/>
  <c r="C192" i="2"/>
  <c r="B192" i="2"/>
  <c r="K191" i="2"/>
  <c r="J191" i="2"/>
  <c r="I191" i="2"/>
  <c r="H191" i="2"/>
  <c r="G191" i="2"/>
  <c r="F191" i="2"/>
  <c r="E191" i="2"/>
  <c r="D191" i="2"/>
  <c r="C191" i="2"/>
  <c r="B191" i="2"/>
  <c r="K190" i="2"/>
  <c r="J190" i="2"/>
  <c r="I190" i="2"/>
  <c r="H190" i="2"/>
  <c r="G190" i="2"/>
  <c r="F190" i="2"/>
  <c r="E190" i="2"/>
  <c r="D190" i="2"/>
  <c r="C190" i="2"/>
  <c r="B190" i="2"/>
  <c r="K189" i="2"/>
  <c r="J189" i="2"/>
  <c r="I189" i="2"/>
  <c r="H189" i="2"/>
  <c r="G189" i="2"/>
  <c r="F189" i="2"/>
  <c r="E189" i="2"/>
  <c r="D189" i="2"/>
  <c r="C189" i="2"/>
  <c r="B189" i="2"/>
  <c r="K188" i="2"/>
  <c r="J188" i="2"/>
  <c r="I188" i="2"/>
  <c r="H188" i="2"/>
  <c r="G188" i="2"/>
  <c r="F188" i="2"/>
  <c r="E188" i="2"/>
  <c r="D188" i="2"/>
  <c r="C188" i="2"/>
  <c r="B188" i="2"/>
  <c r="K187" i="2"/>
  <c r="J187" i="2"/>
  <c r="I187" i="2"/>
  <c r="H187" i="2"/>
  <c r="G187" i="2"/>
  <c r="F187" i="2"/>
  <c r="E187" i="2"/>
  <c r="D187" i="2"/>
  <c r="C187" i="2"/>
  <c r="B187" i="2"/>
  <c r="K186" i="2"/>
  <c r="J186" i="2"/>
  <c r="I186" i="2"/>
  <c r="H186" i="2"/>
  <c r="G186" i="2"/>
  <c r="F186" i="2"/>
  <c r="E186" i="2"/>
  <c r="D186" i="2"/>
  <c r="C186" i="2"/>
  <c r="B186" i="2"/>
  <c r="K185" i="2"/>
  <c r="J185" i="2"/>
  <c r="I185" i="2"/>
  <c r="H185" i="2"/>
  <c r="G185" i="2"/>
  <c r="F185" i="2"/>
  <c r="E185" i="2"/>
  <c r="D185" i="2"/>
  <c r="C185" i="2"/>
  <c r="B185" i="2"/>
  <c r="K184" i="2"/>
  <c r="J184" i="2"/>
  <c r="I184" i="2"/>
  <c r="H184" i="2"/>
  <c r="G184" i="2"/>
  <c r="F184" i="2"/>
  <c r="E184" i="2"/>
  <c r="D184" i="2"/>
  <c r="C184" i="2"/>
  <c r="B184" i="2"/>
  <c r="K183" i="2"/>
  <c r="J183" i="2"/>
  <c r="I183" i="2"/>
  <c r="H183" i="2"/>
  <c r="G183" i="2"/>
  <c r="F183" i="2"/>
  <c r="E183" i="2"/>
  <c r="D183" i="2"/>
  <c r="C183" i="2"/>
  <c r="B183" i="2"/>
  <c r="K182" i="2"/>
  <c r="J182" i="2"/>
  <c r="I182" i="2"/>
  <c r="H182" i="2"/>
  <c r="G182" i="2"/>
  <c r="F182" i="2"/>
  <c r="E182" i="2"/>
  <c r="D182" i="2"/>
  <c r="C182" i="2"/>
  <c r="B182" i="2"/>
  <c r="K181" i="2"/>
  <c r="J181" i="2"/>
  <c r="I181" i="2"/>
  <c r="H181" i="2"/>
  <c r="G181" i="2"/>
  <c r="F181" i="2"/>
  <c r="E181" i="2"/>
  <c r="D181" i="2"/>
  <c r="C181" i="2"/>
  <c r="B181" i="2"/>
  <c r="K180" i="2"/>
  <c r="J180" i="2"/>
  <c r="I180" i="2"/>
  <c r="H180" i="2"/>
  <c r="G180" i="2"/>
  <c r="F180" i="2"/>
  <c r="E180" i="2"/>
  <c r="D180" i="2"/>
  <c r="C180" i="2"/>
  <c r="B180" i="2"/>
  <c r="K179" i="2"/>
  <c r="J179" i="2"/>
  <c r="I179" i="2"/>
  <c r="H179" i="2"/>
  <c r="G179" i="2"/>
  <c r="F179" i="2"/>
  <c r="E179" i="2"/>
  <c r="D179" i="2"/>
  <c r="C179" i="2"/>
  <c r="B179" i="2"/>
  <c r="K178" i="2"/>
  <c r="J178" i="2"/>
  <c r="I178" i="2"/>
  <c r="H178" i="2"/>
  <c r="G178" i="2"/>
  <c r="F178" i="2"/>
  <c r="E178" i="2"/>
  <c r="D178" i="2"/>
  <c r="C178" i="2"/>
  <c r="B178" i="2"/>
  <c r="K177" i="2"/>
  <c r="J177" i="2"/>
  <c r="I177" i="2"/>
  <c r="H177" i="2"/>
  <c r="G177" i="2"/>
  <c r="F177" i="2"/>
  <c r="E177" i="2"/>
  <c r="D177" i="2"/>
  <c r="C177" i="2"/>
  <c r="B177" i="2"/>
  <c r="K176" i="2"/>
  <c r="J176" i="2"/>
  <c r="I176" i="2"/>
  <c r="H176" i="2"/>
  <c r="G176" i="2"/>
  <c r="F176" i="2"/>
  <c r="E176" i="2"/>
  <c r="D176" i="2"/>
  <c r="C176" i="2"/>
  <c r="B176" i="2"/>
  <c r="K175" i="2"/>
  <c r="J175" i="2"/>
  <c r="I175" i="2"/>
  <c r="H175" i="2"/>
  <c r="G175" i="2"/>
  <c r="F175" i="2"/>
  <c r="E175" i="2"/>
  <c r="D175" i="2"/>
  <c r="C175" i="2"/>
  <c r="B175" i="2"/>
  <c r="K174" i="2"/>
  <c r="J174" i="2"/>
  <c r="I174" i="2"/>
  <c r="H174" i="2"/>
  <c r="G174" i="2"/>
  <c r="F174" i="2"/>
  <c r="E174" i="2"/>
  <c r="D174" i="2"/>
  <c r="C174" i="2"/>
  <c r="B174" i="2"/>
  <c r="K173" i="2"/>
  <c r="J173" i="2"/>
  <c r="I173" i="2"/>
  <c r="H173" i="2"/>
  <c r="G173" i="2"/>
  <c r="F173" i="2"/>
  <c r="E173" i="2"/>
  <c r="D173" i="2"/>
  <c r="C173" i="2"/>
  <c r="B173" i="2"/>
  <c r="K172" i="2"/>
  <c r="J172" i="2"/>
  <c r="I172" i="2"/>
  <c r="H172" i="2"/>
  <c r="G172" i="2"/>
  <c r="F172" i="2"/>
  <c r="E172" i="2"/>
  <c r="D172" i="2"/>
  <c r="C172" i="2"/>
  <c r="B172" i="2"/>
  <c r="K171" i="2"/>
  <c r="J171" i="2"/>
  <c r="I171" i="2"/>
  <c r="H171" i="2"/>
  <c r="G171" i="2"/>
  <c r="F171" i="2"/>
  <c r="E171" i="2"/>
  <c r="D171" i="2"/>
  <c r="C171" i="2"/>
  <c r="B171" i="2"/>
  <c r="K170" i="2"/>
  <c r="J170" i="2"/>
  <c r="I170" i="2"/>
  <c r="H170" i="2"/>
  <c r="G170" i="2"/>
  <c r="F170" i="2"/>
  <c r="E170" i="2"/>
  <c r="D170" i="2"/>
  <c r="C170" i="2"/>
  <c r="B170" i="2"/>
  <c r="K169" i="2"/>
  <c r="J169" i="2"/>
  <c r="I169" i="2"/>
  <c r="H169" i="2"/>
  <c r="G169" i="2"/>
  <c r="F169" i="2"/>
  <c r="E169" i="2"/>
  <c r="D169" i="2"/>
  <c r="C169" i="2"/>
  <c r="B169" i="2"/>
  <c r="K168" i="2"/>
  <c r="J168" i="2"/>
  <c r="I168" i="2"/>
  <c r="H168" i="2"/>
  <c r="G168" i="2"/>
  <c r="F168" i="2"/>
  <c r="E168" i="2"/>
  <c r="D168" i="2"/>
  <c r="C168" i="2"/>
  <c r="B168" i="2"/>
  <c r="K167" i="2"/>
  <c r="J167" i="2"/>
  <c r="I167" i="2"/>
  <c r="H167" i="2"/>
  <c r="G167" i="2"/>
  <c r="F167" i="2"/>
  <c r="E167" i="2"/>
  <c r="D167" i="2"/>
  <c r="C167" i="2"/>
  <c r="B167" i="2"/>
  <c r="K166" i="2"/>
  <c r="J166" i="2"/>
  <c r="I166" i="2"/>
  <c r="H166" i="2"/>
  <c r="G166" i="2"/>
  <c r="F166" i="2"/>
  <c r="E166" i="2"/>
  <c r="D166" i="2"/>
  <c r="C166" i="2"/>
  <c r="B166" i="2"/>
  <c r="K165" i="2"/>
  <c r="J165" i="2"/>
  <c r="I165" i="2"/>
  <c r="H165" i="2"/>
  <c r="G165" i="2"/>
  <c r="F165" i="2"/>
  <c r="E165" i="2"/>
  <c r="D165" i="2"/>
  <c r="C165" i="2"/>
  <c r="B165" i="2"/>
  <c r="K164" i="2"/>
  <c r="J164" i="2"/>
  <c r="I164" i="2"/>
  <c r="H164" i="2"/>
  <c r="G164" i="2"/>
  <c r="F164" i="2"/>
  <c r="E164" i="2"/>
  <c r="D164" i="2"/>
  <c r="C164" i="2"/>
  <c r="B164" i="2"/>
  <c r="K163" i="2"/>
  <c r="J163" i="2"/>
  <c r="I163" i="2"/>
  <c r="H163" i="2"/>
  <c r="G163" i="2"/>
  <c r="F163" i="2"/>
  <c r="E163" i="2"/>
  <c r="D163" i="2"/>
  <c r="C163" i="2"/>
  <c r="B163" i="2"/>
  <c r="K162" i="2"/>
  <c r="J162" i="2"/>
  <c r="I162" i="2"/>
  <c r="H162" i="2"/>
  <c r="G162" i="2"/>
  <c r="F162" i="2"/>
  <c r="E162" i="2"/>
  <c r="D162" i="2"/>
  <c r="C162" i="2"/>
  <c r="B162" i="2"/>
  <c r="J158" i="2"/>
  <c r="I158" i="2"/>
  <c r="H158" i="2"/>
  <c r="G158" i="2"/>
  <c r="F158" i="2"/>
  <c r="E158" i="2"/>
  <c r="D158" i="2"/>
  <c r="C158" i="2"/>
  <c r="B158" i="2"/>
  <c r="K157" i="2"/>
  <c r="J157" i="2"/>
  <c r="I157" i="2"/>
  <c r="H157" i="2"/>
  <c r="G157" i="2"/>
  <c r="F157" i="2"/>
  <c r="E157" i="2"/>
  <c r="D157" i="2"/>
  <c r="C157" i="2"/>
  <c r="B157" i="2"/>
  <c r="K156" i="2"/>
  <c r="J156" i="2"/>
  <c r="I156" i="2"/>
  <c r="H156" i="2"/>
  <c r="G156" i="2"/>
  <c r="F156" i="2"/>
  <c r="E156" i="2"/>
  <c r="D156" i="2"/>
  <c r="C156" i="2"/>
  <c r="B156" i="2"/>
  <c r="K155" i="2"/>
  <c r="J155" i="2"/>
  <c r="I155" i="2"/>
  <c r="H155" i="2"/>
  <c r="G155" i="2"/>
  <c r="F155" i="2"/>
  <c r="E155" i="2"/>
  <c r="D155" i="2"/>
  <c r="C155" i="2"/>
  <c r="B155" i="2"/>
  <c r="K154" i="2"/>
  <c r="J154" i="2"/>
  <c r="I154" i="2"/>
  <c r="H154" i="2"/>
  <c r="G154" i="2"/>
  <c r="F154" i="2"/>
  <c r="E154" i="2"/>
  <c r="D154" i="2"/>
  <c r="C154" i="2"/>
  <c r="B154" i="2"/>
  <c r="K153" i="2"/>
  <c r="J153" i="2"/>
  <c r="I153" i="2"/>
  <c r="H153" i="2"/>
  <c r="G153" i="2"/>
  <c r="F153" i="2"/>
  <c r="E153" i="2"/>
  <c r="D153" i="2"/>
  <c r="C153" i="2"/>
  <c r="B153" i="2"/>
  <c r="K152" i="2"/>
  <c r="J152" i="2"/>
  <c r="I152" i="2"/>
  <c r="H152" i="2"/>
  <c r="G152" i="2"/>
  <c r="F152" i="2"/>
  <c r="E152" i="2"/>
  <c r="D152" i="2"/>
  <c r="C152" i="2"/>
  <c r="B152" i="2"/>
  <c r="K151" i="2"/>
  <c r="J151" i="2"/>
  <c r="I151" i="2"/>
  <c r="H151" i="2"/>
  <c r="G151" i="2"/>
  <c r="F151" i="2"/>
  <c r="E151" i="2"/>
  <c r="D151" i="2"/>
  <c r="C151" i="2"/>
  <c r="B151" i="2"/>
  <c r="K150" i="2"/>
  <c r="J150" i="2"/>
  <c r="I150" i="2"/>
  <c r="H150" i="2"/>
  <c r="G150" i="2"/>
  <c r="F150" i="2"/>
  <c r="E150" i="2"/>
  <c r="D150" i="2"/>
  <c r="C150" i="2"/>
  <c r="B150" i="2"/>
  <c r="K149" i="2"/>
  <c r="J149" i="2"/>
  <c r="I149" i="2"/>
  <c r="H149" i="2"/>
  <c r="G149" i="2"/>
  <c r="F149" i="2"/>
  <c r="E149" i="2"/>
  <c r="D149" i="2"/>
  <c r="C149" i="2"/>
  <c r="B149" i="2"/>
  <c r="K148" i="2"/>
  <c r="J148" i="2"/>
  <c r="I148" i="2"/>
  <c r="H148" i="2"/>
  <c r="G148" i="2"/>
  <c r="F148" i="2"/>
  <c r="E148" i="2"/>
  <c r="D148" i="2"/>
  <c r="C148" i="2"/>
  <c r="B148" i="2"/>
  <c r="K147" i="2"/>
  <c r="J147" i="2"/>
  <c r="I147" i="2"/>
  <c r="H147" i="2"/>
  <c r="G147" i="2"/>
  <c r="F147" i="2"/>
  <c r="E147" i="2"/>
  <c r="D147" i="2"/>
  <c r="C147" i="2"/>
  <c r="B147" i="2"/>
  <c r="K146" i="2"/>
  <c r="J146" i="2"/>
  <c r="I146" i="2"/>
  <c r="H146" i="2"/>
  <c r="G146" i="2"/>
  <c r="F146" i="2"/>
  <c r="E146" i="2"/>
  <c r="D146" i="2"/>
  <c r="C146" i="2"/>
  <c r="B146" i="2"/>
  <c r="K145" i="2"/>
  <c r="J145" i="2"/>
  <c r="I145" i="2"/>
  <c r="H145" i="2"/>
  <c r="G145" i="2"/>
  <c r="F145" i="2"/>
  <c r="E145" i="2"/>
  <c r="D145" i="2"/>
  <c r="C145" i="2"/>
  <c r="B145" i="2"/>
  <c r="K144" i="2"/>
  <c r="J144" i="2"/>
  <c r="I144" i="2"/>
  <c r="H144" i="2"/>
  <c r="G144" i="2"/>
  <c r="F144" i="2"/>
  <c r="E144" i="2"/>
  <c r="D144" i="2"/>
  <c r="C144" i="2"/>
  <c r="B144" i="2"/>
  <c r="K143" i="2"/>
  <c r="J143" i="2"/>
  <c r="I143" i="2"/>
  <c r="H143" i="2"/>
  <c r="G143" i="2"/>
  <c r="F143" i="2"/>
  <c r="E143" i="2"/>
  <c r="D143" i="2"/>
  <c r="C143" i="2"/>
  <c r="B143" i="2"/>
  <c r="K142" i="2"/>
  <c r="J142" i="2"/>
  <c r="I142" i="2"/>
  <c r="H142" i="2"/>
  <c r="G142" i="2"/>
  <c r="F142" i="2"/>
  <c r="E142" i="2"/>
  <c r="D142" i="2"/>
  <c r="C142" i="2"/>
  <c r="B142" i="2"/>
  <c r="K141" i="2"/>
  <c r="J141" i="2"/>
  <c r="I141" i="2"/>
  <c r="H141" i="2"/>
  <c r="G141" i="2"/>
  <c r="F141" i="2"/>
  <c r="E141" i="2"/>
  <c r="D141" i="2"/>
  <c r="C141" i="2"/>
  <c r="B141" i="2"/>
  <c r="K140" i="2"/>
  <c r="J140" i="2"/>
  <c r="I140" i="2"/>
  <c r="H140" i="2"/>
  <c r="G140" i="2"/>
  <c r="F140" i="2"/>
  <c r="E140" i="2"/>
  <c r="D140" i="2"/>
  <c r="C140" i="2"/>
  <c r="B140" i="2"/>
  <c r="K139" i="2"/>
  <c r="J139" i="2"/>
  <c r="I139" i="2"/>
  <c r="H139" i="2"/>
  <c r="G139" i="2"/>
  <c r="F139" i="2"/>
  <c r="E139" i="2"/>
  <c r="D139" i="2"/>
  <c r="C139" i="2"/>
  <c r="B139" i="2"/>
  <c r="K138" i="2"/>
  <c r="J138" i="2"/>
  <c r="I138" i="2"/>
  <c r="H138" i="2"/>
  <c r="G138" i="2"/>
  <c r="F138" i="2"/>
  <c r="E138" i="2"/>
  <c r="D138" i="2"/>
  <c r="C138" i="2"/>
  <c r="B138" i="2"/>
  <c r="K137" i="2"/>
  <c r="J137" i="2"/>
  <c r="I137" i="2"/>
  <c r="H137" i="2"/>
  <c r="G137" i="2"/>
  <c r="F137" i="2"/>
  <c r="E137" i="2"/>
  <c r="D137" i="2"/>
  <c r="C137" i="2"/>
  <c r="B137" i="2"/>
  <c r="K136" i="2"/>
  <c r="J136" i="2"/>
  <c r="I136" i="2"/>
  <c r="H136" i="2"/>
  <c r="G136" i="2"/>
  <c r="F136" i="2"/>
  <c r="E136" i="2"/>
  <c r="D136" i="2"/>
  <c r="C136" i="2"/>
  <c r="B136" i="2"/>
  <c r="K135" i="2"/>
  <c r="J135" i="2"/>
  <c r="I135" i="2"/>
  <c r="H135" i="2"/>
  <c r="G135" i="2"/>
  <c r="F135" i="2"/>
  <c r="E135" i="2"/>
  <c r="D135" i="2"/>
  <c r="C135" i="2"/>
  <c r="B135" i="2"/>
  <c r="K134" i="2"/>
  <c r="J134" i="2"/>
  <c r="I134" i="2"/>
  <c r="H134" i="2"/>
  <c r="G134" i="2"/>
  <c r="F134" i="2"/>
  <c r="E134" i="2"/>
  <c r="D134" i="2"/>
  <c r="C134" i="2"/>
  <c r="B134" i="2"/>
  <c r="K133" i="2"/>
  <c r="J133" i="2"/>
  <c r="I133" i="2"/>
  <c r="H133" i="2"/>
  <c r="G133" i="2"/>
  <c r="F133" i="2"/>
  <c r="E133" i="2"/>
  <c r="D133" i="2"/>
  <c r="C133" i="2"/>
  <c r="B133" i="2"/>
  <c r="K132" i="2"/>
  <c r="J132" i="2"/>
  <c r="I132" i="2"/>
  <c r="H132" i="2"/>
  <c r="G132" i="2"/>
  <c r="F132" i="2"/>
  <c r="E132" i="2"/>
  <c r="D132" i="2"/>
  <c r="C132" i="2"/>
  <c r="B132" i="2"/>
  <c r="K131" i="2"/>
  <c r="J131" i="2"/>
  <c r="I131" i="2"/>
  <c r="H131" i="2"/>
  <c r="G131" i="2"/>
  <c r="F131" i="2"/>
  <c r="E131" i="2"/>
  <c r="D131" i="2"/>
  <c r="C131" i="2"/>
  <c r="B131" i="2"/>
  <c r="K130" i="2"/>
  <c r="J130" i="2"/>
  <c r="I130" i="2"/>
  <c r="H130" i="2"/>
  <c r="G130" i="2"/>
  <c r="F130" i="2"/>
  <c r="E130" i="2"/>
  <c r="D130" i="2"/>
  <c r="C130" i="2"/>
  <c r="B130" i="2"/>
  <c r="K129" i="2"/>
  <c r="J129" i="2"/>
  <c r="I129" i="2"/>
  <c r="H129" i="2"/>
  <c r="G129" i="2"/>
  <c r="F129" i="2"/>
  <c r="E129" i="2"/>
  <c r="D129" i="2"/>
  <c r="C129" i="2"/>
  <c r="B129" i="2"/>
  <c r="K128" i="2"/>
  <c r="J128" i="2"/>
  <c r="I128" i="2"/>
  <c r="H128" i="2"/>
  <c r="G128" i="2"/>
  <c r="F128" i="2"/>
  <c r="E128" i="2"/>
  <c r="D128" i="2"/>
  <c r="C128" i="2"/>
  <c r="B128" i="2"/>
  <c r="K127" i="2"/>
  <c r="J127" i="2"/>
  <c r="I127" i="2"/>
  <c r="H127" i="2"/>
  <c r="G127" i="2"/>
  <c r="F127" i="2"/>
  <c r="E127" i="2"/>
  <c r="D127" i="2"/>
  <c r="C127" i="2"/>
  <c r="B127" i="2"/>
  <c r="K126" i="2"/>
  <c r="J126" i="2"/>
  <c r="I126" i="2"/>
  <c r="H126" i="2"/>
  <c r="G126" i="2"/>
  <c r="F126" i="2"/>
  <c r="E126" i="2"/>
  <c r="D126" i="2"/>
  <c r="C126" i="2"/>
  <c r="B126" i="2"/>
  <c r="K125" i="2"/>
  <c r="J125" i="2"/>
  <c r="I125" i="2"/>
  <c r="H125" i="2"/>
  <c r="G125" i="2"/>
  <c r="F125" i="2"/>
  <c r="E125" i="2"/>
  <c r="D125" i="2"/>
  <c r="C125" i="2"/>
  <c r="B125" i="2"/>
  <c r="K124" i="2"/>
  <c r="J124" i="2"/>
  <c r="I124" i="2"/>
  <c r="H124" i="2"/>
  <c r="G124" i="2"/>
  <c r="F124" i="2"/>
  <c r="E124" i="2"/>
  <c r="D124" i="2"/>
  <c r="C124" i="2"/>
  <c r="B124" i="2"/>
  <c r="J120" i="2"/>
  <c r="I120" i="2"/>
  <c r="H120" i="2"/>
  <c r="G120" i="2"/>
  <c r="F120" i="2"/>
  <c r="E120" i="2"/>
  <c r="D120" i="2"/>
  <c r="C120" i="2"/>
  <c r="B120" i="2"/>
  <c r="K119" i="2"/>
  <c r="J119" i="2"/>
  <c r="I119" i="2"/>
  <c r="H119" i="2"/>
  <c r="G119" i="2"/>
  <c r="F119" i="2"/>
  <c r="E119" i="2"/>
  <c r="D119" i="2"/>
  <c r="C119" i="2"/>
  <c r="B119" i="2"/>
  <c r="K118" i="2"/>
  <c r="J118" i="2"/>
  <c r="I118" i="2"/>
  <c r="H118" i="2"/>
  <c r="G118" i="2"/>
  <c r="F118" i="2"/>
  <c r="E118" i="2"/>
  <c r="D118" i="2"/>
  <c r="C118" i="2"/>
  <c r="B118" i="2"/>
  <c r="K117" i="2"/>
  <c r="J117" i="2"/>
  <c r="I117" i="2"/>
  <c r="H117" i="2"/>
  <c r="G117" i="2"/>
  <c r="F117" i="2"/>
  <c r="E117" i="2"/>
  <c r="D117" i="2"/>
  <c r="C117" i="2"/>
  <c r="B117" i="2"/>
  <c r="K116" i="2"/>
  <c r="J116" i="2"/>
  <c r="I116" i="2"/>
  <c r="H116" i="2"/>
  <c r="G116" i="2"/>
  <c r="F116" i="2"/>
  <c r="E116" i="2"/>
  <c r="D116" i="2"/>
  <c r="C116" i="2"/>
  <c r="B116" i="2"/>
  <c r="K115" i="2"/>
  <c r="J115" i="2"/>
  <c r="I115" i="2"/>
  <c r="H115" i="2"/>
  <c r="G115" i="2"/>
  <c r="F115" i="2"/>
  <c r="E115" i="2"/>
  <c r="D115" i="2"/>
  <c r="C115" i="2"/>
  <c r="B115" i="2"/>
  <c r="K114" i="2"/>
  <c r="J114" i="2"/>
  <c r="I114" i="2"/>
  <c r="H114" i="2"/>
  <c r="G114" i="2"/>
  <c r="F114" i="2"/>
  <c r="E114" i="2"/>
  <c r="D114" i="2"/>
  <c r="C114" i="2"/>
  <c r="B114" i="2"/>
  <c r="K113" i="2"/>
  <c r="J113" i="2"/>
  <c r="I113" i="2"/>
  <c r="H113" i="2"/>
  <c r="G113" i="2"/>
  <c r="F113" i="2"/>
  <c r="E113" i="2"/>
  <c r="D113" i="2"/>
  <c r="C113" i="2"/>
  <c r="B113" i="2"/>
  <c r="K112" i="2"/>
  <c r="J112" i="2"/>
  <c r="I112" i="2"/>
  <c r="H112" i="2"/>
  <c r="G112" i="2"/>
  <c r="F112" i="2"/>
  <c r="E112" i="2"/>
  <c r="D112" i="2"/>
  <c r="C112" i="2"/>
  <c r="B112" i="2"/>
  <c r="K111" i="2"/>
  <c r="J111" i="2"/>
  <c r="I111" i="2"/>
  <c r="H111" i="2"/>
  <c r="G111" i="2"/>
  <c r="F111" i="2"/>
  <c r="E111" i="2"/>
  <c r="D111" i="2"/>
  <c r="C111" i="2"/>
  <c r="B111" i="2"/>
  <c r="K110" i="2"/>
  <c r="J110" i="2"/>
  <c r="I110" i="2"/>
  <c r="H110" i="2"/>
  <c r="G110" i="2"/>
  <c r="F110" i="2"/>
  <c r="E110" i="2"/>
  <c r="D110" i="2"/>
  <c r="C110" i="2"/>
  <c r="B110" i="2"/>
  <c r="K109" i="2"/>
  <c r="J109" i="2"/>
  <c r="I109" i="2"/>
  <c r="H109" i="2"/>
  <c r="G109" i="2"/>
  <c r="F109" i="2"/>
  <c r="E109" i="2"/>
  <c r="D109" i="2"/>
  <c r="C109" i="2"/>
  <c r="B109" i="2"/>
  <c r="K108" i="2"/>
  <c r="J108" i="2"/>
  <c r="I108" i="2"/>
  <c r="H108" i="2"/>
  <c r="G108" i="2"/>
  <c r="F108" i="2"/>
  <c r="E108" i="2"/>
  <c r="D108" i="2"/>
  <c r="C108" i="2"/>
  <c r="B108" i="2"/>
  <c r="K107" i="2"/>
  <c r="J107" i="2"/>
  <c r="I107" i="2"/>
  <c r="H107" i="2"/>
  <c r="G107" i="2"/>
  <c r="F107" i="2"/>
  <c r="E107" i="2"/>
  <c r="D107" i="2"/>
  <c r="C107" i="2"/>
  <c r="B107" i="2"/>
  <c r="K106" i="2"/>
  <c r="J106" i="2"/>
  <c r="I106" i="2"/>
  <c r="H106" i="2"/>
  <c r="G106" i="2"/>
  <c r="F106" i="2"/>
  <c r="E106" i="2"/>
  <c r="D106" i="2"/>
  <c r="C106" i="2"/>
  <c r="B106" i="2"/>
  <c r="K105" i="2"/>
  <c r="J105" i="2"/>
  <c r="I105" i="2"/>
  <c r="H105" i="2"/>
  <c r="G105" i="2"/>
  <c r="F105" i="2"/>
  <c r="E105" i="2"/>
  <c r="D105" i="2"/>
  <c r="C105" i="2"/>
  <c r="B105" i="2"/>
  <c r="K104" i="2"/>
  <c r="J104" i="2"/>
  <c r="I104" i="2"/>
  <c r="H104" i="2"/>
  <c r="G104" i="2"/>
  <c r="F104" i="2"/>
  <c r="E104" i="2"/>
  <c r="D104" i="2"/>
  <c r="C104" i="2"/>
  <c r="B104" i="2"/>
  <c r="K103" i="2"/>
  <c r="J103" i="2"/>
  <c r="I103" i="2"/>
  <c r="H103" i="2"/>
  <c r="G103" i="2"/>
  <c r="F103" i="2"/>
  <c r="E103" i="2"/>
  <c r="D103" i="2"/>
  <c r="C103" i="2"/>
  <c r="B103" i="2"/>
  <c r="K102" i="2"/>
  <c r="J102" i="2"/>
  <c r="I102" i="2"/>
  <c r="H102" i="2"/>
  <c r="G102" i="2"/>
  <c r="F102" i="2"/>
  <c r="E102" i="2"/>
  <c r="D102" i="2"/>
  <c r="C102" i="2"/>
  <c r="B102" i="2"/>
  <c r="K101" i="2"/>
  <c r="J101" i="2"/>
  <c r="I101" i="2"/>
  <c r="H101" i="2"/>
  <c r="G101" i="2"/>
  <c r="F101" i="2"/>
  <c r="E101" i="2"/>
  <c r="D101" i="2"/>
  <c r="C101" i="2"/>
  <c r="B101" i="2"/>
  <c r="K100" i="2"/>
  <c r="J100" i="2"/>
  <c r="I100" i="2"/>
  <c r="H100" i="2"/>
  <c r="G100" i="2"/>
  <c r="F100" i="2"/>
  <c r="E100" i="2"/>
  <c r="D100" i="2"/>
  <c r="C100" i="2"/>
  <c r="B100" i="2"/>
  <c r="K99" i="2"/>
  <c r="J99" i="2"/>
  <c r="I99" i="2"/>
  <c r="H99" i="2"/>
  <c r="G99" i="2"/>
  <c r="F99" i="2"/>
  <c r="E99" i="2"/>
  <c r="D99" i="2"/>
  <c r="C99" i="2"/>
  <c r="B99" i="2"/>
  <c r="K98" i="2"/>
  <c r="J98" i="2"/>
  <c r="I98" i="2"/>
  <c r="H98" i="2"/>
  <c r="G98" i="2"/>
  <c r="F98" i="2"/>
  <c r="E98" i="2"/>
  <c r="D98" i="2"/>
  <c r="C98" i="2"/>
  <c r="B98" i="2"/>
  <c r="K97" i="2"/>
  <c r="J97" i="2"/>
  <c r="I97" i="2"/>
  <c r="H97" i="2"/>
  <c r="G97" i="2"/>
  <c r="F97" i="2"/>
  <c r="E97" i="2"/>
  <c r="D97" i="2"/>
  <c r="C97" i="2"/>
  <c r="B97" i="2"/>
  <c r="K96" i="2"/>
  <c r="J96" i="2"/>
  <c r="I96" i="2"/>
  <c r="H96" i="2"/>
  <c r="G96" i="2"/>
  <c r="F96" i="2"/>
  <c r="E96" i="2"/>
  <c r="D96" i="2"/>
  <c r="C96" i="2"/>
  <c r="B96" i="2"/>
  <c r="K95" i="2"/>
  <c r="J95" i="2"/>
  <c r="I95" i="2"/>
  <c r="H95" i="2"/>
  <c r="G95" i="2"/>
  <c r="F95" i="2"/>
  <c r="E95" i="2"/>
  <c r="D95" i="2"/>
  <c r="C95" i="2"/>
  <c r="B95" i="2"/>
  <c r="K94" i="2"/>
  <c r="J94" i="2"/>
  <c r="I94" i="2"/>
  <c r="H94" i="2"/>
  <c r="G94" i="2"/>
  <c r="F94" i="2"/>
  <c r="E94" i="2"/>
  <c r="D94" i="2"/>
  <c r="C94" i="2"/>
  <c r="B94" i="2"/>
  <c r="K93" i="2"/>
  <c r="J93" i="2"/>
  <c r="I93" i="2"/>
  <c r="H93" i="2"/>
  <c r="G93" i="2"/>
  <c r="F93" i="2"/>
  <c r="E93" i="2"/>
  <c r="D93" i="2"/>
  <c r="C93" i="2"/>
  <c r="B93" i="2"/>
  <c r="K92" i="2"/>
  <c r="J92" i="2"/>
  <c r="I92" i="2"/>
  <c r="H92" i="2"/>
  <c r="G92" i="2"/>
  <c r="F92" i="2"/>
  <c r="E92" i="2"/>
  <c r="D92" i="2"/>
  <c r="C92" i="2"/>
  <c r="B92" i="2"/>
  <c r="K91" i="2"/>
  <c r="J91" i="2"/>
  <c r="I91" i="2"/>
  <c r="H91" i="2"/>
  <c r="G91" i="2"/>
  <c r="F91" i="2"/>
  <c r="E91" i="2"/>
  <c r="D91" i="2"/>
  <c r="C91" i="2"/>
  <c r="B91" i="2"/>
  <c r="K90" i="2"/>
  <c r="J90" i="2"/>
  <c r="I90" i="2"/>
  <c r="H90" i="2"/>
  <c r="G90" i="2"/>
  <c r="F90" i="2"/>
  <c r="E90" i="2"/>
  <c r="D90" i="2"/>
  <c r="C90" i="2"/>
  <c r="B90" i="2"/>
  <c r="K89" i="2"/>
  <c r="J89" i="2"/>
  <c r="I89" i="2"/>
  <c r="H89" i="2"/>
  <c r="G89" i="2"/>
  <c r="F89" i="2"/>
  <c r="E89" i="2"/>
  <c r="D89" i="2"/>
  <c r="C89" i="2"/>
  <c r="B89" i="2"/>
  <c r="K88" i="2"/>
  <c r="J88" i="2"/>
  <c r="I88" i="2"/>
  <c r="H88" i="2"/>
  <c r="G88" i="2"/>
  <c r="F88" i="2"/>
  <c r="E88" i="2"/>
  <c r="D88" i="2"/>
  <c r="C88" i="2"/>
  <c r="B88" i="2"/>
  <c r="K87" i="2"/>
  <c r="J87" i="2"/>
  <c r="I87" i="2"/>
  <c r="H87" i="2"/>
  <c r="G87" i="2"/>
  <c r="F87" i="2"/>
  <c r="E87" i="2"/>
  <c r="D87" i="2"/>
  <c r="C87" i="2"/>
  <c r="B87" i="2"/>
  <c r="K86" i="2"/>
  <c r="J86" i="2"/>
  <c r="I86" i="2"/>
  <c r="H86" i="2"/>
  <c r="G86" i="2"/>
  <c r="F86" i="2"/>
  <c r="E86" i="2"/>
  <c r="D86" i="2"/>
  <c r="C86" i="2"/>
  <c r="B86" i="2"/>
  <c r="J82" i="2"/>
  <c r="I82" i="2"/>
  <c r="H82" i="2"/>
  <c r="G82" i="2"/>
  <c r="F82" i="2"/>
  <c r="E82" i="2"/>
  <c r="D82" i="2"/>
  <c r="C82" i="2"/>
  <c r="B82" i="2"/>
  <c r="K81" i="2"/>
  <c r="J81" i="2"/>
  <c r="I81" i="2"/>
  <c r="H81" i="2"/>
  <c r="G81" i="2"/>
  <c r="F81" i="2"/>
  <c r="E81" i="2"/>
  <c r="D81" i="2"/>
  <c r="C81" i="2"/>
  <c r="B81" i="2"/>
  <c r="K80" i="2"/>
  <c r="J80" i="2"/>
  <c r="I80" i="2"/>
  <c r="H80" i="2"/>
  <c r="G80" i="2"/>
  <c r="F80" i="2"/>
  <c r="E80" i="2"/>
  <c r="D80" i="2"/>
  <c r="C80" i="2"/>
  <c r="B80" i="2"/>
  <c r="K79" i="2"/>
  <c r="J79" i="2"/>
  <c r="I79" i="2"/>
  <c r="H79" i="2"/>
  <c r="G79" i="2"/>
  <c r="F79" i="2"/>
  <c r="E79" i="2"/>
  <c r="D79" i="2"/>
  <c r="C79" i="2"/>
  <c r="B79" i="2"/>
  <c r="K78" i="2"/>
  <c r="J78" i="2"/>
  <c r="I78" i="2"/>
  <c r="H78" i="2"/>
  <c r="G78" i="2"/>
  <c r="F78" i="2"/>
  <c r="E78" i="2"/>
  <c r="D78" i="2"/>
  <c r="C78" i="2"/>
  <c r="B78" i="2"/>
  <c r="K77" i="2"/>
  <c r="J77" i="2"/>
  <c r="I77" i="2"/>
  <c r="H77" i="2"/>
  <c r="G77" i="2"/>
  <c r="F77" i="2"/>
  <c r="E77" i="2"/>
  <c r="D77" i="2"/>
  <c r="C77" i="2"/>
  <c r="B77" i="2"/>
  <c r="K76" i="2"/>
  <c r="J76" i="2"/>
  <c r="I76" i="2"/>
  <c r="H76" i="2"/>
  <c r="G76" i="2"/>
  <c r="F76" i="2"/>
  <c r="E76" i="2"/>
  <c r="D76" i="2"/>
  <c r="C76" i="2"/>
  <c r="B76" i="2"/>
  <c r="K75" i="2"/>
  <c r="J75" i="2"/>
  <c r="I75" i="2"/>
  <c r="H75" i="2"/>
  <c r="G75" i="2"/>
  <c r="F75" i="2"/>
  <c r="E75" i="2"/>
  <c r="D75" i="2"/>
  <c r="C75" i="2"/>
  <c r="B75" i="2"/>
  <c r="K74" i="2"/>
  <c r="J74" i="2"/>
  <c r="I74" i="2"/>
  <c r="H74" i="2"/>
  <c r="G74" i="2"/>
  <c r="F74" i="2"/>
  <c r="E74" i="2"/>
  <c r="D74" i="2"/>
  <c r="C74" i="2"/>
  <c r="B74" i="2"/>
  <c r="K73" i="2"/>
  <c r="J73" i="2"/>
  <c r="I73" i="2"/>
  <c r="H73" i="2"/>
  <c r="G73" i="2"/>
  <c r="F73" i="2"/>
  <c r="E73" i="2"/>
  <c r="D73" i="2"/>
  <c r="C73" i="2"/>
  <c r="B73" i="2"/>
  <c r="K72" i="2"/>
  <c r="J72" i="2"/>
  <c r="I72" i="2"/>
  <c r="H72" i="2"/>
  <c r="G72" i="2"/>
  <c r="F72" i="2"/>
  <c r="E72" i="2"/>
  <c r="D72" i="2"/>
  <c r="C72" i="2"/>
  <c r="B72" i="2"/>
  <c r="K71" i="2"/>
  <c r="J71" i="2"/>
  <c r="I71" i="2"/>
  <c r="H71" i="2"/>
  <c r="G71" i="2"/>
  <c r="F71" i="2"/>
  <c r="E71" i="2"/>
  <c r="D71" i="2"/>
  <c r="C71" i="2"/>
  <c r="B71" i="2"/>
  <c r="K70" i="2"/>
  <c r="J70" i="2"/>
  <c r="I70" i="2"/>
  <c r="H70" i="2"/>
  <c r="G70" i="2"/>
  <c r="F70" i="2"/>
  <c r="E70" i="2"/>
  <c r="D70" i="2"/>
  <c r="C70" i="2"/>
  <c r="B70" i="2"/>
  <c r="K69" i="2"/>
  <c r="J69" i="2"/>
  <c r="I69" i="2"/>
  <c r="H69" i="2"/>
  <c r="G69" i="2"/>
  <c r="F69" i="2"/>
  <c r="E69" i="2"/>
  <c r="D69" i="2"/>
  <c r="C69" i="2"/>
  <c r="B69" i="2"/>
  <c r="K68" i="2"/>
  <c r="J68" i="2"/>
  <c r="I68" i="2"/>
  <c r="H68" i="2"/>
  <c r="G68" i="2"/>
  <c r="F68" i="2"/>
  <c r="E68" i="2"/>
  <c r="D68" i="2"/>
  <c r="C68" i="2"/>
  <c r="B68" i="2"/>
  <c r="K67" i="2"/>
  <c r="J67" i="2"/>
  <c r="I67" i="2"/>
  <c r="H67" i="2"/>
  <c r="G67" i="2"/>
  <c r="F67" i="2"/>
  <c r="E67" i="2"/>
  <c r="D67" i="2"/>
  <c r="C67" i="2"/>
  <c r="B67" i="2"/>
  <c r="K66" i="2"/>
  <c r="J66" i="2"/>
  <c r="I66" i="2"/>
  <c r="H66" i="2"/>
  <c r="G66" i="2"/>
  <c r="F66" i="2"/>
  <c r="E66" i="2"/>
  <c r="D66" i="2"/>
  <c r="C66" i="2"/>
  <c r="B66" i="2"/>
  <c r="K65" i="2"/>
  <c r="J65" i="2"/>
  <c r="I65" i="2"/>
  <c r="H65" i="2"/>
  <c r="G65" i="2"/>
  <c r="F65" i="2"/>
  <c r="E65" i="2"/>
  <c r="D65" i="2"/>
  <c r="C65" i="2"/>
  <c r="B65" i="2"/>
  <c r="K64" i="2"/>
  <c r="J64" i="2"/>
  <c r="I64" i="2"/>
  <c r="H64" i="2"/>
  <c r="G64" i="2"/>
  <c r="F64" i="2"/>
  <c r="E64" i="2"/>
  <c r="D64" i="2"/>
  <c r="C64" i="2"/>
  <c r="B64" i="2"/>
  <c r="K63" i="2"/>
  <c r="J63" i="2"/>
  <c r="I63" i="2"/>
  <c r="H63" i="2"/>
  <c r="G63" i="2"/>
  <c r="F63" i="2"/>
  <c r="E63" i="2"/>
  <c r="D63" i="2"/>
  <c r="C63" i="2"/>
  <c r="B63" i="2"/>
  <c r="K62" i="2"/>
  <c r="J62" i="2"/>
  <c r="I62" i="2"/>
  <c r="H62" i="2"/>
  <c r="G62" i="2"/>
  <c r="F62" i="2"/>
  <c r="E62" i="2"/>
  <c r="D62" i="2"/>
  <c r="C62" i="2"/>
  <c r="B62" i="2"/>
  <c r="K61" i="2"/>
  <c r="J61" i="2"/>
  <c r="I61" i="2"/>
  <c r="H61" i="2"/>
  <c r="G61" i="2"/>
  <c r="F61" i="2"/>
  <c r="E61" i="2"/>
  <c r="D61" i="2"/>
  <c r="C61" i="2"/>
  <c r="B61" i="2"/>
  <c r="K60" i="2"/>
  <c r="J60" i="2"/>
  <c r="I60" i="2"/>
  <c r="H60" i="2"/>
  <c r="G60" i="2"/>
  <c r="F60" i="2"/>
  <c r="E60" i="2"/>
  <c r="D60" i="2"/>
  <c r="C60" i="2"/>
  <c r="B60" i="2"/>
  <c r="K59" i="2"/>
  <c r="J59" i="2"/>
  <c r="I59" i="2"/>
  <c r="H59" i="2"/>
  <c r="G59" i="2"/>
  <c r="F59" i="2"/>
  <c r="E59" i="2"/>
  <c r="D59" i="2"/>
  <c r="C59" i="2"/>
  <c r="B59" i="2"/>
  <c r="K58" i="2"/>
  <c r="J58" i="2"/>
  <c r="I58" i="2"/>
  <c r="H58" i="2"/>
  <c r="G58" i="2"/>
  <c r="F58" i="2"/>
  <c r="E58" i="2"/>
  <c r="D58" i="2"/>
  <c r="C58" i="2"/>
  <c r="B58" i="2"/>
  <c r="K57" i="2"/>
  <c r="J57" i="2"/>
  <c r="I57" i="2"/>
  <c r="H57" i="2"/>
  <c r="G57" i="2"/>
  <c r="F57" i="2"/>
  <c r="E57" i="2"/>
  <c r="D57" i="2"/>
  <c r="C57" i="2"/>
  <c r="B57" i="2"/>
  <c r="K56" i="2"/>
  <c r="J56" i="2"/>
  <c r="I56" i="2"/>
  <c r="H56" i="2"/>
  <c r="G56" i="2"/>
  <c r="F56" i="2"/>
  <c r="E56" i="2"/>
  <c r="D56" i="2"/>
  <c r="C56" i="2"/>
  <c r="B56" i="2"/>
  <c r="K55" i="2"/>
  <c r="J55" i="2"/>
  <c r="I55" i="2"/>
  <c r="H55" i="2"/>
  <c r="G55" i="2"/>
  <c r="F55" i="2"/>
  <c r="E55" i="2"/>
  <c r="D55" i="2"/>
  <c r="C55" i="2"/>
  <c r="B55" i="2"/>
  <c r="K54" i="2"/>
  <c r="J54" i="2"/>
  <c r="I54" i="2"/>
  <c r="H54" i="2"/>
  <c r="G54" i="2"/>
  <c r="F54" i="2"/>
  <c r="E54" i="2"/>
  <c r="D54" i="2"/>
  <c r="C54" i="2"/>
  <c r="B54" i="2"/>
  <c r="K53" i="2"/>
  <c r="J53" i="2"/>
  <c r="I53" i="2"/>
  <c r="H53" i="2"/>
  <c r="G53" i="2"/>
  <c r="F53" i="2"/>
  <c r="E53" i="2"/>
  <c r="D53" i="2"/>
  <c r="C53" i="2"/>
  <c r="B53" i="2"/>
  <c r="K52" i="2"/>
  <c r="J52" i="2"/>
  <c r="I52" i="2"/>
  <c r="H52" i="2"/>
  <c r="G52" i="2"/>
  <c r="F52" i="2"/>
  <c r="E52" i="2"/>
  <c r="D52" i="2"/>
  <c r="C52" i="2"/>
  <c r="B52" i="2"/>
  <c r="K51" i="2"/>
  <c r="J51" i="2"/>
  <c r="I51" i="2"/>
  <c r="H51" i="2"/>
  <c r="G51" i="2"/>
  <c r="F51" i="2"/>
  <c r="E51" i="2"/>
  <c r="D51" i="2"/>
  <c r="C51" i="2"/>
  <c r="B51" i="2"/>
  <c r="K50" i="2"/>
  <c r="J50" i="2"/>
  <c r="I50" i="2"/>
  <c r="H50" i="2"/>
  <c r="G50" i="2"/>
  <c r="F50" i="2"/>
  <c r="E50" i="2"/>
  <c r="D50" i="2"/>
  <c r="C50" i="2"/>
  <c r="B50" i="2"/>
  <c r="K49" i="2"/>
  <c r="J49" i="2"/>
  <c r="I49" i="2"/>
  <c r="H49" i="2"/>
  <c r="G49" i="2"/>
  <c r="F49" i="2"/>
  <c r="E49" i="2"/>
  <c r="D49" i="2"/>
  <c r="C49" i="2"/>
  <c r="B49" i="2"/>
  <c r="K48" i="2"/>
  <c r="J48" i="2"/>
  <c r="I48" i="2"/>
  <c r="H48" i="2"/>
  <c r="G48" i="2"/>
  <c r="F48" i="2"/>
  <c r="E48" i="2"/>
  <c r="D48" i="2"/>
  <c r="C48" i="2"/>
  <c r="B48" i="2"/>
  <c r="K41" i="2"/>
  <c r="K310" i="2" s="1"/>
  <c r="L40" i="2"/>
  <c r="L39" i="2"/>
  <c r="L38" i="2"/>
  <c r="L37" i="2"/>
  <c r="L36" i="2"/>
  <c r="P35" i="2"/>
  <c r="L35" i="2"/>
  <c r="P34" i="2"/>
  <c r="L34" i="2"/>
  <c r="L33" i="2"/>
  <c r="L32" i="2"/>
  <c r="L31" i="2"/>
  <c r="L30" i="2"/>
  <c r="L29" i="2"/>
  <c r="L28" i="2"/>
  <c r="L27" i="2"/>
  <c r="L26" i="2"/>
  <c r="L25" i="2"/>
  <c r="L24" i="2"/>
  <c r="L23" i="2"/>
  <c r="O22" i="2" a="1"/>
  <c r="O22" i="2" s="1"/>
  <c r="L22" i="2"/>
  <c r="L21" i="2"/>
  <c r="L20" i="2"/>
  <c r="L19" i="2"/>
  <c r="L18" i="2"/>
  <c r="L17" i="2"/>
  <c r="L16" i="2"/>
  <c r="L15" i="2"/>
  <c r="L14" i="2"/>
  <c r="L13" i="2"/>
  <c r="L12" i="2"/>
  <c r="L11" i="2"/>
  <c r="L10" i="2"/>
  <c r="L9" i="2"/>
  <c r="L8" i="2"/>
  <c r="L7" i="2"/>
  <c r="J6" i="2"/>
  <c r="I6" i="2"/>
  <c r="H6" i="2"/>
  <c r="G6" i="2"/>
  <c r="F6" i="2"/>
  <c r="E6" i="2"/>
  <c r="D6" i="2"/>
  <c r="C6" i="2"/>
  <c r="B6" i="2"/>
  <c r="L288" i="1"/>
  <c r="K287" i="1"/>
  <c r="K286" i="1"/>
  <c r="J284" i="1"/>
  <c r="I274" i="1"/>
  <c r="H265" i="1"/>
  <c r="F263" i="1"/>
  <c r="F262" i="1"/>
  <c r="E261" i="1"/>
  <c r="D260" i="1"/>
  <c r="D259" i="1"/>
  <c r="N253" i="1"/>
  <c r="M253" i="1"/>
  <c r="L250" i="1"/>
  <c r="K249" i="1"/>
  <c r="K248" i="1"/>
  <c r="J246" i="1"/>
  <c r="I236" i="1"/>
  <c r="F225" i="1"/>
  <c r="F224" i="1"/>
  <c r="D222" i="1"/>
  <c r="D221" i="1"/>
  <c r="N215" i="1"/>
  <c r="M215" i="1"/>
  <c r="L212" i="1"/>
  <c r="J206" i="1"/>
  <c r="J205" i="1"/>
  <c r="J202" i="1"/>
  <c r="J201" i="1"/>
  <c r="J200" i="1"/>
  <c r="J199" i="1"/>
  <c r="I198" i="1"/>
  <c r="F187" i="1"/>
  <c r="F186" i="1"/>
  <c r="D184" i="1"/>
  <c r="D183" i="1"/>
  <c r="N177" i="1"/>
  <c r="M177" i="1"/>
  <c r="J169" i="1"/>
  <c r="J166" i="1"/>
  <c r="J165" i="1"/>
  <c r="I160" i="1"/>
  <c r="F149" i="1"/>
  <c r="F148" i="1"/>
  <c r="D146" i="1"/>
  <c r="D145" i="1"/>
  <c r="N139" i="1"/>
  <c r="M139" i="1"/>
  <c r="I122" i="1"/>
  <c r="F111" i="1"/>
  <c r="F110" i="1"/>
  <c r="D108" i="1"/>
  <c r="D107" i="1"/>
  <c r="C106" i="1"/>
  <c r="C105" i="1"/>
  <c r="C104" i="1"/>
  <c r="C103" i="1"/>
  <c r="C102" i="1"/>
  <c r="N101" i="1"/>
  <c r="M101" i="1"/>
  <c r="J95" i="1"/>
  <c r="G74" i="1"/>
  <c r="F72" i="1"/>
  <c r="D69" i="1"/>
  <c r="N63" i="1"/>
  <c r="M63" i="1"/>
  <c r="I46" i="1"/>
  <c r="I45" i="1"/>
  <c r="I44" i="1"/>
  <c r="I43" i="1"/>
  <c r="I42" i="1"/>
  <c r="I41" i="1"/>
  <c r="I40" i="1"/>
  <c r="I39" i="1"/>
  <c r="I38" i="1"/>
  <c r="F35" i="1"/>
  <c r="F34" i="1"/>
  <c r="D32" i="1"/>
  <c r="D31" i="1"/>
  <c r="N25" i="1"/>
  <c r="M25" i="1"/>
  <c r="N20" i="1"/>
  <c r="M20" i="1"/>
  <c r="B20" i="1"/>
  <c r="N19" i="1"/>
  <c r="M19" i="1"/>
  <c r="N18" i="1"/>
  <c r="M18" i="1"/>
  <c r="K18" i="1"/>
  <c r="J18" i="1"/>
  <c r="N17" i="1"/>
  <c r="M17" i="1"/>
  <c r="H17" i="1"/>
  <c r="E17" i="1"/>
  <c r="B17" i="1"/>
  <c r="N16" i="1"/>
  <c r="M16" i="1"/>
  <c r="L16" i="1"/>
  <c r="J16" i="1"/>
  <c r="N15" i="1"/>
  <c r="M15" i="1"/>
  <c r="J15" i="1"/>
  <c r="N14" i="1"/>
  <c r="M14" i="1"/>
  <c r="N13" i="1"/>
  <c r="M13" i="1"/>
  <c r="J13" i="1"/>
  <c r="G13" i="1"/>
  <c r="F13" i="1"/>
  <c r="D13" i="1"/>
  <c r="N12" i="1"/>
  <c r="M12" i="1"/>
  <c r="I12" i="1"/>
  <c r="F12" i="1"/>
  <c r="D12" i="1"/>
  <c r="N11" i="1"/>
  <c r="M11" i="1"/>
  <c r="P33" i="2" l="1"/>
  <c r="P36" i="2"/>
  <c r="K272" i="2"/>
  <c r="L237" i="2" s="1"/>
  <c r="P7" i="2" s="1"/>
  <c r="K6" i="2"/>
  <c r="K196" i="2"/>
  <c r="L161" i="2" s="1"/>
  <c r="P5" i="2" s="1"/>
  <c r="P37" i="2"/>
  <c r="K82" i="2"/>
  <c r="L47" i="2" s="1"/>
  <c r="P2" i="2" s="1"/>
  <c r="L41" i="2"/>
  <c r="P38" i="2"/>
  <c r="K158" i="2"/>
  <c r="L123" i="2" s="1"/>
  <c r="P4" i="2" s="1"/>
  <c r="K234" i="2"/>
  <c r="L199" i="2" s="1"/>
  <c r="P6" i="2" s="1"/>
  <c r="P39" i="2"/>
  <c r="K120" i="2"/>
  <c r="L85" i="2" s="1"/>
  <c r="P3" i="2" s="1"/>
  <c r="Q3" i="2" s="1"/>
  <c r="T35" i="2" s="1"/>
  <c r="I32" i="3"/>
  <c r="H32" i="3"/>
  <c r="G32" i="3"/>
  <c r="F32" i="3"/>
  <c r="E32" i="3"/>
  <c r="D32" i="3"/>
  <c r="C32" i="3"/>
  <c r="H30" i="3"/>
  <c r="C28" i="3"/>
  <c r="I30" i="3"/>
  <c r="D28" i="3"/>
  <c r="C31" i="3"/>
  <c r="I33" i="3"/>
  <c r="G40" i="3"/>
  <c r="J40" i="3" s="1"/>
  <c r="F43" i="3"/>
  <c r="J43" i="3" s="1"/>
  <c r="E28" i="3"/>
  <c r="D31" i="3"/>
  <c r="C34" i="3"/>
  <c r="J34" i="3" s="1"/>
  <c r="H28" i="3"/>
  <c r="G31" i="3"/>
  <c r="C44" i="3"/>
  <c r="F20" i="3"/>
  <c r="I28" i="3"/>
  <c r="H31" i="3"/>
  <c r="G34" i="3"/>
  <c r="D44" i="3"/>
  <c r="J44" i="3" s="1"/>
  <c r="G28" i="3"/>
  <c r="F31" i="3"/>
  <c r="F19" i="3"/>
  <c r="C29" i="3"/>
  <c r="I31" i="3"/>
  <c r="E44" i="3"/>
  <c r="G30" i="3"/>
  <c r="D29" i="3"/>
  <c r="F44" i="3"/>
  <c r="E29" i="3"/>
  <c r="G44" i="3"/>
  <c r="F29" i="3"/>
  <c r="D35" i="3"/>
  <c r="C39" i="3"/>
  <c r="H44" i="3"/>
  <c r="F15" i="3"/>
  <c r="G29" i="3"/>
  <c r="E35" i="3"/>
  <c r="D39" i="3"/>
  <c r="F14" i="3"/>
  <c r="H29" i="3"/>
  <c r="F35" i="3"/>
  <c r="E39" i="3"/>
  <c r="G35" i="3"/>
  <c r="C30" i="3"/>
  <c r="J30" i="3" s="1"/>
  <c r="H35" i="3"/>
  <c r="G39" i="3"/>
  <c r="D30" i="3"/>
  <c r="C33" i="3"/>
  <c r="H39" i="3"/>
  <c r="J33" i="3"/>
  <c r="J39" i="3"/>
  <c r="J32" i="3"/>
  <c r="D10" i="3"/>
  <c r="P75" i="2"/>
  <c r="Q4" i="2" l="1"/>
  <c r="T33" i="2" s="1"/>
  <c r="Q6" i="2"/>
  <c r="T37" i="2" s="1"/>
  <c r="U35" i="2"/>
  <c r="Q35" i="2"/>
  <c r="Q5" i="2"/>
  <c r="T36" i="2" s="1"/>
  <c r="Q2" i="2"/>
  <c r="T34" i="2" s="1"/>
  <c r="Q8" i="2"/>
  <c r="T39" i="2" s="1"/>
  <c r="Q7" i="2"/>
  <c r="T38" i="2" s="1"/>
  <c r="Q37" i="2"/>
  <c r="Q38" i="2"/>
  <c r="C36" i="3"/>
  <c r="D36" i="3"/>
  <c r="I36" i="3"/>
  <c r="H36" i="3"/>
  <c r="G36" i="3"/>
  <c r="F36" i="3"/>
  <c r="E36" i="3"/>
  <c r="I41" i="3"/>
  <c r="H41" i="3"/>
  <c r="G41" i="3"/>
  <c r="F41" i="3"/>
  <c r="D41" i="3"/>
  <c r="E41" i="3"/>
  <c r="C41" i="3"/>
  <c r="J41" i="3" s="1"/>
  <c r="J35" i="3"/>
  <c r="J31" i="3"/>
  <c r="I37" i="3"/>
  <c r="H37" i="3"/>
  <c r="G37" i="3"/>
  <c r="E37" i="3"/>
  <c r="D37" i="3"/>
  <c r="C37" i="3"/>
  <c r="F37" i="3"/>
  <c r="H42" i="3"/>
  <c r="G42" i="3"/>
  <c r="F42" i="3"/>
  <c r="E42" i="3"/>
  <c r="D42" i="3"/>
  <c r="C42" i="3"/>
  <c r="J42" i="3" s="1"/>
  <c r="I42" i="3"/>
  <c r="J28" i="3"/>
  <c r="J29" i="3"/>
  <c r="R35" i="2"/>
  <c r="U33" i="2" l="1"/>
  <c r="Q33" i="2"/>
  <c r="U39" i="2"/>
  <c r="Q39" i="2"/>
  <c r="V35" i="2"/>
  <c r="R37" i="2"/>
  <c r="U34" i="2"/>
  <c r="T75" i="2"/>
  <c r="Q34" i="2"/>
  <c r="R38" i="2"/>
  <c r="U38" i="2"/>
  <c r="U36" i="2"/>
  <c r="Q36" i="2"/>
  <c r="U37" i="2"/>
  <c r="J37" i="3"/>
  <c r="J36" i="3"/>
  <c r="I53" i="3" s="1"/>
  <c r="D56" i="3"/>
  <c r="D55" i="3"/>
  <c r="L28" i="3"/>
  <c r="E56" i="3"/>
  <c r="E67" i="3" s="1"/>
  <c r="D69" i="3"/>
  <c r="H56" i="3"/>
  <c r="H67" i="3" s="1"/>
  <c r="H54" i="3"/>
  <c r="H64" i="3" s="1"/>
  <c r="F53" i="3"/>
  <c r="F62" i="3" s="1"/>
  <c r="F54" i="3"/>
  <c r="F64" i="3" s="1"/>
  <c r="F56" i="3"/>
  <c r="F67" i="3" s="1"/>
  <c r="I55" i="3"/>
  <c r="C56" i="3"/>
  <c r="D53" i="3"/>
  <c r="G56" i="3"/>
  <c r="G66" i="3" s="1"/>
  <c r="C54" i="3"/>
  <c r="C64" i="3" s="1"/>
  <c r="C53" i="3"/>
  <c r="C62" i="3" s="1"/>
  <c r="I56" i="3"/>
  <c r="E54" i="3"/>
  <c r="E64" i="3" s="1"/>
  <c r="G53" i="3"/>
  <c r="G62" i="3" s="1"/>
  <c r="C55" i="3"/>
  <c r="I63" i="3"/>
  <c r="F55" i="3"/>
  <c r="H53" i="3"/>
  <c r="H62" i="3" s="1"/>
  <c r="E53" i="3"/>
  <c r="E62" i="3" s="1"/>
  <c r="G55" i="3"/>
  <c r="I54" i="3"/>
  <c r="I64" i="3" s="1"/>
  <c r="E55" i="3"/>
  <c r="H55" i="3"/>
  <c r="E68" i="3"/>
  <c r="E69" i="3"/>
  <c r="E66" i="3"/>
  <c r="E65" i="3"/>
  <c r="H63" i="3"/>
  <c r="E63" i="3"/>
  <c r="H69" i="3"/>
  <c r="S35" i="2"/>
  <c r="S37" i="2" l="1"/>
  <c r="V38" i="2"/>
  <c r="R39" i="2"/>
  <c r="S38" i="2"/>
  <c r="U75" i="2"/>
  <c r="V34" i="2"/>
  <c r="W35" i="2"/>
  <c r="R33" i="2"/>
  <c r="Q80" i="2"/>
  <c r="V36" i="2"/>
  <c r="Q75" i="2"/>
  <c r="R34" i="2"/>
  <c r="V39" i="2"/>
  <c r="V37" i="2"/>
  <c r="U80" i="2"/>
  <c r="V33" i="2"/>
  <c r="R36" i="2"/>
  <c r="F63" i="3"/>
  <c r="H68" i="3"/>
  <c r="H66" i="3"/>
  <c r="G54" i="3"/>
  <c r="G64" i="3" s="1"/>
  <c r="J55" i="3"/>
  <c r="J65" i="3" s="1"/>
  <c r="H65" i="3"/>
  <c r="D54" i="3"/>
  <c r="D64" i="3" s="1"/>
  <c r="C63" i="3"/>
  <c r="J56" i="3"/>
  <c r="J53" i="3"/>
  <c r="J63" i="3" s="1"/>
  <c r="D67" i="3"/>
  <c r="I62" i="3"/>
  <c r="G63" i="3"/>
  <c r="D65" i="3"/>
  <c r="D68" i="3"/>
  <c r="D66" i="3"/>
  <c r="G68" i="3"/>
  <c r="G69" i="3"/>
  <c r="C66" i="3"/>
  <c r="G65" i="3"/>
  <c r="C65" i="3"/>
  <c r="C67" i="3"/>
  <c r="D63" i="3"/>
  <c r="D62" i="3"/>
  <c r="F65" i="3"/>
  <c r="F66" i="3"/>
  <c r="F69" i="3"/>
  <c r="C69" i="3"/>
  <c r="G67" i="3"/>
  <c r="C68" i="3"/>
  <c r="F68" i="3"/>
  <c r="I66" i="3"/>
  <c r="I65" i="3"/>
  <c r="I68" i="3"/>
  <c r="I69" i="3"/>
  <c r="I67" i="3"/>
  <c r="J54" i="3"/>
  <c r="J64" i="3" s="1"/>
  <c r="J69" i="3"/>
  <c r="J66" i="3"/>
  <c r="J67" i="3"/>
  <c r="W34" i="2" l="1"/>
  <c r="V75" i="2"/>
  <c r="W39" i="2"/>
  <c r="S33" i="2"/>
  <c r="S80" i="2" s="1"/>
  <c r="R80" i="2"/>
  <c r="S39" i="2"/>
  <c r="R75" i="2"/>
  <c r="S34" i="2"/>
  <c r="S75" i="2" s="1"/>
  <c r="W36" i="2"/>
  <c r="X35" i="2"/>
  <c r="S36" i="2"/>
  <c r="W33" i="2"/>
  <c r="V80" i="2"/>
  <c r="W38" i="2"/>
  <c r="W37" i="2"/>
  <c r="J68" i="3"/>
  <c r="J62" i="3"/>
  <c r="Y35" i="2" l="1"/>
  <c r="X34" i="2"/>
  <c r="W75" i="2"/>
  <c r="X36" i="2"/>
  <c r="X39" i="2"/>
  <c r="X37" i="2"/>
  <c r="X38" i="2"/>
  <c r="W80" i="2"/>
  <c r="X33" i="2"/>
  <c r="Y38" i="2" l="1"/>
  <c r="Z35" i="2"/>
  <c r="Y33" i="2"/>
  <c r="X80" i="2"/>
  <c r="Y37" i="2"/>
  <c r="Y39" i="2"/>
  <c r="Y36" i="2"/>
  <c r="Y34" i="2"/>
  <c r="X75" i="2"/>
  <c r="Z36" i="2" l="1"/>
  <c r="Z34" i="2"/>
  <c r="Z75" i="2" s="1"/>
  <c r="Y75" i="2"/>
  <c r="Z37" i="2"/>
  <c r="Z39" i="2"/>
  <c r="Y80" i="2"/>
  <c r="Z33" i="2"/>
  <c r="Z80" i="2" s="1"/>
  <c r="Z3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tc={5AB09611-854B-4573-BD54-382101547746}</author>
    <author>tc={4D25923D-8E33-46AA-BCB6-064FC0508340}</author>
    <author>tc={A4A5EB16-49F4-42A7-897D-188DD448B93F}</author>
  </authors>
  <commentList>
    <comment ref="A4" authorId="0" shapeId="0" xr:uid="{5AB09611-854B-4573-BD54-382101547746}">
      <text>
        <t xml:space="preserve">[Threaded comment]
Your version of Excel allows you to read this threaded comment; however, any edits to it will get removed if the file is opened in a newer version of Excel. Learn more: https://go.microsoft.com/fwlink/?linkid=870924
Comment:
    see: C:\Users\stark\Documents\Documents\REM SFU\pyCIMS\Natural Gas\Sources\Pipelines\Individual NG pipeline data\Throughput_capacity_data_2006-2023
</t>
      </text>
    </comment>
    <comment ref="C8" authorId="1" shapeId="0" xr:uid="{4D25923D-8E33-46AA-BCB6-064FC0508340}">
      <text>
        <t>[Threaded comment]
Your version of Excel allows you to read this threaded comment; however, any edits to it will get removed if the file is opened in a newer version of Excel. Learn more: https://go.microsoft.com/fwlink/?linkid=870924
Comment:
    https://neb-gis.maps.arcgis.com/apps/webappviewer/index.html?id=2d11fd4e6a7a4f4ba7fe6bdf51ae52de</t>
      </text>
    </comment>
    <comment ref="C9" authorId="2" shapeId="0" xr:uid="{A4A5EB16-49F4-42A7-897D-188DD448B93F}">
      <text>
        <t>[Threaded comment]
Your version of Excel allows you to read this threaded comment; however, any edits to it will get removed if the file is opened in a newer version of Excel. Learn more: https://go.microsoft.com/fwlink/?linkid=870924
Comment:
    https://www.cer-rec.gc.ca/en/data-analysis/facilities-we-regulate/pipeline-profiles/index.html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tc={B12434BE-4ED0-4B80-9F21-E01C31C08A29}</author>
    <author>tc={A4E1C1F3-E6D4-466E-99A4-93DFB9A6A54B}</author>
  </authors>
  <commentList>
    <comment ref="A5" authorId="0" shapeId="0" xr:uid="{B12434BE-4ED0-4B80-9F21-E01C31C08A29}">
      <text>
        <t xml:space="preserve">[Threaded comment]
Your version of Excel allows you to read this threaded comment; however, any edits to it will get removed if the file is opened in a newer version of Excel. Learn more: https://go.microsoft.com/fwlink/?linkid=870924
Comment:
    Visually estimated based on hand-drawings of Canada's pipelines by ES, using CER pipeline profile data on capacities.
Data also summarized in: C:\Users\stark\Documents\Documents\REM SFU\pyCIMS\Natural Gas\Sources\Pipelines\Individual NG pipeline data\Throughput_capacity_data_2006-2023
</t>
      </text>
    </comment>
    <comment ref="F96" authorId="1" shapeId="0" xr:uid="{A4E1C1F3-E6D4-466E-99A4-93DFB9A6A54B}">
      <text>
        <t xml:space="preserve">[Threaded comment]
Your version of Excel allows you to read this threaded comment; however, any edits to it will get removed if the file is opened in a newer version of Excel. Learn more: https://go.microsoft.com/fwlink/?linkid=870924
Comment:
    No capacity data is given for SK Many Islands pipeline system. For now, assumption is that capacity for total system is equal to the average gate capacity of NGTL system in Alberta.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<sst xmlns="http://schemas.openxmlformats.org/spreadsheetml/2006/main" count="935" uniqueCount="177">
  <si>
    <t xml:space="preserve">Canada's transmission network </t>
  </si>
  <si>
    <r>
      <t xml:space="preserve">IEA June 2022. </t>
    </r>
    <r>
      <rPr>
        <i/>
        <sz val="11"/>
        <color theme="1"/>
        <rFont val="Calibri"/>
        <family val="2"/>
        <scheme val="minor"/>
      </rPr>
      <t xml:space="preserve">Canada Natural Gas Security Policy. </t>
    </r>
  </si>
  <si>
    <t>C:\Users\stark\Documents\Documents\REM SFU\pyCIMS\Natural Gas\Sources\Pipelines\IEA_CanadaNGpiplines.pdf</t>
  </si>
  <si>
    <t>AB</t>
  </si>
  <si>
    <t>SK</t>
  </si>
  <si>
    <t>BC</t>
  </si>
  <si>
    <t>MB</t>
  </si>
  <si>
    <t>ON</t>
  </si>
  <si>
    <t>AT</t>
  </si>
  <si>
    <t>QC</t>
  </si>
  <si>
    <t>TR</t>
  </si>
  <si>
    <t>Length km</t>
  </si>
  <si>
    <t>TOTAL</t>
  </si>
  <si>
    <t>Pipeline</t>
  </si>
  <si>
    <t>Westcoast</t>
  </si>
  <si>
    <t>Alliance</t>
  </si>
  <si>
    <t>Emera Brunswick</t>
  </si>
  <si>
    <t>Foothills</t>
  </si>
  <si>
    <t>Many Islands</t>
  </si>
  <si>
    <t>Maritimes &amp; Northeast</t>
  </si>
  <si>
    <t>NGTL</t>
  </si>
  <si>
    <t>TC Mainline</t>
  </si>
  <si>
    <t>Trans Quebec &amp; Maritimes</t>
  </si>
  <si>
    <t>Vector</t>
  </si>
  <si>
    <t>From CER pipeline profiles</t>
  </si>
  <si>
    <t>CER regulated natural gas transmission pipelines</t>
  </si>
  <si>
    <t xml:space="preserve">Provincial splits of pipelines based on my estimates </t>
  </si>
  <si>
    <t>From CER pipeline interactive map</t>
  </si>
  <si>
    <t>Alberta</t>
  </si>
  <si>
    <t>Length by pipeline</t>
  </si>
  <si>
    <t>Gate</t>
  </si>
  <si>
    <t>Key Point</t>
  </si>
  <si>
    <t>FortisBC Lower Mainland</t>
  </si>
  <si>
    <t>Huntingdon Export</t>
  </si>
  <si>
    <t>Kingsvale</t>
  </si>
  <si>
    <t>NOVA/Gordondale</t>
  </si>
  <si>
    <t>Sunset Creek</t>
  </si>
  <si>
    <t>Border</t>
  </si>
  <si>
    <t>Zone 2</t>
  </si>
  <si>
    <t>Brunswick</t>
  </si>
  <si>
    <t>Monchy</t>
  </si>
  <si>
    <t>Kingsgate</t>
  </si>
  <si>
    <t>Baileyville, Ma. / St. Stephen N.B.</t>
  </si>
  <si>
    <t>East Gate</t>
  </si>
  <si>
    <t>North and East</t>
  </si>
  <si>
    <t>Upstream of James River</t>
  </si>
  <si>
    <t>West Gate</t>
  </si>
  <si>
    <t>OSDA Kirby</t>
  </si>
  <si>
    <t>OSDA Liege</t>
  </si>
  <si>
    <t>Calgary</t>
  </si>
  <si>
    <t>Edmonton</t>
  </si>
  <si>
    <t>Saturn</t>
  </si>
  <si>
    <t>Chippawa</t>
  </si>
  <si>
    <t>Eastern Triangle - NOL Receipts</t>
  </si>
  <si>
    <t>Eastern Triangle - Parkway Deliveries</t>
  </si>
  <si>
    <t>Eastern Triangle - Parkway Receipts</t>
  </si>
  <si>
    <t>Emerson I</t>
  </si>
  <si>
    <t>Emerson II</t>
  </si>
  <si>
    <t>Iroquois</t>
  </si>
  <si>
    <t>Niagara</t>
  </si>
  <si>
    <t>Northern Ontario Line</t>
  </si>
  <si>
    <t>Other US Northeast</t>
  </si>
  <si>
    <t>Prairies</t>
  </si>
  <si>
    <t>St Clair</t>
  </si>
  <si>
    <t>Saint Lazare + Sabrevois</t>
  </si>
  <si>
    <t>East Hereford</t>
  </si>
  <si>
    <t>British Columbia</t>
  </si>
  <si>
    <t>Saskatchewan</t>
  </si>
  <si>
    <t>Check</t>
  </si>
  <si>
    <t>Manitoba</t>
  </si>
  <si>
    <t>Ontario</t>
  </si>
  <si>
    <t>Quebec</t>
  </si>
  <si>
    <t>Atlantic</t>
  </si>
  <si>
    <t>Total km</t>
  </si>
  <si>
    <t>1000 m3 / d</t>
  </si>
  <si>
    <t>Gate / province</t>
  </si>
  <si>
    <t>Total 1000 m3 km / d</t>
  </si>
  <si>
    <t xml:space="preserve">% </t>
  </si>
  <si>
    <t>Difference between (CER pipeline profile + ES split estimates) &amp; pipeline interactive map</t>
  </si>
  <si>
    <t>Map source:</t>
  </si>
  <si>
    <t>Additions to visually estimated splits were also made to more closely align with CER's interactive pipeline map (both the total and provincial allocations), and to align with the IEA's total for Canada's transmission pipelines</t>
  </si>
  <si>
    <t xml:space="preserve">Expanded by province by gate </t>
  </si>
  <si>
    <t>Capacity * length by gate 2022</t>
  </si>
  <si>
    <t>1000 m3 km / d</t>
  </si>
  <si>
    <t>TOTAL km</t>
  </si>
  <si>
    <t>Canadian Transmission pipelines (IEA):</t>
  </si>
  <si>
    <t>CANADA</t>
  </si>
  <si>
    <t>Gate capacities (1000 m3)</t>
  </si>
  <si>
    <t>Estimated pipeline capacities</t>
  </si>
  <si>
    <t>Pipeline:</t>
  </si>
  <si>
    <t>Pipeline total capacity (1000m3):</t>
  </si>
  <si>
    <t>Regional splits over time as expected new pipelines built</t>
  </si>
  <si>
    <t>*BC, Yukon and NWT</t>
  </si>
  <si>
    <t>Québec</t>
  </si>
  <si>
    <t>Total</t>
  </si>
  <si>
    <t>From:</t>
  </si>
  <si>
    <t>C:\Users\stark\Documents\Documents\REM SFU\pyCIMS\Natural Gas\From JCIMS\natural gas extraction - technology notes</t>
  </si>
  <si>
    <t>2020 Provincial totals 1000 m3 km / d</t>
  </si>
  <si>
    <t>With my new 2020 splits:</t>
  </si>
  <si>
    <t>NOVA SCOTIA</t>
  </si>
  <si>
    <t>NEW BRUNSWICK</t>
  </si>
  <si>
    <t>ONTARIO</t>
  </si>
  <si>
    <t>SASKATCHEWAN</t>
  </si>
  <si>
    <t>ALBERTA</t>
  </si>
  <si>
    <t>BRITISH COLUMBIA</t>
  </si>
  <si>
    <t>Territories</t>
  </si>
  <si>
    <t>*** hack to generate transmission requests</t>
  </si>
  <si>
    <t>Source:</t>
  </si>
  <si>
    <t>JCIMS</t>
  </si>
  <si>
    <t>Interpolated</t>
  </si>
  <si>
    <t>ES Capacity allocation 2022</t>
  </si>
  <si>
    <t>Transmission request multipliers 08.31.24</t>
  </si>
  <si>
    <t>AB production</t>
  </si>
  <si>
    <t>transmission</t>
  </si>
  <si>
    <t>Held contstant from 2020</t>
  </si>
  <si>
    <t>BC prod 1000 m3</t>
  </si>
  <si>
    <t>Transmission test</t>
  </si>
  <si>
    <t>Regional Splits</t>
  </si>
  <si>
    <t>Pipeline data from the internet:</t>
  </si>
  <si>
    <t>Length of pipeline in each province</t>
  </si>
  <si>
    <t>System:</t>
  </si>
  <si>
    <t>Provinces</t>
  </si>
  <si>
    <t>Total Length</t>
  </si>
  <si>
    <t>Capacity (bcf/day)</t>
  </si>
  <si>
    <t>Northwest Territories</t>
  </si>
  <si>
    <t>Yukon</t>
  </si>
  <si>
    <t>Canadian Mainline System** (http://www.transcanada.com/gas_transmission/mainline.html)</t>
  </si>
  <si>
    <t>Saskatchewan, Manitoba, Ontario, Québec</t>
  </si>
  <si>
    <t>Alberta System* (http://www.transcanada.com/gas_transmission/alberta.html)</t>
  </si>
  <si>
    <t>PipeLine Ventures Partnership (http://www.undergroundinfo.com/PGJ/pgj_archive/archi112.htm)</t>
  </si>
  <si>
    <t>BC System (http://www.transcanada.com/gas_transmission/britishcolumbia.html)</t>
  </si>
  <si>
    <t>Foothills Pipe Lines Ltd.</t>
  </si>
  <si>
    <t>British Columbia, Alberta, Saskatchewan</t>
  </si>
  <si>
    <t>Trans Québec &amp; Maritimes Pipeline Inc. (http://www.gazoductqm.com/enggaz.html)</t>
  </si>
  <si>
    <t>Alliance Pipeline (http://www.alliance-pipeline.com/inside.jsp?cid1=2&amp;cid2=25&amp;cid3=0)</t>
  </si>
  <si>
    <t>British Columbia, Alberta and Saskatchewan.</t>
  </si>
  <si>
    <t>Duke Energy - Westcoast system (http://www.westcoastenergy.com/about/transmission_field.html)</t>
  </si>
  <si>
    <t>British Columbia, Alberta, Yukon, Northwest Territories</t>
  </si>
  <si>
    <t>Duke Energy - Maritimes &amp; Northeast Pipeline (http://www.emera.com/aboutus/companies_northpipeline.shtml)</t>
  </si>
  <si>
    <t>Nova Scotia, Atlantic Provinces</t>
  </si>
  <si>
    <t>Union gas main transmission system (http://www.uniongas.com/aboutus/overview/ataglance.asp)</t>
  </si>
  <si>
    <t>Proposed/planned pipeline projects:</t>
  </si>
  <si>
    <t>Proposed Mackenzie Valley Pipeline</t>
  </si>
  <si>
    <t>Alberta, Northwest Territories</t>
  </si>
  <si>
    <t>Proposed Alaska Highway Pipeline (http://www.emr.gov.yk.ca/pipeline/ahpp.html)</t>
  </si>
  <si>
    <t>Alaska, Yukon, British Columbia, Alberta</t>
  </si>
  <si>
    <t>Blue Atlantic Pipeline</t>
  </si>
  <si>
    <t>Nova Scotia (Offshore)</t>
  </si>
  <si>
    <t>Cartier Pipeline and Northwestern New Brunswick Pipeline</t>
  </si>
  <si>
    <t>Georgia Strait Crossing Pipeline</t>
  </si>
  <si>
    <t>Expansion of the Maritimes &amp; Northeast Pipeline</t>
  </si>
  <si>
    <t>Capacity per region:</t>
  </si>
  <si>
    <t>BC, Yukon and NWT</t>
  </si>
  <si>
    <t>Alberta*</t>
  </si>
  <si>
    <t>Ontario**</t>
  </si>
  <si>
    <t xml:space="preserve">* Reduced average capacity by 50% and length of pipeline by 15,000km as I suspect that most of the 23,186km is a regional network not classed as part of the transmission </t>
  </si>
  <si>
    <t>system and capacity in each line will be a lot less than total system capacity. After doing this correction, gas consumption matches the data in QRESD for in Alberta under the category 'pipelines'. See below.</t>
  </si>
  <si>
    <t>** Comparison with QRESD data (see below) natural gas consumption was lower in Ontario so reduce the capacity of the system in Ontario by 75% to get better calibration with QRESD.</t>
  </si>
  <si>
    <t>Regional splits for CIMS:</t>
  </si>
  <si>
    <t>With Mackenzie Pipeline</t>
  </si>
  <si>
    <t>With Mackenzie &amp; Alaska Pipelines</t>
  </si>
  <si>
    <t>With all proposed projects</t>
  </si>
  <si>
    <t>* Yukon, NWT/Iqualuit are included in BC region in CIMS model.</t>
  </si>
  <si>
    <t>bcf</t>
  </si>
  <si>
    <t>equals</t>
  </si>
  <si>
    <t>m3</t>
  </si>
  <si>
    <t>1000 m3</t>
  </si>
  <si>
    <t>cf</t>
  </si>
  <si>
    <t>1000m3</t>
  </si>
  <si>
    <t>Capacity (1000 m3/day)</t>
  </si>
  <si>
    <t>Length x capacity of pipeline in each region (1000 m3 km / day)</t>
  </si>
  <si>
    <t>Total transmission capacity in 2000</t>
  </si>
  <si>
    <t>Current (2000)</t>
  </si>
  <si>
    <t>Production 1000 m3</t>
  </si>
  <si>
    <t>Transmission system shares (JCIMS)</t>
  </si>
  <si>
    <t>Transmission system shares (NewNGnode)</t>
  </si>
  <si>
    <t>Transmission system 1000m3 km /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</si>
</sst>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_-* #,##0.0_-;\-* #,##0.0_-;_-* &quot;-&quot;?_-;_-@_-"/>
    <numFmt numFmtId="166" formatCode="_-* #,##0.000_-;\-* #,##0.000_-;_-* &quot;-&quot;??_-;_-@_-"/>
    <numFmt numFmtId="168" formatCode="0.0%"/>
  </numFmts>
  <fonts count="2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20"/>
      <color theme="1"/>
      <name val="Calibri"/>
      <family val="2"/>
      <scheme val="minor"/>
    </font>
    <font>
      <i/>
      <sz val="11"/>
      <color theme="1"/>
      <name val="Calibri"/>
      <family val="2"/>
      <scheme val="minor"/>
    </font>
    <font>
      <sz val="11"/>
      <color rgb="FF00B050"/>
      <name val="Calibri"/>
      <family val="2"/>
      <scheme val="minor"/>
    </font>
    <font>
      <sz val="11"/>
      <color rgb="FF0070C0"/>
      <name val="Calibri"/>
      <family val="2"/>
      <scheme val="minor"/>
    </font>
    <font>
      <b/>
      <sz val="11"/>
      <color rgb="FF0070C0"/>
      <name val="Calibri"/>
      <family val="2"/>
      <scheme val="minor"/>
    </font>
    <font>
      <b/>
      <sz val="11"/>
      <color rgb="FF00B050"/>
      <name val="Calibri"/>
      <family val="2"/>
      <scheme val="minor"/>
    </font>
    <font>
      <b/>
      <sz val="11"/>
      <color rgb="FFFF0000"/>
      <name val="Calibri"/>
      <family val="2"/>
      <scheme val="minor"/>
    </font>
    <font>
      <sz val="11"/>
      <name val="Calibri"/>
      <family val="2"/>
      <scheme val="minor"/>
    </font>
    <font>
      <b/>
      <sz val="11"/>
      <name val="Calibri"/>
      <family val="2"/>
      <scheme val="minor"/>
    </font>
    <font>
      <b/>
      <sz val="15"/>
      <color theme="1"/>
      <name val="Calibri"/>
      <family val="2"/>
      <scheme val="minor"/>
    </font>
    <font>
      <sz val="11"/>
      <color theme="9" tint="-0.249977111117893"/>
      <name val="Calibri"/>
      <family val="2"/>
      <scheme val="minor"/>
    </font>
    <font>
      <sz val="11"/>
      <color theme="8" tint="-0.249977111117893"/>
      <name val="Calibri"/>
      <family val="2"/>
      <scheme val="minor"/>
    </font>
    <font>
      <sz val="11"/>
      <color theme="5" tint="-0.249977111117893"/>
      <name val="Calibri"/>
      <family val="2"/>
      <scheme val="minor"/>
    </font>
    <font>
      <sz val="11"/>
      <color rgb="FF7030A0"/>
      <name val="Calibri"/>
      <family val="2"/>
      <scheme val="minor"/>
    </font>
    <font>
      <sz val="11"/>
      <color theme="7" tint="-0.249977111117893"/>
      <name val="Calibri"/>
      <family val="2"/>
      <scheme val="minor"/>
    </font>
    <font>
      <sz val="11"/>
      <color theme="4" tint="-0.249977111117893"/>
      <name val="Calibri"/>
      <family val="2"/>
      <scheme val="minor"/>
    </font>
    <font>
      <sz val="11"/>
      <color rgb="FFC00000"/>
      <name val="Calibri"/>
      <family val="2"/>
      <scheme val="minor"/>
    </font>
    <font>
      <sz val="11"/>
      <color rgb="FF00B0F0"/>
      <name val="Calibri"/>
      <family val="2"/>
      <scheme val="minor"/>
    </font>
    <font>
      <u/>
      <sz val="11"/>
      <color theme="10"/>
      <name val="Calibri"/>
      <family val="2"/>
      <scheme val="minor"/>
    </font>
    <font>
      <b/>
      <sz val="10"/>
      <name val="Arial"/>
      <family val="2"/>
    </font>
    <font>
      <sz val="10"/>
      <color indexed="12"/>
      <name val="Arial"/>
      <family val="2"/>
    </font>
  </fonts>
  <fills count="1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CCCFF"/>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FFC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59999389629810485"/>
        <bgColor indexed="64"/>
      </patternFill>
    </fill>
  </fills>
  <borders count="18">
    <border>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2" fillId="0" borderId="0" applyNumberFormat="0" applyFill="0" applyBorder="0" applyAlignment="0" applyProtection="0"/>
  </cellStyleXfs>
  <cellXfs count="166">
    <xf numFmtId="0" fontId="0" fillId="0" borderId="0" xfId="0"/>
    <xf numFmtId="0" fontId="0" fillId="0" borderId="1" xfId="0" applyBorder="1"/>
    <xf numFmtId="0" fontId="0" fillId="0" borderId="2" xfId="0" applyBorder="1"/>
    <xf numFmtId="0" fontId="0" fillId="0" borderId="3" xfId="0" applyBorder="1"/>
    <xf numFmtId="0" fontId="6" fillId="0" borderId="0" xfId="0" applyFont="1"/>
    <xf numFmtId="0" fontId="6" fillId="0" borderId="1" xfId="0" applyFont="1" applyBorder="1"/>
    <xf numFmtId="0" fontId="0" fillId="2" borderId="0" xfId="0" applyFill="1" applyAlignment="1">
      <alignment horizontal="center"/>
    </xf>
    <xf numFmtId="0" fontId="7" fillId="0" borderId="1" xfId="0" applyFont="1" applyBorder="1"/>
    <xf numFmtId="164" fontId="0" fillId="0" borderId="0" xfId="0" applyNumberFormat="1"/>
    <xf numFmtId="164" fontId="7" fillId="0" borderId="0" xfId="1" applyNumberFormat="1" applyFont="1"/>
    <xf numFmtId="164" fontId="8" fillId="0" borderId="0" xfId="1" applyNumberFormat="1" applyFont="1"/>
    <xf numFmtId="164" fontId="9" fillId="0" borderId="0" xfId="1" applyNumberFormat="1" applyFont="1"/>
    <xf numFmtId="0" fontId="2" fillId="0" borderId="0" xfId="0" applyFont="1"/>
    <xf numFmtId="164" fontId="2" fillId="0" borderId="1" xfId="1" applyNumberFormat="1" applyFont="1" applyBorder="1"/>
    <xf numFmtId="164" fontId="2" fillId="0" borderId="3" xfId="1" applyNumberFormat="1" applyFont="1" applyBorder="1"/>
    <xf numFmtId="0" fontId="10" fillId="0" borderId="1" xfId="0" applyFont="1" applyBorder="1"/>
    <xf numFmtId="164" fontId="11" fillId="0" borderId="0" xfId="1" applyNumberFormat="1" applyFont="1"/>
    <xf numFmtId="0" fontId="0" fillId="0" borderId="0" xfId="0" applyAlignment="1">
      <alignment horizontal="center" wrapText="1"/>
    </xf>
    <xf numFmtId="164" fontId="12" fillId="3" borderId="0" xfId="1" applyNumberFormat="1" applyFont="1" applyFill="1"/>
    <xf numFmtId="164" fontId="7" fillId="0" borderId="1" xfId="1" applyNumberFormat="1" applyFont="1" applyBorder="1"/>
    <xf numFmtId="164" fontId="7" fillId="0" borderId="2" xfId="1" applyNumberFormat="1" applyFont="1" applyBorder="1"/>
    <xf numFmtId="164" fontId="7" fillId="0" borderId="3" xfId="1" applyNumberFormat="1" applyFont="1" applyBorder="1"/>
    <xf numFmtId="0" fontId="4" fillId="0" borderId="1" xfId="0" applyFont="1" applyBorder="1"/>
    <xf numFmtId="0" fontId="13" fillId="0" borderId="1" xfId="0" applyFont="1" applyBorder="1"/>
    <xf numFmtId="0" fontId="14" fillId="0" borderId="1" xfId="0" applyFont="1" applyBorder="1"/>
    <xf numFmtId="0" fontId="14" fillId="0" borderId="0" xfId="0" applyFont="1"/>
    <xf numFmtId="0" fontId="11" fillId="0" borderId="0" xfId="0" applyFont="1"/>
    <xf numFmtId="0" fontId="3" fillId="0" borderId="0" xfId="0" applyFont="1"/>
    <xf numFmtId="0" fontId="0" fillId="0" borderId="4" xfId="0" applyBorder="1"/>
    <xf numFmtId="0" fontId="0" fillId="0" borderId="5" xfId="0" applyBorder="1"/>
    <xf numFmtId="0" fontId="14" fillId="0" borderId="5" xfId="0" applyFont="1" applyBorder="1"/>
    <xf numFmtId="0" fontId="15" fillId="0" borderId="5" xfId="0" applyFont="1" applyBorder="1"/>
    <xf numFmtId="0" fontId="16" fillId="0" borderId="5" xfId="0" applyFont="1" applyBorder="1"/>
    <xf numFmtId="0" fontId="17" fillId="0" borderId="5" xfId="0" applyFont="1" applyBorder="1"/>
    <xf numFmtId="0" fontId="18" fillId="0" borderId="5" xfId="0" applyFont="1" applyBorder="1"/>
    <xf numFmtId="0" fontId="19" fillId="0" borderId="5" xfId="0" applyFont="1" applyBorder="1"/>
    <xf numFmtId="0" fontId="20" fillId="0" borderId="5" xfId="0" applyFont="1" applyBorder="1"/>
    <xf numFmtId="0" fontId="21" fillId="0" borderId="5" xfId="0" applyFont="1" applyBorder="1"/>
    <xf numFmtId="0" fontId="3" fillId="0" borderId="5" xfId="0" applyFont="1" applyBorder="1"/>
    <xf numFmtId="164" fontId="3" fillId="0" borderId="6" xfId="0" applyNumberFormat="1" applyFont="1" applyBorder="1"/>
    <xf numFmtId="164" fontId="0" fillId="0" borderId="7" xfId="0" applyNumberFormat="1" applyBorder="1"/>
    <xf numFmtId="0" fontId="11" fillId="5" borderId="0" xfId="0" applyFont="1" applyFill="1"/>
    <xf numFmtId="0" fontId="0" fillId="0" borderId="7" xfId="0" applyBorder="1"/>
    <xf numFmtId="43" fontId="11" fillId="6" borderId="0" xfId="0" applyNumberFormat="1" applyFont="1" applyFill="1"/>
    <xf numFmtId="43" fontId="11" fillId="8" borderId="0" xfId="0" applyNumberFormat="1" applyFont="1" applyFill="1"/>
    <xf numFmtId="164" fontId="11" fillId="10" borderId="0" xfId="0" applyNumberFormat="1" applyFont="1" applyFill="1"/>
    <xf numFmtId="164" fontId="11" fillId="0" borderId="0" xfId="0" applyNumberFormat="1" applyFont="1"/>
    <xf numFmtId="0" fontId="11" fillId="11" borderId="0" xfId="0" applyFont="1" applyFill="1"/>
    <xf numFmtId="0" fontId="11" fillId="6" borderId="0" xfId="0" applyFont="1" applyFill="1"/>
    <xf numFmtId="0" fontId="14" fillId="0" borderId="9" xfId="0" applyFont="1" applyBorder="1"/>
    <xf numFmtId="0" fontId="11" fillId="0" borderId="2" xfId="0" applyFont="1" applyBorder="1"/>
    <xf numFmtId="0" fontId="11" fillId="2" borderId="2" xfId="0" applyFont="1" applyFill="1" applyBorder="1"/>
    <xf numFmtId="0" fontId="0" fillId="0" borderId="10" xfId="0" applyBorder="1"/>
    <xf numFmtId="165" fontId="11" fillId="5" borderId="0" xfId="0" applyNumberFormat="1" applyFont="1" applyFill="1"/>
    <xf numFmtId="43" fontId="11" fillId="11" borderId="0" xfId="0" applyNumberFormat="1" applyFont="1" applyFill="1"/>
    <xf numFmtId="164" fontId="11" fillId="2" borderId="2" xfId="0" applyNumberFormat="1" applyFont="1" applyFill="1" applyBorder="1"/>
    <xf numFmtId="165" fontId="11" fillId="6" borderId="0" xfId="0" applyNumberFormat="1" applyFont="1" applyFill="1"/>
    <xf numFmtId="0" fontId="3" fillId="4" borderId="0" xfId="0" applyFont="1" applyFill="1"/>
    <xf numFmtId="0" fontId="15" fillId="0" borderId="0" xfId="0" applyFont="1"/>
    <xf numFmtId="0" fontId="16" fillId="0" borderId="0" xfId="0" applyFont="1"/>
    <xf numFmtId="0" fontId="11" fillId="7" borderId="0" xfId="0" applyFont="1" applyFill="1"/>
    <xf numFmtId="0" fontId="17" fillId="0" borderId="0" xfId="0" applyFont="1"/>
    <xf numFmtId="0" fontId="11" fillId="2" borderId="0" xfId="0" applyFont="1" applyFill="1"/>
    <xf numFmtId="0" fontId="18" fillId="0" borderId="0" xfId="0" applyFont="1"/>
    <xf numFmtId="0" fontId="11" fillId="9" borderId="0" xfId="0" applyFont="1" applyFill="1"/>
    <xf numFmtId="0" fontId="19" fillId="0" borderId="0" xfId="0" applyFont="1"/>
    <xf numFmtId="0" fontId="20" fillId="0" borderId="0" xfId="0" applyFont="1"/>
    <xf numFmtId="0" fontId="21" fillId="0" borderId="0" xfId="0" applyFont="1"/>
    <xf numFmtId="0" fontId="3" fillId="4" borderId="8" xfId="0" applyFont="1" applyFill="1" applyBorder="1"/>
    <xf numFmtId="164" fontId="11" fillId="2" borderId="0" xfId="0" applyNumberFormat="1" applyFont="1" applyFill="1"/>
    <xf numFmtId="164" fontId="11" fillId="11" borderId="0" xfId="0" applyNumberFormat="1" applyFont="1" applyFill="1"/>
    <xf numFmtId="164" fontId="11" fillId="9" borderId="0" xfId="0" applyNumberFormat="1" applyFont="1" applyFill="1"/>
    <xf numFmtId="164" fontId="11" fillId="7" borderId="0" xfId="0" applyNumberFormat="1" applyFont="1" applyFill="1"/>
    <xf numFmtId="164" fontId="7" fillId="0" borderId="0" xfId="1" applyNumberFormat="1" applyFont="1" applyBorder="1"/>
    <xf numFmtId="164" fontId="8" fillId="0" borderId="0" xfId="1" applyNumberFormat="1" applyFont="1" applyBorder="1"/>
    <xf numFmtId="164" fontId="11" fillId="0" borderId="0" xfId="1" applyNumberFormat="1" applyFont="1" applyBorder="1"/>
    <xf numFmtId="164" fontId="12" fillId="0" borderId="0" xfId="1" applyNumberFormat="1" applyFont="1" applyFill="1" applyBorder="1"/>
    <xf numFmtId="0" fontId="13" fillId="0" borderId="0" xfId="0" applyFont="1"/>
    <xf numFmtId="164" fontId="11" fillId="5" borderId="0" xfId="1" applyNumberFormat="1" applyFont="1" applyFill="1" applyBorder="1"/>
    <xf numFmtId="164" fontId="0" fillId="0" borderId="0" xfId="1" applyNumberFormat="1" applyFont="1" applyBorder="1"/>
    <xf numFmtId="164" fontId="11" fillId="6" borderId="0" xfId="1" applyNumberFormat="1" applyFont="1" applyFill="1" applyBorder="1"/>
    <xf numFmtId="164" fontId="11" fillId="7" borderId="0" xfId="1" applyNumberFormat="1" applyFont="1" applyFill="1" applyBorder="1"/>
    <xf numFmtId="164" fontId="11" fillId="8" borderId="0" xfId="1" applyNumberFormat="1" applyFont="1" applyFill="1" applyBorder="1"/>
    <xf numFmtId="164" fontId="11" fillId="2" borderId="0" xfId="1" applyNumberFormat="1" applyFont="1" applyFill="1" applyBorder="1"/>
    <xf numFmtId="164" fontId="11" fillId="9" borderId="0" xfId="1" applyNumberFormat="1" applyFont="1" applyFill="1" applyBorder="1"/>
    <xf numFmtId="164" fontId="11" fillId="10" borderId="0" xfId="1" applyNumberFormat="1" applyFont="1" applyFill="1" applyBorder="1"/>
    <xf numFmtId="164" fontId="11" fillId="11" borderId="0" xfId="1" applyNumberFormat="1" applyFont="1" applyFill="1" applyBorder="1"/>
    <xf numFmtId="0" fontId="14" fillId="0" borderId="5" xfId="0" applyFont="1" applyBorder="1" applyAlignment="1">
      <alignment horizontal="center" vertical="center" wrapText="1"/>
    </xf>
    <xf numFmtId="0" fontId="15" fillId="0" borderId="5" xfId="0" applyFont="1" applyBorder="1" applyAlignment="1">
      <alignment horizontal="center" vertical="center" wrapText="1"/>
    </xf>
    <xf numFmtId="0" fontId="16"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9" fillId="0" borderId="5" xfId="0" applyFont="1" applyBorder="1" applyAlignment="1">
      <alignment horizontal="center" vertical="center" wrapText="1"/>
    </xf>
    <xf numFmtId="0" fontId="20" fillId="0" borderId="5" xfId="0" applyFont="1" applyBorder="1" applyAlignment="1">
      <alignment horizontal="center" vertical="center" wrapText="1"/>
    </xf>
    <xf numFmtId="0" fontId="21" fillId="0" borderId="5" xfId="0" applyFont="1" applyBorder="1" applyAlignment="1">
      <alignment horizontal="center" vertical="center" wrapText="1"/>
    </xf>
    <xf numFmtId="164" fontId="11" fillId="0" borderId="2" xfId="1" applyNumberFormat="1" applyFont="1" applyBorder="1"/>
    <xf numFmtId="164" fontId="11" fillId="2" borderId="2" xfId="1" applyNumberFormat="1" applyFont="1" applyFill="1" applyBorder="1"/>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164" fontId="3" fillId="0" borderId="0" xfId="0" applyNumberFormat="1" applyFont="1"/>
    <xf numFmtId="0" fontId="0" fillId="0" borderId="11" xfId="0" applyBorder="1"/>
    <xf numFmtId="0" fontId="3" fillId="0" borderId="6" xfId="0" applyFont="1" applyBorder="1"/>
    <xf numFmtId="0" fontId="3" fillId="4" borderId="12" xfId="0" applyFont="1" applyFill="1" applyBorder="1"/>
    <xf numFmtId="0" fontId="14" fillId="0" borderId="12" xfId="0" applyFont="1" applyBorder="1"/>
    <xf numFmtId="0" fontId="15" fillId="0" borderId="12" xfId="0" applyFont="1" applyBorder="1"/>
    <xf numFmtId="0" fontId="16" fillId="0" borderId="12" xfId="0" applyFont="1" applyBorder="1"/>
    <xf numFmtId="0" fontId="17" fillId="0" borderId="12" xfId="0" applyFont="1" applyBorder="1"/>
    <xf numFmtId="0" fontId="18" fillId="0" borderId="12" xfId="0" applyFont="1" applyBorder="1"/>
    <xf numFmtId="0" fontId="19" fillId="0" borderId="12" xfId="0" applyFont="1" applyBorder="1"/>
    <xf numFmtId="0" fontId="20" fillId="0" borderId="12" xfId="0" applyFont="1" applyBorder="1"/>
    <xf numFmtId="0" fontId="21" fillId="0" borderId="12" xfId="0" applyFont="1" applyBorder="1"/>
    <xf numFmtId="0" fontId="14" fillId="0" borderId="13" xfId="0" applyFont="1" applyBorder="1"/>
    <xf numFmtId="0" fontId="15" fillId="0" borderId="1" xfId="0" applyFont="1" applyBorder="1"/>
    <xf numFmtId="0" fontId="3" fillId="12" borderId="0" xfId="0" applyFont="1" applyFill="1"/>
    <xf numFmtId="164" fontId="11" fillId="0" borderId="0" xfId="0" applyNumberFormat="1" applyFont="1" applyAlignment="1">
      <alignment horizontal="center" vertical="center" wrapText="1"/>
    </xf>
    <xf numFmtId="0" fontId="22" fillId="0" borderId="0" xfId="3"/>
    <xf numFmtId="164" fontId="0" fillId="0" borderId="0" xfId="1" applyNumberFormat="1" applyFont="1"/>
    <xf numFmtId="0" fontId="3" fillId="15" borderId="11" xfId="0" applyFont="1" applyFill="1" applyBorder="1"/>
    <xf numFmtId="0" fontId="3" fillId="15" borderId="0" xfId="0" applyFont="1" applyFill="1" applyAlignment="1">
      <alignment horizontal="center"/>
    </xf>
    <xf numFmtId="0" fontId="3" fillId="15" borderId="6" xfId="0" applyFont="1" applyFill="1" applyBorder="1" applyAlignment="1">
      <alignment horizontal="center"/>
    </xf>
    <xf numFmtId="0" fontId="0" fillId="15" borderId="12" xfId="0" applyFill="1" applyBorder="1"/>
    <xf numFmtId="164" fontId="0" fillId="15" borderId="0" xfId="0" applyNumberFormat="1" applyFill="1"/>
    <xf numFmtId="9" fontId="0" fillId="15" borderId="7" xfId="2" applyFont="1" applyFill="1" applyBorder="1"/>
    <xf numFmtId="0" fontId="0" fillId="15" borderId="13" xfId="0" applyFill="1" applyBorder="1"/>
    <xf numFmtId="164" fontId="0" fillId="15" borderId="2" xfId="0" applyNumberFormat="1" applyFill="1" applyBorder="1"/>
    <xf numFmtId="9" fontId="0" fillId="15" borderId="10" xfId="2" applyFont="1" applyFill="1" applyBorder="1"/>
    <xf numFmtId="9" fontId="0" fillId="15" borderId="0" xfId="0" applyNumberFormat="1" applyFill="1"/>
    <xf numFmtId="0" fontId="7" fillId="0" borderId="0" xfId="0" applyFont="1"/>
    <xf numFmtId="166" fontId="0" fillId="0" borderId="0" xfId="1" applyNumberFormat="1" applyFont="1"/>
    <xf numFmtId="0" fontId="0" fillId="0" borderId="0" xfId="0" applyAlignment="1">
      <alignment horizontal="center"/>
    </xf>
    <xf numFmtId="9" fontId="21" fillId="0" borderId="0" xfId="0" applyNumberFormat="1" applyFont="1"/>
    <xf numFmtId="0" fontId="0" fillId="2" borderId="0" xfId="0" applyFill="1" applyAlignment="1">
      <alignment horizontal="center"/>
    </xf>
    <xf numFmtId="0" fontId="5" fillId="13" borderId="0" xfId="0" applyFont="1" applyFill="1" applyAlignment="1">
      <alignment horizontal="center"/>
    </xf>
    <xf numFmtId="0" fontId="5" fillId="2" borderId="0" xfId="0" applyFont="1" applyFill="1" applyAlignment="1">
      <alignment horizontal="center"/>
    </xf>
    <xf numFmtId="0" fontId="0" fillId="14" borderId="0" xfId="0" applyFill="1" applyAlignment="1">
      <alignment horizontal="center"/>
    </xf>
    <xf numFmtId="0" fontId="0" fillId="0" borderId="0" xfId="0" applyAlignment="1">
      <alignment horizontal="center"/>
    </xf>
    <xf numFmtId="0" fontId="23" fillId="0" borderId="0" xfId="0" applyFont="1"/>
    <xf numFmtId="3" fontId="0" fillId="0" borderId="0" xfId="0" applyNumberFormat="1"/>
    <xf numFmtId="0" fontId="0" fillId="0" borderId="14" xfId="0" applyBorder="1"/>
    <xf numFmtId="0" fontId="0" fillId="0" borderId="15" xfId="0" applyBorder="1"/>
    <xf numFmtId="0" fontId="0" fillId="0" borderId="16" xfId="0" applyBorder="1"/>
    <xf numFmtId="0" fontId="0" fillId="0" borderId="17" xfId="0" applyBorder="1"/>
    <xf numFmtId="3" fontId="0" fillId="0" borderId="17" xfId="0" applyNumberFormat="1" applyBorder="1"/>
    <xf numFmtId="3" fontId="0" fillId="0" borderId="15" xfId="0" applyNumberFormat="1" applyBorder="1"/>
    <xf numFmtId="3" fontId="24" fillId="0" borderId="17" xfId="0" applyNumberFormat="1" applyFont="1" applyBorder="1"/>
    <xf numFmtId="0" fontId="0" fillId="0" borderId="0" xfId="0" quotePrefix="1" applyAlignment="1">
      <alignment horizontal="left"/>
    </xf>
    <xf numFmtId="3" fontId="24" fillId="0" borderId="0" xfId="0" applyNumberFormat="1" applyFont="1"/>
    <xf numFmtId="168" fontId="0" fillId="0" borderId="17" xfId="0" applyNumberFormat="1" applyBorder="1"/>
    <xf numFmtId="0" fontId="0" fillId="0" borderId="17" xfId="0" quotePrefix="1" applyBorder="1" applyAlignment="1">
      <alignment horizontal="left"/>
    </xf>
    <xf numFmtId="10" fontId="0" fillId="0" borderId="17" xfId="0" applyNumberFormat="1" applyBorder="1"/>
    <xf numFmtId="168" fontId="0" fillId="0" borderId="0" xfId="0" applyNumberFormat="1"/>
    <xf numFmtId="164" fontId="0" fillId="0" borderId="17" xfId="1" applyNumberFormat="1" applyFont="1" applyBorder="1"/>
    <xf numFmtId="164" fontId="7" fillId="0" borderId="0" xfId="1" applyNumberFormat="1" applyFont="1" applyFill="1" applyBorder="1"/>
    <xf numFmtId="0" fontId="3" fillId="0" borderId="0" xfId="0" applyFont="1" applyFill="1"/>
    <xf numFmtId="0" fontId="0" fillId="0" borderId="0" xfId="0" applyFill="1"/>
    <xf numFmtId="0" fontId="7" fillId="0" borderId="0" xfId="0" applyFont="1" applyFill="1"/>
    <xf numFmtId="9" fontId="0" fillId="0" borderId="0" xfId="0" applyNumberFormat="1" applyFill="1"/>
    <xf numFmtId="9" fontId="21" fillId="0" borderId="0" xfId="0" applyNumberFormat="1" applyFont="1" applyFill="1"/>
    <xf numFmtId="164" fontId="0" fillId="0" borderId="0" xfId="0" applyNumberFormat="1" applyFill="1"/>
    <xf numFmtId="164" fontId="21" fillId="0" borderId="0" xfId="1" applyNumberFormat="1" applyFon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Transmission</a:t>
            </a:r>
            <a:r>
              <a:rPr lang="en-CA" baseline="0"/>
              <a:t> Splits from JCIMS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'capacityAllocation+2022'!$O$23</c:f>
              <c:strCache>
                <c:ptCount val="1"/>
                <c:pt idx="0">
                  <c:v>*BC, Yukon and NWT</c:v>
                </c:pt>
              </c:strCache>
            </c:strRef>
          </c:tx>
          <c:spPr>
            <a:ln w="28575" cap="rnd">
              <a:solidFill>
                <a:schemeClr val="accent1"/>
              </a:solidFill>
              <a:round/>
            </a:ln>
            <a:effectLst/>
          </c:spPr>
          <c:marker>
            <c:symbol val="none"/>
          </c:marker>
          <c:val>
            <c:numRef>
              <c:f>'capacityAllocation+2022'!$P$23:$W$23</c:f>
              <c:numCache>
                <c:formatCode>General</c:formatCode>
                <c:ptCount val="8"/>
                <c:pt idx="0">
                  <c:v>8.4531258028182718E-2</c:v>
                </c:pt>
                <c:pt idx="1">
                  <c:v>8.4531258028182718E-2</c:v>
                </c:pt>
                <c:pt idx="2">
                  <c:v>9.4563620722667607E-2</c:v>
                </c:pt>
                <c:pt idx="3">
                  <c:v>0.14730409248981369</c:v>
                </c:pt>
                <c:pt idx="4">
                  <c:v>0.14730409248981369</c:v>
                </c:pt>
                <c:pt idx="5">
                  <c:v>0.14730409248981369</c:v>
                </c:pt>
                <c:pt idx="6">
                  <c:v>0.14730409248981369</c:v>
                </c:pt>
                <c:pt idx="7">
                  <c:v>0.14730409248981369</c:v>
                </c:pt>
              </c:numCache>
            </c:numRef>
          </c:val>
          <c:smooth val="0"/>
          <c:extLst>
            <c:ext xmlns:c16="http://schemas.microsoft.com/office/drawing/2014/chart" uri="{C3380CC4-5D6E-409C-BE32-E72D297353CC}">
              <c16:uniqueId val="{00000000-010E-4B3F-8644-E64A14B5A1F3}"/>
            </c:ext>
          </c:extLst>
        </c:ser>
        <c:ser>
          <c:idx val="1"/>
          <c:order val="1"/>
          <c:tx>
            <c:strRef>
              <c:f>'capacityAllocation+2022'!$O$24</c:f>
              <c:strCache>
                <c:ptCount val="1"/>
                <c:pt idx="0">
                  <c:v>Alberta</c:v>
                </c:pt>
              </c:strCache>
            </c:strRef>
          </c:tx>
          <c:spPr>
            <a:ln w="28575" cap="rnd">
              <a:solidFill>
                <a:schemeClr val="accent2"/>
              </a:solidFill>
              <a:round/>
            </a:ln>
            <a:effectLst/>
          </c:spPr>
          <c:marker>
            <c:symbol val="none"/>
          </c:marker>
          <c:val>
            <c:numRef>
              <c:f>'capacityAllocation+2022'!$P$24:$W$24</c:f>
              <c:numCache>
                <c:formatCode>General</c:formatCode>
                <c:ptCount val="8"/>
                <c:pt idx="0">
                  <c:v>0.21957634881310559</c:v>
                </c:pt>
                <c:pt idx="1">
                  <c:v>0.21957634881310559</c:v>
                </c:pt>
                <c:pt idx="2">
                  <c:v>0.2171700737876153</c:v>
                </c:pt>
                <c:pt idx="3">
                  <c:v>0.20151971583499326</c:v>
                </c:pt>
                <c:pt idx="4">
                  <c:v>0.20151971583499326</c:v>
                </c:pt>
                <c:pt idx="5">
                  <c:v>0.20151971583499326</c:v>
                </c:pt>
                <c:pt idx="6">
                  <c:v>0.20151971583499326</c:v>
                </c:pt>
                <c:pt idx="7">
                  <c:v>0.20151971583499326</c:v>
                </c:pt>
              </c:numCache>
            </c:numRef>
          </c:val>
          <c:smooth val="0"/>
          <c:extLst>
            <c:ext xmlns:c16="http://schemas.microsoft.com/office/drawing/2014/chart" uri="{C3380CC4-5D6E-409C-BE32-E72D297353CC}">
              <c16:uniqueId val="{00000001-010E-4B3F-8644-E64A14B5A1F3}"/>
            </c:ext>
          </c:extLst>
        </c:ser>
        <c:ser>
          <c:idx val="2"/>
          <c:order val="2"/>
          <c:tx>
            <c:strRef>
              <c:f>'capacityAllocation+2022'!$O$25</c:f>
              <c:strCache>
                <c:ptCount val="1"/>
                <c:pt idx="0">
                  <c:v>Saskatchewan</c:v>
                </c:pt>
              </c:strCache>
            </c:strRef>
          </c:tx>
          <c:spPr>
            <a:ln w="28575" cap="rnd">
              <a:solidFill>
                <a:schemeClr val="accent3"/>
              </a:solidFill>
              <a:round/>
            </a:ln>
            <a:effectLst/>
          </c:spPr>
          <c:marker>
            <c:symbol val="none"/>
          </c:marker>
          <c:val>
            <c:numRef>
              <c:f>'capacityAllocation+2022'!$P$25:$W$25</c:f>
              <c:numCache>
                <c:formatCode>General</c:formatCode>
                <c:ptCount val="8"/>
                <c:pt idx="0">
                  <c:v>0.18236837273913811</c:v>
                </c:pt>
                <c:pt idx="1">
                  <c:v>0.18236837273913811</c:v>
                </c:pt>
                <c:pt idx="2">
                  <c:v>0.18036984938662984</c:v>
                </c:pt>
                <c:pt idx="3">
                  <c:v>0.1673714990268011</c:v>
                </c:pt>
                <c:pt idx="4">
                  <c:v>0.1673714990268011</c:v>
                </c:pt>
                <c:pt idx="5">
                  <c:v>0.1673714990268011</c:v>
                </c:pt>
                <c:pt idx="6">
                  <c:v>0.1673714990268011</c:v>
                </c:pt>
                <c:pt idx="7">
                  <c:v>0.1673714990268011</c:v>
                </c:pt>
              </c:numCache>
            </c:numRef>
          </c:val>
          <c:smooth val="0"/>
          <c:extLst>
            <c:ext xmlns:c16="http://schemas.microsoft.com/office/drawing/2014/chart" uri="{C3380CC4-5D6E-409C-BE32-E72D297353CC}">
              <c16:uniqueId val="{00000002-010E-4B3F-8644-E64A14B5A1F3}"/>
            </c:ext>
          </c:extLst>
        </c:ser>
        <c:ser>
          <c:idx val="3"/>
          <c:order val="3"/>
          <c:tx>
            <c:strRef>
              <c:f>'capacityAllocation+2022'!$O$26</c:f>
              <c:strCache>
                <c:ptCount val="1"/>
                <c:pt idx="0">
                  <c:v>Manitoba</c:v>
                </c:pt>
              </c:strCache>
            </c:strRef>
          </c:tx>
          <c:spPr>
            <a:ln w="28575" cap="rnd">
              <a:solidFill>
                <a:schemeClr val="accent4"/>
              </a:solidFill>
              <a:round/>
            </a:ln>
            <a:effectLst/>
          </c:spPr>
          <c:marker>
            <c:symbol val="none"/>
          </c:marker>
          <c:val>
            <c:numRef>
              <c:f>'capacityAllocation+2022'!$P$26:$W$26</c:f>
              <c:numCache>
                <c:formatCode>General</c:formatCode>
                <c:ptCount val="8"/>
                <c:pt idx="0">
                  <c:v>0.12420986939759163</c:v>
                </c:pt>
                <c:pt idx="1">
                  <c:v>0.12420986939759163</c:v>
                </c:pt>
                <c:pt idx="2">
                  <c:v>0.12284868861347524</c:v>
                </c:pt>
                <c:pt idx="3">
                  <c:v>0.11399559980027461</c:v>
                </c:pt>
                <c:pt idx="4">
                  <c:v>0.11399559980027461</c:v>
                </c:pt>
                <c:pt idx="5">
                  <c:v>0.11399559980027461</c:v>
                </c:pt>
                <c:pt idx="6">
                  <c:v>0.11399559980027461</c:v>
                </c:pt>
                <c:pt idx="7">
                  <c:v>0.11399559980027461</c:v>
                </c:pt>
              </c:numCache>
            </c:numRef>
          </c:val>
          <c:smooth val="0"/>
          <c:extLst>
            <c:ext xmlns:c16="http://schemas.microsoft.com/office/drawing/2014/chart" uri="{C3380CC4-5D6E-409C-BE32-E72D297353CC}">
              <c16:uniqueId val="{00000003-010E-4B3F-8644-E64A14B5A1F3}"/>
            </c:ext>
          </c:extLst>
        </c:ser>
        <c:ser>
          <c:idx val="4"/>
          <c:order val="4"/>
          <c:tx>
            <c:strRef>
              <c:f>'capacityAllocation+2022'!$O$27</c:f>
              <c:strCache>
                <c:ptCount val="1"/>
                <c:pt idx="0">
                  <c:v>Ontario</c:v>
                </c:pt>
              </c:strCache>
            </c:strRef>
          </c:tx>
          <c:spPr>
            <a:ln w="28575" cap="rnd">
              <a:solidFill>
                <a:schemeClr val="accent5"/>
              </a:solidFill>
              <a:round/>
            </a:ln>
            <a:effectLst/>
          </c:spPr>
          <c:marker>
            <c:symbol val="none"/>
          </c:marker>
          <c:val>
            <c:numRef>
              <c:f>'capacityAllocation+2022'!$P$27:$W$27</c:f>
              <c:numCache>
                <c:formatCode>General</c:formatCode>
                <c:ptCount val="8"/>
                <c:pt idx="0">
                  <c:v>0.38124623419007686</c:v>
                </c:pt>
                <c:pt idx="1">
                  <c:v>0.38124623419007686</c:v>
                </c:pt>
                <c:pt idx="2">
                  <c:v>0.37706826467353916</c:v>
                </c:pt>
                <c:pt idx="3">
                  <c:v>0.34989484610903598</c:v>
                </c:pt>
                <c:pt idx="4">
                  <c:v>0.34989484610903598</c:v>
                </c:pt>
                <c:pt idx="5">
                  <c:v>0.34989484610903598</c:v>
                </c:pt>
                <c:pt idx="6">
                  <c:v>0.34989484610903598</c:v>
                </c:pt>
                <c:pt idx="7">
                  <c:v>0.34989484610903598</c:v>
                </c:pt>
              </c:numCache>
            </c:numRef>
          </c:val>
          <c:smooth val="0"/>
          <c:extLst>
            <c:ext xmlns:c16="http://schemas.microsoft.com/office/drawing/2014/chart" uri="{C3380CC4-5D6E-409C-BE32-E72D297353CC}">
              <c16:uniqueId val="{00000004-010E-4B3F-8644-E64A14B5A1F3}"/>
            </c:ext>
          </c:extLst>
        </c:ser>
        <c:ser>
          <c:idx val="5"/>
          <c:order val="5"/>
          <c:tx>
            <c:strRef>
              <c:f>'capacityAllocation+2022'!$O$28</c:f>
              <c:strCache>
                <c:ptCount val="1"/>
                <c:pt idx="0">
                  <c:v>Québec</c:v>
                </c:pt>
              </c:strCache>
            </c:strRef>
          </c:tx>
          <c:spPr>
            <a:ln w="28575" cap="rnd">
              <a:solidFill>
                <a:schemeClr val="accent6"/>
              </a:solidFill>
              <a:round/>
            </a:ln>
            <a:effectLst/>
          </c:spPr>
          <c:marker>
            <c:symbol val="none"/>
          </c:marker>
          <c:val>
            <c:numRef>
              <c:f>'capacityAllocation+2022'!$P$28:$W$28</c:f>
              <c:numCache>
                <c:formatCode>General</c:formatCode>
                <c:ptCount val="8"/>
                <c:pt idx="0">
                  <c:v>2.1645630524623361E-3</c:v>
                </c:pt>
                <c:pt idx="1">
                  <c:v>2.1645630524623361E-3</c:v>
                </c:pt>
                <c:pt idx="2">
                  <c:v>2.140842218946371E-3</c:v>
                </c:pt>
                <c:pt idx="3">
                  <c:v>1.9865624581015917E-3</c:v>
                </c:pt>
                <c:pt idx="4">
                  <c:v>1.9865624581015917E-3</c:v>
                </c:pt>
                <c:pt idx="5">
                  <c:v>1.9865624581015917E-3</c:v>
                </c:pt>
                <c:pt idx="6">
                  <c:v>1.9865624581015917E-3</c:v>
                </c:pt>
                <c:pt idx="7">
                  <c:v>1.9865624581015917E-3</c:v>
                </c:pt>
              </c:numCache>
            </c:numRef>
          </c:val>
          <c:smooth val="0"/>
          <c:extLst>
            <c:ext xmlns:c16="http://schemas.microsoft.com/office/drawing/2014/chart" uri="{C3380CC4-5D6E-409C-BE32-E72D297353CC}">
              <c16:uniqueId val="{00000005-010E-4B3F-8644-E64A14B5A1F3}"/>
            </c:ext>
          </c:extLst>
        </c:ser>
        <c:ser>
          <c:idx val="6"/>
          <c:order val="6"/>
          <c:tx>
            <c:strRef>
              <c:f>'capacityAllocation+2022'!$O$29</c:f>
              <c:strCache>
                <c:ptCount val="1"/>
                <c:pt idx="0">
                  <c:v>Atlantic</c:v>
                </c:pt>
              </c:strCache>
            </c:strRef>
          </c:tx>
          <c:spPr>
            <a:ln w="28575" cap="rnd">
              <a:solidFill>
                <a:schemeClr val="accent1">
                  <a:lumMod val="60000"/>
                </a:schemeClr>
              </a:solidFill>
              <a:round/>
            </a:ln>
            <a:effectLst/>
          </c:spPr>
          <c:marker>
            <c:symbol val="none"/>
          </c:marker>
          <c:val>
            <c:numRef>
              <c:f>'capacityAllocation+2022'!$P$29:$W$29</c:f>
              <c:numCache>
                <c:formatCode>General</c:formatCode>
                <c:ptCount val="8"/>
                <c:pt idx="0">
                  <c:v>5.9033537794427344E-3</c:v>
                </c:pt>
                <c:pt idx="1">
                  <c:v>5.9033537794427344E-3</c:v>
                </c:pt>
                <c:pt idx="2">
                  <c:v>5.8386605971264662E-3</c:v>
                </c:pt>
                <c:pt idx="3">
                  <c:v>1.7927684280979749E-2</c:v>
                </c:pt>
                <c:pt idx="4">
                  <c:v>1.7927684280979749E-2</c:v>
                </c:pt>
                <c:pt idx="5">
                  <c:v>1.7927684280979749E-2</c:v>
                </c:pt>
                <c:pt idx="6">
                  <c:v>1.7927684280979749E-2</c:v>
                </c:pt>
                <c:pt idx="7">
                  <c:v>1.7927684280979749E-2</c:v>
                </c:pt>
              </c:numCache>
            </c:numRef>
          </c:val>
          <c:smooth val="0"/>
          <c:extLst>
            <c:ext xmlns:c16="http://schemas.microsoft.com/office/drawing/2014/chart" uri="{C3380CC4-5D6E-409C-BE32-E72D297353CC}">
              <c16:uniqueId val="{00000006-010E-4B3F-8644-E64A14B5A1F3}"/>
            </c:ext>
          </c:extLst>
        </c:ser>
        <c:dLbls>
          <c:showLegendKey val="0"/>
          <c:showVal val="0"/>
          <c:showCatName val="0"/>
          <c:showSerName val="0"/>
          <c:showPercent val="0"/>
          <c:showBubbleSize val="0"/>
        </c:dLbls>
        <c:smooth val="0"/>
        <c:axId val="1683212895"/>
        <c:axId val="434553039"/>
      </c:lineChart>
      <c:catAx>
        <c:axId val="16832128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553039"/>
        <c:crosses val="autoZero"/>
        <c:auto val="1"/>
        <c:lblAlgn val="ctr"/>
        <c:lblOffset val="100"/>
        <c:noMultiLvlLbl val="0"/>
      </c:catAx>
      <c:valAx>
        <c:axId val="434553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212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New</a:t>
            </a:r>
            <a:r>
              <a:rPr lang="en-CA" baseline="0"/>
              <a:t> transmission splits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'capacityAllocation+2022'!$O$33</c:f>
              <c:strCache>
                <c:ptCount val="1"/>
                <c:pt idx="0">
                  <c:v>*BC, Yukon and NWT</c:v>
                </c:pt>
              </c:strCache>
            </c:strRef>
          </c:tx>
          <c:spPr>
            <a:ln w="28575" cap="rnd">
              <a:solidFill>
                <a:schemeClr val="accent1"/>
              </a:solidFill>
              <a:round/>
            </a:ln>
            <a:effectLst/>
          </c:spPr>
          <c:marker>
            <c:symbol val="none"/>
          </c:marker>
          <c:val>
            <c:numRef>
              <c:f>'capacityAllocation+2022'!$P$33:$W$33</c:f>
              <c:numCache>
                <c:formatCode>General</c:formatCode>
                <c:ptCount val="8"/>
                <c:pt idx="0">
                  <c:v>8.4531258028182718E-2</c:v>
                </c:pt>
                <c:pt idx="1">
                  <c:v>7.3062115388263696E-2</c:v>
                </c:pt>
                <c:pt idx="2">
                  <c:v>6.1592972748344674E-2</c:v>
                </c:pt>
                <c:pt idx="3">
                  <c:v>5.0123830108425652E-2</c:v>
                </c:pt>
                <c:pt idx="4" formatCode="0%">
                  <c:v>3.8654687468506622E-2</c:v>
                </c:pt>
                <c:pt idx="5" formatCode="0%">
                  <c:v>3.8654687468506622E-2</c:v>
                </c:pt>
                <c:pt idx="6" formatCode="0%">
                  <c:v>3.8654687468506622E-2</c:v>
                </c:pt>
                <c:pt idx="7" formatCode="0%">
                  <c:v>3.8654687468506622E-2</c:v>
                </c:pt>
              </c:numCache>
            </c:numRef>
          </c:val>
          <c:smooth val="0"/>
          <c:extLst>
            <c:ext xmlns:c16="http://schemas.microsoft.com/office/drawing/2014/chart" uri="{C3380CC4-5D6E-409C-BE32-E72D297353CC}">
              <c16:uniqueId val="{00000000-E784-493C-A5D0-92DAFB001BC2}"/>
            </c:ext>
          </c:extLst>
        </c:ser>
        <c:ser>
          <c:idx val="1"/>
          <c:order val="1"/>
          <c:tx>
            <c:strRef>
              <c:f>'capacityAllocation+2022'!$O$34</c:f>
              <c:strCache>
                <c:ptCount val="1"/>
                <c:pt idx="0">
                  <c:v>Alberta</c:v>
                </c:pt>
              </c:strCache>
            </c:strRef>
          </c:tx>
          <c:spPr>
            <a:ln w="28575" cap="rnd">
              <a:solidFill>
                <a:schemeClr val="accent2"/>
              </a:solidFill>
              <a:round/>
            </a:ln>
            <a:effectLst/>
          </c:spPr>
          <c:marker>
            <c:symbol val="none"/>
          </c:marker>
          <c:val>
            <c:numRef>
              <c:f>'capacityAllocation+2022'!$P$34:$W$34</c:f>
              <c:numCache>
                <c:formatCode>General</c:formatCode>
                <c:ptCount val="8"/>
                <c:pt idx="0">
                  <c:v>0.21957634881310559</c:v>
                </c:pt>
                <c:pt idx="1">
                  <c:v>0.29747747769612176</c:v>
                </c:pt>
                <c:pt idx="2">
                  <c:v>0.37537860657913796</c:v>
                </c:pt>
                <c:pt idx="3">
                  <c:v>0.45327973546215417</c:v>
                </c:pt>
                <c:pt idx="4" formatCode="0%">
                  <c:v>0.53118086434517042</c:v>
                </c:pt>
                <c:pt idx="5" formatCode="0%">
                  <c:v>0.53118086434517042</c:v>
                </c:pt>
                <c:pt idx="6" formatCode="0%">
                  <c:v>0.53118086434517042</c:v>
                </c:pt>
                <c:pt idx="7" formatCode="0%">
                  <c:v>0.53118086434517042</c:v>
                </c:pt>
              </c:numCache>
            </c:numRef>
          </c:val>
          <c:smooth val="0"/>
          <c:extLst>
            <c:ext xmlns:c16="http://schemas.microsoft.com/office/drawing/2014/chart" uri="{C3380CC4-5D6E-409C-BE32-E72D297353CC}">
              <c16:uniqueId val="{00000001-E784-493C-A5D0-92DAFB001BC2}"/>
            </c:ext>
          </c:extLst>
        </c:ser>
        <c:ser>
          <c:idx val="2"/>
          <c:order val="2"/>
          <c:tx>
            <c:strRef>
              <c:f>'capacityAllocation+2022'!$O$35</c:f>
              <c:strCache>
                <c:ptCount val="1"/>
                <c:pt idx="0">
                  <c:v>Saskatchewan</c:v>
                </c:pt>
              </c:strCache>
            </c:strRef>
          </c:tx>
          <c:spPr>
            <a:ln w="28575" cap="rnd">
              <a:solidFill>
                <a:schemeClr val="accent3"/>
              </a:solidFill>
              <a:round/>
            </a:ln>
            <a:effectLst/>
          </c:spPr>
          <c:marker>
            <c:symbol val="none"/>
          </c:marker>
          <c:val>
            <c:numRef>
              <c:f>'capacityAllocation+2022'!$P$35:$W$35</c:f>
              <c:numCache>
                <c:formatCode>General</c:formatCode>
                <c:ptCount val="8"/>
                <c:pt idx="0">
                  <c:v>0.18236837273913811</c:v>
                </c:pt>
                <c:pt idx="1">
                  <c:v>0.19774022119656154</c:v>
                </c:pt>
                <c:pt idx="2">
                  <c:v>0.21311206965398496</c:v>
                </c:pt>
                <c:pt idx="3">
                  <c:v>0.22848391811140839</c:v>
                </c:pt>
                <c:pt idx="4" formatCode="0%">
                  <c:v>0.24385576656883182</c:v>
                </c:pt>
                <c:pt idx="5" formatCode="0%">
                  <c:v>0.24385576656883182</c:v>
                </c:pt>
                <c:pt idx="6" formatCode="0%">
                  <c:v>0.24385576656883182</c:v>
                </c:pt>
                <c:pt idx="7" formatCode="0%">
                  <c:v>0.24385576656883182</c:v>
                </c:pt>
              </c:numCache>
            </c:numRef>
          </c:val>
          <c:smooth val="0"/>
          <c:extLst>
            <c:ext xmlns:c16="http://schemas.microsoft.com/office/drawing/2014/chart" uri="{C3380CC4-5D6E-409C-BE32-E72D297353CC}">
              <c16:uniqueId val="{00000002-E784-493C-A5D0-92DAFB001BC2}"/>
            </c:ext>
          </c:extLst>
        </c:ser>
        <c:ser>
          <c:idx val="3"/>
          <c:order val="3"/>
          <c:tx>
            <c:strRef>
              <c:f>'capacityAllocation+2022'!$O$36</c:f>
              <c:strCache>
                <c:ptCount val="1"/>
                <c:pt idx="0">
                  <c:v>Manitoba</c:v>
                </c:pt>
              </c:strCache>
            </c:strRef>
          </c:tx>
          <c:spPr>
            <a:ln w="28575" cap="rnd">
              <a:solidFill>
                <a:schemeClr val="accent4"/>
              </a:solidFill>
              <a:round/>
            </a:ln>
            <a:effectLst/>
          </c:spPr>
          <c:marker>
            <c:symbol val="none"/>
          </c:marker>
          <c:val>
            <c:numRef>
              <c:f>'capacityAllocation+2022'!$P$36:$W$36</c:f>
              <c:numCache>
                <c:formatCode>General</c:formatCode>
                <c:ptCount val="8"/>
                <c:pt idx="0">
                  <c:v>0.12420986939759163</c:v>
                </c:pt>
                <c:pt idx="1">
                  <c:v>0.10701521551197013</c:v>
                </c:pt>
                <c:pt idx="2">
                  <c:v>8.9820561626348633E-2</c:v>
                </c:pt>
                <c:pt idx="3">
                  <c:v>7.2625907740727136E-2</c:v>
                </c:pt>
                <c:pt idx="4" formatCode="0%">
                  <c:v>5.5431253855105618E-2</c:v>
                </c:pt>
                <c:pt idx="5" formatCode="0%">
                  <c:v>5.5431253855105618E-2</c:v>
                </c:pt>
                <c:pt idx="6" formatCode="0%">
                  <c:v>5.5431253855105618E-2</c:v>
                </c:pt>
                <c:pt idx="7" formatCode="0%">
                  <c:v>5.5431253855105618E-2</c:v>
                </c:pt>
              </c:numCache>
            </c:numRef>
          </c:val>
          <c:smooth val="0"/>
          <c:extLst>
            <c:ext xmlns:c16="http://schemas.microsoft.com/office/drawing/2014/chart" uri="{C3380CC4-5D6E-409C-BE32-E72D297353CC}">
              <c16:uniqueId val="{00000003-E784-493C-A5D0-92DAFB001BC2}"/>
            </c:ext>
          </c:extLst>
        </c:ser>
        <c:ser>
          <c:idx val="4"/>
          <c:order val="4"/>
          <c:tx>
            <c:strRef>
              <c:f>'capacityAllocation+2022'!$O$37</c:f>
              <c:strCache>
                <c:ptCount val="1"/>
                <c:pt idx="0">
                  <c:v>Ontario</c:v>
                </c:pt>
              </c:strCache>
            </c:strRef>
          </c:tx>
          <c:spPr>
            <a:ln w="28575" cap="rnd">
              <a:solidFill>
                <a:schemeClr val="accent5"/>
              </a:solidFill>
              <a:round/>
            </a:ln>
            <a:effectLst/>
          </c:spPr>
          <c:marker>
            <c:symbol val="none"/>
          </c:marker>
          <c:val>
            <c:numRef>
              <c:f>'capacityAllocation+2022'!$P$37:$W$37</c:f>
              <c:numCache>
                <c:formatCode>General</c:formatCode>
                <c:ptCount val="8"/>
                <c:pt idx="0">
                  <c:v>0.38124623419007686</c:v>
                </c:pt>
                <c:pt idx="1">
                  <c:v>0.31490302270631509</c:v>
                </c:pt>
                <c:pt idx="2">
                  <c:v>0.24855981122255333</c:v>
                </c:pt>
                <c:pt idx="3">
                  <c:v>0.18221659973879156</c:v>
                </c:pt>
                <c:pt idx="4" formatCode="0%">
                  <c:v>0.11587338825502973</c:v>
                </c:pt>
                <c:pt idx="5" formatCode="0%">
                  <c:v>0.11587338825502973</c:v>
                </c:pt>
                <c:pt idx="6" formatCode="0%">
                  <c:v>0.11587338825502973</c:v>
                </c:pt>
                <c:pt idx="7" formatCode="0%">
                  <c:v>0.11587338825502973</c:v>
                </c:pt>
              </c:numCache>
            </c:numRef>
          </c:val>
          <c:smooth val="0"/>
          <c:extLst>
            <c:ext xmlns:c16="http://schemas.microsoft.com/office/drawing/2014/chart" uri="{C3380CC4-5D6E-409C-BE32-E72D297353CC}">
              <c16:uniqueId val="{00000004-E784-493C-A5D0-92DAFB001BC2}"/>
            </c:ext>
          </c:extLst>
        </c:ser>
        <c:ser>
          <c:idx val="5"/>
          <c:order val="5"/>
          <c:tx>
            <c:strRef>
              <c:f>'capacityAllocation+2022'!$O$38</c:f>
              <c:strCache>
                <c:ptCount val="1"/>
                <c:pt idx="0">
                  <c:v>Québec</c:v>
                </c:pt>
              </c:strCache>
            </c:strRef>
          </c:tx>
          <c:spPr>
            <a:ln w="28575" cap="rnd">
              <a:solidFill>
                <a:schemeClr val="accent6"/>
              </a:solidFill>
              <a:round/>
            </a:ln>
            <a:effectLst/>
          </c:spPr>
          <c:marker>
            <c:symbol val="none"/>
          </c:marker>
          <c:val>
            <c:numRef>
              <c:f>'capacityAllocation+2022'!$P$38:$W$38</c:f>
              <c:numCache>
                <c:formatCode>General</c:formatCode>
                <c:ptCount val="8"/>
                <c:pt idx="0">
                  <c:v>2.1645630524623361E-3</c:v>
                </c:pt>
                <c:pt idx="1">
                  <c:v>2.2590485526604322E-3</c:v>
                </c:pt>
                <c:pt idx="2">
                  <c:v>2.3535340528585283E-3</c:v>
                </c:pt>
                <c:pt idx="3">
                  <c:v>2.4480195530566244E-3</c:v>
                </c:pt>
                <c:pt idx="4" formatCode="0%">
                  <c:v>2.5425050532547201E-3</c:v>
                </c:pt>
                <c:pt idx="5" formatCode="0%">
                  <c:v>2.5425050532547201E-3</c:v>
                </c:pt>
                <c:pt idx="6" formatCode="0%">
                  <c:v>2.5425050532547201E-3</c:v>
                </c:pt>
                <c:pt idx="7" formatCode="0%">
                  <c:v>2.5425050532547201E-3</c:v>
                </c:pt>
              </c:numCache>
            </c:numRef>
          </c:val>
          <c:smooth val="0"/>
          <c:extLst>
            <c:ext xmlns:c16="http://schemas.microsoft.com/office/drawing/2014/chart" uri="{C3380CC4-5D6E-409C-BE32-E72D297353CC}">
              <c16:uniqueId val="{00000005-E784-493C-A5D0-92DAFB001BC2}"/>
            </c:ext>
          </c:extLst>
        </c:ser>
        <c:ser>
          <c:idx val="6"/>
          <c:order val="6"/>
          <c:tx>
            <c:strRef>
              <c:f>'capacityAllocation+2022'!$O$39</c:f>
              <c:strCache>
                <c:ptCount val="1"/>
                <c:pt idx="0">
                  <c:v>Atlantic</c:v>
                </c:pt>
              </c:strCache>
            </c:strRef>
          </c:tx>
          <c:spPr>
            <a:ln w="28575" cap="rnd">
              <a:solidFill>
                <a:schemeClr val="accent1">
                  <a:lumMod val="60000"/>
                </a:schemeClr>
              </a:solidFill>
              <a:round/>
            </a:ln>
            <a:effectLst/>
          </c:spPr>
          <c:marker>
            <c:symbol val="none"/>
          </c:marker>
          <c:val>
            <c:numRef>
              <c:f>'capacityAllocation+2022'!$P$39:$W$39</c:f>
              <c:numCache>
                <c:formatCode>General</c:formatCode>
                <c:ptCount val="8"/>
                <c:pt idx="0">
                  <c:v>5.9033537794427344E-3</c:v>
                </c:pt>
                <c:pt idx="1">
                  <c:v>7.5428989481073393E-3</c:v>
                </c:pt>
                <c:pt idx="2">
                  <c:v>9.1824441167719442E-3</c:v>
                </c:pt>
                <c:pt idx="3">
                  <c:v>1.082198928543655E-2</c:v>
                </c:pt>
                <c:pt idx="4" formatCode="0%">
                  <c:v>1.2461534454101154E-2</c:v>
                </c:pt>
                <c:pt idx="5" formatCode="0%">
                  <c:v>1.2461534454101154E-2</c:v>
                </c:pt>
                <c:pt idx="6" formatCode="0%">
                  <c:v>1.2461534454101154E-2</c:v>
                </c:pt>
                <c:pt idx="7" formatCode="0%">
                  <c:v>1.2461534454101154E-2</c:v>
                </c:pt>
              </c:numCache>
            </c:numRef>
          </c:val>
          <c:smooth val="0"/>
          <c:extLst>
            <c:ext xmlns:c16="http://schemas.microsoft.com/office/drawing/2014/chart" uri="{C3380CC4-5D6E-409C-BE32-E72D297353CC}">
              <c16:uniqueId val="{00000006-E784-493C-A5D0-92DAFB001BC2}"/>
            </c:ext>
          </c:extLst>
        </c:ser>
        <c:dLbls>
          <c:showLegendKey val="0"/>
          <c:showVal val="0"/>
          <c:showCatName val="0"/>
          <c:showSerName val="0"/>
          <c:showPercent val="0"/>
          <c:showBubbleSize val="0"/>
        </c:dLbls>
        <c:smooth val="0"/>
        <c:axId val="314295855"/>
        <c:axId val="314295375"/>
      </c:lineChart>
      <c:catAx>
        <c:axId val="3142958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295375"/>
        <c:crosses val="autoZero"/>
        <c:auto val="1"/>
        <c:lblAlgn val="ctr"/>
        <c:lblOffset val="100"/>
        <c:noMultiLvlLbl val="0"/>
      </c:catAx>
      <c:valAx>
        <c:axId val="31429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29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'capacityAllocation+2022'!$O$67</c:f>
              <c:strCache>
                <c:ptCount val="1"/>
                <c:pt idx="0">
                  <c:v>SASKATCHEWAN</c:v>
                </c:pt>
              </c:strCache>
            </c:strRef>
          </c:tx>
          <c:spPr>
            <a:ln w="28575" cap="rnd">
              <a:solidFill>
                <a:schemeClr val="accent1"/>
              </a:solidFill>
              <a:round/>
            </a:ln>
            <a:effectLst/>
          </c:spPr>
          <c:marker>
            <c:symbol val="none"/>
          </c:marker>
          <c:val>
            <c:numRef>
              <c:f>'capacityAllocation+2022'!$P$67:$Z$67</c:f>
              <c:numCache>
                <c:formatCode>_-* #,##0_-;\-* #,##0_-;_-* "-"??_-;_-@_-</c:formatCode>
                <c:ptCount val="11"/>
                <c:pt idx="0">
                  <c:v>98.516651066823727</c:v>
                </c:pt>
                <c:pt idx="1">
                  <c:v>114.3763018558126</c:v>
                </c:pt>
                <c:pt idx="2">
                  <c:v>197.70770983357482</c:v>
                </c:pt>
                <c:pt idx="3">
                  <c:v>277.31852236015152</c:v>
                </c:pt>
                <c:pt idx="4">
                  <c:v>399.83493638510242</c:v>
                </c:pt>
                <c:pt idx="5">
                  <c:v>359.80961852834685</c:v>
                </c:pt>
                <c:pt idx="6">
                  <c:v>333.19067787541115</c:v>
                </c:pt>
                <c:pt idx="7">
                  <c:v>313.35966425850285</c:v>
                </c:pt>
                <c:pt idx="8">
                  <c:v>303.8594131778288</c:v>
                </c:pt>
                <c:pt idx="9">
                  <c:v>304.62787446904082</c:v>
                </c:pt>
                <c:pt idx="10">
                  <c:v>304.86566494500659</c:v>
                </c:pt>
              </c:numCache>
            </c:numRef>
          </c:val>
          <c:smooth val="0"/>
          <c:extLst>
            <c:ext xmlns:c16="http://schemas.microsoft.com/office/drawing/2014/chart" uri="{C3380CC4-5D6E-409C-BE32-E72D297353CC}">
              <c16:uniqueId val="{00000000-9E74-4304-AF80-CE1E6F5FAD05}"/>
            </c:ext>
          </c:extLst>
        </c:ser>
        <c:ser>
          <c:idx val="1"/>
          <c:order val="1"/>
          <c:tx>
            <c:strRef>
              <c:f>'capacityAllocation+2022'!$O$68</c:f>
              <c:strCache>
                <c:ptCount val="1"/>
                <c:pt idx="0">
                  <c:v>ALBERTA</c:v>
                </c:pt>
              </c:strCache>
            </c:strRef>
          </c:tx>
          <c:spPr>
            <a:ln w="28575" cap="rnd">
              <a:solidFill>
                <a:schemeClr val="accent2"/>
              </a:solidFill>
              <a:round/>
            </a:ln>
            <a:effectLst/>
          </c:spPr>
          <c:marker>
            <c:symbol val="none"/>
          </c:marker>
          <c:val>
            <c:numRef>
              <c:f>'capacityAllocation+2022'!$P$68:$Z$68</c:f>
              <c:numCache>
                <c:formatCode>_-* #,##0.000_-;\-* #,##0.000_-;_-* "-"??_-;_-@_-</c:formatCode>
                <c:ptCount val="11"/>
                <c:pt idx="0">
                  <c:v>5.4986385774316791</c:v>
                </c:pt>
                <c:pt idx="1">
                  <c:v>9.9157747161870127</c:v>
                </c:pt>
                <c:pt idx="2">
                  <c:v>17.311639204794393</c:v>
                </c:pt>
                <c:pt idx="3">
                  <c:v>23.872455347955295</c:v>
                </c:pt>
                <c:pt idx="4">
                  <c:v>31.760840925362306</c:v>
                </c:pt>
                <c:pt idx="5">
                  <c:v>36.199019960479255</c:v>
                </c:pt>
                <c:pt idx="6">
                  <c:v>40.604068292884833</c:v>
                </c:pt>
                <c:pt idx="7">
                  <c:v>42.357005629988556</c:v>
                </c:pt>
                <c:pt idx="8">
                  <c:v>41.649506282912625</c:v>
                </c:pt>
                <c:pt idx="9">
                  <c:v>40.551077374075298</c:v>
                </c:pt>
                <c:pt idx="10">
                  <c:v>39.992216213696622</c:v>
                </c:pt>
              </c:numCache>
            </c:numRef>
          </c:val>
          <c:smooth val="0"/>
          <c:extLst>
            <c:ext xmlns:c16="http://schemas.microsoft.com/office/drawing/2014/chart" uri="{C3380CC4-5D6E-409C-BE32-E72D297353CC}">
              <c16:uniqueId val="{00000001-9E74-4304-AF80-CE1E6F5FAD05}"/>
            </c:ext>
          </c:extLst>
        </c:ser>
        <c:ser>
          <c:idx val="2"/>
          <c:order val="2"/>
          <c:tx>
            <c:strRef>
              <c:f>'capacityAllocation+2022'!$O$69</c:f>
              <c:strCache>
                <c:ptCount val="1"/>
                <c:pt idx="0">
                  <c:v>*BC, Yukon and NWT</c:v>
                </c:pt>
              </c:strCache>
            </c:strRef>
          </c:tx>
          <c:spPr>
            <a:ln w="28575" cap="rnd">
              <a:solidFill>
                <a:schemeClr val="accent3"/>
              </a:solidFill>
              <a:round/>
            </a:ln>
            <a:effectLst/>
          </c:spPr>
          <c:marker>
            <c:symbol val="none"/>
          </c:marker>
          <c:val>
            <c:numRef>
              <c:f>'capacityAllocation+2022'!$P$69:$Z$69</c:f>
              <c:numCache>
                <c:formatCode>_-* #,##0.000_-;\-* #,##0.000_-;_-* "-"??_-;_-@_-</c:formatCode>
                <c:ptCount val="11"/>
                <c:pt idx="0">
                  <c:v>12.593218418111109</c:v>
                </c:pt>
                <c:pt idx="1">
                  <c:v>9.8611220598454672</c:v>
                </c:pt>
                <c:pt idx="2">
                  <c:v>8.5356219967928695</c:v>
                </c:pt>
                <c:pt idx="3">
                  <c:v>5.599007862948592</c:v>
                </c:pt>
                <c:pt idx="4">
                  <c:v>4.1725151583370419</c:v>
                </c:pt>
                <c:pt idx="5">
                  <c:v>3.2122593903168739</c:v>
                </c:pt>
                <c:pt idx="6">
                  <c:v>2.6768857957311081</c:v>
                </c:pt>
                <c:pt idx="7">
                  <c:v>2.2632123827850501</c:v>
                </c:pt>
                <c:pt idx="8">
                  <c:v>1.8963972183026048</c:v>
                </c:pt>
                <c:pt idx="9">
                  <c:v>1.6936025209450971</c:v>
                </c:pt>
                <c:pt idx="10">
                  <c:v>1.699525887151321</c:v>
                </c:pt>
              </c:numCache>
            </c:numRef>
          </c:val>
          <c:smooth val="0"/>
          <c:extLst>
            <c:ext xmlns:c16="http://schemas.microsoft.com/office/drawing/2014/chart" uri="{C3380CC4-5D6E-409C-BE32-E72D297353CC}">
              <c16:uniqueId val="{00000002-9E74-4304-AF80-CE1E6F5FAD05}"/>
            </c:ext>
          </c:extLst>
        </c:ser>
        <c:dLbls>
          <c:showLegendKey val="0"/>
          <c:showVal val="0"/>
          <c:showCatName val="0"/>
          <c:showSerName val="0"/>
          <c:showPercent val="0"/>
          <c:showBubbleSize val="0"/>
        </c:dLbls>
        <c:smooth val="0"/>
        <c:axId val="1025037375"/>
        <c:axId val="1025043615"/>
      </c:lineChart>
      <c:catAx>
        <c:axId val="10250373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043615"/>
        <c:crosses val="autoZero"/>
        <c:auto val="1"/>
        <c:lblAlgn val="ctr"/>
        <c:lblOffset val="100"/>
        <c:noMultiLvlLbl val="0"/>
      </c:catAx>
      <c:valAx>
        <c:axId val="1025043615"/>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037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'capacityAllocation+2022'!$O$42</c:f>
              <c:strCache>
                <c:ptCount val="1"/>
                <c:pt idx="0">
                  <c:v>*BC, Yukon and NWT</c:v>
                </c:pt>
              </c:strCache>
            </c:strRef>
          </c:tx>
          <c:spPr>
            <a:ln w="28575" cap="rnd">
              <a:solidFill>
                <a:schemeClr val="accent1"/>
              </a:solidFill>
              <a:round/>
            </a:ln>
            <a:effectLst/>
          </c:spPr>
          <c:marker>
            <c:symbol val="none"/>
          </c:marker>
          <c:val>
            <c:numRef>
              <c:f>'capacityAllocation+2022'!$P$42:$Z$42</c:f>
              <c:numCache>
                <c:formatCode>General</c:formatCode>
                <c:ptCount val="11"/>
                <c:pt idx="0">
                  <c:v>316269712.04625833</c:v>
                </c:pt>
                <c:pt idx="1">
                  <c:v>301084026.06722802</c:v>
                </c:pt>
                <c:pt idx="2">
                  <c:v>285898340.08819771</c:v>
                </c:pt>
                <c:pt idx="3">
                  <c:v>270712654.1091674</c:v>
                </c:pt>
                <c:pt idx="4" formatCode="_-* #,##0_-;\-* #,##0_-;_-* &quot;-&quot;??_-;_-@_-">
                  <c:v>255526968.13013703</c:v>
                </c:pt>
                <c:pt idx="5" formatCode="_-* #,##0_-;\-* #,##0_-;_-* &quot;-&quot;??_-;_-@_-">
                  <c:v>255526968.13013703</c:v>
                </c:pt>
                <c:pt idx="6" formatCode="_-* #,##0_-;\-* #,##0_-;_-* &quot;-&quot;??_-;_-@_-">
                  <c:v>255526968.13013703</c:v>
                </c:pt>
                <c:pt idx="7" formatCode="_-* #,##0_-;\-* #,##0_-;_-* &quot;-&quot;??_-;_-@_-">
                  <c:v>255526968.13013703</c:v>
                </c:pt>
                <c:pt idx="8" formatCode="_-* #,##0_-;\-* #,##0_-;_-* &quot;-&quot;??_-;_-@_-">
                  <c:v>255526968.13013703</c:v>
                </c:pt>
                <c:pt idx="9" formatCode="_-* #,##0_-;\-* #,##0_-;_-* &quot;-&quot;??_-;_-@_-">
                  <c:v>255526968.13013703</c:v>
                </c:pt>
                <c:pt idx="10" formatCode="_-* #,##0_-;\-* #,##0_-;_-* &quot;-&quot;??_-;_-@_-">
                  <c:v>255526968.13013703</c:v>
                </c:pt>
              </c:numCache>
            </c:numRef>
          </c:val>
          <c:smooth val="0"/>
          <c:extLst>
            <c:ext xmlns:c16="http://schemas.microsoft.com/office/drawing/2014/chart" uri="{C3380CC4-5D6E-409C-BE32-E72D297353CC}">
              <c16:uniqueId val="{00000000-8E94-429B-A815-FC50FAE23504}"/>
            </c:ext>
          </c:extLst>
        </c:ser>
        <c:ser>
          <c:idx val="1"/>
          <c:order val="1"/>
          <c:tx>
            <c:strRef>
              <c:f>'capacityAllocation+2022'!$O$43</c:f>
              <c:strCache>
                <c:ptCount val="1"/>
                <c:pt idx="0">
                  <c:v>Alberta</c:v>
                </c:pt>
              </c:strCache>
            </c:strRef>
          </c:tx>
          <c:spPr>
            <a:ln w="28575" cap="rnd">
              <a:solidFill>
                <a:schemeClr val="accent2"/>
              </a:solidFill>
              <a:round/>
            </a:ln>
            <a:effectLst/>
          </c:spPr>
          <c:marker>
            <c:symbol val="none"/>
          </c:marker>
          <c:val>
            <c:numRef>
              <c:f>'capacityAllocation+2022'!$P$43:$Z$43</c:f>
              <c:numCache>
                <c:formatCode>General</c:formatCode>
                <c:ptCount val="11"/>
                <c:pt idx="0">
                  <c:v>821534545.10444665</c:v>
                </c:pt>
                <c:pt idx="1">
                  <c:v>1493994222.8213146</c:v>
                </c:pt>
                <c:pt idx="2">
                  <c:v>2166453900.5381823</c:v>
                </c:pt>
                <c:pt idx="3">
                  <c:v>2838913578.2550502</c:v>
                </c:pt>
                <c:pt idx="4" formatCode="_-* #,##0_-;\-* #,##0_-;_-* &quot;-&quot;??_-;_-@_-">
                  <c:v>3511373255.9719181</c:v>
                </c:pt>
                <c:pt idx="5" formatCode="_-* #,##0_-;\-* #,##0_-;_-* &quot;-&quot;??_-;_-@_-">
                  <c:v>3511373255.9719181</c:v>
                </c:pt>
                <c:pt idx="6" formatCode="_-* #,##0_-;\-* #,##0_-;_-* &quot;-&quot;??_-;_-@_-">
                  <c:v>3511373255.9719181</c:v>
                </c:pt>
                <c:pt idx="7" formatCode="_-* #,##0_-;\-* #,##0_-;_-* &quot;-&quot;??_-;_-@_-">
                  <c:v>3511373255.9719181</c:v>
                </c:pt>
                <c:pt idx="8" formatCode="_-* #,##0_-;\-* #,##0_-;_-* &quot;-&quot;??_-;_-@_-">
                  <c:v>3511373255.9719181</c:v>
                </c:pt>
                <c:pt idx="9" formatCode="_-* #,##0_-;\-* #,##0_-;_-* &quot;-&quot;??_-;_-@_-">
                  <c:v>3511373255.9719181</c:v>
                </c:pt>
                <c:pt idx="10" formatCode="_-* #,##0_-;\-* #,##0_-;_-* &quot;-&quot;??_-;_-@_-">
                  <c:v>3511373255.9719181</c:v>
                </c:pt>
              </c:numCache>
            </c:numRef>
          </c:val>
          <c:smooth val="0"/>
          <c:extLst>
            <c:ext xmlns:c16="http://schemas.microsoft.com/office/drawing/2014/chart" uri="{C3380CC4-5D6E-409C-BE32-E72D297353CC}">
              <c16:uniqueId val="{00000001-8E94-429B-A815-FC50FAE23504}"/>
            </c:ext>
          </c:extLst>
        </c:ser>
        <c:ser>
          <c:idx val="2"/>
          <c:order val="2"/>
          <c:tx>
            <c:strRef>
              <c:f>'capacityAllocation+2022'!$O$44</c:f>
              <c:strCache>
                <c:ptCount val="1"/>
                <c:pt idx="0">
                  <c:v>Saskatchewan</c:v>
                </c:pt>
              </c:strCache>
            </c:strRef>
          </c:tx>
          <c:spPr>
            <a:ln w="28575" cap="rnd">
              <a:solidFill>
                <a:schemeClr val="accent3"/>
              </a:solidFill>
              <a:round/>
            </a:ln>
            <a:effectLst/>
          </c:spPr>
          <c:marker>
            <c:symbol val="none"/>
          </c:marker>
          <c:val>
            <c:numRef>
              <c:f>'capacityAllocation+2022'!$P$44:$Z$44</c:f>
              <c:numCache>
                <c:formatCode>General</c:formatCode>
                <c:ptCount val="11"/>
                <c:pt idx="0">
                  <c:v>682322658.83612227</c:v>
                </c:pt>
                <c:pt idx="1">
                  <c:v>914744377.36425829</c:v>
                </c:pt>
                <c:pt idx="2">
                  <c:v>1147166095.8923943</c:v>
                </c:pt>
                <c:pt idx="3">
                  <c:v>1379587814.4205303</c:v>
                </c:pt>
                <c:pt idx="4" formatCode="_-* #,##0_-;\-* #,##0_-;_-* &quot;-&quot;??_-;_-@_-">
                  <c:v>1612009532.9486663</c:v>
                </c:pt>
                <c:pt idx="5" formatCode="_-* #,##0_-;\-* #,##0_-;_-* &quot;-&quot;??_-;_-@_-">
                  <c:v>1612009532.9486663</c:v>
                </c:pt>
                <c:pt idx="6" formatCode="_-* #,##0_-;\-* #,##0_-;_-* &quot;-&quot;??_-;_-@_-">
                  <c:v>1612009532.9486663</c:v>
                </c:pt>
                <c:pt idx="7" formatCode="_-* #,##0_-;\-* #,##0_-;_-* &quot;-&quot;??_-;_-@_-">
                  <c:v>1612009532.9486663</c:v>
                </c:pt>
                <c:pt idx="8" formatCode="_-* #,##0_-;\-* #,##0_-;_-* &quot;-&quot;??_-;_-@_-">
                  <c:v>1612009532.9486663</c:v>
                </c:pt>
                <c:pt idx="9" formatCode="_-* #,##0_-;\-* #,##0_-;_-* &quot;-&quot;??_-;_-@_-">
                  <c:v>1612009532.9486663</c:v>
                </c:pt>
                <c:pt idx="10" formatCode="_-* #,##0_-;\-* #,##0_-;_-* &quot;-&quot;??_-;_-@_-">
                  <c:v>1612009532.9486663</c:v>
                </c:pt>
              </c:numCache>
            </c:numRef>
          </c:val>
          <c:smooth val="0"/>
          <c:extLst>
            <c:ext xmlns:c16="http://schemas.microsoft.com/office/drawing/2014/chart" uri="{C3380CC4-5D6E-409C-BE32-E72D297353CC}">
              <c16:uniqueId val="{00000002-8E94-429B-A815-FC50FAE23504}"/>
            </c:ext>
          </c:extLst>
        </c:ser>
        <c:ser>
          <c:idx val="3"/>
          <c:order val="3"/>
          <c:tx>
            <c:strRef>
              <c:f>'capacityAllocation+2022'!$O$45</c:f>
              <c:strCache>
                <c:ptCount val="1"/>
                <c:pt idx="0">
                  <c:v>Manitoba</c:v>
                </c:pt>
              </c:strCache>
            </c:strRef>
          </c:tx>
          <c:spPr>
            <a:ln w="28575" cap="rnd">
              <a:solidFill>
                <a:schemeClr val="accent4"/>
              </a:solidFill>
              <a:round/>
            </a:ln>
            <a:effectLst/>
          </c:spPr>
          <c:marker>
            <c:symbol val="none"/>
          </c:marker>
          <c:val>
            <c:numRef>
              <c:f>'capacityAllocation+2022'!$P$45:$Z$45</c:f>
              <c:numCache>
                <c:formatCode>General</c:formatCode>
                <c:ptCount val="11"/>
                <c:pt idx="0">
                  <c:v>464725363.65875965</c:v>
                </c:pt>
                <c:pt idx="1">
                  <c:v>440151154.79491854</c:v>
                </c:pt>
                <c:pt idx="2">
                  <c:v>415576945.93107748</c:v>
                </c:pt>
                <c:pt idx="3">
                  <c:v>391002737.06723642</c:v>
                </c:pt>
                <c:pt idx="4" formatCode="_-* #,##0_-;\-* #,##0_-;_-* &quot;-&quot;??_-;_-@_-">
                  <c:v>366428528.20339531</c:v>
                </c:pt>
                <c:pt idx="5" formatCode="_-* #,##0_-;\-* #,##0_-;_-* &quot;-&quot;??_-;_-@_-">
                  <c:v>366428528.20339531</c:v>
                </c:pt>
                <c:pt idx="6" formatCode="_-* #,##0_-;\-* #,##0_-;_-* &quot;-&quot;??_-;_-@_-">
                  <c:v>366428528.20339531</c:v>
                </c:pt>
                <c:pt idx="7" formatCode="_-* #,##0_-;\-* #,##0_-;_-* &quot;-&quot;??_-;_-@_-">
                  <c:v>366428528.20339531</c:v>
                </c:pt>
                <c:pt idx="8" formatCode="_-* #,##0_-;\-* #,##0_-;_-* &quot;-&quot;??_-;_-@_-">
                  <c:v>366428528.20339531</c:v>
                </c:pt>
                <c:pt idx="9" formatCode="_-* #,##0_-;\-* #,##0_-;_-* &quot;-&quot;??_-;_-@_-">
                  <c:v>366428528.20339531</c:v>
                </c:pt>
                <c:pt idx="10" formatCode="_-* #,##0_-;\-* #,##0_-;_-* &quot;-&quot;??_-;_-@_-">
                  <c:v>366428528.20339531</c:v>
                </c:pt>
              </c:numCache>
            </c:numRef>
          </c:val>
          <c:smooth val="0"/>
          <c:extLst>
            <c:ext xmlns:c16="http://schemas.microsoft.com/office/drawing/2014/chart" uri="{C3380CC4-5D6E-409C-BE32-E72D297353CC}">
              <c16:uniqueId val="{00000003-8E94-429B-A815-FC50FAE23504}"/>
            </c:ext>
          </c:extLst>
        </c:ser>
        <c:ser>
          <c:idx val="4"/>
          <c:order val="4"/>
          <c:tx>
            <c:strRef>
              <c:f>'capacityAllocation+2022'!$O$46</c:f>
              <c:strCache>
                <c:ptCount val="1"/>
                <c:pt idx="0">
                  <c:v>Ontario</c:v>
                </c:pt>
              </c:strCache>
            </c:strRef>
          </c:tx>
          <c:spPr>
            <a:ln w="28575" cap="rnd">
              <a:solidFill>
                <a:schemeClr val="accent5"/>
              </a:solidFill>
              <a:round/>
            </a:ln>
            <a:effectLst/>
          </c:spPr>
          <c:marker>
            <c:symbol val="none"/>
          </c:marker>
          <c:val>
            <c:numRef>
              <c:f>'capacityAllocation+2022'!$P$46:$Z$46</c:f>
              <c:numCache>
                <c:formatCode>General</c:formatCode>
                <c:ptCount val="11"/>
                <c:pt idx="0">
                  <c:v>1426414790.4413743</c:v>
                </c:pt>
                <c:pt idx="1">
                  <c:v>1261306468.4688323</c:v>
                </c:pt>
                <c:pt idx="2">
                  <c:v>1096198146.4962902</c:v>
                </c:pt>
                <c:pt idx="3">
                  <c:v>931089824.52374816</c:v>
                </c:pt>
                <c:pt idx="4" formatCode="_-* #,##0_-;\-* #,##0_-;_-* &quot;-&quot;??_-;_-@_-">
                  <c:v>765981502.55120599</c:v>
                </c:pt>
                <c:pt idx="5" formatCode="_-* #,##0_-;\-* #,##0_-;_-* &quot;-&quot;??_-;_-@_-">
                  <c:v>765981502.55120599</c:v>
                </c:pt>
                <c:pt idx="6" formatCode="_-* #,##0_-;\-* #,##0_-;_-* &quot;-&quot;??_-;_-@_-">
                  <c:v>765981502.55120599</c:v>
                </c:pt>
                <c:pt idx="7" formatCode="_-* #,##0_-;\-* #,##0_-;_-* &quot;-&quot;??_-;_-@_-">
                  <c:v>765981502.55120599</c:v>
                </c:pt>
                <c:pt idx="8" formatCode="_-* #,##0_-;\-* #,##0_-;_-* &quot;-&quot;??_-;_-@_-">
                  <c:v>765981502.55120599</c:v>
                </c:pt>
                <c:pt idx="9" formatCode="_-* #,##0_-;\-* #,##0_-;_-* &quot;-&quot;??_-;_-@_-">
                  <c:v>765981502.55120599</c:v>
                </c:pt>
                <c:pt idx="10" formatCode="_-* #,##0_-;\-* #,##0_-;_-* &quot;-&quot;??_-;_-@_-">
                  <c:v>765981502.55120599</c:v>
                </c:pt>
              </c:numCache>
            </c:numRef>
          </c:val>
          <c:smooth val="0"/>
          <c:extLst>
            <c:ext xmlns:c16="http://schemas.microsoft.com/office/drawing/2014/chart" uri="{C3380CC4-5D6E-409C-BE32-E72D297353CC}">
              <c16:uniqueId val="{00000004-8E94-429B-A815-FC50FAE23504}"/>
            </c:ext>
          </c:extLst>
        </c:ser>
        <c:ser>
          <c:idx val="5"/>
          <c:order val="5"/>
          <c:tx>
            <c:strRef>
              <c:f>'capacityAllocation+2022'!$O$47</c:f>
              <c:strCache>
                <c:ptCount val="1"/>
                <c:pt idx="0">
                  <c:v>Québec</c:v>
                </c:pt>
              </c:strCache>
            </c:strRef>
          </c:tx>
          <c:spPr>
            <a:ln w="28575" cap="rnd">
              <a:solidFill>
                <a:schemeClr val="accent6"/>
              </a:solidFill>
              <a:round/>
            </a:ln>
            <a:effectLst/>
          </c:spPr>
          <c:marker>
            <c:symbol val="none"/>
          </c:marker>
          <c:val>
            <c:numRef>
              <c:f>'capacityAllocation+2022'!$P$47:$Z$47</c:f>
              <c:numCache>
                <c:formatCode>General</c:formatCode>
                <c:ptCount val="11"/>
                <c:pt idx="0">
                  <c:v>8098610.4936471228</c:v>
                </c:pt>
                <c:pt idx="1">
                  <c:v>10275767.859276438</c:v>
                </c:pt>
                <c:pt idx="2">
                  <c:v>12452925.224905754</c:v>
                </c:pt>
                <c:pt idx="3">
                  <c:v>14630082.590535069</c:v>
                </c:pt>
                <c:pt idx="4" formatCode="_-* #,##0_-;\-* #,##0_-;_-* &quot;-&quot;??_-;_-@_-">
                  <c:v>16807239.956164386</c:v>
                </c:pt>
                <c:pt idx="5" formatCode="_-* #,##0_-;\-* #,##0_-;_-* &quot;-&quot;??_-;_-@_-">
                  <c:v>16807239.956164386</c:v>
                </c:pt>
                <c:pt idx="6" formatCode="_-* #,##0_-;\-* #,##0_-;_-* &quot;-&quot;??_-;_-@_-">
                  <c:v>16807239.956164386</c:v>
                </c:pt>
                <c:pt idx="7" formatCode="_-* #,##0_-;\-* #,##0_-;_-* &quot;-&quot;??_-;_-@_-">
                  <c:v>16807239.956164386</c:v>
                </c:pt>
                <c:pt idx="8" formatCode="_-* #,##0_-;\-* #,##0_-;_-* &quot;-&quot;??_-;_-@_-">
                  <c:v>16807239.956164386</c:v>
                </c:pt>
                <c:pt idx="9" formatCode="_-* #,##0_-;\-* #,##0_-;_-* &quot;-&quot;??_-;_-@_-">
                  <c:v>16807239.956164386</c:v>
                </c:pt>
                <c:pt idx="10" formatCode="_-* #,##0_-;\-* #,##0_-;_-* &quot;-&quot;??_-;_-@_-">
                  <c:v>16807239.956164386</c:v>
                </c:pt>
              </c:numCache>
            </c:numRef>
          </c:val>
          <c:smooth val="0"/>
          <c:extLst>
            <c:ext xmlns:c16="http://schemas.microsoft.com/office/drawing/2014/chart" uri="{C3380CC4-5D6E-409C-BE32-E72D297353CC}">
              <c16:uniqueId val="{00000005-8E94-429B-A815-FC50FAE23504}"/>
            </c:ext>
          </c:extLst>
        </c:ser>
        <c:ser>
          <c:idx val="6"/>
          <c:order val="6"/>
          <c:tx>
            <c:strRef>
              <c:f>'capacityAllocation+2022'!$O$48</c:f>
              <c:strCache>
                <c:ptCount val="1"/>
                <c:pt idx="0">
                  <c:v>Atlantic</c:v>
                </c:pt>
              </c:strCache>
            </c:strRef>
          </c:tx>
          <c:spPr>
            <a:ln w="28575" cap="rnd">
              <a:solidFill>
                <a:schemeClr val="accent1">
                  <a:lumMod val="60000"/>
                </a:schemeClr>
              </a:solidFill>
              <a:round/>
            </a:ln>
            <a:effectLst/>
          </c:spPr>
          <c:marker>
            <c:symbol val="none"/>
          </c:marker>
          <c:val>
            <c:numRef>
              <c:f>'capacityAllocation+2022'!$P$48:$Z$48</c:f>
              <c:numCache>
                <c:formatCode>General</c:formatCode>
                <c:ptCount val="11"/>
                <c:pt idx="0">
                  <c:v>22087119.528128512</c:v>
                </c:pt>
                <c:pt idx="1">
                  <c:v>37159595.646096647</c:v>
                </c:pt>
                <c:pt idx="2">
                  <c:v>52232071.764064781</c:v>
                </c:pt>
                <c:pt idx="3">
                  <c:v>67304547.882032916</c:v>
                </c:pt>
                <c:pt idx="4" formatCode="_-* #,##0_-;\-* #,##0_-;_-* &quot;-&quot;??_-;_-@_-">
                  <c:v>82377024.000001058</c:v>
                </c:pt>
                <c:pt idx="5" formatCode="_-* #,##0_-;\-* #,##0_-;_-* &quot;-&quot;??_-;_-@_-">
                  <c:v>82377024.000001058</c:v>
                </c:pt>
                <c:pt idx="6" formatCode="_-* #,##0_-;\-* #,##0_-;_-* &quot;-&quot;??_-;_-@_-">
                  <c:v>82377024.000001058</c:v>
                </c:pt>
                <c:pt idx="7" formatCode="_-* #,##0_-;\-* #,##0_-;_-* &quot;-&quot;??_-;_-@_-">
                  <c:v>82377024.000001058</c:v>
                </c:pt>
                <c:pt idx="8" formatCode="_-* #,##0_-;\-* #,##0_-;_-* &quot;-&quot;??_-;_-@_-">
                  <c:v>82377024.000001058</c:v>
                </c:pt>
                <c:pt idx="9" formatCode="_-* #,##0_-;\-* #,##0_-;_-* &quot;-&quot;??_-;_-@_-">
                  <c:v>82377024.000001058</c:v>
                </c:pt>
                <c:pt idx="10" formatCode="_-* #,##0_-;\-* #,##0_-;_-* &quot;-&quot;??_-;_-@_-">
                  <c:v>82377024.000001058</c:v>
                </c:pt>
              </c:numCache>
            </c:numRef>
          </c:val>
          <c:smooth val="0"/>
          <c:extLst>
            <c:ext xmlns:c16="http://schemas.microsoft.com/office/drawing/2014/chart" uri="{C3380CC4-5D6E-409C-BE32-E72D297353CC}">
              <c16:uniqueId val="{00000006-8E94-429B-A815-FC50FAE23504}"/>
            </c:ext>
          </c:extLst>
        </c:ser>
        <c:dLbls>
          <c:showLegendKey val="0"/>
          <c:showVal val="0"/>
          <c:showCatName val="0"/>
          <c:showSerName val="0"/>
          <c:showPercent val="0"/>
          <c:showBubbleSize val="0"/>
        </c:dLbls>
        <c:smooth val="0"/>
        <c:axId val="1459992000"/>
        <c:axId val="1459999200"/>
      </c:lineChart>
      <c:catAx>
        <c:axId val="14599920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99200"/>
        <c:crosses val="autoZero"/>
        <c:auto val="1"/>
        <c:lblAlgn val="ctr"/>
        <c:lblOffset val="100"/>
        <c:noMultiLvlLbl val="0"/>
      </c:catAx>
      <c:valAx>
        <c:axId val="145999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92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15</xdr:col>
      <xdr:colOff>0</xdr:colOff>
      <xdr:row>7</xdr:row>
      <xdr:rowOff>55136</xdr:rowOff>
    </xdr:from>
    <xdr:to>
      <xdr:col>26</xdr:col>
      <xdr:colOff>549382</xdr:colOff>
      <xdr:row>45</xdr:row>
      <xdr:rowOff>95582</xdr:rowOff>
    </xdr:to>
    <xdr:pic>
      <xdr:nvPicPr>
        <xdr:cNvPr id="2" name="Picture 1" descr="Map of Canada's gas infrastructure">
          <a:extLst>
            <a:ext uri="{FF2B5EF4-FFF2-40B4-BE49-F238E27FC236}">
              <a16:creationId xmlns:a16="http://schemas.microsoft.com/office/drawing/2014/main" id="{22FABBE1-5F3B-5621-4CF1-165FEA0C7E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34749" y="1503246"/>
          <a:ext cx="9594260" cy="75442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23</xdr:col>
      <xdr:colOff>514634</xdr:colOff>
      <xdr:row>0</xdr:row>
      <xdr:rowOff>37911</xdr:rowOff>
    </xdr:from>
    <xdr:to>
      <xdr:col>37</xdr:col>
      <xdr:colOff>322238</xdr:colOff>
      <xdr:row>18</xdr:row>
      <xdr:rowOff>58952</xdr:rowOff>
    </xdr:to>
    <xdr:graphicFrame macro="">
      <xdr:nvGraphicFramePr>
        <xdr:cNvPr id="2" name="Chart 1">
          <a:extLst>
            <a:ext uri="{FF2B5EF4-FFF2-40B4-BE49-F238E27FC236}">
              <a16:creationId xmlns:a16="http://schemas.microsoft.com/office/drawing/2014/main" id="{47490F8D-6ADB-2960-6E7D-0BD24CFDB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220827</xdr:colOff>
      <xdr:row>22</xdr:row>
      <xdr:rowOff>16869</xdr:rowOff>
    </xdr:from>
    <xdr:to>
      <xdr:col>38</xdr:col>
      <xdr:colOff>170596</xdr:colOff>
      <xdr:row>39</xdr:row>
      <xdr:rowOff>123207</xdr:rowOff>
    </xdr:to>
    <xdr:graphicFrame macro="">
      <xdr:nvGraphicFramePr>
        <xdr:cNvPr id="3" name="Chart 2">
          <a:extLst>
            <a:ext uri="{FF2B5EF4-FFF2-40B4-BE49-F238E27FC236}">
              <a16:creationId xmlns:a16="http://schemas.microsoft.com/office/drawing/2014/main" id="{989AA2A3-0479-D0D1-3B40-F75C6AAF09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54889</xdr:colOff>
      <xdr:row>41</xdr:row>
      <xdr:rowOff>86102</xdr:rowOff>
    </xdr:from>
    <xdr:to>
      <xdr:col>41</xdr:col>
      <xdr:colOff>333643</xdr:colOff>
      <xdr:row>59</xdr:row>
      <xdr:rowOff>160795</xdr:rowOff>
    </xdr:to>
    <xdr:graphicFrame macro="">
      <xdr:nvGraphicFramePr>
        <xdr:cNvPr id="4" name="Chart 3">
          <a:extLst>
            <a:ext uri="{FF2B5EF4-FFF2-40B4-BE49-F238E27FC236}">
              <a16:creationId xmlns:a16="http://schemas.microsoft.com/office/drawing/2014/main" id="{6D2C35AA-0A55-E03F-362A-56DFEABA2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216331</xdr:colOff>
      <xdr:row>9</xdr:row>
      <xdr:rowOff>32288</xdr:rowOff>
    </xdr:from>
    <xdr:to>
      <xdr:col>36</xdr:col>
      <xdr:colOff>495085</xdr:colOff>
      <xdr:row>28</xdr:row>
      <xdr:rowOff>4735</xdr:rowOff>
    </xdr:to>
    <xdr:graphicFrame macro="">
      <xdr:nvGraphicFramePr>
        <xdr:cNvPr id="6" name="Chart 5">
          <a:extLst>
            <a:ext uri="{FF2B5EF4-FFF2-40B4-BE49-F238E27FC236}">
              <a16:creationId xmlns:a16="http://schemas.microsoft.com/office/drawing/2014/main" id="{26F2D8C8-7E70-E391-5645-BBD23C8052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M:\EmmaS\Natural%20Gas\July%202024%20NG%20Reconstruction\Activity\Natural%20gas%20production_2000-2021%20data%20comp_09.02.24%20late.xlsx" TargetMode="External"/><Relationship Id="rId1" Type="http://schemas.openxmlformats.org/officeDocument/2006/relationships/externalLinkPath" Target="Natural%20gas%20production_2000-2021%20data%20comp_09.02.24%20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G Production_2000-2050"/>
      <sheetName val="StatCan_2016-2021"/>
      <sheetName val="StatCan_2000-2015"/>
      <sheetName val="byType_allYears"/>
      <sheetName val="byType_CIMSinput"/>
    </sheetNames>
    <sheetDataSet>
      <sheetData sheetId="0">
        <row r="55">
          <cell r="D55">
            <v>3821522.6741798697</v>
          </cell>
          <cell r="E55">
            <v>4408974.1368703451</v>
          </cell>
          <cell r="F55">
            <v>3407398.2290962851</v>
          </cell>
          <cell r="G55">
            <v>2227759.4306536121</v>
          </cell>
          <cell r="H55">
            <v>0</v>
          </cell>
          <cell r="I55">
            <v>0</v>
          </cell>
          <cell r="J55">
            <v>0</v>
          </cell>
          <cell r="K55">
            <v>0</v>
          </cell>
          <cell r="L55">
            <v>0</v>
          </cell>
          <cell r="M55">
            <v>0</v>
          </cell>
          <cell r="N55">
            <v>0</v>
          </cell>
        </row>
        <row r="56">
          <cell r="D56">
            <v>0</v>
          </cell>
          <cell r="E56">
            <v>0</v>
          </cell>
          <cell r="F56">
            <v>184716.38362601717</v>
          </cell>
          <cell r="G56">
            <v>42758.446734396508</v>
          </cell>
          <cell r="H56">
            <v>54658.091688394881</v>
          </cell>
          <cell r="I56">
            <v>0</v>
          </cell>
          <cell r="J56">
            <v>0</v>
          </cell>
          <cell r="K56">
            <v>0</v>
          </cell>
          <cell r="L56">
            <v>0</v>
          </cell>
          <cell r="M56">
            <v>0</v>
          </cell>
          <cell r="N56">
            <v>0</v>
          </cell>
        </row>
        <row r="57">
          <cell r="D57">
            <v>642626.52605732647</v>
          </cell>
          <cell r="E57">
            <v>284817.45066447981</v>
          </cell>
          <cell r="F57">
            <v>189981.74343669825</v>
          </cell>
          <cell r="G57">
            <v>124826.81913585091</v>
          </cell>
          <cell r="H57">
            <v>78057.672780504494</v>
          </cell>
          <cell r="I57">
            <v>22826.089757570604</v>
          </cell>
          <cell r="J57">
            <v>2759.39229824423</v>
          </cell>
          <cell r="K57">
            <v>140.19046112644477</v>
          </cell>
          <cell r="L57">
            <v>3.0582959868893074</v>
          </cell>
          <cell r="M57">
            <v>2.9701089148827169E-2</v>
          </cell>
          <cell r="N57">
            <v>0</v>
          </cell>
        </row>
        <row r="58">
          <cell r="D58">
            <v>6925962.7834212882</v>
          </cell>
          <cell r="E58">
            <v>7997674.0157014532</v>
          </cell>
          <cell r="F58">
            <v>5802333.6412022002</v>
          </cell>
          <cell r="G58">
            <v>4974740.9681812376</v>
          </cell>
          <cell r="H58">
            <v>4031687.5446723187</v>
          </cell>
          <cell r="I58">
            <v>4480173.541613278</v>
          </cell>
          <cell r="J58">
            <v>4838099.1425919775</v>
          </cell>
          <cell r="K58">
            <v>5144278.9765655845</v>
          </cell>
          <cell r="L58">
            <v>5305116.3236640096</v>
          </cell>
          <cell r="M58">
            <v>5291733.5150578748</v>
          </cell>
          <cell r="N58">
            <v>5287606.0452378262</v>
          </cell>
        </row>
        <row r="59">
          <cell r="D59">
            <v>149406900.18731356</v>
          </cell>
          <cell r="E59">
            <v>150668431.42194858</v>
          </cell>
          <cell r="F59">
            <v>125144353.74428269</v>
          </cell>
          <cell r="G59">
            <v>118920049.77603641</v>
          </cell>
          <cell r="H59">
            <v>110556684.06965716</v>
          </cell>
          <cell r="I59">
            <v>97001887.338538587</v>
          </cell>
          <cell r="J59">
            <v>86478360.50919129</v>
          </cell>
          <cell r="K59">
            <v>82899468.54708451</v>
          </cell>
          <cell r="L59">
            <v>84307680.194819376</v>
          </cell>
          <cell r="M59">
            <v>86591367.809546128</v>
          </cell>
          <cell r="N59">
            <v>87801417.085991234</v>
          </cell>
        </row>
        <row r="60">
          <cell r="D60">
            <v>23988694.229335465</v>
          </cell>
          <cell r="E60">
            <v>29894439.62572857</v>
          </cell>
          <cell r="F60">
            <v>33265271.874463737</v>
          </cell>
          <cell r="G60">
            <v>48256082.461794622</v>
          </cell>
          <cell r="H60">
            <v>61185261.516402736</v>
          </cell>
          <cell r="I60">
            <v>79488653.782111481</v>
          </cell>
          <cell r="J60">
            <v>95413534.754454538</v>
          </cell>
          <cell r="K60">
            <v>112872795.29341321</v>
          </cell>
          <cell r="L60">
            <v>134720124.560316</v>
          </cell>
          <cell r="M60">
            <v>150860679.00753155</v>
          </cell>
          <cell r="N60">
            <v>150339287.3318311</v>
          </cell>
        </row>
        <row r="61">
          <cell r="D61">
            <v>3821522.6741798697</v>
          </cell>
          <cell r="E61">
            <v>4408974.1368703451</v>
          </cell>
          <cell r="F61">
            <v>3592114.6127223023</v>
          </cell>
          <cell r="G61">
            <v>2270517.8773880089</v>
          </cell>
          <cell r="H61">
            <v>54658.091688394881</v>
          </cell>
          <cell r="I61">
            <v>0</v>
          </cell>
          <cell r="J61">
            <v>0</v>
          </cell>
          <cell r="K61">
            <v>0</v>
          </cell>
          <cell r="L61">
            <v>0</v>
          </cell>
          <cell r="M61">
            <v>0</v>
          </cell>
          <cell r="N61">
            <v>0</v>
          </cell>
        </row>
        <row r="62">
          <cell r="D62">
            <v>1125593.5996924792</v>
          </cell>
          <cell r="E62">
            <v>637991.08955924609</v>
          </cell>
          <cell r="F62">
            <v>229456.47639571418</v>
          </cell>
          <cell r="G62">
            <v>94028.975020302561</v>
          </cell>
          <cell r="H62">
            <v>55251.323813627292</v>
          </cell>
          <cell r="I62">
            <v>58772.836176180026</v>
          </cell>
          <cell r="J62">
            <v>43271.261562957457</v>
          </cell>
          <cell r="K62">
            <v>31751.391548015647</v>
          </cell>
          <cell r="L62">
            <v>23253.917558909641</v>
          </cell>
          <cell r="M62">
            <v>17088.9279713377</v>
          </cell>
          <cell r="N62">
            <v>12625.552791898366</v>
          </cell>
        </row>
        <row r="63">
          <cell r="D63">
            <v>18.59113</v>
          </cell>
          <cell r="E63">
            <v>18.902749999999997</v>
          </cell>
          <cell r="F63">
            <v>19.032869999999999</v>
          </cell>
          <cell r="G63">
            <v>18.491129999999998</v>
          </cell>
          <cell r="H63">
            <v>18.557759999999998</v>
          </cell>
          <cell r="I63">
            <v>19.389232774047269</v>
          </cell>
          <cell r="J63">
            <v>19.491974603347508</v>
          </cell>
          <cell r="K63">
            <v>19.274736166803688</v>
          </cell>
          <cell r="L63">
            <v>18.585085770115519</v>
          </cell>
          <cell r="M63">
            <v>17.404183513507689</v>
          </cell>
          <cell r="N63">
            <v>16.822351209250336</v>
          </cell>
        </row>
        <row r="64">
          <cell r="D64">
            <v>18.583359999999999</v>
          </cell>
          <cell r="E64">
            <v>18.907989999999998</v>
          </cell>
          <cell r="F64">
            <v>19.033559999999998</v>
          </cell>
          <cell r="G64">
            <v>18.495339999999999</v>
          </cell>
          <cell r="H64">
            <v>18.570149999999998</v>
          </cell>
          <cell r="I64">
            <v>18.79898</v>
          </cell>
          <cell r="J64">
            <v>18.832359999999998</v>
          </cell>
          <cell r="K64">
            <v>18.30321</v>
          </cell>
          <cell r="L64">
            <v>17.408159999999999</v>
          </cell>
          <cell r="M64">
            <v>16.209440000000001</v>
          </cell>
          <cell r="N64">
            <v>15.630429999999999</v>
          </cell>
        </row>
      </sheetData>
      <sheetData sheetId="1" refreshError="1"/>
      <sheetData sheetId="2" refreshError="1"/>
      <sheetData sheetId="3" refreshError="1"/>
      <sheetData sheetId="4" refreshError="1"/>
    </sheetDataSet>
  </externalBook>
</externalLink>
</file>

<file path=xl/persons/person.xml><?xml version="1.0" encoding="utf-8"?>
<personList xmlns="http://schemas.microsoft.com/office/spreadsheetml/2018/threadedcomments" xmlns:x="http://schemas.openxmlformats.org/spreadsheetml/2006/main">
  <person displayName="Emma Starke" id="{26A3017A-22C5-442F-90CD-43364C51364A}" userId="S::ees9@sfu.ca::2318989b-e84f-42da-944a-cddd48f950d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3-09-25T23:32:14.51" personId="{26A3017A-22C5-442F-90CD-43364C51364A}" id="{5AB09611-854B-4573-BD54-382101547746}">
    <text xml:space="preserve">see: C:\Users\stark\Documents\Documents\REM SFU\pyCIMS\Natural Gas\Sources\Pipelines\Individual NG pipeline data\Throughput_capacity_data_2006-2023
</text>
    <extLst>
      <x:ext xmlns:xltc2="http://schemas.microsoft.com/office/spreadsheetml/2020/threadedcomments2" uri="{F7C98A9C-CBB3-438F-8F68-D28B6AF4A901}">
        <xltc2:checksum>1598813263</xltc2:checksum>
        <xltc2:hyperlink startIndex="5" length="142" url="C:\Users\stark\Documents\Documents\REM SFU\pyCIMS\Natural Gas\Sources\Pipelines\Individual NG pipeline data\Throughput_capacity_data_2006-2023"/>
      </x:ext>
    </extLst>
  </threadedComment>
  <threadedComment ref="C8" dT="2023-10-06T23:05:58.57" personId="{26A3017A-22C5-442F-90CD-43364C51364A}" id="{4D25923D-8E33-46AA-BCB6-064FC0508340}">
    <text>https://neb-gis.maps.arcgis.com/apps/webappviewer/index.html?id=2d11fd4e6a7a4f4ba7fe6bdf51ae52de</text>
    <extLst>
      <x:ext xmlns:xltc2="http://schemas.microsoft.com/office/spreadsheetml/2020/threadedcomments2" uri="{F7C98A9C-CBB3-438F-8F68-D28B6AF4A901}">
        <xltc2:checksum>2304169932</xltc2:checksum>
        <xltc2:hyperlink startIndex="0" length="96" url="https://neb-gis.maps.arcgis.com/apps/webappviewer/index.html?id=2d11fd4e6a7a4f4ba7fe6bdf51ae52de"/>
      </x:ext>
    </extLst>
  </threadedComment>
  <threadedComment ref="C9" dT="2023-09-25T23:26:06.72" personId="{26A3017A-22C5-442F-90CD-43364C51364A}" id="{A4A5EB16-49F4-42A7-897D-188DD448B93F}">
    <text>https://www.cer-rec.gc.ca/en/data-analysis/facilities-we-regulate/pipeline-profiles/index.html</text>
    <extLst>
      <x:ext xmlns:xltc2="http://schemas.microsoft.com/office/spreadsheetml/2020/threadedcomments2" uri="{F7C98A9C-CBB3-438F-8F68-D28B6AF4A901}">
        <xltc2:checksum>844942554</xltc2:checksum>
        <xltc2:hyperlink startIndex="0" length="94" url="https://www.cer-rec.gc.ca/en/data-analysis/facilities-we-regulate/pipeline-profiles/index.html"/>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4-03-20T20:33:49.25" personId="{26A3017A-22C5-442F-90CD-43364C51364A}" id="{B12434BE-4ED0-4B80-9F21-E01C31C08A29}">
    <text xml:space="preserve">Visually estimated based on hand-drawings of Canada's pipelines by ES, using CER pipeline profile data on capacities.
Data also summarized in: C:\Users\stark\Documents\Documents\REM SFU\pyCIMS\Natural Gas\Sources\Pipelines\Individual NG pipeline data\Throughput_capacity_data_2006-2023
</text>
    <extLst>
      <x:ext xmlns:xltc2="http://schemas.microsoft.com/office/spreadsheetml/2020/threadedcomments2" uri="{F7C98A9C-CBB3-438F-8F68-D28B6AF4A901}">
        <xltc2:checksum>3135612264</xltc2:checksum>
        <xltc2:hyperlink startIndex="144" length="142" url="C:\Users\stark\Documents\Documents\REM SFU\pyCIMS\Natural Gas\Sources\Pipelines\Individual NG pipeline data\Throughput_capacity_data_2006-2023"/>
      </x:ext>
    </extLst>
  </threadedComment>
  <threadedComment ref="F96" dT="2023-10-10T21:44:59.67" personId="{26A3017A-22C5-442F-90CD-43364C51364A}" id="{A4E1C1F3-E6D4-466E-99A4-93DFB9A6A54B}">
    <text xml:space="preserve">No capacity data is given for SK Many Islands pipeline system. For now, assumption is that capacity for total system is equal to the average gate capacity of NGTL system in Alberta.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file:///C:\Users\stark\Documents\Documents\REM%20SFU\pyCIMS\Natural%20Gas\From%20JCIMS\natural%20gas%20extraction%20-%20technology%20notes.xls"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C6623-BCA6-4380-9E46-99A6D4762986}">
  <sheetPr codeName="Sheet1"/>
  <dimension ref="A1:AF288"/>
  <sheetViews>
    <sheetView topLeftCell="A9" zoomScale="82" zoomScaleNormal="70" workbookViewId="0">
      <pane xSplit="1" topLeftCell="B1" activePane="topRight" state="frozen"/>
      <selection pane="topRight" activeCell="I15" sqref="I15"/>
    </sheetView>
  </sheetViews>
  <sheetFormatPr defaultRowHeight="14.5" x14ac:dyDescent="0.35"/>
  <cols>
    <col min="1" max="1" width="29" style="1" customWidth="1"/>
    <col min="2" max="2" width="10.08984375" bestFit="1" customWidth="1"/>
    <col min="3" max="3" width="12.90625" customWidth="1"/>
    <col min="4" max="4" width="9.36328125" bestFit="1" customWidth="1"/>
    <col min="5" max="5" width="8.81640625" bestFit="1" customWidth="1"/>
    <col min="6" max="6" width="9.36328125" bestFit="1" customWidth="1"/>
    <col min="7" max="7" width="10.26953125" bestFit="1" customWidth="1"/>
    <col min="8" max="8" width="9.26953125" bestFit="1" customWidth="1"/>
    <col min="9" max="9" width="10.36328125" bestFit="1" customWidth="1"/>
    <col min="10" max="10" width="9.26953125" bestFit="1" customWidth="1"/>
    <col min="11" max="12" width="8.81640625" bestFit="1" customWidth="1"/>
    <col min="13" max="13" width="10.08984375" bestFit="1" customWidth="1"/>
    <col min="14" max="14" width="32.7265625" customWidth="1"/>
    <col min="15" max="15" width="10.08984375" customWidth="1"/>
    <col min="17" max="17" width="41.90625" customWidth="1"/>
    <col min="32" max="32" width="39.453125" customWidth="1"/>
  </cols>
  <sheetData>
    <row r="1" spans="1:32" ht="26" x14ac:dyDescent="0.6">
      <c r="A1" s="22" t="s">
        <v>0</v>
      </c>
      <c r="AF1" t="s">
        <v>31</v>
      </c>
    </row>
    <row r="2" spans="1:32" x14ac:dyDescent="0.35">
      <c r="A2" s="137" t="s">
        <v>25</v>
      </c>
      <c r="B2" s="137"/>
      <c r="C2" s="137"/>
      <c r="D2" s="137"/>
      <c r="E2" s="137"/>
      <c r="F2" s="137"/>
      <c r="G2" s="137"/>
      <c r="H2" s="137"/>
      <c r="I2" s="137"/>
      <c r="J2" s="137"/>
      <c r="K2" s="137"/>
      <c r="L2" s="137"/>
      <c r="M2" s="137"/>
      <c r="N2" s="6"/>
      <c r="O2" s="6"/>
      <c r="AF2" t="s">
        <v>52</v>
      </c>
    </row>
    <row r="3" spans="1:32" x14ac:dyDescent="0.35">
      <c r="C3" s="4"/>
      <c r="D3" s="4"/>
      <c r="Q3" t="s">
        <v>79</v>
      </c>
      <c r="AF3" t="s">
        <v>53</v>
      </c>
    </row>
    <row r="4" spans="1:32" x14ac:dyDescent="0.35">
      <c r="A4" s="7" t="s">
        <v>26</v>
      </c>
      <c r="C4" s="4"/>
      <c r="D4" s="4"/>
      <c r="Q4" t="s">
        <v>1</v>
      </c>
      <c r="AF4" t="s">
        <v>54</v>
      </c>
    </row>
    <row r="5" spans="1:32" x14ac:dyDescent="0.35">
      <c r="A5" s="118" t="s">
        <v>80</v>
      </c>
      <c r="C5" s="4"/>
      <c r="D5" s="4"/>
      <c r="Q5" t="s">
        <v>2</v>
      </c>
      <c r="AF5" t="s">
        <v>55</v>
      </c>
    </row>
    <row r="6" spans="1:32" x14ac:dyDescent="0.35">
      <c r="C6" s="4"/>
      <c r="D6" s="4"/>
      <c r="AF6" t="s">
        <v>56</v>
      </c>
    </row>
    <row r="7" spans="1:32" ht="19.5" x14ac:dyDescent="0.45">
      <c r="A7" s="23" t="s">
        <v>29</v>
      </c>
      <c r="C7" s="4"/>
      <c r="D7" s="4"/>
      <c r="Q7" t="s">
        <v>85</v>
      </c>
      <c r="R7">
        <v>77579</v>
      </c>
      <c r="AF7" t="s">
        <v>57</v>
      </c>
    </row>
    <row r="8" spans="1:32" x14ac:dyDescent="0.35">
      <c r="C8" s="12" t="s">
        <v>27</v>
      </c>
      <c r="D8" s="4"/>
      <c r="AF8" t="s">
        <v>58</v>
      </c>
    </row>
    <row r="9" spans="1:32" x14ac:dyDescent="0.35">
      <c r="C9" s="4" t="s">
        <v>24</v>
      </c>
      <c r="D9" s="4"/>
      <c r="AF9" t="s">
        <v>59</v>
      </c>
    </row>
    <row r="10" spans="1:32" ht="43.5" x14ac:dyDescent="0.35">
      <c r="B10" s="1"/>
      <c r="C10" t="s">
        <v>13</v>
      </c>
      <c r="M10" t="s">
        <v>84</v>
      </c>
      <c r="N10" s="17" t="s">
        <v>78</v>
      </c>
      <c r="AF10" t="s">
        <v>60</v>
      </c>
    </row>
    <row r="11" spans="1:32" x14ac:dyDescent="0.35">
      <c r="B11" s="1" t="s">
        <v>11</v>
      </c>
      <c r="C11" t="s">
        <v>14</v>
      </c>
      <c r="D11" t="s">
        <v>15</v>
      </c>
      <c r="E11" t="s">
        <v>16</v>
      </c>
      <c r="F11" t="s">
        <v>17</v>
      </c>
      <c r="G11" t="s">
        <v>18</v>
      </c>
      <c r="H11" t="s">
        <v>19</v>
      </c>
      <c r="I11" t="s">
        <v>20</v>
      </c>
      <c r="J11" t="s">
        <v>21</v>
      </c>
      <c r="K11" t="s">
        <v>22</v>
      </c>
      <c r="L11" s="1" t="s">
        <v>23</v>
      </c>
      <c r="M11" s="10">
        <f>SUM(M12:M19)</f>
        <v>74995</v>
      </c>
      <c r="N11" s="18">
        <f>M11-B20</f>
        <v>-2172</v>
      </c>
      <c r="O11" s="10"/>
      <c r="AF11" t="s">
        <v>61</v>
      </c>
    </row>
    <row r="12" spans="1:32" x14ac:dyDescent="0.35">
      <c r="A12" s="1" t="s">
        <v>3</v>
      </c>
      <c r="B12" s="13">
        <v>33032</v>
      </c>
      <c r="C12" s="9"/>
      <c r="D12" s="9">
        <f>D20*0.6</f>
        <v>1374</v>
      </c>
      <c r="E12" s="9"/>
      <c r="F12" s="9">
        <f>(F20*0.5)+500</f>
        <v>1030</v>
      </c>
      <c r="G12" s="9"/>
      <c r="H12" s="9"/>
      <c r="I12" s="9">
        <f>(I20*0.93)+7800</f>
        <v>30585</v>
      </c>
      <c r="J12" s="9"/>
      <c r="K12" s="9"/>
      <c r="L12" s="19"/>
      <c r="M12" s="9">
        <f>SUM(C12:L12)</f>
        <v>32989</v>
      </c>
      <c r="N12" s="16">
        <f>M12-B12</f>
        <v>-43</v>
      </c>
      <c r="O12" s="9"/>
      <c r="AF12" t="s">
        <v>62</v>
      </c>
    </row>
    <row r="13" spans="1:32" x14ac:dyDescent="0.35">
      <c r="A13" s="1" t="s">
        <v>4</v>
      </c>
      <c r="B13" s="13">
        <v>14107</v>
      </c>
      <c r="C13" s="9"/>
      <c r="D13" s="9">
        <f>D20*0.3</f>
        <v>687</v>
      </c>
      <c r="E13" s="9"/>
      <c r="F13" s="9">
        <f>F20*0.25</f>
        <v>265</v>
      </c>
      <c r="G13" s="9">
        <f>G20+10000</f>
        <v>10400</v>
      </c>
      <c r="H13" s="9"/>
      <c r="I13" s="9"/>
      <c r="J13" s="9">
        <f>J20*0.2</f>
        <v>2824</v>
      </c>
      <c r="K13" s="9"/>
      <c r="L13" s="19"/>
      <c r="M13" s="9">
        <f t="shared" ref="M13:M19" si="0">SUM(C13:L13)</f>
        <v>14176</v>
      </c>
      <c r="N13" s="16">
        <f t="shared" ref="N13:N18" si="1">M13-B13</f>
        <v>69</v>
      </c>
      <c r="O13" s="9"/>
      <c r="AF13" t="s">
        <v>63</v>
      </c>
    </row>
    <row r="14" spans="1:32" x14ac:dyDescent="0.35">
      <c r="A14" s="1" t="s">
        <v>5</v>
      </c>
      <c r="B14" s="13">
        <v>8339</v>
      </c>
      <c r="C14" s="9">
        <f>C20+3290</f>
        <v>6190</v>
      </c>
      <c r="D14" s="9">
        <f>D20*0.1</f>
        <v>229</v>
      </c>
      <c r="E14" s="9"/>
      <c r="F14" s="9">
        <f>F20*0.25</f>
        <v>265</v>
      </c>
      <c r="G14" s="9"/>
      <c r="H14" s="9"/>
      <c r="I14" s="9">
        <f>(I20*0.07)</f>
        <v>1715.0000000000002</v>
      </c>
      <c r="J14" s="9"/>
      <c r="K14" s="9"/>
      <c r="L14" s="19"/>
      <c r="M14" s="9">
        <f>SUM(C14:L14)</f>
        <v>8399</v>
      </c>
      <c r="N14" s="16">
        <f t="shared" si="1"/>
        <v>60</v>
      </c>
      <c r="O14" s="9"/>
    </row>
    <row r="15" spans="1:32" x14ac:dyDescent="0.35">
      <c r="A15" s="1" t="s">
        <v>6</v>
      </c>
      <c r="B15" s="13">
        <v>4257</v>
      </c>
      <c r="C15" s="9"/>
      <c r="D15" s="9"/>
      <c r="E15" s="9"/>
      <c r="F15" s="9"/>
      <c r="G15" s="9"/>
      <c r="H15" s="9"/>
      <c r="I15" s="9"/>
      <c r="J15" s="9">
        <f>(J20*0.3)</f>
        <v>4236</v>
      </c>
      <c r="K15" s="9"/>
      <c r="L15" s="19"/>
      <c r="M15" s="9">
        <f t="shared" si="0"/>
        <v>4236</v>
      </c>
      <c r="N15" s="16">
        <f t="shared" si="1"/>
        <v>-21</v>
      </c>
      <c r="O15" s="9"/>
    </row>
    <row r="16" spans="1:32" x14ac:dyDescent="0.35">
      <c r="A16" s="1" t="s">
        <v>7</v>
      </c>
      <c r="B16" s="13">
        <v>11106</v>
      </c>
      <c r="C16" s="9"/>
      <c r="D16" s="9"/>
      <c r="E16" s="9"/>
      <c r="F16" s="9"/>
      <c r="G16" s="9"/>
      <c r="H16" s="9"/>
      <c r="I16" s="9"/>
      <c r="J16" s="9">
        <f>J20-SUM(J13,J15,J18)+4500</f>
        <v>10571.6</v>
      </c>
      <c r="K16" s="9"/>
      <c r="L16" s="19">
        <f>L20</f>
        <v>25</v>
      </c>
      <c r="M16" s="9">
        <f>SUM(C16:L16)</f>
        <v>10596.6</v>
      </c>
      <c r="N16" s="16">
        <f t="shared" si="1"/>
        <v>-509.39999999999964</v>
      </c>
      <c r="O16" s="9"/>
    </row>
    <row r="17" spans="1:16" x14ac:dyDescent="0.35">
      <c r="A17" s="1" t="s">
        <v>8</v>
      </c>
      <c r="B17" s="13">
        <f>608+1017+2264</f>
        <v>3889</v>
      </c>
      <c r="C17" s="9"/>
      <c r="D17" s="9"/>
      <c r="E17" s="9">
        <f>E20+100</f>
        <v>240</v>
      </c>
      <c r="F17" s="9"/>
      <c r="G17" s="9"/>
      <c r="H17" s="9">
        <f>H20+2000</f>
        <v>2880</v>
      </c>
      <c r="I17" s="9"/>
      <c r="J17" s="9"/>
      <c r="K17" s="9"/>
      <c r="L17" s="19"/>
      <c r="M17" s="9">
        <f t="shared" si="0"/>
        <v>3120</v>
      </c>
      <c r="N17" s="16">
        <f t="shared" si="1"/>
        <v>-769</v>
      </c>
      <c r="O17" s="9"/>
    </row>
    <row r="18" spans="1:16" x14ac:dyDescent="0.35">
      <c r="A18" s="1" t="s">
        <v>9</v>
      </c>
      <c r="B18" s="13">
        <v>1545</v>
      </c>
      <c r="C18" s="9"/>
      <c r="D18" s="9"/>
      <c r="E18" s="9"/>
      <c r="F18" s="9"/>
      <c r="G18" s="9"/>
      <c r="H18" s="9"/>
      <c r="I18" s="9"/>
      <c r="J18" s="9">
        <f>J20*0.07</f>
        <v>988.40000000000009</v>
      </c>
      <c r="K18" s="9">
        <f>(K20+400)*0.5</f>
        <v>490</v>
      </c>
      <c r="L18" s="19"/>
      <c r="M18" s="9">
        <f t="shared" si="0"/>
        <v>1478.4</v>
      </c>
      <c r="N18" s="16">
        <f t="shared" si="1"/>
        <v>-66.599999999999909</v>
      </c>
      <c r="O18" s="9"/>
    </row>
    <row r="19" spans="1:16" ht="15" thickBot="1" x14ac:dyDescent="0.4">
      <c r="A19" s="3" t="s">
        <v>10</v>
      </c>
      <c r="B19" s="14">
        <v>892</v>
      </c>
      <c r="C19" s="20"/>
      <c r="D19" s="20"/>
      <c r="E19" s="20"/>
      <c r="F19" s="20"/>
      <c r="G19" s="20"/>
      <c r="H19" s="20"/>
      <c r="I19" s="20"/>
      <c r="J19" s="20"/>
      <c r="K19" s="20"/>
      <c r="L19" s="21"/>
      <c r="M19" s="9">
        <f t="shared" si="0"/>
        <v>0</v>
      </c>
      <c r="N19" s="16">
        <f>M19-B19</f>
        <v>-892</v>
      </c>
      <c r="O19" s="9"/>
    </row>
    <row r="20" spans="1:16" x14ac:dyDescent="0.35">
      <c r="A20" s="1" t="s">
        <v>12</v>
      </c>
      <c r="B20" s="15">
        <f>SUM(B12:B19)</f>
        <v>77167</v>
      </c>
      <c r="C20" s="4">
        <v>2900</v>
      </c>
      <c r="D20" s="4">
        <v>2290</v>
      </c>
      <c r="E20" s="4">
        <v>140</v>
      </c>
      <c r="F20" s="4">
        <v>1060</v>
      </c>
      <c r="G20" s="4">
        <v>400</v>
      </c>
      <c r="H20" s="4">
        <v>880</v>
      </c>
      <c r="I20" s="4">
        <v>24500</v>
      </c>
      <c r="J20" s="4">
        <v>14120</v>
      </c>
      <c r="K20" s="4">
        <v>580</v>
      </c>
      <c r="L20" s="5">
        <v>25</v>
      </c>
      <c r="M20" s="11">
        <f>SUM(C20:L20)</f>
        <v>46895</v>
      </c>
      <c r="N20" s="16">
        <f>M20-B20</f>
        <v>-30272</v>
      </c>
      <c r="O20" s="11"/>
    </row>
    <row r="22" spans="1:16" ht="19.5" x14ac:dyDescent="0.45">
      <c r="A22" s="23" t="s">
        <v>81</v>
      </c>
    </row>
    <row r="23" spans="1:16" ht="15" thickBot="1" x14ac:dyDescent="0.4">
      <c r="A23" s="1" t="s">
        <v>30</v>
      </c>
      <c r="C23" t="s">
        <v>13</v>
      </c>
    </row>
    <row r="24" spans="1:16" x14ac:dyDescent="0.35">
      <c r="A24" s="28"/>
      <c r="B24" s="29"/>
      <c r="C24" s="30" t="s">
        <v>14</v>
      </c>
      <c r="D24" s="31" t="s">
        <v>15</v>
      </c>
      <c r="E24" s="32" t="s">
        <v>16</v>
      </c>
      <c r="F24" s="33" t="s">
        <v>17</v>
      </c>
      <c r="G24" s="30" t="s">
        <v>18</v>
      </c>
      <c r="H24" s="34" t="s">
        <v>19</v>
      </c>
      <c r="I24" s="35" t="s">
        <v>20</v>
      </c>
      <c r="J24" s="36" t="s">
        <v>21</v>
      </c>
      <c r="K24" s="37" t="s">
        <v>22</v>
      </c>
      <c r="L24" s="30" t="s">
        <v>23</v>
      </c>
      <c r="M24" s="38" t="s">
        <v>73</v>
      </c>
      <c r="N24" s="39" t="s">
        <v>68</v>
      </c>
      <c r="O24" s="8"/>
      <c r="P24" s="8"/>
    </row>
    <row r="25" spans="1:16" x14ac:dyDescent="0.35">
      <c r="A25" s="57" t="s">
        <v>28</v>
      </c>
      <c r="M25">
        <f>SUM(B26:L60)</f>
        <v>32989</v>
      </c>
      <c r="N25" s="40">
        <f>M25-M12</f>
        <v>0</v>
      </c>
    </row>
    <row r="26" spans="1:16" x14ac:dyDescent="0.35">
      <c r="A26" s="25" t="s">
        <v>32</v>
      </c>
      <c r="B26" s="26"/>
      <c r="C26" s="41"/>
      <c r="D26" s="26"/>
      <c r="E26" s="26"/>
      <c r="F26" s="26"/>
      <c r="G26" s="26"/>
      <c r="H26" s="26"/>
      <c r="I26" s="26"/>
      <c r="J26" s="26"/>
      <c r="K26" s="26"/>
      <c r="L26" s="26"/>
      <c r="N26" s="42"/>
    </row>
    <row r="27" spans="1:16" x14ac:dyDescent="0.35">
      <c r="A27" s="25" t="s">
        <v>33</v>
      </c>
      <c r="B27" s="26"/>
      <c r="C27" s="41"/>
      <c r="D27" s="26"/>
      <c r="E27" s="26"/>
      <c r="F27" s="26"/>
      <c r="G27" s="26"/>
      <c r="H27" s="26"/>
      <c r="I27" s="26"/>
      <c r="J27" s="26"/>
      <c r="K27" s="26"/>
      <c r="L27" s="26"/>
      <c r="N27" s="42"/>
    </row>
    <row r="28" spans="1:16" x14ac:dyDescent="0.35">
      <c r="A28" s="25" t="s">
        <v>34</v>
      </c>
      <c r="B28" s="26"/>
      <c r="C28" s="41"/>
      <c r="D28" s="26"/>
      <c r="E28" s="26"/>
      <c r="F28" s="26"/>
      <c r="G28" s="26"/>
      <c r="H28" s="26"/>
      <c r="I28" s="26"/>
      <c r="J28" s="26"/>
      <c r="K28" s="26"/>
      <c r="L28" s="26"/>
      <c r="N28" s="42"/>
    </row>
    <row r="29" spans="1:16" x14ac:dyDescent="0.35">
      <c r="A29" s="25" t="s">
        <v>35</v>
      </c>
      <c r="B29" s="26"/>
      <c r="C29" s="41"/>
      <c r="D29" s="26"/>
      <c r="E29" s="26"/>
      <c r="F29" s="26"/>
      <c r="G29" s="26"/>
      <c r="H29" s="26"/>
      <c r="I29" s="26"/>
      <c r="J29" s="26"/>
      <c r="K29" s="26"/>
      <c r="L29" s="26"/>
      <c r="N29" s="42"/>
    </row>
    <row r="30" spans="1:16" x14ac:dyDescent="0.35">
      <c r="A30" s="25" t="s">
        <v>36</v>
      </c>
      <c r="B30" s="26"/>
      <c r="C30" s="41"/>
      <c r="D30" s="26"/>
      <c r="E30" s="26"/>
      <c r="F30" s="26"/>
      <c r="G30" s="26"/>
      <c r="H30" s="26"/>
      <c r="I30" s="26"/>
      <c r="J30" s="26"/>
      <c r="K30" s="26"/>
      <c r="L30" s="26"/>
      <c r="N30" s="42"/>
    </row>
    <row r="31" spans="1:16" x14ac:dyDescent="0.35">
      <c r="A31" s="58" t="s">
        <v>37</v>
      </c>
      <c r="B31" s="26"/>
      <c r="C31" s="26"/>
      <c r="D31" s="43">
        <f>D12*0.7</f>
        <v>961.8</v>
      </c>
      <c r="E31" s="26"/>
      <c r="F31" s="26"/>
      <c r="G31" s="26"/>
      <c r="H31" s="26"/>
      <c r="I31" s="26"/>
      <c r="J31" s="26"/>
      <c r="K31" s="26"/>
      <c r="L31" s="26"/>
      <c r="N31" s="42"/>
    </row>
    <row r="32" spans="1:16" x14ac:dyDescent="0.35">
      <c r="A32" s="58" t="s">
        <v>38</v>
      </c>
      <c r="B32" s="26"/>
      <c r="C32" s="26"/>
      <c r="D32" s="43">
        <f>D12*0.3</f>
        <v>412.2</v>
      </c>
      <c r="E32" s="26"/>
      <c r="F32" s="26"/>
      <c r="G32" s="26"/>
      <c r="H32" s="26"/>
      <c r="I32" s="26"/>
      <c r="J32" s="26"/>
      <c r="K32" s="26"/>
      <c r="L32" s="26"/>
      <c r="N32" s="42"/>
    </row>
    <row r="33" spans="1:14" x14ac:dyDescent="0.35">
      <c r="A33" s="59" t="s">
        <v>39</v>
      </c>
      <c r="B33" s="26"/>
      <c r="C33" s="26"/>
      <c r="D33" s="26"/>
      <c r="E33" s="60"/>
      <c r="F33" s="26"/>
      <c r="G33" s="26"/>
      <c r="H33" s="26"/>
      <c r="I33" s="26"/>
      <c r="J33" s="26"/>
      <c r="K33" s="26"/>
      <c r="L33" s="26"/>
      <c r="N33" s="42"/>
    </row>
    <row r="34" spans="1:14" x14ac:dyDescent="0.35">
      <c r="A34" s="61" t="s">
        <v>40</v>
      </c>
      <c r="B34" s="26"/>
      <c r="C34" s="26"/>
      <c r="D34" s="26"/>
      <c r="E34" s="26"/>
      <c r="F34" s="44">
        <f>F12*0.6</f>
        <v>618</v>
      </c>
      <c r="G34" s="26"/>
      <c r="H34" s="26"/>
      <c r="I34" s="26"/>
      <c r="J34" s="26"/>
      <c r="K34" s="26"/>
      <c r="L34" s="26"/>
      <c r="N34" s="42"/>
    </row>
    <row r="35" spans="1:14" x14ac:dyDescent="0.35">
      <c r="A35" s="61" t="s">
        <v>41</v>
      </c>
      <c r="B35" s="26"/>
      <c r="C35" s="26"/>
      <c r="D35" s="26"/>
      <c r="E35" s="26"/>
      <c r="F35" s="44">
        <f>F12*0.4</f>
        <v>412</v>
      </c>
      <c r="G35" s="26"/>
      <c r="H35" s="26"/>
      <c r="I35" s="26"/>
      <c r="J35" s="26"/>
      <c r="K35" s="26"/>
      <c r="L35" s="26"/>
      <c r="N35" s="42"/>
    </row>
    <row r="36" spans="1:14" x14ac:dyDescent="0.35">
      <c r="A36" s="25" t="s">
        <v>18</v>
      </c>
      <c r="B36" s="26"/>
      <c r="C36" s="26"/>
      <c r="D36" s="26"/>
      <c r="E36" s="26"/>
      <c r="F36" s="26"/>
      <c r="G36" s="62"/>
      <c r="H36" s="26"/>
      <c r="I36" s="26"/>
      <c r="J36" s="26"/>
      <c r="K36" s="26"/>
      <c r="L36" s="26"/>
      <c r="N36" s="42"/>
    </row>
    <row r="37" spans="1:14" x14ac:dyDescent="0.35">
      <c r="A37" s="63" t="s">
        <v>42</v>
      </c>
      <c r="B37" s="26"/>
      <c r="C37" s="26"/>
      <c r="D37" s="26"/>
      <c r="E37" s="26"/>
      <c r="F37" s="26"/>
      <c r="G37" s="26"/>
      <c r="H37" s="64"/>
      <c r="I37" s="26"/>
      <c r="J37" s="26"/>
      <c r="K37" s="26"/>
      <c r="L37" s="26"/>
      <c r="N37" s="42"/>
    </row>
    <row r="38" spans="1:14" x14ac:dyDescent="0.35">
      <c r="A38" s="65" t="s">
        <v>43</v>
      </c>
      <c r="B38" s="26"/>
      <c r="C38" s="26"/>
      <c r="D38" s="26"/>
      <c r="E38" s="26"/>
      <c r="F38" s="26"/>
      <c r="G38" s="26"/>
      <c r="H38" s="26"/>
      <c r="I38" s="45">
        <f>$I$12*0.2</f>
        <v>6117</v>
      </c>
      <c r="J38" s="26"/>
      <c r="K38" s="26"/>
      <c r="L38" s="26"/>
      <c r="N38" s="42"/>
    </row>
    <row r="39" spans="1:14" x14ac:dyDescent="0.35">
      <c r="A39" s="65" t="s">
        <v>44</v>
      </c>
      <c r="B39" s="26"/>
      <c r="C39" s="26"/>
      <c r="D39" s="26"/>
      <c r="E39" s="26"/>
      <c r="F39" s="26"/>
      <c r="G39" s="26"/>
      <c r="H39" s="26"/>
      <c r="I39" s="45">
        <f>$I$12*0.15</f>
        <v>4587.75</v>
      </c>
      <c r="J39" s="26"/>
      <c r="K39" s="26"/>
      <c r="L39" s="26"/>
      <c r="N39" s="42"/>
    </row>
    <row r="40" spans="1:14" x14ac:dyDescent="0.35">
      <c r="A40" s="65" t="s">
        <v>45</v>
      </c>
      <c r="B40" s="26"/>
      <c r="C40" s="26"/>
      <c r="D40" s="26"/>
      <c r="E40" s="26"/>
      <c r="F40" s="26"/>
      <c r="G40" s="26"/>
      <c r="H40" s="26"/>
      <c r="I40" s="45">
        <f>$I$12*0.1</f>
        <v>3058.5</v>
      </c>
      <c r="J40" s="26"/>
      <c r="K40" s="26"/>
      <c r="L40" s="26"/>
      <c r="N40" s="42"/>
    </row>
    <row r="41" spans="1:14" x14ac:dyDescent="0.35">
      <c r="A41" s="65" t="s">
        <v>46</v>
      </c>
      <c r="B41" s="26"/>
      <c r="C41" s="26"/>
      <c r="D41" s="26"/>
      <c r="E41" s="26"/>
      <c r="F41" s="26"/>
      <c r="G41" s="46"/>
      <c r="H41" s="26"/>
      <c r="I41" s="45">
        <f>$I$12*0.1</f>
        <v>3058.5</v>
      </c>
      <c r="J41" s="26"/>
      <c r="K41" s="26"/>
      <c r="L41" s="26"/>
      <c r="N41" s="42"/>
    </row>
    <row r="42" spans="1:14" x14ac:dyDescent="0.35">
      <c r="A42" s="65" t="s">
        <v>47</v>
      </c>
      <c r="B42" s="26"/>
      <c r="C42" s="26"/>
      <c r="D42" s="26"/>
      <c r="E42" s="26"/>
      <c r="F42" s="26"/>
      <c r="G42" s="26"/>
      <c r="H42" s="26"/>
      <c r="I42" s="45">
        <f>$I$12*0.05</f>
        <v>1529.25</v>
      </c>
      <c r="J42" s="26"/>
      <c r="K42" s="26"/>
      <c r="L42" s="26"/>
      <c r="N42" s="42"/>
    </row>
    <row r="43" spans="1:14" x14ac:dyDescent="0.35">
      <c r="A43" s="65" t="s">
        <v>48</v>
      </c>
      <c r="B43" s="26"/>
      <c r="C43" s="26"/>
      <c r="D43" s="26"/>
      <c r="E43" s="26"/>
      <c r="F43" s="26"/>
      <c r="G43" s="26"/>
      <c r="H43" s="26"/>
      <c r="I43" s="45">
        <f>$I$12*0.05</f>
        <v>1529.25</v>
      </c>
      <c r="J43" s="26"/>
      <c r="K43" s="26"/>
      <c r="L43" s="26"/>
      <c r="N43" s="42"/>
    </row>
    <row r="44" spans="1:14" x14ac:dyDescent="0.35">
      <c r="A44" s="65" t="s">
        <v>49</v>
      </c>
      <c r="B44" s="26"/>
      <c r="C44" s="26"/>
      <c r="D44" s="26"/>
      <c r="E44" s="26"/>
      <c r="F44" s="26"/>
      <c r="G44" s="26"/>
      <c r="H44" s="26"/>
      <c r="I44" s="45">
        <f>$I$12*0.05</f>
        <v>1529.25</v>
      </c>
      <c r="J44" s="26"/>
      <c r="K44" s="26"/>
      <c r="L44" s="26"/>
      <c r="N44" s="42"/>
    </row>
    <row r="45" spans="1:14" x14ac:dyDescent="0.35">
      <c r="A45" s="65" t="s">
        <v>50</v>
      </c>
      <c r="B45" s="26"/>
      <c r="C45" s="26"/>
      <c r="D45" s="26"/>
      <c r="E45" s="26"/>
      <c r="F45" s="26"/>
      <c r="G45" s="26"/>
      <c r="H45" s="26"/>
      <c r="I45" s="45">
        <f>$I$12*0.1</f>
        <v>3058.5</v>
      </c>
      <c r="J45" s="26"/>
      <c r="K45" s="26"/>
      <c r="L45" s="26"/>
      <c r="N45" s="42"/>
    </row>
    <row r="46" spans="1:14" x14ac:dyDescent="0.35">
      <c r="A46" s="65" t="s">
        <v>51</v>
      </c>
      <c r="B46" s="26"/>
      <c r="C46" s="26"/>
      <c r="D46" s="26"/>
      <c r="E46" s="26"/>
      <c r="F46" s="26"/>
      <c r="G46" s="26"/>
      <c r="H46" s="26"/>
      <c r="I46" s="45">
        <f>$I$12*0.2</f>
        <v>6117</v>
      </c>
      <c r="J46" s="26"/>
      <c r="K46" s="26"/>
      <c r="L46" s="26"/>
      <c r="N46" s="42"/>
    </row>
    <row r="47" spans="1:14" x14ac:dyDescent="0.35">
      <c r="A47" s="59" t="s">
        <v>52</v>
      </c>
      <c r="B47" s="26"/>
      <c r="C47" s="26"/>
      <c r="D47" s="26"/>
      <c r="E47" s="26"/>
      <c r="F47" s="26"/>
      <c r="G47" s="26"/>
      <c r="H47" s="26"/>
      <c r="I47" s="26"/>
      <c r="J47" s="47"/>
      <c r="K47" s="26"/>
      <c r="L47" s="26"/>
      <c r="N47" s="42"/>
    </row>
    <row r="48" spans="1:14" x14ac:dyDescent="0.35">
      <c r="A48" s="59" t="s">
        <v>53</v>
      </c>
      <c r="B48" s="26"/>
      <c r="C48" s="26"/>
      <c r="D48" s="26"/>
      <c r="E48" s="26"/>
      <c r="F48" s="26"/>
      <c r="G48" s="26"/>
      <c r="H48" s="26"/>
      <c r="I48" s="26"/>
      <c r="J48" s="47"/>
      <c r="K48" s="26"/>
      <c r="L48" s="26"/>
      <c r="N48" s="42"/>
    </row>
    <row r="49" spans="1:16" x14ac:dyDescent="0.35">
      <c r="A49" s="59" t="s">
        <v>54</v>
      </c>
      <c r="B49" s="26"/>
      <c r="C49" s="26"/>
      <c r="D49" s="26"/>
      <c r="E49" s="26"/>
      <c r="F49" s="26"/>
      <c r="G49" s="26"/>
      <c r="H49" s="26"/>
      <c r="I49" s="26"/>
      <c r="J49" s="47"/>
      <c r="K49" s="26"/>
      <c r="L49" s="26"/>
      <c r="N49" s="42"/>
    </row>
    <row r="50" spans="1:16" x14ac:dyDescent="0.35">
      <c r="A50" s="59" t="s">
        <v>55</v>
      </c>
      <c r="B50" s="26"/>
      <c r="C50" s="26"/>
      <c r="D50" s="26"/>
      <c r="E50" s="26"/>
      <c r="F50" s="26"/>
      <c r="G50" s="26"/>
      <c r="H50" s="26"/>
      <c r="I50" s="26"/>
      <c r="J50" s="47"/>
      <c r="K50" s="26"/>
      <c r="L50" s="26"/>
      <c r="N50" s="42"/>
    </row>
    <row r="51" spans="1:16" x14ac:dyDescent="0.35">
      <c r="A51" s="59" t="s">
        <v>56</v>
      </c>
      <c r="B51" s="26"/>
      <c r="C51" s="26"/>
      <c r="D51" s="26"/>
      <c r="E51" s="26"/>
      <c r="F51" s="26"/>
      <c r="G51" s="26"/>
      <c r="H51" s="26"/>
      <c r="I51" s="26"/>
      <c r="J51" s="47"/>
      <c r="K51" s="26"/>
      <c r="L51" s="26"/>
      <c r="N51" s="42"/>
    </row>
    <row r="52" spans="1:16" x14ac:dyDescent="0.35">
      <c r="A52" s="59" t="s">
        <v>57</v>
      </c>
      <c r="B52" s="26"/>
      <c r="C52" s="26"/>
      <c r="D52" s="26"/>
      <c r="E52" s="26"/>
      <c r="F52" s="26"/>
      <c r="G52" s="26"/>
      <c r="H52" s="26"/>
      <c r="I52" s="26"/>
      <c r="J52" s="47"/>
      <c r="K52" s="26"/>
      <c r="L52" s="26"/>
      <c r="N52" s="42"/>
    </row>
    <row r="53" spans="1:16" x14ac:dyDescent="0.35">
      <c r="A53" s="59" t="s">
        <v>58</v>
      </c>
      <c r="B53" s="26"/>
      <c r="C53" s="26"/>
      <c r="D53" s="26"/>
      <c r="E53" s="26"/>
      <c r="F53" s="26"/>
      <c r="G53" s="26"/>
      <c r="H53" s="26"/>
      <c r="I53" s="26"/>
      <c r="J53" s="47"/>
      <c r="K53" s="26"/>
      <c r="L53" s="26"/>
      <c r="N53" s="42"/>
    </row>
    <row r="54" spans="1:16" x14ac:dyDescent="0.35">
      <c r="A54" s="59" t="s">
        <v>59</v>
      </c>
      <c r="B54" s="26"/>
      <c r="C54" s="26"/>
      <c r="D54" s="26"/>
      <c r="E54" s="26"/>
      <c r="F54" s="26"/>
      <c r="G54" s="26"/>
      <c r="H54" s="26"/>
      <c r="I54" s="26"/>
      <c r="J54" s="47"/>
      <c r="K54" s="26"/>
      <c r="L54" s="26"/>
      <c r="N54" s="42"/>
    </row>
    <row r="55" spans="1:16" x14ac:dyDescent="0.35">
      <c r="A55" s="59" t="s">
        <v>60</v>
      </c>
      <c r="B55" s="26"/>
      <c r="C55" s="26"/>
      <c r="D55" s="26"/>
      <c r="E55" s="26"/>
      <c r="F55" s="26"/>
      <c r="G55" s="26"/>
      <c r="H55" s="26"/>
      <c r="I55" s="26"/>
      <c r="J55" s="47"/>
      <c r="K55" s="26"/>
      <c r="L55" s="26"/>
      <c r="N55" s="42"/>
    </row>
    <row r="56" spans="1:16" x14ac:dyDescent="0.35">
      <c r="A56" s="59" t="s">
        <v>61</v>
      </c>
      <c r="B56" s="26"/>
      <c r="C56" s="26"/>
      <c r="D56" s="26"/>
      <c r="E56" s="26"/>
      <c r="F56" s="26"/>
      <c r="G56" s="26"/>
      <c r="H56" s="26"/>
      <c r="I56" s="26"/>
      <c r="J56" s="47"/>
      <c r="K56" s="26"/>
      <c r="L56" s="26"/>
      <c r="N56" s="42"/>
    </row>
    <row r="57" spans="1:16" x14ac:dyDescent="0.35">
      <c r="A57" s="59" t="s">
        <v>62</v>
      </c>
      <c r="B57" s="26"/>
      <c r="C57" s="26"/>
      <c r="D57" s="26"/>
      <c r="E57" s="26"/>
      <c r="F57" s="26"/>
      <c r="G57" s="26"/>
      <c r="H57" s="26"/>
      <c r="I57" s="26"/>
      <c r="J57" s="47"/>
      <c r="K57" s="26"/>
      <c r="L57" s="26"/>
      <c r="N57" s="42"/>
    </row>
    <row r="58" spans="1:16" x14ac:dyDescent="0.35">
      <c r="A58" s="67" t="s">
        <v>64</v>
      </c>
      <c r="B58" s="26"/>
      <c r="C58" s="26"/>
      <c r="D58" s="26"/>
      <c r="E58" s="26"/>
      <c r="F58" s="26"/>
      <c r="G58" s="26"/>
      <c r="H58" s="26"/>
      <c r="I58" s="26"/>
      <c r="J58" s="26"/>
      <c r="K58" s="48"/>
      <c r="L58" s="26"/>
      <c r="N58" s="42"/>
    </row>
    <row r="59" spans="1:16" x14ac:dyDescent="0.35">
      <c r="A59" s="67" t="s">
        <v>65</v>
      </c>
      <c r="B59" s="26"/>
      <c r="C59" s="26"/>
      <c r="D59" s="26"/>
      <c r="E59" s="26"/>
      <c r="F59" s="26"/>
      <c r="G59" s="26"/>
      <c r="H59" s="26"/>
      <c r="I59" s="26"/>
      <c r="J59" s="26"/>
      <c r="K59" s="48"/>
      <c r="L59" s="26"/>
      <c r="N59" s="42"/>
    </row>
    <row r="60" spans="1:16" ht="15" thickBot="1" x14ac:dyDescent="0.4">
      <c r="A60" s="49" t="s">
        <v>63</v>
      </c>
      <c r="B60" s="50"/>
      <c r="C60" s="50"/>
      <c r="D60" s="50"/>
      <c r="E60" s="50"/>
      <c r="F60" s="50"/>
      <c r="G60" s="50"/>
      <c r="H60" s="50"/>
      <c r="I60" s="50"/>
      <c r="J60" s="50"/>
      <c r="K60" s="50"/>
      <c r="L60" s="51"/>
      <c r="M60" s="2"/>
      <c r="N60" s="52"/>
    </row>
    <row r="61" spans="1:16" ht="15" thickBot="1" x14ac:dyDescent="0.4">
      <c r="A61" s="24"/>
      <c r="B61" s="26"/>
      <c r="C61" s="26"/>
      <c r="D61" s="26"/>
      <c r="E61" s="26"/>
      <c r="F61" s="26"/>
      <c r="G61" s="26"/>
      <c r="H61" s="26"/>
      <c r="I61" s="26"/>
      <c r="J61" s="26"/>
      <c r="K61" s="26"/>
      <c r="L61" s="26"/>
    </row>
    <row r="62" spans="1:16" x14ac:dyDescent="0.35">
      <c r="A62" s="28"/>
      <c r="B62" s="29"/>
      <c r="C62" s="30" t="s">
        <v>14</v>
      </c>
      <c r="D62" s="31" t="s">
        <v>15</v>
      </c>
      <c r="E62" s="32" t="s">
        <v>16</v>
      </c>
      <c r="F62" s="33" t="s">
        <v>17</v>
      </c>
      <c r="G62" s="30" t="s">
        <v>18</v>
      </c>
      <c r="H62" s="34" t="s">
        <v>19</v>
      </c>
      <c r="I62" s="35" t="s">
        <v>20</v>
      </c>
      <c r="J62" s="36" t="s">
        <v>21</v>
      </c>
      <c r="K62" s="37" t="s">
        <v>22</v>
      </c>
      <c r="L62" s="30" t="s">
        <v>23</v>
      </c>
      <c r="M62" s="38" t="s">
        <v>73</v>
      </c>
      <c r="N62" s="39" t="s">
        <v>68</v>
      </c>
      <c r="O62" s="8"/>
      <c r="P62" s="8"/>
    </row>
    <row r="63" spans="1:16" x14ac:dyDescent="0.35">
      <c r="A63" s="68" t="s">
        <v>67</v>
      </c>
      <c r="M63">
        <f>SUM(B64:L98)</f>
        <v>14176</v>
      </c>
      <c r="N63" s="40">
        <f>M63-M13</f>
        <v>0</v>
      </c>
    </row>
    <row r="64" spans="1:16" x14ac:dyDescent="0.35">
      <c r="A64" s="25" t="s">
        <v>32</v>
      </c>
      <c r="B64" s="26"/>
      <c r="C64" s="53"/>
      <c r="D64" s="26"/>
      <c r="E64" s="26"/>
      <c r="F64" s="26"/>
      <c r="G64" s="26"/>
      <c r="H64" s="26"/>
      <c r="I64" s="26"/>
      <c r="J64" s="26"/>
      <c r="K64" s="26"/>
      <c r="L64" s="26"/>
      <c r="N64" s="42"/>
    </row>
    <row r="65" spans="1:14" x14ac:dyDescent="0.35">
      <c r="A65" s="25" t="s">
        <v>33</v>
      </c>
      <c r="B65" s="26"/>
      <c r="C65" s="53"/>
      <c r="D65" s="26"/>
      <c r="E65" s="26"/>
      <c r="F65" s="26"/>
      <c r="G65" s="26"/>
      <c r="H65" s="26"/>
      <c r="I65" s="26"/>
      <c r="J65" s="26"/>
      <c r="K65" s="26"/>
      <c r="L65" s="26"/>
      <c r="N65" s="42"/>
    </row>
    <row r="66" spans="1:14" x14ac:dyDescent="0.35">
      <c r="A66" s="25" t="s">
        <v>34</v>
      </c>
      <c r="B66" s="26"/>
      <c r="C66" s="53"/>
      <c r="D66" s="26"/>
      <c r="E66" s="26"/>
      <c r="F66" s="26"/>
      <c r="G66" s="26"/>
      <c r="H66" s="26"/>
      <c r="I66" s="26"/>
      <c r="J66" s="26"/>
      <c r="K66" s="26"/>
      <c r="L66" s="26"/>
      <c r="N66" s="42"/>
    </row>
    <row r="67" spans="1:14" x14ac:dyDescent="0.35">
      <c r="A67" s="25" t="s">
        <v>35</v>
      </c>
      <c r="B67" s="26"/>
      <c r="C67" s="53"/>
      <c r="D67" s="26"/>
      <c r="E67" s="26"/>
      <c r="F67" s="26"/>
      <c r="G67" s="26"/>
      <c r="H67" s="26"/>
      <c r="I67" s="26"/>
      <c r="J67" s="26"/>
      <c r="K67" s="26"/>
      <c r="L67" s="26"/>
      <c r="N67" s="42"/>
    </row>
    <row r="68" spans="1:14" x14ac:dyDescent="0.35">
      <c r="A68" s="25" t="s">
        <v>36</v>
      </c>
      <c r="B68" s="26"/>
      <c r="C68" s="53"/>
      <c r="D68" s="26"/>
      <c r="E68" s="26"/>
      <c r="F68" s="26"/>
      <c r="G68" s="26"/>
      <c r="H68" s="26"/>
      <c r="I68" s="26"/>
      <c r="J68" s="26"/>
      <c r="K68" s="26"/>
      <c r="L68" s="26"/>
      <c r="N68" s="42"/>
    </row>
    <row r="69" spans="1:14" x14ac:dyDescent="0.35">
      <c r="A69" s="58" t="s">
        <v>37</v>
      </c>
      <c r="B69" s="26"/>
      <c r="C69" s="26"/>
      <c r="D69" s="43">
        <f>D13</f>
        <v>687</v>
      </c>
      <c r="E69" s="26"/>
      <c r="F69" s="26"/>
      <c r="G69" s="26"/>
      <c r="H69" s="26"/>
      <c r="I69" s="26"/>
      <c r="J69" s="26"/>
      <c r="K69" s="26"/>
      <c r="L69" s="26"/>
      <c r="N69" s="42"/>
    </row>
    <row r="70" spans="1:14" x14ac:dyDescent="0.35">
      <c r="A70" s="58" t="s">
        <v>38</v>
      </c>
      <c r="B70" s="26"/>
      <c r="C70" s="26"/>
      <c r="D70" s="43"/>
      <c r="E70" s="26"/>
      <c r="F70" s="26"/>
      <c r="G70" s="26"/>
      <c r="H70" s="26"/>
      <c r="I70" s="26"/>
      <c r="J70" s="26"/>
      <c r="K70" s="26"/>
      <c r="L70" s="26"/>
      <c r="N70" s="42"/>
    </row>
    <row r="71" spans="1:14" x14ac:dyDescent="0.35">
      <c r="A71" s="59" t="s">
        <v>39</v>
      </c>
      <c r="B71" s="26"/>
      <c r="C71" s="26"/>
      <c r="D71" s="26"/>
      <c r="E71" s="60"/>
      <c r="F71" s="26"/>
      <c r="G71" s="26"/>
      <c r="H71" s="26"/>
      <c r="I71" s="26"/>
      <c r="J71" s="26"/>
      <c r="K71" s="26"/>
      <c r="L71" s="26"/>
      <c r="N71" s="42"/>
    </row>
    <row r="72" spans="1:14" x14ac:dyDescent="0.35">
      <c r="A72" s="61" t="s">
        <v>40</v>
      </c>
      <c r="B72" s="26"/>
      <c r="C72" s="26"/>
      <c r="D72" s="26"/>
      <c r="E72" s="26"/>
      <c r="F72" s="44">
        <f>F13</f>
        <v>265</v>
      </c>
      <c r="G72" s="26"/>
      <c r="H72" s="26"/>
      <c r="I72" s="26"/>
      <c r="J72" s="26"/>
      <c r="K72" s="26"/>
      <c r="L72" s="26"/>
      <c r="N72" s="42"/>
    </row>
    <row r="73" spans="1:14" x14ac:dyDescent="0.35">
      <c r="A73" s="61" t="s">
        <v>41</v>
      </c>
      <c r="B73" s="26"/>
      <c r="C73" s="26"/>
      <c r="D73" s="26"/>
      <c r="E73" s="26"/>
      <c r="F73" s="44"/>
      <c r="G73" s="26"/>
      <c r="H73" s="26"/>
      <c r="I73" s="26"/>
      <c r="J73" s="26"/>
      <c r="K73" s="26"/>
      <c r="L73" s="26"/>
      <c r="N73" s="42"/>
    </row>
    <row r="74" spans="1:14" x14ac:dyDescent="0.35">
      <c r="A74" s="25" t="s">
        <v>18</v>
      </c>
      <c r="B74" s="26"/>
      <c r="C74" s="26"/>
      <c r="D74" s="26"/>
      <c r="E74" s="26"/>
      <c r="F74" s="26"/>
      <c r="G74" s="69">
        <f>G13</f>
        <v>10400</v>
      </c>
      <c r="H74" s="26"/>
      <c r="I74" s="26"/>
      <c r="J74" s="26"/>
      <c r="K74" s="26"/>
      <c r="L74" s="26"/>
      <c r="N74" s="42"/>
    </row>
    <row r="75" spans="1:14" x14ac:dyDescent="0.35">
      <c r="A75" s="63" t="s">
        <v>42</v>
      </c>
      <c r="B75" s="26"/>
      <c r="C75" s="26"/>
      <c r="D75" s="26"/>
      <c r="E75" s="26"/>
      <c r="F75" s="26"/>
      <c r="G75" s="26"/>
      <c r="H75" s="64"/>
      <c r="I75" s="26"/>
      <c r="J75" s="26"/>
      <c r="K75" s="26"/>
      <c r="L75" s="26"/>
      <c r="N75" s="42"/>
    </row>
    <row r="76" spans="1:14" x14ac:dyDescent="0.35">
      <c r="A76" s="65" t="s">
        <v>43</v>
      </c>
      <c r="B76" s="26"/>
      <c r="C76" s="26"/>
      <c r="D76" s="26"/>
      <c r="E76" s="26"/>
      <c r="F76" s="26"/>
      <c r="G76" s="26"/>
      <c r="H76" s="26"/>
      <c r="I76" s="45"/>
      <c r="J76" s="26"/>
      <c r="K76" s="26"/>
      <c r="L76" s="26"/>
      <c r="N76" s="42"/>
    </row>
    <row r="77" spans="1:14" x14ac:dyDescent="0.35">
      <c r="A77" s="65" t="s">
        <v>44</v>
      </c>
      <c r="B77" s="26"/>
      <c r="C77" s="26"/>
      <c r="D77" s="26"/>
      <c r="E77" s="26"/>
      <c r="F77" s="26"/>
      <c r="G77" s="26"/>
      <c r="H77" s="26"/>
      <c r="I77" s="45"/>
      <c r="J77" s="26"/>
      <c r="K77" s="26"/>
      <c r="L77" s="26"/>
      <c r="N77" s="42"/>
    </row>
    <row r="78" spans="1:14" x14ac:dyDescent="0.35">
      <c r="A78" s="65" t="s">
        <v>45</v>
      </c>
      <c r="B78" s="26"/>
      <c r="C78" s="26"/>
      <c r="D78" s="26"/>
      <c r="E78" s="26"/>
      <c r="F78" s="26"/>
      <c r="G78" s="26"/>
      <c r="H78" s="26"/>
      <c r="I78" s="45"/>
      <c r="J78" s="26"/>
      <c r="K78" s="26"/>
      <c r="L78" s="26"/>
      <c r="N78" s="42"/>
    </row>
    <row r="79" spans="1:14" x14ac:dyDescent="0.35">
      <c r="A79" s="65" t="s">
        <v>46</v>
      </c>
      <c r="B79" s="26"/>
      <c r="C79" s="26"/>
      <c r="D79" s="26"/>
      <c r="E79" s="26"/>
      <c r="F79" s="26"/>
      <c r="G79" s="46"/>
      <c r="H79" s="26"/>
      <c r="I79" s="45"/>
      <c r="J79" s="26"/>
      <c r="K79" s="26"/>
      <c r="L79" s="26"/>
      <c r="N79" s="42"/>
    </row>
    <row r="80" spans="1:14" x14ac:dyDescent="0.35">
      <c r="A80" s="65" t="s">
        <v>47</v>
      </c>
      <c r="B80" s="26"/>
      <c r="C80" s="26"/>
      <c r="D80" s="26"/>
      <c r="E80" s="26"/>
      <c r="F80" s="26"/>
      <c r="G80" s="26"/>
      <c r="H80" s="26"/>
      <c r="I80" s="45"/>
      <c r="J80" s="26"/>
      <c r="K80" s="26"/>
      <c r="L80" s="26"/>
      <c r="N80" s="42"/>
    </row>
    <row r="81" spans="1:14" x14ac:dyDescent="0.35">
      <c r="A81" s="65" t="s">
        <v>48</v>
      </c>
      <c r="B81" s="26"/>
      <c r="C81" s="26"/>
      <c r="D81" s="26"/>
      <c r="E81" s="26"/>
      <c r="F81" s="26"/>
      <c r="G81" s="26"/>
      <c r="H81" s="26"/>
      <c r="I81" s="45"/>
      <c r="J81" s="26"/>
      <c r="K81" s="26"/>
      <c r="L81" s="26"/>
      <c r="N81" s="42"/>
    </row>
    <row r="82" spans="1:14" x14ac:dyDescent="0.35">
      <c r="A82" s="65" t="s">
        <v>49</v>
      </c>
      <c r="B82" s="26"/>
      <c r="C82" s="26"/>
      <c r="D82" s="26"/>
      <c r="E82" s="26"/>
      <c r="F82" s="26"/>
      <c r="G82" s="26"/>
      <c r="H82" s="26"/>
      <c r="I82" s="45"/>
      <c r="J82" s="26"/>
      <c r="K82" s="26"/>
      <c r="L82" s="26"/>
      <c r="N82" s="42"/>
    </row>
    <row r="83" spans="1:14" x14ac:dyDescent="0.35">
      <c r="A83" s="65" t="s">
        <v>50</v>
      </c>
      <c r="B83" s="26"/>
      <c r="C83" s="26"/>
      <c r="D83" s="26"/>
      <c r="E83" s="26"/>
      <c r="F83" s="26"/>
      <c r="G83" s="26"/>
      <c r="H83" s="26"/>
      <c r="I83" s="45"/>
      <c r="J83" s="26"/>
      <c r="K83" s="26"/>
      <c r="L83" s="26"/>
      <c r="N83" s="42"/>
    </row>
    <row r="84" spans="1:14" x14ac:dyDescent="0.35">
      <c r="A84" s="65" t="s">
        <v>51</v>
      </c>
      <c r="B84" s="26"/>
      <c r="C84" s="26"/>
      <c r="D84" s="26"/>
      <c r="E84" s="26"/>
      <c r="F84" s="26"/>
      <c r="G84" s="26"/>
      <c r="H84" s="26"/>
      <c r="I84" s="45"/>
      <c r="J84" s="26"/>
      <c r="K84" s="26"/>
      <c r="L84" s="26"/>
      <c r="N84" s="42"/>
    </row>
    <row r="85" spans="1:14" x14ac:dyDescent="0.35">
      <c r="A85" s="59" t="s">
        <v>52</v>
      </c>
      <c r="B85" s="26"/>
      <c r="C85" s="26"/>
      <c r="D85" s="26"/>
      <c r="E85" s="26"/>
      <c r="F85" s="26"/>
      <c r="G85" s="26"/>
      <c r="H85" s="26"/>
      <c r="I85" s="26"/>
      <c r="J85" s="47"/>
      <c r="K85" s="26"/>
      <c r="L85" s="26"/>
      <c r="N85" s="42"/>
    </row>
    <row r="86" spans="1:14" x14ac:dyDescent="0.35">
      <c r="A86" s="59" t="s">
        <v>53</v>
      </c>
      <c r="B86" s="26"/>
      <c r="C86" s="26"/>
      <c r="D86" s="26"/>
      <c r="E86" s="26"/>
      <c r="F86" s="26"/>
      <c r="G86" s="26"/>
      <c r="H86" s="26"/>
      <c r="I86" s="26"/>
      <c r="J86" s="47"/>
      <c r="K86" s="26"/>
      <c r="L86" s="26"/>
      <c r="N86" s="42"/>
    </row>
    <row r="87" spans="1:14" x14ac:dyDescent="0.35">
      <c r="A87" s="59" t="s">
        <v>54</v>
      </c>
      <c r="B87" s="26"/>
      <c r="C87" s="26"/>
      <c r="D87" s="26"/>
      <c r="E87" s="26"/>
      <c r="F87" s="26"/>
      <c r="G87" s="26"/>
      <c r="H87" s="26"/>
      <c r="I87" s="26"/>
      <c r="J87" s="47"/>
      <c r="K87" s="26"/>
      <c r="L87" s="26"/>
      <c r="N87" s="42"/>
    </row>
    <row r="88" spans="1:14" x14ac:dyDescent="0.35">
      <c r="A88" s="59" t="s">
        <v>55</v>
      </c>
      <c r="B88" s="26"/>
      <c r="C88" s="26"/>
      <c r="D88" s="26"/>
      <c r="E88" s="26"/>
      <c r="F88" s="26"/>
      <c r="G88" s="26"/>
      <c r="H88" s="26"/>
      <c r="I88" s="26"/>
      <c r="J88" s="47"/>
      <c r="K88" s="26"/>
      <c r="L88" s="26"/>
      <c r="N88" s="42"/>
    </row>
    <row r="89" spans="1:14" x14ac:dyDescent="0.35">
      <c r="A89" s="59" t="s">
        <v>56</v>
      </c>
      <c r="B89" s="26"/>
      <c r="C89" s="26"/>
      <c r="D89" s="26"/>
      <c r="E89" s="26"/>
      <c r="F89" s="26"/>
      <c r="G89" s="26"/>
      <c r="H89" s="26"/>
      <c r="I89" s="26"/>
      <c r="J89" s="47"/>
      <c r="K89" s="26"/>
      <c r="L89" s="26"/>
      <c r="N89" s="42"/>
    </row>
    <row r="90" spans="1:14" x14ac:dyDescent="0.35">
      <c r="A90" s="59" t="s">
        <v>57</v>
      </c>
      <c r="B90" s="26"/>
      <c r="C90" s="26"/>
      <c r="D90" s="26"/>
      <c r="E90" s="26"/>
      <c r="F90" s="26"/>
      <c r="G90" s="26"/>
      <c r="H90" s="26"/>
      <c r="I90" s="26"/>
      <c r="J90" s="47"/>
      <c r="K90" s="26"/>
      <c r="L90" s="26"/>
      <c r="N90" s="42"/>
    </row>
    <row r="91" spans="1:14" x14ac:dyDescent="0.35">
      <c r="A91" s="59" t="s">
        <v>58</v>
      </c>
      <c r="B91" s="26"/>
      <c r="C91" s="26"/>
      <c r="D91" s="26"/>
      <c r="E91" s="26"/>
      <c r="F91" s="26"/>
      <c r="G91" s="26"/>
      <c r="H91" s="26"/>
      <c r="I91" s="26"/>
      <c r="J91" s="47"/>
      <c r="K91" s="26"/>
      <c r="L91" s="26"/>
      <c r="N91" s="42"/>
    </row>
    <row r="92" spans="1:14" x14ac:dyDescent="0.35">
      <c r="A92" s="59" t="s">
        <v>59</v>
      </c>
      <c r="B92" s="26"/>
      <c r="C92" s="26"/>
      <c r="D92" s="26"/>
      <c r="E92" s="26"/>
      <c r="F92" s="26"/>
      <c r="G92" s="26"/>
      <c r="H92" s="26"/>
      <c r="I92" s="26"/>
      <c r="J92" s="47"/>
      <c r="K92" s="26"/>
      <c r="L92" s="26"/>
      <c r="N92" s="42"/>
    </row>
    <row r="93" spans="1:14" x14ac:dyDescent="0.35">
      <c r="A93" s="59" t="s">
        <v>60</v>
      </c>
      <c r="B93" s="26"/>
      <c r="C93" s="26"/>
      <c r="D93" s="26"/>
      <c r="E93" s="26"/>
      <c r="F93" s="26"/>
      <c r="G93" s="26"/>
      <c r="H93" s="26"/>
      <c r="I93" s="26"/>
      <c r="J93" s="47"/>
      <c r="K93" s="26"/>
      <c r="L93" s="26"/>
      <c r="N93" s="42"/>
    </row>
    <row r="94" spans="1:14" x14ac:dyDescent="0.35">
      <c r="A94" s="59" t="s">
        <v>61</v>
      </c>
      <c r="B94" s="26"/>
      <c r="C94" s="26"/>
      <c r="D94" s="26"/>
      <c r="E94" s="26"/>
      <c r="F94" s="26"/>
      <c r="G94" s="26"/>
      <c r="H94" s="26"/>
      <c r="I94" s="26"/>
      <c r="J94" s="47"/>
      <c r="K94" s="26"/>
      <c r="L94" s="26"/>
      <c r="N94" s="42"/>
    </row>
    <row r="95" spans="1:14" x14ac:dyDescent="0.35">
      <c r="A95" s="59" t="s">
        <v>62</v>
      </c>
      <c r="B95" s="26"/>
      <c r="C95" s="26"/>
      <c r="D95" s="26"/>
      <c r="E95" s="26"/>
      <c r="F95" s="26"/>
      <c r="G95" s="26"/>
      <c r="H95" s="26"/>
      <c r="I95" s="26"/>
      <c r="J95" s="70">
        <f>J13</f>
        <v>2824</v>
      </c>
      <c r="K95" s="26"/>
      <c r="L95" s="26"/>
      <c r="N95" s="42"/>
    </row>
    <row r="96" spans="1:14" x14ac:dyDescent="0.35">
      <c r="A96" s="67" t="s">
        <v>64</v>
      </c>
      <c r="B96" s="26"/>
      <c r="C96" s="26"/>
      <c r="D96" s="26"/>
      <c r="E96" s="26"/>
      <c r="F96" s="26"/>
      <c r="G96" s="26"/>
      <c r="H96" s="26"/>
      <c r="I96" s="26"/>
      <c r="J96" s="26"/>
      <c r="K96" s="48"/>
      <c r="L96" s="26"/>
      <c r="N96" s="42"/>
    </row>
    <row r="97" spans="1:16" x14ac:dyDescent="0.35">
      <c r="A97" s="67" t="s">
        <v>65</v>
      </c>
      <c r="B97" s="26"/>
      <c r="C97" s="26"/>
      <c r="D97" s="26"/>
      <c r="E97" s="26"/>
      <c r="F97" s="26"/>
      <c r="G97" s="26"/>
      <c r="H97" s="26"/>
      <c r="I97" s="26"/>
      <c r="J97" s="26"/>
      <c r="K97" s="48"/>
      <c r="L97" s="26"/>
      <c r="N97" s="42"/>
    </row>
    <row r="98" spans="1:16" ht="15" thickBot="1" x14ac:dyDescent="0.4">
      <c r="A98" s="49" t="s">
        <v>63</v>
      </c>
      <c r="B98" s="50"/>
      <c r="C98" s="50"/>
      <c r="D98" s="50"/>
      <c r="E98" s="50"/>
      <c r="F98" s="50"/>
      <c r="G98" s="50"/>
      <c r="H98" s="50"/>
      <c r="I98" s="50"/>
      <c r="J98" s="50"/>
      <c r="K98" s="50"/>
      <c r="L98" s="51"/>
      <c r="M98" s="2"/>
      <c r="N98" s="52"/>
    </row>
    <row r="99" spans="1:16" ht="15" thickBot="1" x14ac:dyDescent="0.4">
      <c r="A99" s="24"/>
      <c r="B99" s="26"/>
      <c r="C99" s="26"/>
      <c r="D99" s="26"/>
      <c r="E99" s="26"/>
      <c r="F99" s="26"/>
      <c r="G99" s="26"/>
      <c r="H99" s="26"/>
      <c r="I99" s="26"/>
      <c r="J99" s="26"/>
      <c r="K99" s="26"/>
      <c r="L99" s="26"/>
    </row>
    <row r="100" spans="1:16" x14ac:dyDescent="0.35">
      <c r="A100" s="28"/>
      <c r="B100" s="29"/>
      <c r="C100" s="30" t="s">
        <v>14</v>
      </c>
      <c r="D100" s="31" t="s">
        <v>15</v>
      </c>
      <c r="E100" s="32" t="s">
        <v>16</v>
      </c>
      <c r="F100" s="33" t="s">
        <v>17</v>
      </c>
      <c r="G100" s="30" t="s">
        <v>18</v>
      </c>
      <c r="H100" s="34" t="s">
        <v>19</v>
      </c>
      <c r="I100" s="35" t="s">
        <v>20</v>
      </c>
      <c r="J100" s="36" t="s">
        <v>21</v>
      </c>
      <c r="K100" s="37" t="s">
        <v>22</v>
      </c>
      <c r="L100" s="30" t="s">
        <v>23</v>
      </c>
      <c r="M100" s="38" t="s">
        <v>73</v>
      </c>
      <c r="N100" s="39" t="s">
        <v>68</v>
      </c>
      <c r="O100" s="8"/>
      <c r="P100" s="8"/>
    </row>
    <row r="101" spans="1:16" x14ac:dyDescent="0.35">
      <c r="A101" s="68" t="s">
        <v>66</v>
      </c>
      <c r="M101">
        <f>SUM(B102:L136)</f>
        <v>8399</v>
      </c>
      <c r="N101" s="40">
        <f>M101-M14</f>
        <v>0</v>
      </c>
    </row>
    <row r="102" spans="1:16" x14ac:dyDescent="0.35">
      <c r="A102" s="25" t="s">
        <v>32</v>
      </c>
      <c r="B102" s="26"/>
      <c r="C102" s="53">
        <f>$C$14*0.1</f>
        <v>619</v>
      </c>
      <c r="D102" s="26"/>
      <c r="E102" s="26"/>
      <c r="F102" s="26"/>
      <c r="G102" s="26"/>
      <c r="H102" s="26"/>
      <c r="I102" s="26"/>
      <c r="J102" s="26"/>
      <c r="K102" s="26"/>
      <c r="L102" s="26"/>
      <c r="N102" s="42"/>
    </row>
    <row r="103" spans="1:16" x14ac:dyDescent="0.35">
      <c r="A103" s="25" t="s">
        <v>33</v>
      </c>
      <c r="B103" s="26"/>
      <c r="C103" s="53">
        <f>$C$14*0.1</f>
        <v>619</v>
      </c>
      <c r="D103" s="26"/>
      <c r="E103" s="26"/>
      <c r="F103" s="26"/>
      <c r="G103" s="26"/>
      <c r="H103" s="26"/>
      <c r="I103" s="26"/>
      <c r="J103" s="26"/>
      <c r="K103" s="26"/>
      <c r="L103" s="26"/>
      <c r="N103" s="42"/>
    </row>
    <row r="104" spans="1:16" x14ac:dyDescent="0.35">
      <c r="A104" s="25" t="s">
        <v>34</v>
      </c>
      <c r="B104" s="26"/>
      <c r="C104" s="53">
        <f>$C$14*0.4</f>
        <v>2476</v>
      </c>
      <c r="D104" s="26"/>
      <c r="E104" s="26"/>
      <c r="F104" s="26"/>
      <c r="G104" s="26"/>
      <c r="H104" s="26"/>
      <c r="I104" s="26"/>
      <c r="J104" s="26"/>
      <c r="K104" s="26"/>
      <c r="L104" s="26"/>
      <c r="N104" s="42"/>
    </row>
    <row r="105" spans="1:16" x14ac:dyDescent="0.35">
      <c r="A105" s="25" t="s">
        <v>35</v>
      </c>
      <c r="B105" s="26"/>
      <c r="C105" s="53">
        <f>$C$14*0.15</f>
        <v>928.5</v>
      </c>
      <c r="D105" s="26"/>
      <c r="E105" s="26"/>
      <c r="F105" s="26"/>
      <c r="G105" s="26"/>
      <c r="H105" s="26"/>
      <c r="I105" s="26"/>
      <c r="J105" s="26"/>
      <c r="K105" s="26"/>
      <c r="L105" s="26"/>
      <c r="N105" s="42"/>
    </row>
    <row r="106" spans="1:16" x14ac:dyDescent="0.35">
      <c r="A106" s="25" t="s">
        <v>36</v>
      </c>
      <c r="B106" s="26"/>
      <c r="C106" s="53">
        <f>$C$14*0.25</f>
        <v>1547.5</v>
      </c>
      <c r="D106" s="26"/>
      <c r="E106" s="26"/>
      <c r="F106" s="26"/>
      <c r="G106" s="26"/>
      <c r="H106" s="26"/>
      <c r="I106" s="26"/>
      <c r="J106" s="26"/>
      <c r="K106" s="26"/>
      <c r="L106" s="26"/>
      <c r="N106" s="42"/>
    </row>
    <row r="107" spans="1:16" x14ac:dyDescent="0.35">
      <c r="A107" s="58" t="s">
        <v>37</v>
      </c>
      <c r="B107" s="26"/>
      <c r="C107" s="26"/>
      <c r="D107" s="43">
        <f>D49*0.7</f>
        <v>0</v>
      </c>
      <c r="E107" s="26"/>
      <c r="F107" s="26"/>
      <c r="G107" s="26"/>
      <c r="H107" s="26"/>
      <c r="I107" s="26"/>
      <c r="J107" s="26"/>
      <c r="K107" s="26"/>
      <c r="L107" s="26"/>
      <c r="N107" s="42"/>
    </row>
    <row r="108" spans="1:16" x14ac:dyDescent="0.35">
      <c r="A108" s="58" t="s">
        <v>38</v>
      </c>
      <c r="B108" s="26"/>
      <c r="C108" s="26"/>
      <c r="D108" s="43">
        <f>D14</f>
        <v>229</v>
      </c>
      <c r="E108" s="26"/>
      <c r="F108" s="26"/>
      <c r="G108" s="26"/>
      <c r="H108" s="26"/>
      <c r="I108" s="26"/>
      <c r="J108" s="26"/>
      <c r="K108" s="26"/>
      <c r="L108" s="26"/>
      <c r="N108" s="42"/>
    </row>
    <row r="109" spans="1:16" x14ac:dyDescent="0.35">
      <c r="A109" s="59" t="s">
        <v>39</v>
      </c>
      <c r="B109" s="26"/>
      <c r="C109" s="26"/>
      <c r="D109" s="26"/>
      <c r="E109" s="60"/>
      <c r="F109" s="26"/>
      <c r="G109" s="26"/>
      <c r="H109" s="26"/>
      <c r="I109" s="26"/>
      <c r="J109" s="26"/>
      <c r="K109" s="26"/>
      <c r="L109" s="26"/>
      <c r="N109" s="42"/>
    </row>
    <row r="110" spans="1:16" x14ac:dyDescent="0.35">
      <c r="A110" s="61" t="s">
        <v>40</v>
      </c>
      <c r="B110" s="26"/>
      <c r="C110" s="26"/>
      <c r="D110" s="26"/>
      <c r="E110" s="26"/>
      <c r="F110" s="44">
        <f>F49*0.6</f>
        <v>0</v>
      </c>
      <c r="G110" s="26"/>
      <c r="H110" s="26"/>
      <c r="I110" s="26"/>
      <c r="J110" s="26"/>
      <c r="K110" s="26"/>
      <c r="L110" s="26"/>
      <c r="N110" s="42"/>
    </row>
    <row r="111" spans="1:16" x14ac:dyDescent="0.35">
      <c r="A111" s="61" t="s">
        <v>41</v>
      </c>
      <c r="B111" s="26"/>
      <c r="C111" s="26"/>
      <c r="D111" s="26"/>
      <c r="E111" s="26"/>
      <c r="F111" s="44">
        <f>F14</f>
        <v>265</v>
      </c>
      <c r="G111" s="26"/>
      <c r="H111" s="26"/>
      <c r="I111" s="26"/>
      <c r="J111" s="26"/>
      <c r="K111" s="26"/>
      <c r="L111" s="26"/>
      <c r="N111" s="42"/>
    </row>
    <row r="112" spans="1:16" x14ac:dyDescent="0.35">
      <c r="A112" s="25" t="s">
        <v>18</v>
      </c>
      <c r="B112" s="26"/>
      <c r="C112" s="26"/>
      <c r="D112" s="26"/>
      <c r="E112" s="26"/>
      <c r="F112" s="26"/>
      <c r="G112" s="62"/>
      <c r="H112" s="26"/>
      <c r="I112" s="26"/>
      <c r="J112" s="26"/>
      <c r="K112" s="26"/>
      <c r="L112" s="26"/>
      <c r="N112" s="42"/>
    </row>
    <row r="113" spans="1:14" x14ac:dyDescent="0.35">
      <c r="A113" s="63" t="s">
        <v>42</v>
      </c>
      <c r="B113" s="26"/>
      <c r="C113" s="26"/>
      <c r="D113" s="26"/>
      <c r="E113" s="26"/>
      <c r="F113" s="26"/>
      <c r="G113" s="26"/>
      <c r="H113" s="64"/>
      <c r="I113" s="26"/>
      <c r="J113" s="26"/>
      <c r="K113" s="26"/>
      <c r="L113" s="26"/>
      <c r="N113" s="42"/>
    </row>
    <row r="114" spans="1:14" x14ac:dyDescent="0.35">
      <c r="A114" s="65" t="s">
        <v>43</v>
      </c>
      <c r="B114" s="26"/>
      <c r="C114" s="26"/>
      <c r="D114" s="26"/>
      <c r="E114" s="26"/>
      <c r="F114" s="26"/>
      <c r="G114" s="26"/>
      <c r="H114" s="26"/>
      <c r="I114" s="45"/>
      <c r="J114" s="26"/>
      <c r="K114" s="26"/>
      <c r="L114" s="26"/>
      <c r="N114" s="42"/>
    </row>
    <row r="115" spans="1:14" x14ac:dyDescent="0.35">
      <c r="A115" s="65" t="s">
        <v>44</v>
      </c>
      <c r="B115" s="26"/>
      <c r="C115" s="26"/>
      <c r="D115" s="26"/>
      <c r="E115" s="26"/>
      <c r="F115" s="26"/>
      <c r="G115" s="26"/>
      <c r="H115" s="26"/>
      <c r="I115" s="45"/>
      <c r="J115" s="26"/>
      <c r="K115" s="26"/>
      <c r="L115" s="26"/>
      <c r="N115" s="42"/>
    </row>
    <row r="116" spans="1:14" x14ac:dyDescent="0.35">
      <c r="A116" s="65" t="s">
        <v>45</v>
      </c>
      <c r="B116" s="26"/>
      <c r="C116" s="26"/>
      <c r="D116" s="26"/>
      <c r="E116" s="26"/>
      <c r="F116" s="26"/>
      <c r="G116" s="26"/>
      <c r="H116" s="26"/>
      <c r="I116" s="45"/>
      <c r="J116" s="26"/>
      <c r="K116" s="26"/>
      <c r="L116" s="26"/>
      <c r="N116" s="42"/>
    </row>
    <row r="117" spans="1:14" x14ac:dyDescent="0.35">
      <c r="A117" s="65" t="s">
        <v>46</v>
      </c>
      <c r="B117" s="26"/>
      <c r="C117" s="26"/>
      <c r="D117" s="26"/>
      <c r="E117" s="26"/>
      <c r="F117" s="26"/>
      <c r="G117" s="46"/>
      <c r="H117" s="26"/>
      <c r="I117" s="45"/>
      <c r="J117" s="26"/>
      <c r="K117" s="26"/>
      <c r="L117" s="26"/>
      <c r="N117" s="42"/>
    </row>
    <row r="118" spans="1:14" x14ac:dyDescent="0.35">
      <c r="A118" s="65" t="s">
        <v>47</v>
      </c>
      <c r="B118" s="26"/>
      <c r="C118" s="26"/>
      <c r="D118" s="26"/>
      <c r="E118" s="26"/>
      <c r="F118" s="26"/>
      <c r="G118" s="26"/>
      <c r="H118" s="26"/>
      <c r="I118" s="45"/>
      <c r="J118" s="26"/>
      <c r="K118" s="26"/>
      <c r="L118" s="26"/>
      <c r="N118" s="42"/>
    </row>
    <row r="119" spans="1:14" x14ac:dyDescent="0.35">
      <c r="A119" s="65" t="s">
        <v>48</v>
      </c>
      <c r="B119" s="26"/>
      <c r="C119" s="26"/>
      <c r="D119" s="26"/>
      <c r="E119" s="26"/>
      <c r="F119" s="26"/>
      <c r="G119" s="26"/>
      <c r="H119" s="26"/>
      <c r="I119" s="45"/>
      <c r="J119" s="26"/>
      <c r="K119" s="26"/>
      <c r="L119" s="26"/>
      <c r="N119" s="42"/>
    </row>
    <row r="120" spans="1:14" x14ac:dyDescent="0.35">
      <c r="A120" s="65" t="s">
        <v>49</v>
      </c>
      <c r="B120" s="26"/>
      <c r="C120" s="26"/>
      <c r="D120" s="26"/>
      <c r="E120" s="26"/>
      <c r="F120" s="26"/>
      <c r="G120" s="26"/>
      <c r="H120" s="26"/>
      <c r="I120" s="45"/>
      <c r="J120" s="26"/>
      <c r="K120" s="26"/>
      <c r="L120" s="26"/>
      <c r="N120" s="42"/>
    </row>
    <row r="121" spans="1:14" x14ac:dyDescent="0.35">
      <c r="A121" s="65" t="s">
        <v>50</v>
      </c>
      <c r="B121" s="26"/>
      <c r="C121" s="26"/>
      <c r="D121" s="26"/>
      <c r="E121" s="26"/>
      <c r="F121" s="26"/>
      <c r="G121" s="26"/>
      <c r="H121" s="26"/>
      <c r="I121" s="45"/>
      <c r="J121" s="26"/>
      <c r="K121" s="26"/>
      <c r="L121" s="26"/>
      <c r="N121" s="42"/>
    </row>
    <row r="122" spans="1:14" x14ac:dyDescent="0.35">
      <c r="A122" s="65" t="s">
        <v>51</v>
      </c>
      <c r="B122" s="26"/>
      <c r="C122" s="26"/>
      <c r="D122" s="26"/>
      <c r="E122" s="26"/>
      <c r="F122" s="26"/>
      <c r="G122" s="26"/>
      <c r="H122" s="26"/>
      <c r="I122" s="45">
        <f>I14</f>
        <v>1715.0000000000002</v>
      </c>
      <c r="J122" s="26"/>
      <c r="K122" s="26"/>
      <c r="L122" s="26"/>
      <c r="N122" s="42"/>
    </row>
    <row r="123" spans="1:14" x14ac:dyDescent="0.35">
      <c r="A123" s="59" t="s">
        <v>52</v>
      </c>
      <c r="B123" s="26"/>
      <c r="C123" s="26"/>
      <c r="D123" s="26"/>
      <c r="E123" s="26"/>
      <c r="F123" s="26"/>
      <c r="G123" s="26"/>
      <c r="H123" s="26"/>
      <c r="I123" s="26"/>
      <c r="J123" s="47"/>
      <c r="K123" s="26"/>
      <c r="L123" s="26"/>
      <c r="N123" s="42"/>
    </row>
    <row r="124" spans="1:14" x14ac:dyDescent="0.35">
      <c r="A124" s="59" t="s">
        <v>53</v>
      </c>
      <c r="B124" s="26"/>
      <c r="C124" s="26"/>
      <c r="D124" s="26"/>
      <c r="E124" s="26"/>
      <c r="F124" s="26"/>
      <c r="G124" s="26"/>
      <c r="H124" s="26"/>
      <c r="I124" s="26"/>
      <c r="J124" s="47"/>
      <c r="K124" s="26"/>
      <c r="L124" s="26"/>
      <c r="N124" s="42"/>
    </row>
    <row r="125" spans="1:14" x14ac:dyDescent="0.35">
      <c r="A125" s="59" t="s">
        <v>54</v>
      </c>
      <c r="B125" s="26"/>
      <c r="C125" s="26"/>
      <c r="D125" s="26"/>
      <c r="E125" s="26"/>
      <c r="F125" s="26"/>
      <c r="G125" s="26"/>
      <c r="H125" s="26"/>
      <c r="I125" s="26"/>
      <c r="J125" s="47"/>
      <c r="K125" s="26"/>
      <c r="L125" s="26"/>
      <c r="N125" s="42"/>
    </row>
    <row r="126" spans="1:14" x14ac:dyDescent="0.35">
      <c r="A126" s="59" t="s">
        <v>55</v>
      </c>
      <c r="B126" s="26"/>
      <c r="C126" s="26"/>
      <c r="D126" s="26"/>
      <c r="E126" s="26"/>
      <c r="F126" s="26"/>
      <c r="G126" s="26"/>
      <c r="H126" s="26"/>
      <c r="I126" s="26"/>
      <c r="J126" s="47"/>
      <c r="K126" s="26"/>
      <c r="L126" s="26"/>
      <c r="N126" s="42"/>
    </row>
    <row r="127" spans="1:14" x14ac:dyDescent="0.35">
      <c r="A127" s="59" t="s">
        <v>56</v>
      </c>
      <c r="B127" s="26"/>
      <c r="C127" s="26"/>
      <c r="D127" s="26"/>
      <c r="E127" s="26"/>
      <c r="F127" s="26"/>
      <c r="G127" s="26"/>
      <c r="H127" s="26"/>
      <c r="I127" s="26"/>
      <c r="J127" s="47"/>
      <c r="K127" s="26"/>
      <c r="L127" s="26"/>
      <c r="N127" s="42"/>
    </row>
    <row r="128" spans="1:14" x14ac:dyDescent="0.35">
      <c r="A128" s="59" t="s">
        <v>57</v>
      </c>
      <c r="B128" s="26"/>
      <c r="C128" s="26"/>
      <c r="D128" s="26"/>
      <c r="E128" s="26"/>
      <c r="F128" s="26"/>
      <c r="G128" s="26"/>
      <c r="H128" s="26"/>
      <c r="I128" s="26"/>
      <c r="J128" s="47"/>
      <c r="K128" s="26"/>
      <c r="L128" s="26"/>
      <c r="N128" s="42"/>
    </row>
    <row r="129" spans="1:16" x14ac:dyDescent="0.35">
      <c r="A129" s="59" t="s">
        <v>58</v>
      </c>
      <c r="B129" s="26"/>
      <c r="C129" s="26"/>
      <c r="D129" s="26"/>
      <c r="E129" s="26"/>
      <c r="F129" s="26"/>
      <c r="G129" s="26"/>
      <c r="H129" s="26"/>
      <c r="I129" s="26"/>
      <c r="J129" s="47"/>
      <c r="K129" s="26"/>
      <c r="L129" s="26"/>
      <c r="N129" s="42"/>
    </row>
    <row r="130" spans="1:16" x14ac:dyDescent="0.35">
      <c r="A130" s="59" t="s">
        <v>59</v>
      </c>
      <c r="B130" s="26"/>
      <c r="C130" s="26"/>
      <c r="D130" s="26"/>
      <c r="E130" s="26"/>
      <c r="F130" s="26"/>
      <c r="G130" s="26"/>
      <c r="H130" s="26"/>
      <c r="I130" s="26"/>
      <c r="J130" s="47"/>
      <c r="K130" s="26"/>
      <c r="L130" s="26"/>
      <c r="N130" s="42"/>
    </row>
    <row r="131" spans="1:16" x14ac:dyDescent="0.35">
      <c r="A131" s="59" t="s">
        <v>60</v>
      </c>
      <c r="B131" s="26"/>
      <c r="C131" s="26"/>
      <c r="D131" s="26"/>
      <c r="E131" s="26"/>
      <c r="F131" s="26"/>
      <c r="G131" s="26"/>
      <c r="H131" s="26"/>
      <c r="I131" s="26"/>
      <c r="J131" s="47"/>
      <c r="K131" s="26"/>
      <c r="L131" s="26"/>
      <c r="N131" s="42"/>
    </row>
    <row r="132" spans="1:16" x14ac:dyDescent="0.35">
      <c r="A132" s="59" t="s">
        <v>61</v>
      </c>
      <c r="B132" s="26"/>
      <c r="C132" s="26"/>
      <c r="D132" s="26"/>
      <c r="E132" s="26"/>
      <c r="F132" s="26"/>
      <c r="G132" s="26"/>
      <c r="H132" s="26"/>
      <c r="I132" s="26"/>
      <c r="J132" s="47"/>
      <c r="K132" s="26"/>
      <c r="L132" s="26"/>
      <c r="N132" s="42"/>
    </row>
    <row r="133" spans="1:16" x14ac:dyDescent="0.35">
      <c r="A133" s="59" t="s">
        <v>62</v>
      </c>
      <c r="B133" s="26"/>
      <c r="C133" s="26"/>
      <c r="D133" s="26"/>
      <c r="E133" s="26"/>
      <c r="F133" s="26"/>
      <c r="G133" s="26"/>
      <c r="H133" s="26"/>
      <c r="I133" s="26"/>
      <c r="J133" s="47"/>
      <c r="K133" s="26"/>
      <c r="L133" s="26"/>
      <c r="N133" s="42"/>
    </row>
    <row r="134" spans="1:16" x14ac:dyDescent="0.35">
      <c r="A134" s="67" t="s">
        <v>64</v>
      </c>
      <c r="B134" s="26"/>
      <c r="C134" s="26"/>
      <c r="D134" s="26"/>
      <c r="E134" s="26"/>
      <c r="F134" s="26"/>
      <c r="G134" s="26"/>
      <c r="H134" s="26"/>
      <c r="I134" s="26"/>
      <c r="J134" s="26"/>
      <c r="K134" s="48"/>
      <c r="L134" s="26"/>
      <c r="N134" s="42"/>
    </row>
    <row r="135" spans="1:16" x14ac:dyDescent="0.35">
      <c r="A135" s="67" t="s">
        <v>65</v>
      </c>
      <c r="B135" s="26"/>
      <c r="C135" s="26"/>
      <c r="D135" s="26"/>
      <c r="E135" s="26"/>
      <c r="F135" s="26"/>
      <c r="G135" s="26"/>
      <c r="H135" s="26"/>
      <c r="I135" s="26"/>
      <c r="J135" s="26"/>
      <c r="K135" s="48"/>
      <c r="L135" s="26"/>
      <c r="N135" s="42"/>
    </row>
    <row r="136" spans="1:16" ht="15" thickBot="1" x14ac:dyDescent="0.4">
      <c r="A136" s="49" t="s">
        <v>63</v>
      </c>
      <c r="B136" s="50"/>
      <c r="C136" s="50"/>
      <c r="D136" s="50"/>
      <c r="E136" s="50"/>
      <c r="F136" s="50"/>
      <c r="G136" s="50"/>
      <c r="H136" s="50"/>
      <c r="I136" s="50"/>
      <c r="J136" s="50"/>
      <c r="K136" s="50"/>
      <c r="L136" s="51"/>
      <c r="M136" s="2"/>
      <c r="N136" s="52"/>
    </row>
    <row r="137" spans="1:16" ht="15" thickBot="1" x14ac:dyDescent="0.4"/>
    <row r="138" spans="1:16" x14ac:dyDescent="0.35">
      <c r="A138" s="28"/>
      <c r="B138" s="29"/>
      <c r="C138" s="30" t="s">
        <v>14</v>
      </c>
      <c r="D138" s="31" t="s">
        <v>15</v>
      </c>
      <c r="E138" s="32" t="s">
        <v>16</v>
      </c>
      <c r="F138" s="33" t="s">
        <v>17</v>
      </c>
      <c r="G138" s="30" t="s">
        <v>18</v>
      </c>
      <c r="H138" s="34" t="s">
        <v>19</v>
      </c>
      <c r="I138" s="35" t="s">
        <v>20</v>
      </c>
      <c r="J138" s="36" t="s">
        <v>21</v>
      </c>
      <c r="K138" s="37" t="s">
        <v>22</v>
      </c>
      <c r="L138" s="30" t="s">
        <v>23</v>
      </c>
      <c r="M138" s="38" t="s">
        <v>73</v>
      </c>
      <c r="N138" s="39" t="s">
        <v>68</v>
      </c>
      <c r="O138" s="8"/>
      <c r="P138" s="8"/>
    </row>
    <row r="139" spans="1:16" x14ac:dyDescent="0.35">
      <c r="A139" s="68" t="s">
        <v>69</v>
      </c>
      <c r="M139">
        <f>SUM(B140:L174)</f>
        <v>4236</v>
      </c>
      <c r="N139" s="40">
        <f>M139-M15</f>
        <v>0</v>
      </c>
    </row>
    <row r="140" spans="1:16" x14ac:dyDescent="0.35">
      <c r="A140" s="25" t="s">
        <v>32</v>
      </c>
      <c r="B140" s="26"/>
      <c r="C140" s="53"/>
      <c r="D140" s="26"/>
      <c r="E140" s="26"/>
      <c r="F140" s="26"/>
      <c r="G140" s="26"/>
      <c r="H140" s="26"/>
      <c r="I140" s="26"/>
      <c r="J140" s="26"/>
      <c r="K140" s="26"/>
      <c r="L140" s="26"/>
      <c r="N140" s="42"/>
    </row>
    <row r="141" spans="1:16" x14ac:dyDescent="0.35">
      <c r="A141" s="25" t="s">
        <v>33</v>
      </c>
      <c r="B141" s="26"/>
      <c r="C141" s="53"/>
      <c r="D141" s="26"/>
      <c r="E141" s="26"/>
      <c r="F141" s="26"/>
      <c r="G141" s="26"/>
      <c r="H141" s="26"/>
      <c r="I141" s="26"/>
      <c r="J141" s="26"/>
      <c r="K141" s="26"/>
      <c r="L141" s="26"/>
      <c r="N141" s="42"/>
    </row>
    <row r="142" spans="1:16" x14ac:dyDescent="0.35">
      <c r="A142" s="25" t="s">
        <v>34</v>
      </c>
      <c r="B142" s="26"/>
      <c r="C142" s="53"/>
      <c r="D142" s="26"/>
      <c r="E142" s="26"/>
      <c r="F142" s="26"/>
      <c r="G142" s="26"/>
      <c r="H142" s="26"/>
      <c r="I142" s="26"/>
      <c r="J142" s="26"/>
      <c r="K142" s="26"/>
      <c r="L142" s="26"/>
      <c r="N142" s="42"/>
    </row>
    <row r="143" spans="1:16" x14ac:dyDescent="0.35">
      <c r="A143" s="25" t="s">
        <v>35</v>
      </c>
      <c r="B143" s="26"/>
      <c r="C143" s="53"/>
      <c r="D143" s="26"/>
      <c r="E143" s="26"/>
      <c r="F143" s="26"/>
      <c r="G143" s="26"/>
      <c r="H143" s="26"/>
      <c r="I143" s="26"/>
      <c r="J143" s="26"/>
      <c r="K143" s="26"/>
      <c r="L143" s="26"/>
      <c r="N143" s="42"/>
    </row>
    <row r="144" spans="1:16" x14ac:dyDescent="0.35">
      <c r="A144" s="25" t="s">
        <v>36</v>
      </c>
      <c r="B144" s="26"/>
      <c r="C144" s="53"/>
      <c r="D144" s="26"/>
      <c r="E144" s="26"/>
      <c r="F144" s="26"/>
      <c r="G144" s="26"/>
      <c r="H144" s="26"/>
      <c r="I144" s="26"/>
      <c r="J144" s="26"/>
      <c r="K144" s="26"/>
      <c r="L144" s="26"/>
      <c r="N144" s="42"/>
    </row>
    <row r="145" spans="1:14" x14ac:dyDescent="0.35">
      <c r="A145" s="58" t="s">
        <v>37</v>
      </c>
      <c r="B145" s="26"/>
      <c r="C145" s="26"/>
      <c r="D145" s="43">
        <f>D87*0.7</f>
        <v>0</v>
      </c>
      <c r="E145" s="26"/>
      <c r="F145" s="26"/>
      <c r="G145" s="26"/>
      <c r="H145" s="26"/>
      <c r="I145" s="26"/>
      <c r="J145" s="26"/>
      <c r="K145" s="26"/>
      <c r="L145" s="26"/>
      <c r="N145" s="42"/>
    </row>
    <row r="146" spans="1:14" x14ac:dyDescent="0.35">
      <c r="A146" s="58" t="s">
        <v>38</v>
      </c>
      <c r="B146" s="26"/>
      <c r="C146" s="26"/>
      <c r="D146" s="43">
        <f>D52</f>
        <v>0</v>
      </c>
      <c r="E146" s="26"/>
      <c r="F146" s="26"/>
      <c r="G146" s="26"/>
      <c r="H146" s="26"/>
      <c r="I146" s="26"/>
      <c r="J146" s="26"/>
      <c r="K146" s="26"/>
      <c r="L146" s="26"/>
      <c r="N146" s="42"/>
    </row>
    <row r="147" spans="1:14" x14ac:dyDescent="0.35">
      <c r="A147" s="59" t="s">
        <v>39</v>
      </c>
      <c r="B147" s="26"/>
      <c r="C147" s="26"/>
      <c r="D147" s="26"/>
      <c r="E147" s="60"/>
      <c r="F147" s="26"/>
      <c r="G147" s="26"/>
      <c r="H147" s="26"/>
      <c r="I147" s="26"/>
      <c r="J147" s="26"/>
      <c r="K147" s="26"/>
      <c r="L147" s="26"/>
      <c r="N147" s="42"/>
    </row>
    <row r="148" spans="1:14" x14ac:dyDescent="0.35">
      <c r="A148" s="61" t="s">
        <v>40</v>
      </c>
      <c r="B148" s="26"/>
      <c r="C148" s="26"/>
      <c r="D148" s="26"/>
      <c r="E148" s="26"/>
      <c r="F148" s="44">
        <f>F87*0.6</f>
        <v>0</v>
      </c>
      <c r="G148" s="26"/>
      <c r="H148" s="26"/>
      <c r="I148" s="26"/>
      <c r="J148" s="26"/>
      <c r="K148" s="26"/>
      <c r="L148" s="26"/>
      <c r="N148" s="42"/>
    </row>
    <row r="149" spans="1:14" x14ac:dyDescent="0.35">
      <c r="A149" s="61" t="s">
        <v>41</v>
      </c>
      <c r="B149" s="26"/>
      <c r="C149" s="26"/>
      <c r="D149" s="26"/>
      <c r="E149" s="26"/>
      <c r="F149" s="44">
        <f>F52</f>
        <v>0</v>
      </c>
      <c r="G149" s="26"/>
      <c r="H149" s="26"/>
      <c r="I149" s="26"/>
      <c r="J149" s="26"/>
      <c r="K149" s="26"/>
      <c r="L149" s="26"/>
      <c r="N149" s="42"/>
    </row>
    <row r="150" spans="1:14" x14ac:dyDescent="0.35">
      <c r="A150" s="25" t="s">
        <v>18</v>
      </c>
      <c r="B150" s="26"/>
      <c r="C150" s="26"/>
      <c r="D150" s="26"/>
      <c r="E150" s="26"/>
      <c r="F150" s="26"/>
      <c r="G150" s="62"/>
      <c r="H150" s="26"/>
      <c r="I150" s="26"/>
      <c r="J150" s="26"/>
      <c r="K150" s="26"/>
      <c r="L150" s="26"/>
      <c r="N150" s="42"/>
    </row>
    <row r="151" spans="1:14" x14ac:dyDescent="0.35">
      <c r="A151" s="63" t="s">
        <v>42</v>
      </c>
      <c r="B151" s="26"/>
      <c r="C151" s="26"/>
      <c r="D151" s="26"/>
      <c r="E151" s="26"/>
      <c r="F151" s="26"/>
      <c r="G151" s="26"/>
      <c r="H151" s="64"/>
      <c r="I151" s="26"/>
      <c r="J151" s="26"/>
      <c r="K151" s="26"/>
      <c r="L151" s="26"/>
      <c r="N151" s="42"/>
    </row>
    <row r="152" spans="1:14" x14ac:dyDescent="0.35">
      <c r="A152" s="65" t="s">
        <v>43</v>
      </c>
      <c r="B152" s="26"/>
      <c r="C152" s="26"/>
      <c r="D152" s="26"/>
      <c r="E152" s="26"/>
      <c r="F152" s="26"/>
      <c r="G152" s="26"/>
      <c r="H152" s="26"/>
      <c r="I152" s="45"/>
      <c r="J152" s="26"/>
      <c r="K152" s="26"/>
      <c r="L152" s="26"/>
      <c r="N152" s="42"/>
    </row>
    <row r="153" spans="1:14" x14ac:dyDescent="0.35">
      <c r="A153" s="65" t="s">
        <v>44</v>
      </c>
      <c r="B153" s="26"/>
      <c r="C153" s="26"/>
      <c r="D153" s="26"/>
      <c r="E153" s="26"/>
      <c r="F153" s="26"/>
      <c r="G153" s="26"/>
      <c r="H153" s="26"/>
      <c r="I153" s="45"/>
      <c r="J153" s="26"/>
      <c r="K153" s="26"/>
      <c r="L153" s="26"/>
      <c r="N153" s="42"/>
    </row>
    <row r="154" spans="1:14" x14ac:dyDescent="0.35">
      <c r="A154" s="65" t="s">
        <v>45</v>
      </c>
      <c r="B154" s="26"/>
      <c r="C154" s="26"/>
      <c r="D154" s="26"/>
      <c r="E154" s="26"/>
      <c r="F154" s="26"/>
      <c r="G154" s="26"/>
      <c r="H154" s="26"/>
      <c r="I154" s="45"/>
      <c r="J154" s="26"/>
      <c r="K154" s="26"/>
      <c r="L154" s="26"/>
      <c r="N154" s="42"/>
    </row>
    <row r="155" spans="1:14" x14ac:dyDescent="0.35">
      <c r="A155" s="65" t="s">
        <v>46</v>
      </c>
      <c r="B155" s="26"/>
      <c r="C155" s="26"/>
      <c r="D155" s="26"/>
      <c r="E155" s="26"/>
      <c r="F155" s="26"/>
      <c r="G155" s="46"/>
      <c r="H155" s="26"/>
      <c r="I155" s="45"/>
      <c r="J155" s="26"/>
      <c r="K155" s="26"/>
      <c r="L155" s="26"/>
      <c r="N155" s="42"/>
    </row>
    <row r="156" spans="1:14" x14ac:dyDescent="0.35">
      <c r="A156" s="65" t="s">
        <v>47</v>
      </c>
      <c r="B156" s="26"/>
      <c r="C156" s="26"/>
      <c r="D156" s="26"/>
      <c r="E156" s="26"/>
      <c r="F156" s="26"/>
      <c r="G156" s="26"/>
      <c r="H156" s="26"/>
      <c r="I156" s="45"/>
      <c r="J156" s="26"/>
      <c r="K156" s="26"/>
      <c r="L156" s="26"/>
      <c r="N156" s="42"/>
    </row>
    <row r="157" spans="1:14" x14ac:dyDescent="0.35">
      <c r="A157" s="65" t="s">
        <v>48</v>
      </c>
      <c r="B157" s="26"/>
      <c r="C157" s="26"/>
      <c r="D157" s="26"/>
      <c r="E157" s="26"/>
      <c r="F157" s="26"/>
      <c r="G157" s="26"/>
      <c r="H157" s="26"/>
      <c r="I157" s="45"/>
      <c r="J157" s="26"/>
      <c r="K157" s="26"/>
      <c r="L157" s="26"/>
      <c r="N157" s="42"/>
    </row>
    <row r="158" spans="1:14" x14ac:dyDescent="0.35">
      <c r="A158" s="65" t="s">
        <v>49</v>
      </c>
      <c r="B158" s="26"/>
      <c r="C158" s="26"/>
      <c r="D158" s="26"/>
      <c r="E158" s="26"/>
      <c r="F158" s="26"/>
      <c r="G158" s="26"/>
      <c r="H158" s="26"/>
      <c r="I158" s="45"/>
      <c r="J158" s="26"/>
      <c r="K158" s="26"/>
      <c r="L158" s="26"/>
      <c r="N158" s="42"/>
    </row>
    <row r="159" spans="1:14" x14ac:dyDescent="0.35">
      <c r="A159" s="65" t="s">
        <v>50</v>
      </c>
      <c r="B159" s="26"/>
      <c r="C159" s="26"/>
      <c r="D159" s="26"/>
      <c r="E159" s="26"/>
      <c r="F159" s="26"/>
      <c r="G159" s="26"/>
      <c r="H159" s="26"/>
      <c r="I159" s="45"/>
      <c r="J159" s="26"/>
      <c r="K159" s="26"/>
      <c r="L159" s="26"/>
      <c r="N159" s="42"/>
    </row>
    <row r="160" spans="1:14" x14ac:dyDescent="0.35">
      <c r="A160" s="65" t="s">
        <v>51</v>
      </c>
      <c r="B160" s="26"/>
      <c r="C160" s="26"/>
      <c r="D160" s="26"/>
      <c r="E160" s="26"/>
      <c r="F160" s="26"/>
      <c r="G160" s="26"/>
      <c r="H160" s="26"/>
      <c r="I160" s="45">
        <f>I52</f>
        <v>0</v>
      </c>
      <c r="J160" s="26"/>
      <c r="K160" s="26"/>
      <c r="L160" s="26"/>
      <c r="N160" s="42"/>
    </row>
    <row r="161" spans="1:16" x14ac:dyDescent="0.35">
      <c r="A161" s="59" t="s">
        <v>52</v>
      </c>
      <c r="B161" s="26"/>
      <c r="C161" s="26"/>
      <c r="D161" s="26"/>
      <c r="E161" s="26"/>
      <c r="F161" s="26"/>
      <c r="G161" s="26"/>
      <c r="H161" s="26"/>
      <c r="I161" s="26"/>
      <c r="J161" s="47"/>
      <c r="K161" s="26"/>
      <c r="L161" s="26"/>
      <c r="N161" s="42"/>
    </row>
    <row r="162" spans="1:16" x14ac:dyDescent="0.35">
      <c r="A162" s="59" t="s">
        <v>53</v>
      </c>
      <c r="B162" s="26"/>
      <c r="C162" s="26"/>
      <c r="D162" s="26"/>
      <c r="E162" s="26"/>
      <c r="F162" s="26"/>
      <c r="G162" s="26"/>
      <c r="H162" s="26"/>
      <c r="I162" s="26"/>
      <c r="J162" s="47"/>
      <c r="K162" s="26"/>
      <c r="L162" s="26"/>
      <c r="N162" s="42"/>
    </row>
    <row r="163" spans="1:16" x14ac:dyDescent="0.35">
      <c r="A163" s="59" t="s">
        <v>54</v>
      </c>
      <c r="B163" s="26"/>
      <c r="C163" s="26"/>
      <c r="D163" s="26"/>
      <c r="E163" s="26"/>
      <c r="F163" s="26"/>
      <c r="G163" s="26"/>
      <c r="H163" s="26"/>
      <c r="I163" s="26"/>
      <c r="J163" s="47"/>
      <c r="K163" s="26"/>
      <c r="L163" s="26"/>
      <c r="N163" s="42"/>
    </row>
    <row r="164" spans="1:16" x14ac:dyDescent="0.35">
      <c r="A164" s="59" t="s">
        <v>55</v>
      </c>
      <c r="B164" s="26"/>
      <c r="C164" s="26"/>
      <c r="D164" s="26"/>
      <c r="E164" s="26"/>
      <c r="F164" s="26"/>
      <c r="G164" s="26"/>
      <c r="H164" s="26"/>
      <c r="I164" s="26"/>
      <c r="J164" s="47"/>
      <c r="K164" s="26"/>
      <c r="L164" s="26"/>
      <c r="N164" s="42"/>
    </row>
    <row r="165" spans="1:16" x14ac:dyDescent="0.35">
      <c r="A165" s="59" t="s">
        <v>56</v>
      </c>
      <c r="B165" s="26"/>
      <c r="C165" s="26"/>
      <c r="D165" s="26"/>
      <c r="E165" s="26"/>
      <c r="F165" s="26"/>
      <c r="G165" s="26"/>
      <c r="H165" s="26"/>
      <c r="I165" s="26"/>
      <c r="J165" s="54">
        <f>J15*0.15</f>
        <v>635.4</v>
      </c>
      <c r="K165" s="26"/>
      <c r="L165" s="26"/>
      <c r="N165" s="42"/>
    </row>
    <row r="166" spans="1:16" x14ac:dyDescent="0.35">
      <c r="A166" s="59" t="s">
        <v>57</v>
      </c>
      <c r="B166" s="26"/>
      <c r="C166" s="26"/>
      <c r="D166" s="26"/>
      <c r="E166" s="26"/>
      <c r="F166" s="26"/>
      <c r="G166" s="26"/>
      <c r="H166" s="26"/>
      <c r="I166" s="26"/>
      <c r="J166" s="54">
        <f>J15*0.15</f>
        <v>635.4</v>
      </c>
      <c r="K166" s="26"/>
      <c r="L166" s="26"/>
      <c r="N166" s="42"/>
    </row>
    <row r="167" spans="1:16" x14ac:dyDescent="0.35">
      <c r="A167" s="59" t="s">
        <v>58</v>
      </c>
      <c r="B167" s="26"/>
      <c r="C167" s="26"/>
      <c r="D167" s="26"/>
      <c r="E167" s="26"/>
      <c r="F167" s="26"/>
      <c r="G167" s="26"/>
      <c r="H167" s="26"/>
      <c r="I167" s="26"/>
      <c r="J167" s="47"/>
      <c r="K167" s="26"/>
      <c r="L167" s="26"/>
      <c r="N167" s="42"/>
    </row>
    <row r="168" spans="1:16" x14ac:dyDescent="0.35">
      <c r="A168" s="59" t="s">
        <v>59</v>
      </c>
      <c r="B168" s="26"/>
      <c r="C168" s="26"/>
      <c r="D168" s="26"/>
      <c r="E168" s="26"/>
      <c r="F168" s="26"/>
      <c r="G168" s="26"/>
      <c r="H168" s="26"/>
      <c r="I168" s="26"/>
      <c r="J168" s="47"/>
      <c r="K168" s="26"/>
      <c r="L168" s="26"/>
      <c r="N168" s="42"/>
    </row>
    <row r="169" spans="1:16" x14ac:dyDescent="0.35">
      <c r="A169" s="59" t="s">
        <v>60</v>
      </c>
      <c r="B169" s="26"/>
      <c r="C169" s="26"/>
      <c r="D169" s="26"/>
      <c r="E169" s="26"/>
      <c r="F169" s="26"/>
      <c r="G169" s="26"/>
      <c r="H169" s="26"/>
      <c r="I169" s="26"/>
      <c r="J169" s="54">
        <f>J15*0.7</f>
        <v>2965.2</v>
      </c>
      <c r="K169" s="26"/>
      <c r="L169" s="26"/>
      <c r="N169" s="42"/>
    </row>
    <row r="170" spans="1:16" x14ac:dyDescent="0.35">
      <c r="A170" s="59" t="s">
        <v>61</v>
      </c>
      <c r="B170" s="26"/>
      <c r="C170" s="26"/>
      <c r="D170" s="26"/>
      <c r="E170" s="26"/>
      <c r="F170" s="26"/>
      <c r="G170" s="26"/>
      <c r="H170" s="26"/>
      <c r="I170" s="26"/>
      <c r="J170" s="47"/>
      <c r="K170" s="26"/>
      <c r="L170" s="26"/>
      <c r="N170" s="42"/>
    </row>
    <row r="171" spans="1:16" x14ac:dyDescent="0.35">
      <c r="A171" s="59" t="s">
        <v>62</v>
      </c>
      <c r="B171" s="26"/>
      <c r="C171" s="26"/>
      <c r="D171" s="26"/>
      <c r="E171" s="26"/>
      <c r="F171" s="26"/>
      <c r="G171" s="26"/>
      <c r="H171" s="26"/>
      <c r="I171" s="26"/>
      <c r="J171" s="47"/>
      <c r="K171" s="26"/>
      <c r="L171" s="26"/>
      <c r="N171" s="42"/>
    </row>
    <row r="172" spans="1:16" x14ac:dyDescent="0.35">
      <c r="A172" s="67" t="s">
        <v>64</v>
      </c>
      <c r="B172" s="26"/>
      <c r="C172" s="26"/>
      <c r="D172" s="26"/>
      <c r="E172" s="26"/>
      <c r="F172" s="26"/>
      <c r="G172" s="26"/>
      <c r="H172" s="26"/>
      <c r="I172" s="26"/>
      <c r="J172" s="26"/>
      <c r="K172" s="48"/>
      <c r="L172" s="26"/>
      <c r="N172" s="42"/>
    </row>
    <row r="173" spans="1:16" x14ac:dyDescent="0.35">
      <c r="A173" s="67" t="s">
        <v>65</v>
      </c>
      <c r="B173" s="26"/>
      <c r="C173" s="26"/>
      <c r="D173" s="26"/>
      <c r="E173" s="26"/>
      <c r="F173" s="26"/>
      <c r="G173" s="26"/>
      <c r="H173" s="26"/>
      <c r="I173" s="26"/>
      <c r="J173" s="26"/>
      <c r="K173" s="48"/>
      <c r="L173" s="26"/>
      <c r="N173" s="42"/>
    </row>
    <row r="174" spans="1:16" ht="15" thickBot="1" x14ac:dyDescent="0.4">
      <c r="A174" s="49" t="s">
        <v>63</v>
      </c>
      <c r="B174" s="50"/>
      <c r="C174" s="50"/>
      <c r="D174" s="50"/>
      <c r="E174" s="50"/>
      <c r="F174" s="50"/>
      <c r="G174" s="50"/>
      <c r="H174" s="50"/>
      <c r="I174" s="50"/>
      <c r="J174" s="50"/>
      <c r="K174" s="50"/>
      <c r="L174" s="51"/>
      <c r="M174" s="2"/>
      <c r="N174" s="52"/>
    </row>
    <row r="175" spans="1:16" ht="15" thickBot="1" x14ac:dyDescent="0.4"/>
    <row r="176" spans="1:16" x14ac:dyDescent="0.35">
      <c r="A176" s="28"/>
      <c r="B176" s="29"/>
      <c r="C176" s="30" t="s">
        <v>14</v>
      </c>
      <c r="D176" s="31" t="s">
        <v>15</v>
      </c>
      <c r="E176" s="32" t="s">
        <v>16</v>
      </c>
      <c r="F176" s="33" t="s">
        <v>17</v>
      </c>
      <c r="G176" s="30" t="s">
        <v>18</v>
      </c>
      <c r="H176" s="34" t="s">
        <v>19</v>
      </c>
      <c r="I176" s="35" t="s">
        <v>20</v>
      </c>
      <c r="J176" s="36" t="s">
        <v>21</v>
      </c>
      <c r="K176" s="37" t="s">
        <v>22</v>
      </c>
      <c r="L176" s="30" t="s">
        <v>23</v>
      </c>
      <c r="M176" s="38" t="s">
        <v>73</v>
      </c>
      <c r="N176" s="39" t="s">
        <v>68</v>
      </c>
      <c r="O176" s="8"/>
      <c r="P176" s="8"/>
    </row>
    <row r="177" spans="1:14" x14ac:dyDescent="0.35">
      <c r="A177" s="68" t="s">
        <v>70</v>
      </c>
      <c r="M177">
        <f>SUM(B178:L212)</f>
        <v>10596.6</v>
      </c>
      <c r="N177" s="40">
        <f>M177-M16</f>
        <v>0</v>
      </c>
    </row>
    <row r="178" spans="1:14" x14ac:dyDescent="0.35">
      <c r="A178" s="25" t="s">
        <v>32</v>
      </c>
      <c r="B178" s="26"/>
      <c r="C178" s="53"/>
      <c r="D178" s="26"/>
      <c r="E178" s="26"/>
      <c r="F178" s="26"/>
      <c r="G178" s="26"/>
      <c r="H178" s="26"/>
      <c r="I178" s="26"/>
      <c r="J178" s="26"/>
      <c r="K178" s="26"/>
      <c r="L178" s="26"/>
      <c r="N178" s="42"/>
    </row>
    <row r="179" spans="1:14" x14ac:dyDescent="0.35">
      <c r="A179" s="25" t="s">
        <v>33</v>
      </c>
      <c r="B179" s="26"/>
      <c r="C179" s="53"/>
      <c r="D179" s="26"/>
      <c r="E179" s="26"/>
      <c r="F179" s="26"/>
      <c r="G179" s="26"/>
      <c r="H179" s="26"/>
      <c r="I179" s="26"/>
      <c r="J179" s="26"/>
      <c r="K179" s="26"/>
      <c r="L179" s="26"/>
      <c r="N179" s="42"/>
    </row>
    <row r="180" spans="1:14" x14ac:dyDescent="0.35">
      <c r="A180" s="25" t="s">
        <v>34</v>
      </c>
      <c r="B180" s="26"/>
      <c r="C180" s="53"/>
      <c r="D180" s="26"/>
      <c r="E180" s="26"/>
      <c r="F180" s="26"/>
      <c r="G180" s="26"/>
      <c r="H180" s="26"/>
      <c r="I180" s="26"/>
      <c r="J180" s="26"/>
      <c r="K180" s="26"/>
      <c r="L180" s="26"/>
      <c r="N180" s="42"/>
    </row>
    <row r="181" spans="1:14" x14ac:dyDescent="0.35">
      <c r="A181" s="25" t="s">
        <v>35</v>
      </c>
      <c r="B181" s="26"/>
      <c r="C181" s="53"/>
      <c r="D181" s="26"/>
      <c r="E181" s="26"/>
      <c r="F181" s="26"/>
      <c r="G181" s="26"/>
      <c r="H181" s="26"/>
      <c r="I181" s="26"/>
      <c r="J181" s="26"/>
      <c r="K181" s="26"/>
      <c r="L181" s="26"/>
      <c r="N181" s="42"/>
    </row>
    <row r="182" spans="1:14" x14ac:dyDescent="0.35">
      <c r="A182" s="25" t="s">
        <v>36</v>
      </c>
      <c r="B182" s="26"/>
      <c r="C182" s="53"/>
      <c r="D182" s="26"/>
      <c r="E182" s="26"/>
      <c r="F182" s="26"/>
      <c r="G182" s="26"/>
      <c r="H182" s="26"/>
      <c r="I182" s="26"/>
      <c r="J182" s="26"/>
      <c r="K182" s="26"/>
      <c r="L182" s="26"/>
      <c r="N182" s="42"/>
    </row>
    <row r="183" spans="1:14" x14ac:dyDescent="0.35">
      <c r="A183" s="58" t="s">
        <v>37</v>
      </c>
      <c r="B183" s="26"/>
      <c r="C183" s="26"/>
      <c r="D183" s="43">
        <f>D125*0.7</f>
        <v>0</v>
      </c>
      <c r="E183" s="26"/>
      <c r="F183" s="26"/>
      <c r="G183" s="26"/>
      <c r="H183" s="26"/>
      <c r="I183" s="26"/>
      <c r="J183" s="26"/>
      <c r="K183" s="26"/>
      <c r="L183" s="26"/>
      <c r="N183" s="42"/>
    </row>
    <row r="184" spans="1:14" x14ac:dyDescent="0.35">
      <c r="A184" s="58" t="s">
        <v>38</v>
      </c>
      <c r="B184" s="26"/>
      <c r="C184" s="26"/>
      <c r="D184" s="43">
        <f>D90</f>
        <v>0</v>
      </c>
      <c r="E184" s="26"/>
      <c r="F184" s="26"/>
      <c r="G184" s="26"/>
      <c r="H184" s="26"/>
      <c r="I184" s="26"/>
      <c r="J184" s="26"/>
      <c r="K184" s="26"/>
      <c r="L184" s="26"/>
      <c r="N184" s="42"/>
    </row>
    <row r="185" spans="1:14" x14ac:dyDescent="0.35">
      <c r="A185" s="59" t="s">
        <v>39</v>
      </c>
      <c r="B185" s="26"/>
      <c r="C185" s="26"/>
      <c r="D185" s="26"/>
      <c r="E185" s="60"/>
      <c r="F185" s="26"/>
      <c r="G185" s="26"/>
      <c r="H185" s="26"/>
      <c r="I185" s="26"/>
      <c r="J185" s="26"/>
      <c r="K185" s="26"/>
      <c r="L185" s="26"/>
      <c r="N185" s="42"/>
    </row>
    <row r="186" spans="1:14" x14ac:dyDescent="0.35">
      <c r="A186" s="61" t="s">
        <v>40</v>
      </c>
      <c r="B186" s="26"/>
      <c r="C186" s="26"/>
      <c r="D186" s="26"/>
      <c r="E186" s="26"/>
      <c r="F186" s="44">
        <f>F125*0.6</f>
        <v>0</v>
      </c>
      <c r="G186" s="26"/>
      <c r="H186" s="26"/>
      <c r="I186" s="26"/>
      <c r="J186" s="26"/>
      <c r="K186" s="26"/>
      <c r="L186" s="26"/>
      <c r="N186" s="42"/>
    </row>
    <row r="187" spans="1:14" x14ac:dyDescent="0.35">
      <c r="A187" s="61" t="s">
        <v>41</v>
      </c>
      <c r="B187" s="26"/>
      <c r="C187" s="26"/>
      <c r="D187" s="26"/>
      <c r="E187" s="26"/>
      <c r="F187" s="44">
        <f>F90</f>
        <v>0</v>
      </c>
      <c r="G187" s="26"/>
      <c r="H187" s="26"/>
      <c r="I187" s="26"/>
      <c r="J187" s="26"/>
      <c r="K187" s="26"/>
      <c r="L187" s="26"/>
      <c r="N187" s="42"/>
    </row>
    <row r="188" spans="1:14" x14ac:dyDescent="0.35">
      <c r="A188" s="25" t="s">
        <v>18</v>
      </c>
      <c r="B188" s="26"/>
      <c r="C188" s="26"/>
      <c r="D188" s="26"/>
      <c r="E188" s="26"/>
      <c r="F188" s="26"/>
      <c r="G188" s="62"/>
      <c r="H188" s="26"/>
      <c r="I188" s="26"/>
      <c r="J188" s="26"/>
      <c r="K188" s="26"/>
      <c r="L188" s="26"/>
      <c r="N188" s="42"/>
    </row>
    <row r="189" spans="1:14" x14ac:dyDescent="0.35">
      <c r="A189" s="63" t="s">
        <v>42</v>
      </c>
      <c r="B189" s="26"/>
      <c r="C189" s="26"/>
      <c r="D189" s="26"/>
      <c r="E189" s="26"/>
      <c r="F189" s="26"/>
      <c r="G189" s="26"/>
      <c r="H189" s="64"/>
      <c r="I189" s="26"/>
      <c r="J189" s="26"/>
      <c r="K189" s="26"/>
      <c r="L189" s="26"/>
      <c r="N189" s="42"/>
    </row>
    <row r="190" spans="1:14" x14ac:dyDescent="0.35">
      <c r="A190" s="65" t="s">
        <v>43</v>
      </c>
      <c r="B190" s="26"/>
      <c r="C190" s="26"/>
      <c r="D190" s="26"/>
      <c r="E190" s="26"/>
      <c r="F190" s="26"/>
      <c r="G190" s="26"/>
      <c r="H190" s="26"/>
      <c r="I190" s="45"/>
      <c r="J190" s="26"/>
      <c r="K190" s="26"/>
      <c r="L190" s="26"/>
      <c r="N190" s="42"/>
    </row>
    <row r="191" spans="1:14" x14ac:dyDescent="0.35">
      <c r="A191" s="65" t="s">
        <v>44</v>
      </c>
      <c r="B191" s="26"/>
      <c r="C191" s="26"/>
      <c r="D191" s="26"/>
      <c r="E191" s="26"/>
      <c r="F191" s="26"/>
      <c r="G191" s="26"/>
      <c r="H191" s="26"/>
      <c r="I191" s="45"/>
      <c r="J191" s="26"/>
      <c r="K191" s="26"/>
      <c r="L191" s="26"/>
      <c r="N191" s="42"/>
    </row>
    <row r="192" spans="1:14" x14ac:dyDescent="0.35">
      <c r="A192" s="65" t="s">
        <v>45</v>
      </c>
      <c r="B192" s="26"/>
      <c r="C192" s="26"/>
      <c r="D192" s="26"/>
      <c r="E192" s="26"/>
      <c r="F192" s="26"/>
      <c r="G192" s="26"/>
      <c r="H192" s="26"/>
      <c r="I192" s="45"/>
      <c r="J192" s="26"/>
      <c r="K192" s="26"/>
      <c r="L192" s="26"/>
      <c r="N192" s="42"/>
    </row>
    <row r="193" spans="1:14" x14ac:dyDescent="0.35">
      <c r="A193" s="65" t="s">
        <v>46</v>
      </c>
      <c r="B193" s="26"/>
      <c r="C193" s="26"/>
      <c r="D193" s="26"/>
      <c r="E193" s="26"/>
      <c r="F193" s="26"/>
      <c r="G193" s="46"/>
      <c r="H193" s="26"/>
      <c r="I193" s="45"/>
      <c r="J193" s="26"/>
      <c r="K193" s="26"/>
      <c r="L193" s="26"/>
      <c r="N193" s="42"/>
    </row>
    <row r="194" spans="1:14" x14ac:dyDescent="0.35">
      <c r="A194" s="65" t="s">
        <v>47</v>
      </c>
      <c r="B194" s="26"/>
      <c r="C194" s="26"/>
      <c r="D194" s="26"/>
      <c r="E194" s="26"/>
      <c r="F194" s="26"/>
      <c r="G194" s="26"/>
      <c r="H194" s="26"/>
      <c r="I194" s="45"/>
      <c r="J194" s="26"/>
      <c r="K194" s="26"/>
      <c r="L194" s="26"/>
      <c r="N194" s="42"/>
    </row>
    <row r="195" spans="1:14" x14ac:dyDescent="0.35">
      <c r="A195" s="65" t="s">
        <v>48</v>
      </c>
      <c r="B195" s="26"/>
      <c r="C195" s="26"/>
      <c r="D195" s="26"/>
      <c r="E195" s="26"/>
      <c r="F195" s="26"/>
      <c r="G195" s="26"/>
      <c r="H195" s="26"/>
      <c r="I195" s="45"/>
      <c r="J195" s="26"/>
      <c r="K195" s="26"/>
      <c r="L195" s="26"/>
      <c r="N195" s="42"/>
    </row>
    <row r="196" spans="1:14" x14ac:dyDescent="0.35">
      <c r="A196" s="65" t="s">
        <v>49</v>
      </c>
      <c r="B196" s="26"/>
      <c r="C196" s="26"/>
      <c r="D196" s="26"/>
      <c r="E196" s="26"/>
      <c r="F196" s="26"/>
      <c r="G196" s="26"/>
      <c r="H196" s="26"/>
      <c r="I196" s="45"/>
      <c r="J196" s="26"/>
      <c r="K196" s="26"/>
      <c r="L196" s="26"/>
      <c r="N196" s="42"/>
    </row>
    <row r="197" spans="1:14" x14ac:dyDescent="0.35">
      <c r="A197" s="65" t="s">
        <v>50</v>
      </c>
      <c r="B197" s="26"/>
      <c r="C197" s="26"/>
      <c r="D197" s="26"/>
      <c r="E197" s="26"/>
      <c r="F197" s="26"/>
      <c r="G197" s="26"/>
      <c r="H197" s="26"/>
      <c r="I197" s="45"/>
      <c r="J197" s="26"/>
      <c r="K197" s="26"/>
      <c r="L197" s="26"/>
      <c r="N197" s="42"/>
    </row>
    <row r="198" spans="1:14" x14ac:dyDescent="0.35">
      <c r="A198" s="65" t="s">
        <v>51</v>
      </c>
      <c r="B198" s="26"/>
      <c r="C198" s="26"/>
      <c r="D198" s="26"/>
      <c r="E198" s="26"/>
      <c r="F198" s="26"/>
      <c r="G198" s="26"/>
      <c r="H198" s="26"/>
      <c r="I198" s="45">
        <f>I90</f>
        <v>0</v>
      </c>
      <c r="J198" s="26"/>
      <c r="K198" s="26"/>
      <c r="L198" s="26"/>
      <c r="N198" s="42"/>
    </row>
    <row r="199" spans="1:14" x14ac:dyDescent="0.35">
      <c r="A199" s="59" t="s">
        <v>52</v>
      </c>
      <c r="B199" s="26"/>
      <c r="C199" s="26"/>
      <c r="D199" s="26"/>
      <c r="E199" s="26"/>
      <c r="F199" s="26"/>
      <c r="G199" s="26"/>
      <c r="H199" s="26"/>
      <c r="I199" s="26"/>
      <c r="J199" s="54">
        <f>$J$16*0.05</f>
        <v>528.58000000000004</v>
      </c>
      <c r="K199" s="26"/>
      <c r="L199" s="26"/>
      <c r="N199" s="42"/>
    </row>
    <row r="200" spans="1:14" x14ac:dyDescent="0.35">
      <c r="A200" s="59" t="s">
        <v>53</v>
      </c>
      <c r="B200" s="26"/>
      <c r="C200" s="26"/>
      <c r="D200" s="26"/>
      <c r="E200" s="26"/>
      <c r="F200" s="26"/>
      <c r="G200" s="26"/>
      <c r="H200" s="26"/>
      <c r="I200" s="26"/>
      <c r="J200" s="54">
        <f>$J$16*0.5</f>
        <v>5285.8</v>
      </c>
      <c r="K200" s="26"/>
      <c r="L200" s="26"/>
      <c r="N200" s="42"/>
    </row>
    <row r="201" spans="1:14" x14ac:dyDescent="0.35">
      <c r="A201" s="59" t="s">
        <v>54</v>
      </c>
      <c r="B201" s="26"/>
      <c r="C201" s="26"/>
      <c r="D201" s="26"/>
      <c r="E201" s="26"/>
      <c r="F201" s="26"/>
      <c r="G201" s="26"/>
      <c r="H201" s="26"/>
      <c r="I201" s="26"/>
      <c r="J201" s="54">
        <f>$J$16*0.1</f>
        <v>1057.1600000000001</v>
      </c>
      <c r="K201" s="26"/>
      <c r="L201" s="26"/>
      <c r="N201" s="42"/>
    </row>
    <row r="202" spans="1:14" x14ac:dyDescent="0.35">
      <c r="A202" s="59" t="s">
        <v>55</v>
      </c>
      <c r="B202" s="26"/>
      <c r="C202" s="26"/>
      <c r="D202" s="26"/>
      <c r="E202" s="26"/>
      <c r="F202" s="26"/>
      <c r="G202" s="26"/>
      <c r="H202" s="26"/>
      <c r="I202" s="26"/>
      <c r="J202" s="54">
        <f>$J$16*0.1</f>
        <v>1057.1600000000001</v>
      </c>
      <c r="K202" s="26"/>
      <c r="L202" s="26"/>
      <c r="N202" s="42"/>
    </row>
    <row r="203" spans="1:14" x14ac:dyDescent="0.35">
      <c r="A203" s="59" t="s">
        <v>56</v>
      </c>
      <c r="B203" s="26"/>
      <c r="C203" s="26"/>
      <c r="D203" s="26"/>
      <c r="E203" s="26"/>
      <c r="F203" s="26"/>
      <c r="G203" s="26"/>
      <c r="H203" s="26"/>
      <c r="I203" s="26"/>
      <c r="J203" s="54"/>
      <c r="K203" s="26"/>
      <c r="L203" s="26"/>
      <c r="N203" s="42"/>
    </row>
    <row r="204" spans="1:14" x14ac:dyDescent="0.35">
      <c r="A204" s="59" t="s">
        <v>57</v>
      </c>
      <c r="B204" s="26"/>
      <c r="C204" s="26"/>
      <c r="D204" s="26"/>
      <c r="E204" s="26"/>
      <c r="F204" s="26"/>
      <c r="G204" s="26"/>
      <c r="H204" s="26"/>
      <c r="I204" s="26"/>
      <c r="J204" s="54"/>
      <c r="K204" s="26"/>
      <c r="L204" s="26"/>
      <c r="N204" s="42"/>
    </row>
    <row r="205" spans="1:14" x14ac:dyDescent="0.35">
      <c r="A205" s="59" t="s">
        <v>58</v>
      </c>
      <c r="B205" s="26"/>
      <c r="C205" s="26"/>
      <c r="D205" s="26"/>
      <c r="E205" s="26"/>
      <c r="F205" s="26"/>
      <c r="G205" s="26"/>
      <c r="H205" s="26"/>
      <c r="I205" s="26"/>
      <c r="J205" s="54">
        <f>$J$16*0.2</f>
        <v>2114.3200000000002</v>
      </c>
      <c r="K205" s="26"/>
      <c r="L205" s="26"/>
      <c r="N205" s="42"/>
    </row>
    <row r="206" spans="1:14" x14ac:dyDescent="0.35">
      <c r="A206" s="59" t="s">
        <v>59</v>
      </c>
      <c r="B206" s="26"/>
      <c r="C206" s="26"/>
      <c r="D206" s="26"/>
      <c r="E206" s="26"/>
      <c r="F206" s="26"/>
      <c r="G206" s="26"/>
      <c r="H206" s="26"/>
      <c r="I206" s="26"/>
      <c r="J206" s="54">
        <f>$J$16*0.05</f>
        <v>528.58000000000004</v>
      </c>
      <c r="K206" s="26"/>
      <c r="L206" s="26"/>
      <c r="N206" s="42"/>
    </row>
    <row r="207" spans="1:14" x14ac:dyDescent="0.35">
      <c r="A207" s="59" t="s">
        <v>60</v>
      </c>
      <c r="B207" s="26"/>
      <c r="C207" s="26"/>
      <c r="D207" s="26"/>
      <c r="E207" s="26"/>
      <c r="F207" s="26"/>
      <c r="G207" s="26"/>
      <c r="H207" s="26"/>
      <c r="I207" s="26"/>
      <c r="J207" s="54"/>
      <c r="K207" s="26"/>
      <c r="L207" s="26"/>
      <c r="N207" s="42"/>
    </row>
    <row r="208" spans="1:14" x14ac:dyDescent="0.35">
      <c r="A208" s="59" t="s">
        <v>61</v>
      </c>
      <c r="B208" s="26"/>
      <c r="C208" s="26"/>
      <c r="D208" s="26"/>
      <c r="E208" s="26"/>
      <c r="F208" s="26"/>
      <c r="G208" s="26"/>
      <c r="H208" s="26"/>
      <c r="I208" s="26"/>
      <c r="J208" s="54"/>
      <c r="K208" s="26"/>
      <c r="L208" s="26"/>
      <c r="N208" s="42"/>
    </row>
    <row r="209" spans="1:16" x14ac:dyDescent="0.35">
      <c r="A209" s="59" t="s">
        <v>62</v>
      </c>
      <c r="B209" s="26"/>
      <c r="C209" s="26"/>
      <c r="D209" s="26"/>
      <c r="E209" s="26"/>
      <c r="F209" s="26"/>
      <c r="G209" s="26"/>
      <c r="H209" s="26"/>
      <c r="I209" s="26"/>
      <c r="J209" s="54"/>
      <c r="K209" s="26"/>
      <c r="L209" s="26"/>
      <c r="N209" s="42"/>
    </row>
    <row r="210" spans="1:16" x14ac:dyDescent="0.35">
      <c r="A210" s="67" t="s">
        <v>64</v>
      </c>
      <c r="B210" s="26"/>
      <c r="C210" s="26"/>
      <c r="D210" s="26"/>
      <c r="E210" s="26"/>
      <c r="F210" s="26"/>
      <c r="G210" s="26"/>
      <c r="H210" s="26"/>
      <c r="I210" s="26"/>
      <c r="J210" s="26"/>
      <c r="K210" s="48"/>
      <c r="L210" s="26"/>
      <c r="N210" s="42"/>
    </row>
    <row r="211" spans="1:16" x14ac:dyDescent="0.35">
      <c r="A211" s="67" t="s">
        <v>65</v>
      </c>
      <c r="B211" s="26"/>
      <c r="C211" s="26"/>
      <c r="D211" s="26"/>
      <c r="E211" s="26"/>
      <c r="F211" s="26"/>
      <c r="G211" s="26"/>
      <c r="H211" s="26"/>
      <c r="I211" s="26"/>
      <c r="J211" s="26"/>
      <c r="K211" s="48"/>
      <c r="L211" s="26"/>
      <c r="N211" s="42"/>
    </row>
    <row r="212" spans="1:16" ht="15" thickBot="1" x14ac:dyDescent="0.4">
      <c r="A212" s="49" t="s">
        <v>63</v>
      </c>
      <c r="B212" s="50"/>
      <c r="C212" s="50"/>
      <c r="D212" s="50"/>
      <c r="E212" s="50"/>
      <c r="F212" s="50"/>
      <c r="G212" s="50"/>
      <c r="H212" s="50"/>
      <c r="I212" s="50"/>
      <c r="J212" s="50"/>
      <c r="K212" s="50"/>
      <c r="L212" s="55">
        <f>L16</f>
        <v>25</v>
      </c>
      <c r="M212" s="2"/>
      <c r="N212" s="52"/>
    </row>
    <row r="213" spans="1:16" ht="15" thickBot="1" x14ac:dyDescent="0.4"/>
    <row r="214" spans="1:16" x14ac:dyDescent="0.35">
      <c r="A214" s="28"/>
      <c r="B214" s="29"/>
      <c r="C214" s="30" t="s">
        <v>14</v>
      </c>
      <c r="D214" s="31" t="s">
        <v>15</v>
      </c>
      <c r="E214" s="32" t="s">
        <v>16</v>
      </c>
      <c r="F214" s="33" t="s">
        <v>17</v>
      </c>
      <c r="G214" s="30" t="s">
        <v>18</v>
      </c>
      <c r="H214" s="34" t="s">
        <v>19</v>
      </c>
      <c r="I214" s="35" t="s">
        <v>20</v>
      </c>
      <c r="J214" s="36" t="s">
        <v>21</v>
      </c>
      <c r="K214" s="37" t="s">
        <v>22</v>
      </c>
      <c r="L214" s="30" t="s">
        <v>23</v>
      </c>
      <c r="M214" s="38" t="s">
        <v>73</v>
      </c>
      <c r="N214" s="39" t="s">
        <v>68</v>
      </c>
      <c r="O214" s="8"/>
      <c r="P214" s="8"/>
    </row>
    <row r="215" spans="1:16" x14ac:dyDescent="0.35">
      <c r="A215" s="68" t="s">
        <v>71</v>
      </c>
      <c r="M215">
        <f>SUM(B216:L250)</f>
        <v>1478.4</v>
      </c>
      <c r="N215" s="40">
        <f>M215-M18</f>
        <v>0</v>
      </c>
    </row>
    <row r="216" spans="1:16" x14ac:dyDescent="0.35">
      <c r="A216" s="25" t="s">
        <v>32</v>
      </c>
      <c r="B216" s="26"/>
      <c r="C216" s="53"/>
      <c r="D216" s="26"/>
      <c r="E216" s="26"/>
      <c r="F216" s="26"/>
      <c r="G216" s="26"/>
      <c r="H216" s="26"/>
      <c r="I216" s="26"/>
      <c r="J216" s="26"/>
      <c r="K216" s="26"/>
      <c r="L216" s="26"/>
      <c r="N216" s="42"/>
    </row>
    <row r="217" spans="1:16" x14ac:dyDescent="0.35">
      <c r="A217" s="25" t="s">
        <v>33</v>
      </c>
      <c r="B217" s="26"/>
      <c r="C217" s="53"/>
      <c r="D217" s="26"/>
      <c r="E217" s="26"/>
      <c r="F217" s="26"/>
      <c r="G217" s="26"/>
      <c r="H217" s="26"/>
      <c r="I217" s="26"/>
      <c r="J217" s="26"/>
      <c r="K217" s="26"/>
      <c r="L217" s="26"/>
      <c r="N217" s="42"/>
    </row>
    <row r="218" spans="1:16" x14ac:dyDescent="0.35">
      <c r="A218" s="25" t="s">
        <v>34</v>
      </c>
      <c r="B218" s="26"/>
      <c r="C218" s="53"/>
      <c r="D218" s="26"/>
      <c r="E218" s="26"/>
      <c r="F218" s="26"/>
      <c r="G218" s="26"/>
      <c r="H218" s="26"/>
      <c r="I218" s="26"/>
      <c r="J218" s="26"/>
      <c r="K218" s="26"/>
      <c r="L218" s="26"/>
      <c r="N218" s="42"/>
    </row>
    <row r="219" spans="1:16" x14ac:dyDescent="0.35">
      <c r="A219" s="25" t="s">
        <v>35</v>
      </c>
      <c r="B219" s="26"/>
      <c r="C219" s="53"/>
      <c r="D219" s="26"/>
      <c r="E219" s="26"/>
      <c r="F219" s="26"/>
      <c r="G219" s="26"/>
      <c r="H219" s="26"/>
      <c r="I219" s="26"/>
      <c r="J219" s="26"/>
      <c r="K219" s="26"/>
      <c r="L219" s="26"/>
      <c r="N219" s="42"/>
    </row>
    <row r="220" spans="1:16" x14ac:dyDescent="0.35">
      <c r="A220" s="25" t="s">
        <v>36</v>
      </c>
      <c r="B220" s="26"/>
      <c r="C220" s="53"/>
      <c r="D220" s="26"/>
      <c r="E220" s="26"/>
      <c r="F220" s="26"/>
      <c r="G220" s="26"/>
      <c r="H220" s="26"/>
      <c r="I220" s="26"/>
      <c r="J220" s="26"/>
      <c r="K220" s="26"/>
      <c r="L220" s="26"/>
      <c r="N220" s="42"/>
    </row>
    <row r="221" spans="1:16" x14ac:dyDescent="0.35">
      <c r="A221" s="58" t="s">
        <v>37</v>
      </c>
      <c r="B221" s="26"/>
      <c r="C221" s="26"/>
      <c r="D221" s="43">
        <f>D163*0.7</f>
        <v>0</v>
      </c>
      <c r="E221" s="26"/>
      <c r="F221" s="26"/>
      <c r="G221" s="26"/>
      <c r="H221" s="26"/>
      <c r="I221" s="26"/>
      <c r="J221" s="26"/>
      <c r="K221" s="26"/>
      <c r="L221" s="26"/>
      <c r="N221" s="42"/>
    </row>
    <row r="222" spans="1:16" x14ac:dyDescent="0.35">
      <c r="A222" s="58" t="s">
        <v>38</v>
      </c>
      <c r="B222" s="26"/>
      <c r="C222" s="26"/>
      <c r="D222" s="43">
        <f>D128</f>
        <v>0</v>
      </c>
      <c r="E222" s="26"/>
      <c r="F222" s="26"/>
      <c r="G222" s="26"/>
      <c r="H222" s="26"/>
      <c r="I222" s="26"/>
      <c r="J222" s="26"/>
      <c r="K222" s="26"/>
      <c r="L222" s="26"/>
      <c r="N222" s="42"/>
    </row>
    <row r="223" spans="1:16" x14ac:dyDescent="0.35">
      <c r="A223" s="59" t="s">
        <v>39</v>
      </c>
      <c r="B223" s="26"/>
      <c r="C223" s="26"/>
      <c r="D223" s="26"/>
      <c r="E223" s="60"/>
      <c r="F223" s="26"/>
      <c r="G223" s="26"/>
      <c r="H223" s="26"/>
      <c r="I223" s="26"/>
      <c r="J223" s="26"/>
      <c r="K223" s="26"/>
      <c r="L223" s="26"/>
      <c r="N223" s="42"/>
    </row>
    <row r="224" spans="1:16" x14ac:dyDescent="0.35">
      <c r="A224" s="61" t="s">
        <v>40</v>
      </c>
      <c r="B224" s="26"/>
      <c r="C224" s="26"/>
      <c r="D224" s="26"/>
      <c r="E224" s="26"/>
      <c r="F224" s="44">
        <f>F163*0.6</f>
        <v>0</v>
      </c>
      <c r="G224" s="26"/>
      <c r="H224" s="26"/>
      <c r="I224" s="26"/>
      <c r="J224" s="26"/>
      <c r="K224" s="26"/>
      <c r="L224" s="26"/>
      <c r="N224" s="42"/>
    </row>
    <row r="225" spans="1:14" x14ac:dyDescent="0.35">
      <c r="A225" s="61" t="s">
        <v>41</v>
      </c>
      <c r="B225" s="26"/>
      <c r="C225" s="26"/>
      <c r="D225" s="26"/>
      <c r="E225" s="26"/>
      <c r="F225" s="44">
        <f>F128</f>
        <v>0</v>
      </c>
      <c r="G225" s="26"/>
      <c r="H225" s="26"/>
      <c r="I225" s="26"/>
      <c r="J225" s="26"/>
      <c r="K225" s="26"/>
      <c r="L225" s="26"/>
      <c r="N225" s="42"/>
    </row>
    <row r="226" spans="1:14" x14ac:dyDescent="0.35">
      <c r="A226" s="25" t="s">
        <v>18</v>
      </c>
      <c r="B226" s="26"/>
      <c r="C226" s="26"/>
      <c r="D226" s="26"/>
      <c r="E226" s="26"/>
      <c r="F226" s="26"/>
      <c r="G226" s="62"/>
      <c r="H226" s="26"/>
      <c r="I226" s="26"/>
      <c r="J226" s="26"/>
      <c r="K226" s="26"/>
      <c r="L226" s="26"/>
      <c r="N226" s="42"/>
    </row>
    <row r="227" spans="1:14" x14ac:dyDescent="0.35">
      <c r="A227" s="63" t="s">
        <v>42</v>
      </c>
      <c r="B227" s="26"/>
      <c r="C227" s="26"/>
      <c r="D227" s="26"/>
      <c r="E227" s="26"/>
      <c r="F227" s="26"/>
      <c r="G227" s="26"/>
      <c r="H227" s="71"/>
      <c r="I227" s="26"/>
      <c r="J227" s="26"/>
      <c r="K227" s="26"/>
      <c r="L227" s="26"/>
      <c r="N227" s="42"/>
    </row>
    <row r="228" spans="1:14" x14ac:dyDescent="0.35">
      <c r="A228" s="65" t="s">
        <v>43</v>
      </c>
      <c r="B228" s="26"/>
      <c r="C228" s="26"/>
      <c r="D228" s="26"/>
      <c r="E228" s="26"/>
      <c r="F228" s="26"/>
      <c r="G228" s="26"/>
      <c r="H228" s="26"/>
      <c r="I228" s="45"/>
      <c r="J228" s="26"/>
      <c r="K228" s="26"/>
      <c r="L228" s="26"/>
      <c r="N228" s="42"/>
    </row>
    <row r="229" spans="1:14" x14ac:dyDescent="0.35">
      <c r="A229" s="65" t="s">
        <v>44</v>
      </c>
      <c r="B229" s="26"/>
      <c r="C229" s="26"/>
      <c r="D229" s="26"/>
      <c r="E229" s="26"/>
      <c r="F229" s="26"/>
      <c r="G229" s="26"/>
      <c r="H229" s="26"/>
      <c r="I229" s="45"/>
      <c r="J229" s="26"/>
      <c r="K229" s="26"/>
      <c r="L229" s="26"/>
      <c r="N229" s="42"/>
    </row>
    <row r="230" spans="1:14" x14ac:dyDescent="0.35">
      <c r="A230" s="65" t="s">
        <v>45</v>
      </c>
      <c r="B230" s="26"/>
      <c r="C230" s="26"/>
      <c r="D230" s="26"/>
      <c r="E230" s="26"/>
      <c r="F230" s="26"/>
      <c r="G230" s="26"/>
      <c r="H230" s="26"/>
      <c r="I230" s="45"/>
      <c r="J230" s="26"/>
      <c r="K230" s="26"/>
      <c r="L230" s="26"/>
      <c r="N230" s="42"/>
    </row>
    <row r="231" spans="1:14" x14ac:dyDescent="0.35">
      <c r="A231" s="65" t="s">
        <v>46</v>
      </c>
      <c r="B231" s="26"/>
      <c r="C231" s="26"/>
      <c r="D231" s="26"/>
      <c r="E231" s="26"/>
      <c r="F231" s="26"/>
      <c r="G231" s="46"/>
      <c r="H231" s="26"/>
      <c r="I231" s="45"/>
      <c r="J231" s="26"/>
      <c r="K231" s="26"/>
      <c r="L231" s="26"/>
      <c r="N231" s="42"/>
    </row>
    <row r="232" spans="1:14" x14ac:dyDescent="0.35">
      <c r="A232" s="65" t="s">
        <v>47</v>
      </c>
      <c r="B232" s="26"/>
      <c r="C232" s="26"/>
      <c r="D232" s="26"/>
      <c r="E232" s="26"/>
      <c r="F232" s="26"/>
      <c r="G232" s="26"/>
      <c r="H232" s="26"/>
      <c r="I232" s="45"/>
      <c r="J232" s="26"/>
      <c r="K232" s="26"/>
      <c r="L232" s="26"/>
      <c r="N232" s="42"/>
    </row>
    <row r="233" spans="1:14" x14ac:dyDescent="0.35">
      <c r="A233" s="65" t="s">
        <v>48</v>
      </c>
      <c r="B233" s="26"/>
      <c r="C233" s="26"/>
      <c r="D233" s="26"/>
      <c r="E233" s="26"/>
      <c r="F233" s="26"/>
      <c r="G233" s="26"/>
      <c r="H233" s="26"/>
      <c r="I233" s="45"/>
      <c r="J233" s="26"/>
      <c r="K233" s="26"/>
      <c r="L233" s="26"/>
      <c r="N233" s="42"/>
    </row>
    <row r="234" spans="1:14" x14ac:dyDescent="0.35">
      <c r="A234" s="65" t="s">
        <v>49</v>
      </c>
      <c r="B234" s="26"/>
      <c r="C234" s="26"/>
      <c r="D234" s="26"/>
      <c r="E234" s="26"/>
      <c r="F234" s="26"/>
      <c r="G234" s="26"/>
      <c r="H234" s="26"/>
      <c r="I234" s="45"/>
      <c r="J234" s="26"/>
      <c r="K234" s="26"/>
      <c r="L234" s="26"/>
      <c r="N234" s="42"/>
    </row>
    <row r="235" spans="1:14" x14ac:dyDescent="0.35">
      <c r="A235" s="65" t="s">
        <v>50</v>
      </c>
      <c r="B235" s="26"/>
      <c r="C235" s="26"/>
      <c r="D235" s="26"/>
      <c r="E235" s="26"/>
      <c r="F235" s="26"/>
      <c r="G235" s="26"/>
      <c r="H235" s="26"/>
      <c r="I235" s="45"/>
      <c r="J235" s="26"/>
      <c r="K235" s="26"/>
      <c r="L235" s="26"/>
      <c r="N235" s="42"/>
    </row>
    <row r="236" spans="1:14" x14ac:dyDescent="0.35">
      <c r="A236" s="65" t="s">
        <v>51</v>
      </c>
      <c r="B236" s="26"/>
      <c r="C236" s="26"/>
      <c r="D236" s="26"/>
      <c r="E236" s="26"/>
      <c r="F236" s="26"/>
      <c r="G236" s="26"/>
      <c r="H236" s="26"/>
      <c r="I236" s="45">
        <f>I128</f>
        <v>0</v>
      </c>
      <c r="J236" s="26"/>
      <c r="K236" s="26"/>
      <c r="L236" s="26"/>
      <c r="N236" s="42"/>
    </row>
    <row r="237" spans="1:14" x14ac:dyDescent="0.35">
      <c r="A237" s="59" t="s">
        <v>52</v>
      </c>
      <c r="B237" s="26"/>
      <c r="C237" s="26"/>
      <c r="D237" s="26"/>
      <c r="E237" s="26"/>
      <c r="F237" s="26"/>
      <c r="G237" s="26"/>
      <c r="H237" s="26"/>
      <c r="I237" s="26"/>
      <c r="J237" s="54"/>
      <c r="K237" s="26"/>
      <c r="L237" s="26"/>
      <c r="N237" s="42"/>
    </row>
    <row r="238" spans="1:14" x14ac:dyDescent="0.35">
      <c r="A238" s="59" t="s">
        <v>53</v>
      </c>
      <c r="B238" s="26"/>
      <c r="C238" s="26"/>
      <c r="D238" s="26"/>
      <c r="E238" s="26"/>
      <c r="F238" s="26"/>
      <c r="G238" s="26"/>
      <c r="H238" s="26"/>
      <c r="I238" s="26"/>
      <c r="J238" s="54"/>
      <c r="K238" s="26"/>
      <c r="L238" s="26"/>
      <c r="N238" s="42"/>
    </row>
    <row r="239" spans="1:14" x14ac:dyDescent="0.35">
      <c r="A239" s="59" t="s">
        <v>54</v>
      </c>
      <c r="B239" s="26"/>
      <c r="C239" s="26"/>
      <c r="D239" s="26"/>
      <c r="E239" s="26"/>
      <c r="F239" s="26"/>
      <c r="G239" s="26"/>
      <c r="H239" s="26"/>
      <c r="I239" s="26"/>
      <c r="J239" s="54"/>
      <c r="K239" s="26"/>
      <c r="L239" s="26"/>
      <c r="N239" s="42"/>
    </row>
    <row r="240" spans="1:14" x14ac:dyDescent="0.35">
      <c r="A240" s="59" t="s">
        <v>55</v>
      </c>
      <c r="B240" s="26"/>
      <c r="C240" s="26"/>
      <c r="D240" s="26"/>
      <c r="E240" s="26"/>
      <c r="F240" s="26"/>
      <c r="G240" s="26"/>
      <c r="H240" s="26"/>
      <c r="I240" s="26"/>
      <c r="J240" s="54"/>
      <c r="K240" s="26"/>
      <c r="L240" s="26"/>
      <c r="N240" s="42"/>
    </row>
    <row r="241" spans="1:16" x14ac:dyDescent="0.35">
      <c r="A241" s="59" t="s">
        <v>56</v>
      </c>
      <c r="B241" s="26"/>
      <c r="C241" s="26"/>
      <c r="D241" s="26"/>
      <c r="E241" s="26"/>
      <c r="F241" s="26"/>
      <c r="G241" s="26"/>
      <c r="H241" s="26"/>
      <c r="I241" s="26"/>
      <c r="J241" s="54"/>
      <c r="K241" s="26"/>
      <c r="L241" s="26"/>
      <c r="N241" s="42"/>
    </row>
    <row r="242" spans="1:16" x14ac:dyDescent="0.35">
      <c r="A242" s="59" t="s">
        <v>57</v>
      </c>
      <c r="B242" s="26"/>
      <c r="C242" s="26"/>
      <c r="D242" s="26"/>
      <c r="E242" s="26"/>
      <c r="F242" s="26"/>
      <c r="G242" s="26"/>
      <c r="H242" s="26"/>
      <c r="I242" s="26"/>
      <c r="J242" s="54"/>
      <c r="K242" s="26"/>
      <c r="L242" s="26"/>
      <c r="N242" s="42"/>
    </row>
    <row r="243" spans="1:16" x14ac:dyDescent="0.35">
      <c r="A243" s="59" t="s">
        <v>58</v>
      </c>
      <c r="B243" s="26"/>
      <c r="C243" s="26"/>
      <c r="D243" s="26"/>
      <c r="E243" s="26"/>
      <c r="F243" s="26"/>
      <c r="G243" s="26"/>
      <c r="H243" s="26"/>
      <c r="I243" s="26"/>
      <c r="J243" s="54"/>
      <c r="K243" s="26"/>
      <c r="L243" s="26"/>
      <c r="N243" s="42"/>
    </row>
    <row r="244" spans="1:16" x14ac:dyDescent="0.35">
      <c r="A244" s="59" t="s">
        <v>59</v>
      </c>
      <c r="B244" s="26"/>
      <c r="C244" s="26"/>
      <c r="D244" s="26"/>
      <c r="E244" s="26"/>
      <c r="F244" s="26"/>
      <c r="G244" s="26"/>
      <c r="H244" s="26"/>
      <c r="I244" s="26"/>
      <c r="J244" s="54"/>
      <c r="K244" s="26"/>
      <c r="L244" s="26"/>
      <c r="N244" s="42"/>
    </row>
    <row r="245" spans="1:16" x14ac:dyDescent="0.35">
      <c r="A245" s="59" t="s">
        <v>60</v>
      </c>
      <c r="B245" s="26"/>
      <c r="C245" s="26"/>
      <c r="D245" s="26"/>
      <c r="E245" s="26"/>
      <c r="F245" s="26"/>
      <c r="G245" s="26"/>
      <c r="H245" s="26"/>
      <c r="I245" s="26"/>
      <c r="J245" s="54"/>
      <c r="K245" s="26"/>
      <c r="L245" s="26"/>
      <c r="N245" s="42"/>
    </row>
    <row r="246" spans="1:16" x14ac:dyDescent="0.35">
      <c r="A246" s="59" t="s">
        <v>61</v>
      </c>
      <c r="B246" s="26"/>
      <c r="C246" s="26"/>
      <c r="D246" s="26"/>
      <c r="E246" s="26"/>
      <c r="F246" s="26"/>
      <c r="G246" s="26"/>
      <c r="H246" s="26"/>
      <c r="I246" s="26"/>
      <c r="J246" s="54">
        <f>J18</f>
        <v>988.40000000000009</v>
      </c>
      <c r="K246" s="26"/>
      <c r="L246" s="26"/>
      <c r="N246" s="42"/>
    </row>
    <row r="247" spans="1:16" x14ac:dyDescent="0.35">
      <c r="A247" s="59" t="s">
        <v>62</v>
      </c>
      <c r="B247" s="26"/>
      <c r="C247" s="26"/>
      <c r="D247" s="26"/>
      <c r="E247" s="26"/>
      <c r="F247" s="26"/>
      <c r="G247" s="26"/>
      <c r="H247" s="26"/>
      <c r="I247" s="26"/>
      <c r="J247" s="54"/>
      <c r="K247" s="26"/>
      <c r="L247" s="26"/>
      <c r="N247" s="42"/>
    </row>
    <row r="248" spans="1:16" x14ac:dyDescent="0.35">
      <c r="A248" s="67" t="s">
        <v>64</v>
      </c>
      <c r="B248" s="26"/>
      <c r="C248" s="26"/>
      <c r="D248" s="26"/>
      <c r="E248" s="26"/>
      <c r="F248" s="26"/>
      <c r="G248" s="26"/>
      <c r="H248" s="26"/>
      <c r="I248" s="26"/>
      <c r="J248" s="26"/>
      <c r="K248" s="56">
        <f>K18*0.3</f>
        <v>147</v>
      </c>
      <c r="L248" s="26"/>
      <c r="N248" s="42"/>
    </row>
    <row r="249" spans="1:16" x14ac:dyDescent="0.35">
      <c r="A249" s="67" t="s">
        <v>65</v>
      </c>
      <c r="B249" s="26"/>
      <c r="C249" s="26"/>
      <c r="D249" s="26"/>
      <c r="E249" s="26"/>
      <c r="F249" s="26"/>
      <c r="G249" s="26"/>
      <c r="H249" s="26"/>
      <c r="I249" s="26"/>
      <c r="J249" s="26"/>
      <c r="K249" s="56">
        <f>K18*0.7</f>
        <v>343</v>
      </c>
      <c r="L249" s="26"/>
      <c r="N249" s="42"/>
    </row>
    <row r="250" spans="1:16" ht="15" thickBot="1" x14ac:dyDescent="0.4">
      <c r="A250" s="49" t="s">
        <v>63</v>
      </c>
      <c r="B250" s="50"/>
      <c r="C250" s="50"/>
      <c r="D250" s="50"/>
      <c r="E250" s="50"/>
      <c r="F250" s="50"/>
      <c r="G250" s="50"/>
      <c r="H250" s="50"/>
      <c r="I250" s="50"/>
      <c r="J250" s="50"/>
      <c r="K250" s="50"/>
      <c r="L250" s="55">
        <f>L54</f>
        <v>0</v>
      </c>
      <c r="M250" s="2"/>
      <c r="N250" s="52"/>
    </row>
    <row r="251" spans="1:16" ht="15" thickBot="1" x14ac:dyDescent="0.4"/>
    <row r="252" spans="1:16" x14ac:dyDescent="0.35">
      <c r="A252" s="28"/>
      <c r="B252" s="29"/>
      <c r="C252" s="30" t="s">
        <v>14</v>
      </c>
      <c r="D252" s="31" t="s">
        <v>15</v>
      </c>
      <c r="E252" s="32" t="s">
        <v>16</v>
      </c>
      <c r="F252" s="33" t="s">
        <v>17</v>
      </c>
      <c r="G252" s="30" t="s">
        <v>18</v>
      </c>
      <c r="H252" s="34" t="s">
        <v>19</v>
      </c>
      <c r="I252" s="35" t="s">
        <v>20</v>
      </c>
      <c r="J252" s="36" t="s">
        <v>21</v>
      </c>
      <c r="K252" s="37" t="s">
        <v>22</v>
      </c>
      <c r="L252" s="30" t="s">
        <v>23</v>
      </c>
      <c r="M252" s="38" t="s">
        <v>73</v>
      </c>
      <c r="N252" s="39" t="s">
        <v>68</v>
      </c>
      <c r="O252" s="8"/>
      <c r="P252" s="8"/>
    </row>
    <row r="253" spans="1:16" x14ac:dyDescent="0.35">
      <c r="A253" s="57" t="s">
        <v>72</v>
      </c>
      <c r="M253">
        <f>SUM(B254:L288)</f>
        <v>3120</v>
      </c>
      <c r="N253" s="40">
        <f>M253-M17</f>
        <v>0</v>
      </c>
    </row>
    <row r="254" spans="1:16" x14ac:dyDescent="0.35">
      <c r="A254" s="25" t="s">
        <v>32</v>
      </c>
      <c r="B254" s="26"/>
      <c r="C254" s="53"/>
      <c r="D254" s="26"/>
      <c r="E254" s="26"/>
      <c r="F254" s="26"/>
      <c r="G254" s="26"/>
      <c r="H254" s="26"/>
      <c r="I254" s="26"/>
      <c r="J254" s="26"/>
      <c r="K254" s="26"/>
      <c r="L254" s="26"/>
      <c r="N254" s="42"/>
    </row>
    <row r="255" spans="1:16" x14ac:dyDescent="0.35">
      <c r="A255" s="25" t="s">
        <v>33</v>
      </c>
      <c r="B255" s="26"/>
      <c r="C255" s="53"/>
      <c r="D255" s="26"/>
      <c r="E255" s="26"/>
      <c r="F255" s="26"/>
      <c r="G255" s="26"/>
      <c r="H255" s="26"/>
      <c r="I255" s="26"/>
      <c r="J255" s="26"/>
      <c r="K255" s="26"/>
      <c r="L255" s="26"/>
      <c r="N255" s="42"/>
    </row>
    <row r="256" spans="1:16" x14ac:dyDescent="0.35">
      <c r="A256" s="25" t="s">
        <v>34</v>
      </c>
      <c r="B256" s="26"/>
      <c r="C256" s="53"/>
      <c r="D256" s="26"/>
      <c r="E256" s="26"/>
      <c r="F256" s="26"/>
      <c r="G256" s="26"/>
      <c r="H256" s="26"/>
      <c r="I256" s="26"/>
      <c r="J256" s="26"/>
      <c r="K256" s="26"/>
      <c r="L256" s="26"/>
      <c r="N256" s="42"/>
    </row>
    <row r="257" spans="1:14" x14ac:dyDescent="0.35">
      <c r="A257" s="25" t="s">
        <v>35</v>
      </c>
      <c r="B257" s="26"/>
      <c r="C257" s="53"/>
      <c r="D257" s="26"/>
      <c r="E257" s="26"/>
      <c r="F257" s="26"/>
      <c r="G257" s="26"/>
      <c r="H257" s="26"/>
      <c r="I257" s="26"/>
      <c r="J257" s="26"/>
      <c r="K257" s="26"/>
      <c r="L257" s="26"/>
      <c r="N257" s="42"/>
    </row>
    <row r="258" spans="1:14" x14ac:dyDescent="0.35">
      <c r="A258" s="25" t="s">
        <v>36</v>
      </c>
      <c r="B258" s="26"/>
      <c r="C258" s="53"/>
      <c r="D258" s="26"/>
      <c r="E258" s="26"/>
      <c r="F258" s="26"/>
      <c r="G258" s="26"/>
      <c r="H258" s="26"/>
      <c r="I258" s="26"/>
      <c r="J258" s="26"/>
      <c r="K258" s="26"/>
      <c r="L258" s="26"/>
      <c r="N258" s="42"/>
    </row>
    <row r="259" spans="1:14" x14ac:dyDescent="0.35">
      <c r="A259" s="58" t="s">
        <v>37</v>
      </c>
      <c r="B259" s="26"/>
      <c r="C259" s="26"/>
      <c r="D259" s="43">
        <f>D200*0.7</f>
        <v>0</v>
      </c>
      <c r="E259" s="26"/>
      <c r="F259" s="26"/>
      <c r="G259" s="26"/>
      <c r="H259" s="26"/>
      <c r="I259" s="26"/>
      <c r="J259" s="26"/>
      <c r="K259" s="26"/>
      <c r="L259" s="26"/>
      <c r="N259" s="42"/>
    </row>
    <row r="260" spans="1:14" x14ac:dyDescent="0.35">
      <c r="A260" s="58" t="s">
        <v>38</v>
      </c>
      <c r="B260" s="26"/>
      <c r="C260" s="26"/>
      <c r="D260" s="43">
        <f>D165</f>
        <v>0</v>
      </c>
      <c r="E260" s="26"/>
      <c r="F260" s="26"/>
      <c r="G260" s="26"/>
      <c r="H260" s="26"/>
      <c r="I260" s="26"/>
      <c r="J260" s="26"/>
      <c r="K260" s="26"/>
      <c r="L260" s="26"/>
      <c r="N260" s="42"/>
    </row>
    <row r="261" spans="1:14" x14ac:dyDescent="0.35">
      <c r="A261" s="59" t="s">
        <v>39</v>
      </c>
      <c r="B261" s="26"/>
      <c r="C261" s="26"/>
      <c r="D261" s="26"/>
      <c r="E261" s="72">
        <f>E17</f>
        <v>240</v>
      </c>
      <c r="F261" s="26"/>
      <c r="G261" s="26"/>
      <c r="H261" s="26"/>
      <c r="I261" s="26"/>
      <c r="J261" s="26"/>
      <c r="K261" s="26"/>
      <c r="L261" s="26"/>
      <c r="N261" s="42"/>
    </row>
    <row r="262" spans="1:14" x14ac:dyDescent="0.35">
      <c r="A262" s="61" t="s">
        <v>40</v>
      </c>
      <c r="B262" s="26"/>
      <c r="C262" s="26"/>
      <c r="D262" s="26"/>
      <c r="E262" s="26"/>
      <c r="F262" s="44">
        <f>F200*0.6</f>
        <v>0</v>
      </c>
      <c r="G262" s="26"/>
      <c r="H262" s="26"/>
      <c r="I262" s="26"/>
      <c r="J262" s="26"/>
      <c r="K262" s="26"/>
      <c r="L262" s="26"/>
      <c r="N262" s="42"/>
    </row>
    <row r="263" spans="1:14" x14ac:dyDescent="0.35">
      <c r="A263" s="61" t="s">
        <v>41</v>
      </c>
      <c r="B263" s="26"/>
      <c r="C263" s="26"/>
      <c r="D263" s="26"/>
      <c r="E263" s="26"/>
      <c r="F263" s="44">
        <f>F165</f>
        <v>0</v>
      </c>
      <c r="G263" s="26"/>
      <c r="H263" s="26"/>
      <c r="I263" s="26"/>
      <c r="J263" s="26"/>
      <c r="K263" s="26"/>
      <c r="L263" s="26"/>
      <c r="N263" s="42"/>
    </row>
    <row r="264" spans="1:14" x14ac:dyDescent="0.35">
      <c r="A264" s="25" t="s">
        <v>18</v>
      </c>
      <c r="B264" s="26"/>
      <c r="C264" s="26"/>
      <c r="D264" s="26"/>
      <c r="E264" s="26"/>
      <c r="F264" s="26"/>
      <c r="G264" s="62"/>
      <c r="H264" s="26"/>
      <c r="I264" s="26"/>
      <c r="J264" s="26"/>
      <c r="K264" s="26"/>
      <c r="L264" s="26"/>
      <c r="N264" s="42"/>
    </row>
    <row r="265" spans="1:14" x14ac:dyDescent="0.35">
      <c r="A265" s="63" t="s">
        <v>42</v>
      </c>
      <c r="B265" s="26"/>
      <c r="C265" s="26"/>
      <c r="D265" s="26"/>
      <c r="E265" s="26"/>
      <c r="F265" s="26"/>
      <c r="G265" s="26"/>
      <c r="H265" s="71">
        <f>H17</f>
        <v>2880</v>
      </c>
      <c r="I265" s="26"/>
      <c r="J265" s="26"/>
      <c r="K265" s="26"/>
      <c r="L265" s="26"/>
      <c r="N265" s="42"/>
    </row>
    <row r="266" spans="1:14" x14ac:dyDescent="0.35">
      <c r="A266" s="65" t="s">
        <v>43</v>
      </c>
      <c r="B266" s="26"/>
      <c r="C266" s="26"/>
      <c r="D266" s="26"/>
      <c r="E266" s="26"/>
      <c r="F266" s="26"/>
      <c r="G266" s="26"/>
      <c r="H266" s="26"/>
      <c r="I266" s="45"/>
      <c r="J266" s="26"/>
      <c r="K266" s="26"/>
      <c r="L266" s="26"/>
      <c r="N266" s="42"/>
    </row>
    <row r="267" spans="1:14" x14ac:dyDescent="0.35">
      <c r="A267" s="65" t="s">
        <v>44</v>
      </c>
      <c r="B267" s="26"/>
      <c r="C267" s="26"/>
      <c r="D267" s="26"/>
      <c r="E267" s="26"/>
      <c r="F267" s="26"/>
      <c r="G267" s="26"/>
      <c r="H267" s="26"/>
      <c r="I267" s="45"/>
      <c r="J267" s="26"/>
      <c r="K267" s="26"/>
      <c r="L267" s="26"/>
      <c r="N267" s="42"/>
    </row>
    <row r="268" spans="1:14" x14ac:dyDescent="0.35">
      <c r="A268" s="65" t="s">
        <v>45</v>
      </c>
      <c r="B268" s="26"/>
      <c r="C268" s="26"/>
      <c r="D268" s="26"/>
      <c r="E268" s="26"/>
      <c r="F268" s="26"/>
      <c r="G268" s="26"/>
      <c r="H268" s="26"/>
      <c r="I268" s="45"/>
      <c r="J268" s="26"/>
      <c r="K268" s="26"/>
      <c r="L268" s="26"/>
      <c r="N268" s="42"/>
    </row>
    <row r="269" spans="1:14" x14ac:dyDescent="0.35">
      <c r="A269" s="65" t="s">
        <v>46</v>
      </c>
      <c r="B269" s="26"/>
      <c r="C269" s="26"/>
      <c r="D269" s="26"/>
      <c r="E269" s="26"/>
      <c r="F269" s="26"/>
      <c r="G269" s="46"/>
      <c r="H269" s="26"/>
      <c r="I269" s="45"/>
      <c r="J269" s="26"/>
      <c r="K269" s="26"/>
      <c r="L269" s="26"/>
      <c r="N269" s="42"/>
    </row>
    <row r="270" spans="1:14" x14ac:dyDescent="0.35">
      <c r="A270" s="65" t="s">
        <v>47</v>
      </c>
      <c r="B270" s="26"/>
      <c r="C270" s="26"/>
      <c r="D270" s="26"/>
      <c r="E270" s="26"/>
      <c r="F270" s="26"/>
      <c r="G270" s="26"/>
      <c r="H270" s="26"/>
      <c r="I270" s="45"/>
      <c r="J270" s="26"/>
      <c r="K270" s="26"/>
      <c r="L270" s="26"/>
      <c r="N270" s="42"/>
    </row>
    <row r="271" spans="1:14" x14ac:dyDescent="0.35">
      <c r="A271" s="65" t="s">
        <v>48</v>
      </c>
      <c r="B271" s="26"/>
      <c r="C271" s="26"/>
      <c r="D271" s="26"/>
      <c r="E271" s="26"/>
      <c r="F271" s="26"/>
      <c r="G271" s="26"/>
      <c r="H271" s="26"/>
      <c r="I271" s="45"/>
      <c r="J271" s="26"/>
      <c r="K271" s="26"/>
      <c r="L271" s="26"/>
      <c r="N271" s="42"/>
    </row>
    <row r="272" spans="1:14" x14ac:dyDescent="0.35">
      <c r="A272" s="65" t="s">
        <v>49</v>
      </c>
      <c r="B272" s="26"/>
      <c r="C272" s="26"/>
      <c r="D272" s="26"/>
      <c r="E272" s="26"/>
      <c r="F272" s="26"/>
      <c r="G272" s="26"/>
      <c r="H272" s="26"/>
      <c r="I272" s="45"/>
      <c r="J272" s="26"/>
      <c r="K272" s="26"/>
      <c r="L272" s="26"/>
      <c r="N272" s="42"/>
    </row>
    <row r="273" spans="1:14" x14ac:dyDescent="0.35">
      <c r="A273" s="65" t="s">
        <v>50</v>
      </c>
      <c r="B273" s="26"/>
      <c r="C273" s="26"/>
      <c r="D273" s="26"/>
      <c r="E273" s="26"/>
      <c r="F273" s="26"/>
      <c r="G273" s="26"/>
      <c r="H273" s="26"/>
      <c r="I273" s="45"/>
      <c r="J273" s="26"/>
      <c r="K273" s="26"/>
      <c r="L273" s="26"/>
      <c r="N273" s="42"/>
    </row>
    <row r="274" spans="1:14" x14ac:dyDescent="0.35">
      <c r="A274" s="65" t="s">
        <v>51</v>
      </c>
      <c r="B274" s="26"/>
      <c r="C274" s="26"/>
      <c r="D274" s="26"/>
      <c r="E274" s="26"/>
      <c r="F274" s="26"/>
      <c r="G274" s="26"/>
      <c r="H274" s="26"/>
      <c r="I274" s="45">
        <f>I165</f>
        <v>0</v>
      </c>
      <c r="J274" s="26"/>
      <c r="K274" s="26"/>
      <c r="L274" s="26"/>
      <c r="N274" s="42"/>
    </row>
    <row r="275" spans="1:14" x14ac:dyDescent="0.35">
      <c r="A275" s="59" t="s">
        <v>52</v>
      </c>
      <c r="B275" s="26"/>
      <c r="C275" s="26"/>
      <c r="D275" s="26"/>
      <c r="E275" s="26"/>
      <c r="F275" s="26"/>
      <c r="G275" s="26"/>
      <c r="H275" s="26"/>
      <c r="I275" s="26"/>
      <c r="J275" s="54"/>
      <c r="K275" s="26"/>
      <c r="L275" s="26"/>
      <c r="N275" s="42"/>
    </row>
    <row r="276" spans="1:14" x14ac:dyDescent="0.35">
      <c r="A276" s="59" t="s">
        <v>53</v>
      </c>
      <c r="B276" s="26"/>
      <c r="C276" s="26"/>
      <c r="D276" s="26"/>
      <c r="E276" s="26"/>
      <c r="F276" s="26"/>
      <c r="G276" s="26"/>
      <c r="H276" s="26"/>
      <c r="I276" s="26"/>
      <c r="J276" s="54"/>
      <c r="K276" s="26"/>
      <c r="L276" s="26"/>
      <c r="N276" s="42"/>
    </row>
    <row r="277" spans="1:14" x14ac:dyDescent="0.35">
      <c r="A277" s="59" t="s">
        <v>54</v>
      </c>
      <c r="B277" s="26"/>
      <c r="C277" s="26"/>
      <c r="D277" s="26"/>
      <c r="E277" s="26"/>
      <c r="F277" s="26"/>
      <c r="G277" s="26"/>
      <c r="H277" s="26"/>
      <c r="I277" s="26"/>
      <c r="J277" s="54"/>
      <c r="K277" s="26"/>
      <c r="L277" s="26"/>
      <c r="N277" s="42"/>
    </row>
    <row r="278" spans="1:14" x14ac:dyDescent="0.35">
      <c r="A278" s="59" t="s">
        <v>55</v>
      </c>
      <c r="B278" s="26"/>
      <c r="C278" s="26"/>
      <c r="D278" s="26"/>
      <c r="E278" s="26"/>
      <c r="F278" s="26"/>
      <c r="G278" s="26"/>
      <c r="H278" s="26"/>
      <c r="I278" s="26"/>
      <c r="J278" s="54"/>
      <c r="K278" s="26"/>
      <c r="L278" s="26"/>
      <c r="N278" s="42"/>
    </row>
    <row r="279" spans="1:14" x14ac:dyDescent="0.35">
      <c r="A279" s="59" t="s">
        <v>56</v>
      </c>
      <c r="B279" s="26"/>
      <c r="C279" s="26"/>
      <c r="D279" s="26"/>
      <c r="E279" s="26"/>
      <c r="F279" s="26"/>
      <c r="G279" s="26"/>
      <c r="H279" s="26"/>
      <c r="I279" s="26"/>
      <c r="J279" s="54"/>
      <c r="K279" s="26"/>
      <c r="L279" s="26"/>
      <c r="N279" s="42"/>
    </row>
    <row r="280" spans="1:14" x14ac:dyDescent="0.35">
      <c r="A280" s="59" t="s">
        <v>57</v>
      </c>
      <c r="B280" s="26"/>
      <c r="C280" s="26"/>
      <c r="D280" s="26"/>
      <c r="E280" s="26"/>
      <c r="F280" s="26"/>
      <c r="G280" s="26"/>
      <c r="H280" s="26"/>
      <c r="I280" s="26"/>
      <c r="J280" s="54"/>
      <c r="K280" s="26"/>
      <c r="L280" s="26"/>
      <c r="N280" s="42"/>
    </row>
    <row r="281" spans="1:14" x14ac:dyDescent="0.35">
      <c r="A281" s="59" t="s">
        <v>58</v>
      </c>
      <c r="B281" s="26"/>
      <c r="C281" s="26"/>
      <c r="D281" s="26"/>
      <c r="E281" s="26"/>
      <c r="F281" s="26"/>
      <c r="G281" s="26"/>
      <c r="H281" s="26"/>
      <c r="I281" s="26"/>
      <c r="J281" s="54"/>
      <c r="K281" s="26"/>
      <c r="L281" s="26"/>
      <c r="N281" s="42"/>
    </row>
    <row r="282" spans="1:14" x14ac:dyDescent="0.35">
      <c r="A282" s="59" t="s">
        <v>59</v>
      </c>
      <c r="B282" s="26"/>
      <c r="C282" s="26"/>
      <c r="D282" s="26"/>
      <c r="E282" s="26"/>
      <c r="F282" s="26"/>
      <c r="G282" s="26"/>
      <c r="H282" s="26"/>
      <c r="I282" s="26"/>
      <c r="J282" s="54"/>
      <c r="K282" s="26"/>
      <c r="L282" s="26"/>
      <c r="N282" s="42"/>
    </row>
    <row r="283" spans="1:14" x14ac:dyDescent="0.35">
      <c r="A283" s="59" t="s">
        <v>60</v>
      </c>
      <c r="B283" s="26"/>
      <c r="C283" s="26"/>
      <c r="D283" s="26"/>
      <c r="E283" s="26"/>
      <c r="F283" s="26"/>
      <c r="G283" s="26"/>
      <c r="H283" s="26"/>
      <c r="I283" s="26"/>
      <c r="J283" s="54"/>
      <c r="K283" s="26"/>
      <c r="L283" s="26"/>
      <c r="N283" s="42"/>
    </row>
    <row r="284" spans="1:14" x14ac:dyDescent="0.35">
      <c r="A284" s="59" t="s">
        <v>61</v>
      </c>
      <c r="B284" s="26"/>
      <c r="C284" s="26"/>
      <c r="D284" s="26"/>
      <c r="E284" s="26"/>
      <c r="F284" s="26"/>
      <c r="G284" s="26"/>
      <c r="H284" s="26"/>
      <c r="I284" s="26"/>
      <c r="J284" s="54">
        <f>J55</f>
        <v>0</v>
      </c>
      <c r="K284" s="26"/>
      <c r="L284" s="26"/>
      <c r="N284" s="42"/>
    </row>
    <row r="285" spans="1:14" x14ac:dyDescent="0.35">
      <c r="A285" s="59" t="s">
        <v>62</v>
      </c>
      <c r="B285" s="26"/>
      <c r="C285" s="26"/>
      <c r="D285" s="26"/>
      <c r="E285" s="26"/>
      <c r="F285" s="26"/>
      <c r="G285" s="26"/>
      <c r="H285" s="26"/>
      <c r="I285" s="26"/>
      <c r="J285" s="54"/>
      <c r="K285" s="26"/>
      <c r="L285" s="26"/>
      <c r="N285" s="42"/>
    </row>
    <row r="286" spans="1:14" x14ac:dyDescent="0.35">
      <c r="A286" s="67" t="s">
        <v>64</v>
      </c>
      <c r="B286" s="26"/>
      <c r="C286" s="26"/>
      <c r="D286" s="26"/>
      <c r="E286" s="26"/>
      <c r="F286" s="26"/>
      <c r="G286" s="26"/>
      <c r="H286" s="26"/>
      <c r="I286" s="26"/>
      <c r="J286" s="26"/>
      <c r="K286" s="56">
        <f>K55*0.3</f>
        <v>0</v>
      </c>
      <c r="L286" s="26"/>
      <c r="N286" s="42"/>
    </row>
    <row r="287" spans="1:14" x14ac:dyDescent="0.35">
      <c r="A287" s="67" t="s">
        <v>65</v>
      </c>
      <c r="B287" s="26"/>
      <c r="C287" s="26"/>
      <c r="D287" s="26"/>
      <c r="E287" s="26"/>
      <c r="F287" s="26"/>
      <c r="G287" s="26"/>
      <c r="H287" s="26"/>
      <c r="I287" s="26"/>
      <c r="J287" s="26"/>
      <c r="K287" s="56">
        <f>K55*0.7</f>
        <v>0</v>
      </c>
      <c r="L287" s="26"/>
      <c r="N287" s="42"/>
    </row>
    <row r="288" spans="1:14" ht="15" thickBot="1" x14ac:dyDescent="0.4">
      <c r="A288" s="49" t="s">
        <v>63</v>
      </c>
      <c r="B288" s="50"/>
      <c r="C288" s="50"/>
      <c r="D288" s="50"/>
      <c r="E288" s="50"/>
      <c r="F288" s="50"/>
      <c r="G288" s="50"/>
      <c r="H288" s="50"/>
      <c r="I288" s="50"/>
      <c r="J288" s="50"/>
      <c r="K288" s="50"/>
      <c r="L288" s="55">
        <f>L91</f>
        <v>0</v>
      </c>
      <c r="M288" s="2"/>
      <c r="N288" s="52"/>
    </row>
  </sheetData>
  <mergeCells count="1">
    <mergeCell ref="A2:M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DAF5-0E1F-488B-8498-4D74B26E104C}">
  <dimension ref="A1:Z310"/>
  <sheetViews>
    <sheetView tabSelected="1" topLeftCell="N40" zoomScale="59" zoomScaleNormal="80" workbookViewId="0">
      <selection activeCell="P69" sqref="P69:Z69"/>
    </sheetView>
  </sheetViews>
  <sheetFormatPr defaultRowHeight="14.5" x14ac:dyDescent="0.35"/>
  <cols>
    <col min="1" max="1" width="29.453125" customWidth="1"/>
    <col min="2" max="2" width="13.26953125" bestFit="1" customWidth="1"/>
    <col min="3" max="3" width="14.453125" bestFit="1" customWidth="1"/>
    <col min="4" max="4" width="13.1796875" bestFit="1" customWidth="1"/>
    <col min="5" max="5" width="11.7265625" customWidth="1"/>
    <col min="6" max="6" width="14.08984375" bestFit="1" customWidth="1"/>
    <col min="7" max="7" width="14.26953125" bestFit="1" customWidth="1"/>
    <col min="8" max="8" width="17" bestFit="1" customWidth="1"/>
    <col min="9" max="9" width="15.36328125" bestFit="1" customWidth="1"/>
    <col min="10" max="10" width="13.08984375" bestFit="1" customWidth="1"/>
    <col min="11" max="11" width="10.90625" bestFit="1" customWidth="1"/>
    <col min="12" max="12" width="24.36328125" customWidth="1"/>
    <col min="15" max="15" width="24.7265625" customWidth="1"/>
    <col min="16" max="16" width="32.1796875" customWidth="1"/>
    <col min="17" max="19" width="14.54296875" bestFit="1" customWidth="1"/>
    <col min="20" max="20" width="25.7265625" customWidth="1"/>
    <col min="21" max="26" width="17.1796875" bestFit="1" customWidth="1"/>
  </cols>
  <sheetData>
    <row r="1" spans="1:23" ht="19.5" x14ac:dyDescent="0.45">
      <c r="A1" s="77" t="s">
        <v>88</v>
      </c>
      <c r="B1" s="4"/>
      <c r="C1" s="4"/>
      <c r="O1" s="123"/>
      <c r="P1" s="124" t="s">
        <v>97</v>
      </c>
      <c r="Q1" s="125" t="s">
        <v>77</v>
      </c>
    </row>
    <row r="2" spans="1:23" x14ac:dyDescent="0.35">
      <c r="A2" t="s">
        <v>74</v>
      </c>
      <c r="B2" s="12"/>
      <c r="C2" s="4"/>
      <c r="O2" s="126" t="s">
        <v>3</v>
      </c>
      <c r="P2" s="127">
        <f>L47</f>
        <v>3511373255.9719181</v>
      </c>
      <c r="Q2" s="128">
        <f>P2/SUM($P$2:$P$8)</f>
        <v>0.53118086434517042</v>
      </c>
    </row>
    <row r="3" spans="1:23" x14ac:dyDescent="0.35">
      <c r="B3" s="4"/>
      <c r="C3" s="4"/>
      <c r="O3" s="126" t="s">
        <v>4</v>
      </c>
      <c r="P3" s="127">
        <f>L85</f>
        <v>1612009532.9486663</v>
      </c>
      <c r="Q3" s="128">
        <f t="shared" ref="Q3:Q8" si="0">P3/SUM($P$2:$P$8)</f>
        <v>0.24385576656883182</v>
      </c>
    </row>
    <row r="4" spans="1:23" x14ac:dyDescent="0.35">
      <c r="A4" s="119" t="s">
        <v>86</v>
      </c>
      <c r="B4" t="s">
        <v>89</v>
      </c>
      <c r="L4" t="s">
        <v>12</v>
      </c>
      <c r="M4" s="17"/>
      <c r="O4" s="126" t="s">
        <v>5</v>
      </c>
      <c r="P4" s="127">
        <f>L123</f>
        <v>255526968.13013703</v>
      </c>
      <c r="Q4" s="128">
        <f t="shared" si="0"/>
        <v>3.8654687468506622E-2</v>
      </c>
    </row>
    <row r="5" spans="1:23" ht="29" x14ac:dyDescent="0.35">
      <c r="A5" s="27" t="s">
        <v>87</v>
      </c>
      <c r="B5" s="97" t="s">
        <v>14</v>
      </c>
      <c r="C5" s="98" t="s">
        <v>15</v>
      </c>
      <c r="D5" s="99" t="s">
        <v>16</v>
      </c>
      <c r="E5" s="100" t="s">
        <v>17</v>
      </c>
      <c r="F5" s="97" t="s">
        <v>18</v>
      </c>
      <c r="G5" s="101" t="s">
        <v>19</v>
      </c>
      <c r="H5" s="102" t="s">
        <v>20</v>
      </c>
      <c r="I5" s="103" t="s">
        <v>21</v>
      </c>
      <c r="J5" s="104" t="s">
        <v>22</v>
      </c>
      <c r="K5" s="97" t="s">
        <v>23</v>
      </c>
      <c r="L5" s="74"/>
      <c r="M5" s="76"/>
      <c r="N5" s="74"/>
      <c r="O5" s="126" t="s">
        <v>6</v>
      </c>
      <c r="P5" s="127">
        <f>L161</f>
        <v>366428528.20339531</v>
      </c>
      <c r="Q5" s="128">
        <f t="shared" si="0"/>
        <v>5.5431253855105618E-2</v>
      </c>
    </row>
    <row r="6" spans="1:23" x14ac:dyDescent="0.35">
      <c r="A6" s="27" t="s">
        <v>90</v>
      </c>
      <c r="B6" s="120">
        <f>SUM(B7:B41)</f>
        <v>154721</v>
      </c>
      <c r="C6" s="120">
        <f t="shared" ref="C6:K6" si="1">SUM(C7:C41)</f>
        <v>57744</v>
      </c>
      <c r="D6" s="120">
        <f t="shared" si="1"/>
        <v>23200</v>
      </c>
      <c r="E6" s="120">
        <f t="shared" si="1"/>
        <v>142803.01369863015</v>
      </c>
      <c r="F6" s="120">
        <f t="shared" si="1"/>
        <v>0</v>
      </c>
      <c r="G6" s="120">
        <f t="shared" si="1"/>
        <v>26669.800000000367</v>
      </c>
      <c r="H6" s="120">
        <f>SUM(H7:H41)</f>
        <v>919678.19452054799</v>
      </c>
      <c r="I6" s="120">
        <f t="shared" si="1"/>
        <v>752482.77002378902</v>
      </c>
      <c r="J6" s="120">
        <f t="shared" si="1"/>
        <v>40788.317808219181</v>
      </c>
      <c r="K6" s="120">
        <f t="shared" si="1"/>
        <v>36800</v>
      </c>
      <c r="L6" s="74"/>
      <c r="M6" s="76"/>
      <c r="N6" s="73"/>
      <c r="O6" s="126" t="s">
        <v>7</v>
      </c>
      <c r="P6" s="127">
        <f>L199</f>
        <v>765981502.55120599</v>
      </c>
      <c r="Q6" s="128">
        <f>P6/SUM($P$2:$P$8)</f>
        <v>0.11587338825502973</v>
      </c>
    </row>
    <row r="7" spans="1:23" x14ac:dyDescent="0.35">
      <c r="A7" s="25" t="s">
        <v>32</v>
      </c>
      <c r="B7" s="78">
        <v>48333</v>
      </c>
      <c r="C7" s="79"/>
      <c r="D7" s="79"/>
      <c r="E7" s="79"/>
      <c r="F7" s="79"/>
      <c r="G7" s="79"/>
      <c r="H7" s="79"/>
      <c r="I7" s="79"/>
      <c r="J7" s="79"/>
      <c r="K7" s="79"/>
      <c r="L7" s="73">
        <f>SUM(B7:K7)</f>
        <v>48333</v>
      </c>
      <c r="M7" s="75"/>
      <c r="N7" s="73"/>
      <c r="O7" s="126" t="s">
        <v>9</v>
      </c>
      <c r="P7" s="127">
        <f>L237</f>
        <v>16807239.956164386</v>
      </c>
      <c r="Q7" s="128">
        <f t="shared" si="0"/>
        <v>2.5425050532547201E-3</v>
      </c>
    </row>
    <row r="8" spans="1:23" ht="15" thickBot="1" x14ac:dyDescent="0.4">
      <c r="A8" s="25" t="s">
        <v>33</v>
      </c>
      <c r="B8" s="78">
        <v>48333</v>
      </c>
      <c r="C8" s="75"/>
      <c r="D8" s="75"/>
      <c r="E8" s="75"/>
      <c r="F8" s="75"/>
      <c r="G8" s="75"/>
      <c r="H8" s="75"/>
      <c r="I8" s="75"/>
      <c r="J8" s="75"/>
      <c r="K8" s="75"/>
      <c r="L8" s="73">
        <f t="shared" ref="L8:L41" si="2">SUM(B8:K8)</f>
        <v>48333</v>
      </c>
      <c r="M8" s="75"/>
      <c r="N8" s="73"/>
      <c r="O8" s="129" t="s">
        <v>8</v>
      </c>
      <c r="P8" s="130">
        <f>L275</f>
        <v>82377024.000001058</v>
      </c>
      <c r="Q8" s="131">
        <f t="shared" si="0"/>
        <v>1.2461534454101154E-2</v>
      </c>
    </row>
    <row r="9" spans="1:23" x14ac:dyDescent="0.35">
      <c r="A9" s="25" t="s">
        <v>34</v>
      </c>
      <c r="B9" s="78">
        <v>5948</v>
      </c>
      <c r="C9" s="75"/>
      <c r="D9" s="75"/>
      <c r="E9" s="75"/>
      <c r="F9" s="75"/>
      <c r="G9" s="75"/>
      <c r="H9" s="75"/>
      <c r="I9" s="75"/>
      <c r="J9" s="75"/>
      <c r="K9" s="75"/>
      <c r="L9" s="73">
        <f t="shared" si="2"/>
        <v>5948</v>
      </c>
      <c r="M9" s="75"/>
      <c r="N9" s="73"/>
    </row>
    <row r="10" spans="1:23" x14ac:dyDescent="0.35">
      <c r="A10" s="25" t="s">
        <v>35</v>
      </c>
      <c r="B10" s="78">
        <v>18838</v>
      </c>
      <c r="C10" s="75"/>
      <c r="D10" s="75"/>
      <c r="E10" s="75"/>
      <c r="F10" s="75"/>
      <c r="G10" s="75"/>
      <c r="H10" s="75"/>
      <c r="I10" s="75"/>
      <c r="J10" s="75"/>
      <c r="K10" s="75"/>
      <c r="L10" s="73">
        <f t="shared" si="2"/>
        <v>18838</v>
      </c>
      <c r="M10" s="75"/>
      <c r="N10" s="73"/>
      <c r="O10" t="s">
        <v>91</v>
      </c>
    </row>
    <row r="11" spans="1:23" x14ac:dyDescent="0.35">
      <c r="A11" s="25" t="s">
        <v>36</v>
      </c>
      <c r="B11" s="78">
        <v>33269</v>
      </c>
      <c r="C11" s="75"/>
      <c r="D11" s="75"/>
      <c r="E11" s="75"/>
      <c r="F11" s="75"/>
      <c r="G11" s="75"/>
      <c r="H11" s="75"/>
      <c r="I11" s="75"/>
      <c r="J11" s="75"/>
      <c r="K11" s="75"/>
      <c r="L11" s="73">
        <f t="shared" si="2"/>
        <v>33269</v>
      </c>
      <c r="M11" s="75"/>
      <c r="N11" s="73"/>
      <c r="P11" s="27" t="s">
        <v>92</v>
      </c>
      <c r="Q11" s="27" t="s">
        <v>28</v>
      </c>
      <c r="R11" s="27" t="s">
        <v>67</v>
      </c>
      <c r="S11" s="27" t="s">
        <v>69</v>
      </c>
      <c r="T11" s="27" t="s">
        <v>70</v>
      </c>
      <c r="U11" s="27" t="s">
        <v>93</v>
      </c>
      <c r="V11" s="27" t="s">
        <v>72</v>
      </c>
      <c r="W11" t="s">
        <v>94</v>
      </c>
    </row>
    <row r="12" spans="1:23" x14ac:dyDescent="0.35">
      <c r="A12" s="58" t="s">
        <v>37</v>
      </c>
      <c r="B12" s="75"/>
      <c r="C12" s="80">
        <v>45166</v>
      </c>
      <c r="D12" s="75"/>
      <c r="E12" s="75"/>
      <c r="F12" s="75"/>
      <c r="G12" s="75"/>
      <c r="H12" s="75"/>
      <c r="I12" s="75"/>
      <c r="J12" s="75"/>
      <c r="K12" s="75"/>
      <c r="L12" s="73">
        <f t="shared" si="2"/>
        <v>45166</v>
      </c>
      <c r="M12" s="75"/>
      <c r="N12" s="73"/>
      <c r="O12">
        <v>2000</v>
      </c>
      <c r="P12">
        <v>8.4531258028182718E-2</v>
      </c>
      <c r="Q12">
        <v>0.21957634881310559</v>
      </c>
      <c r="R12">
        <v>0.18236837273913811</v>
      </c>
      <c r="S12">
        <v>0.12420986939759163</v>
      </c>
      <c r="T12">
        <v>0.38124623419007686</v>
      </c>
      <c r="U12">
        <v>2.1645630524623361E-3</v>
      </c>
      <c r="V12">
        <v>5.9033537794427344E-3</v>
      </c>
      <c r="W12">
        <v>1</v>
      </c>
    </row>
    <row r="13" spans="1:23" x14ac:dyDescent="0.35">
      <c r="A13" s="58" t="s">
        <v>38</v>
      </c>
      <c r="B13" s="75"/>
      <c r="C13" s="80">
        <v>12578</v>
      </c>
      <c r="D13" s="75"/>
      <c r="E13" s="75"/>
      <c r="F13" s="75"/>
      <c r="G13" s="75"/>
      <c r="H13" s="75"/>
      <c r="I13" s="75"/>
      <c r="J13" s="75"/>
      <c r="K13" s="75"/>
      <c r="L13" s="73">
        <f t="shared" si="2"/>
        <v>12578</v>
      </c>
      <c r="M13" s="75"/>
      <c r="N13" s="73"/>
      <c r="O13">
        <v>2005</v>
      </c>
      <c r="P13">
        <v>8.4531258028182718E-2</v>
      </c>
      <c r="Q13">
        <v>0.21957634881310559</v>
      </c>
      <c r="R13">
        <v>0.18236837273913811</v>
      </c>
      <c r="S13">
        <v>0.12420986939759163</v>
      </c>
      <c r="T13">
        <v>0.38124623419007686</v>
      </c>
      <c r="U13">
        <v>2.1645630524623361E-3</v>
      </c>
      <c r="V13">
        <v>5.9033537794427344E-3</v>
      </c>
      <c r="W13">
        <v>1</v>
      </c>
    </row>
    <row r="14" spans="1:23" x14ac:dyDescent="0.35">
      <c r="A14" s="59" t="s">
        <v>39</v>
      </c>
      <c r="B14" s="75"/>
      <c r="C14" s="75"/>
      <c r="D14" s="81">
        <v>23200</v>
      </c>
      <c r="E14" s="75"/>
      <c r="F14" s="75"/>
      <c r="G14" s="75"/>
      <c r="H14" s="75"/>
      <c r="I14" s="75"/>
      <c r="J14" s="75"/>
      <c r="K14" s="75"/>
      <c r="L14" s="73">
        <f t="shared" si="2"/>
        <v>23200</v>
      </c>
      <c r="M14" s="75"/>
      <c r="N14" s="73"/>
      <c r="O14">
        <v>2010</v>
      </c>
      <c r="P14">
        <v>9.4563620722667607E-2</v>
      </c>
      <c r="Q14">
        <v>0.2171700737876153</v>
      </c>
      <c r="R14">
        <v>0.18036984938662984</v>
      </c>
      <c r="S14">
        <v>0.12284868861347524</v>
      </c>
      <c r="T14">
        <v>0.37706826467353916</v>
      </c>
      <c r="U14">
        <v>2.140842218946371E-3</v>
      </c>
      <c r="V14">
        <v>5.8386605971264662E-3</v>
      </c>
      <c r="W14">
        <v>0.99999999999999989</v>
      </c>
    </row>
    <row r="15" spans="1:23" x14ac:dyDescent="0.35">
      <c r="A15" s="61" t="s">
        <v>40</v>
      </c>
      <c r="B15" s="75"/>
      <c r="C15" s="75"/>
      <c r="D15" s="75"/>
      <c r="E15" s="82">
        <v>79400</v>
      </c>
      <c r="F15" s="75"/>
      <c r="G15" s="75"/>
      <c r="H15" s="75"/>
      <c r="I15" s="75"/>
      <c r="J15" s="75"/>
      <c r="K15" s="75"/>
      <c r="L15" s="73">
        <f t="shared" si="2"/>
        <v>79400</v>
      </c>
      <c r="M15" s="75"/>
      <c r="N15" s="73"/>
      <c r="O15">
        <v>2015</v>
      </c>
      <c r="P15">
        <v>0.14730409248981369</v>
      </c>
      <c r="Q15">
        <v>0.20151971583499326</v>
      </c>
      <c r="R15">
        <v>0.1673714990268011</v>
      </c>
      <c r="S15">
        <v>0.11399559980027461</v>
      </c>
      <c r="T15">
        <v>0.34989484610903598</v>
      </c>
      <c r="U15">
        <v>1.9865624581015917E-3</v>
      </c>
      <c r="V15">
        <v>1.7927684280979749E-2</v>
      </c>
      <c r="W15">
        <v>1</v>
      </c>
    </row>
    <row r="16" spans="1:23" x14ac:dyDescent="0.35">
      <c r="A16" s="61" t="s">
        <v>41</v>
      </c>
      <c r="B16" s="75"/>
      <c r="C16" s="75"/>
      <c r="D16" s="75"/>
      <c r="E16" s="82">
        <v>63403.013698630137</v>
      </c>
      <c r="F16" s="75"/>
      <c r="G16" s="75"/>
      <c r="H16" s="75"/>
      <c r="I16" s="75"/>
      <c r="J16" s="75"/>
      <c r="K16" s="75"/>
      <c r="L16" s="73">
        <f t="shared" si="2"/>
        <v>63403.013698630137</v>
      </c>
      <c r="M16" s="75"/>
      <c r="N16" s="73"/>
      <c r="O16">
        <v>2020</v>
      </c>
      <c r="P16">
        <v>0.14730409248981369</v>
      </c>
      <c r="Q16">
        <v>0.20151971583499326</v>
      </c>
      <c r="R16">
        <v>0.1673714990268011</v>
      </c>
      <c r="S16">
        <v>0.11399559980027461</v>
      </c>
      <c r="T16">
        <v>0.34989484610903598</v>
      </c>
      <c r="U16">
        <v>1.9865624581015917E-3</v>
      </c>
      <c r="V16">
        <v>1.7927684280979749E-2</v>
      </c>
      <c r="W16">
        <v>1</v>
      </c>
    </row>
    <row r="17" spans="1:26" x14ac:dyDescent="0.35">
      <c r="A17" s="25" t="s">
        <v>18</v>
      </c>
      <c r="B17" s="75"/>
      <c r="C17" s="75"/>
      <c r="D17" s="75"/>
      <c r="E17" s="75"/>
      <c r="F17" s="83"/>
      <c r="G17" s="75"/>
      <c r="H17" s="75"/>
      <c r="I17" s="75"/>
      <c r="J17" s="75"/>
      <c r="K17" s="75"/>
      <c r="L17" s="73">
        <f t="shared" si="2"/>
        <v>0</v>
      </c>
      <c r="M17" s="75"/>
      <c r="N17" s="73"/>
      <c r="O17">
        <v>2025</v>
      </c>
      <c r="P17">
        <v>0.14730409248981369</v>
      </c>
      <c r="Q17">
        <v>0.20151971583499326</v>
      </c>
      <c r="R17">
        <v>0.1673714990268011</v>
      </c>
      <c r="S17">
        <v>0.11399559980027461</v>
      </c>
      <c r="T17">
        <v>0.34989484610903598</v>
      </c>
      <c r="U17">
        <v>1.9865624581015917E-3</v>
      </c>
      <c r="V17">
        <v>1.7927684280979749E-2</v>
      </c>
      <c r="W17">
        <v>1</v>
      </c>
    </row>
    <row r="18" spans="1:26" x14ac:dyDescent="0.35">
      <c r="A18" s="63" t="s">
        <v>42</v>
      </c>
      <c r="B18" s="75"/>
      <c r="C18" s="75"/>
      <c r="D18" s="75"/>
      <c r="E18" s="75"/>
      <c r="F18" s="75"/>
      <c r="G18" s="84">
        <v>26669.800000000367</v>
      </c>
      <c r="H18" s="75"/>
      <c r="I18" s="75"/>
      <c r="J18" s="75"/>
      <c r="K18" s="75"/>
      <c r="L18" s="73">
        <f t="shared" si="2"/>
        <v>26669.800000000367</v>
      </c>
      <c r="M18" s="75"/>
      <c r="N18" s="73"/>
      <c r="O18">
        <v>2030</v>
      </c>
      <c r="P18">
        <v>0.14730409248981369</v>
      </c>
      <c r="Q18">
        <v>0.20151971583499326</v>
      </c>
      <c r="R18">
        <v>0.1673714990268011</v>
      </c>
      <c r="S18">
        <v>0.11399559980027461</v>
      </c>
      <c r="T18">
        <v>0.34989484610903598</v>
      </c>
      <c r="U18">
        <v>1.9865624581015917E-3</v>
      </c>
      <c r="V18">
        <v>1.7927684280979749E-2</v>
      </c>
      <c r="W18">
        <v>1</v>
      </c>
    </row>
    <row r="19" spans="1:26" x14ac:dyDescent="0.35">
      <c r="A19" s="65" t="s">
        <v>43</v>
      </c>
      <c r="B19" s="75"/>
      <c r="C19" s="75"/>
      <c r="D19" s="75"/>
      <c r="E19" s="75"/>
      <c r="F19" s="75"/>
      <c r="G19" s="75"/>
      <c r="H19" s="85">
        <v>127198.23561643835</v>
      </c>
      <c r="I19" s="75"/>
      <c r="J19" s="75"/>
      <c r="K19" s="75"/>
      <c r="L19" s="73">
        <f t="shared" si="2"/>
        <v>127198.23561643835</v>
      </c>
      <c r="M19" s="75"/>
      <c r="N19" s="73"/>
      <c r="O19">
        <v>2035</v>
      </c>
      <c r="P19">
        <v>0.14730409248981369</v>
      </c>
      <c r="Q19">
        <v>0.20151971583499326</v>
      </c>
      <c r="R19">
        <v>0.1673714990268011</v>
      </c>
      <c r="S19">
        <v>0.11399559980027461</v>
      </c>
      <c r="T19">
        <v>0.34989484610903598</v>
      </c>
      <c r="U19">
        <v>1.9865624581015917E-3</v>
      </c>
      <c r="V19">
        <v>1.7927684280979749E-2</v>
      </c>
      <c r="W19">
        <v>1</v>
      </c>
    </row>
    <row r="20" spans="1:26" x14ac:dyDescent="0.35">
      <c r="A20" s="65" t="s">
        <v>44</v>
      </c>
      <c r="B20" s="75"/>
      <c r="C20" s="75"/>
      <c r="D20" s="75"/>
      <c r="E20" s="75"/>
      <c r="F20" s="75"/>
      <c r="G20" s="75"/>
      <c r="H20" s="85">
        <v>132836.0082191781</v>
      </c>
      <c r="I20" s="75"/>
      <c r="J20" s="75"/>
      <c r="K20" s="75"/>
      <c r="L20" s="73">
        <f t="shared" si="2"/>
        <v>132836.0082191781</v>
      </c>
      <c r="M20" s="75"/>
      <c r="N20" s="73"/>
      <c r="O20" t="s">
        <v>95</v>
      </c>
      <c r="P20" s="121" t="s">
        <v>96</v>
      </c>
    </row>
    <row r="21" spans="1:26" x14ac:dyDescent="0.35">
      <c r="A21" s="65" t="s">
        <v>45</v>
      </c>
      <c r="B21" s="75"/>
      <c r="C21" s="75"/>
      <c r="D21" s="75"/>
      <c r="E21" s="75"/>
      <c r="F21" s="75"/>
      <c r="G21" s="75"/>
      <c r="H21" s="85">
        <v>337220.43287671235</v>
      </c>
      <c r="I21" s="75"/>
      <c r="J21" s="75"/>
      <c r="K21" s="75"/>
      <c r="L21" s="73">
        <f t="shared" si="2"/>
        <v>337220.43287671235</v>
      </c>
      <c r="M21" s="75"/>
      <c r="N21" s="73"/>
      <c r="O21" s="138" t="s">
        <v>174</v>
      </c>
      <c r="P21" s="138"/>
      <c r="Q21" s="138"/>
      <c r="R21" s="138"/>
      <c r="S21" s="138"/>
      <c r="T21" s="138"/>
      <c r="U21" s="138"/>
      <c r="V21" s="138"/>
      <c r="W21" s="138"/>
      <c r="X21" s="138"/>
      <c r="Y21" s="138"/>
      <c r="Z21" s="138"/>
    </row>
    <row r="22" spans="1:26" x14ac:dyDescent="0.35">
      <c r="A22" s="65" t="s">
        <v>46</v>
      </c>
      <c r="B22" s="75"/>
      <c r="C22" s="75"/>
      <c r="D22" s="75"/>
      <c r="E22" s="75"/>
      <c r="F22" s="75"/>
      <c r="G22" s="75"/>
      <c r="H22" s="85">
        <v>84506.454794520541</v>
      </c>
      <c r="I22" s="75"/>
      <c r="J22" s="75"/>
      <c r="K22" s="75"/>
      <c r="L22" s="73">
        <f t="shared" si="2"/>
        <v>84506.454794520541</v>
      </c>
      <c r="M22" s="75"/>
      <c r="N22" s="73"/>
      <c r="O22" s="27" cm="1">
        <f t="array" ref="O22:W29">TRANSPOSE(O11:V19)</f>
        <v>0</v>
      </c>
      <c r="P22" s="27">
        <v>2000</v>
      </c>
      <c r="Q22" s="27">
        <v>2005</v>
      </c>
      <c r="R22" s="27">
        <v>2010</v>
      </c>
      <c r="S22" s="27">
        <v>2015</v>
      </c>
      <c r="T22" s="27">
        <v>2020</v>
      </c>
      <c r="U22" s="27">
        <v>2025</v>
      </c>
      <c r="V22" s="27">
        <v>2030</v>
      </c>
      <c r="W22" s="27">
        <v>2035</v>
      </c>
    </row>
    <row r="23" spans="1:26" x14ac:dyDescent="0.35">
      <c r="A23" s="65" t="s">
        <v>47</v>
      </c>
      <c r="B23" s="75"/>
      <c r="C23" s="75"/>
      <c r="D23" s="75"/>
      <c r="E23" s="75"/>
      <c r="F23" s="75"/>
      <c r="G23" s="75"/>
      <c r="H23" s="85">
        <v>36912.378082191783</v>
      </c>
      <c r="I23" s="75"/>
      <c r="J23" s="75"/>
      <c r="K23" s="75"/>
      <c r="L23" s="73">
        <f t="shared" si="2"/>
        <v>36912.378082191783</v>
      </c>
      <c r="M23" s="75"/>
      <c r="N23" s="73"/>
      <c r="O23" s="27" t="str">
        <v>*BC, Yukon and NWT</v>
      </c>
      <c r="P23">
        <v>8.4531258028182718E-2</v>
      </c>
      <c r="Q23">
        <v>8.4531258028182718E-2</v>
      </c>
      <c r="R23">
        <v>9.4563620722667607E-2</v>
      </c>
      <c r="S23">
        <v>0.14730409248981369</v>
      </c>
      <c r="T23">
        <v>0.14730409248981369</v>
      </c>
      <c r="U23">
        <v>0.14730409248981369</v>
      </c>
      <c r="V23">
        <v>0.14730409248981369</v>
      </c>
      <c r="W23">
        <v>0.14730409248981369</v>
      </c>
    </row>
    <row r="24" spans="1:26" x14ac:dyDescent="0.35">
      <c r="A24" s="65" t="s">
        <v>48</v>
      </c>
      <c r="B24" s="75"/>
      <c r="C24" s="75"/>
      <c r="D24" s="75"/>
      <c r="E24" s="75"/>
      <c r="F24" s="75"/>
      <c r="G24" s="75"/>
      <c r="H24" s="85">
        <v>40387.72328767123</v>
      </c>
      <c r="I24" s="75"/>
      <c r="J24" s="75"/>
      <c r="K24" s="75"/>
      <c r="L24" s="73">
        <f t="shared" si="2"/>
        <v>40387.72328767123</v>
      </c>
      <c r="M24" s="75"/>
      <c r="N24" s="73"/>
      <c r="O24" s="27" t="str">
        <v>Alberta</v>
      </c>
      <c r="P24">
        <v>0.21957634881310559</v>
      </c>
      <c r="Q24">
        <v>0.21957634881310559</v>
      </c>
      <c r="R24">
        <v>0.2171700737876153</v>
      </c>
      <c r="S24">
        <v>0.20151971583499326</v>
      </c>
      <c r="T24">
        <v>0.20151971583499326</v>
      </c>
      <c r="U24">
        <v>0.20151971583499326</v>
      </c>
      <c r="V24">
        <v>0.20151971583499326</v>
      </c>
      <c r="W24">
        <v>0.20151971583499326</v>
      </c>
    </row>
    <row r="25" spans="1:26" x14ac:dyDescent="0.35">
      <c r="A25" s="65" t="s">
        <v>49</v>
      </c>
      <c r="B25" s="75"/>
      <c r="C25" s="75"/>
      <c r="D25" s="75"/>
      <c r="E25" s="75"/>
      <c r="F25" s="75"/>
      <c r="G25" s="75"/>
      <c r="H25" s="85">
        <v>41759.547945205479</v>
      </c>
      <c r="I25" s="75"/>
      <c r="J25" s="75"/>
      <c r="K25" s="75"/>
      <c r="L25" s="73">
        <f t="shared" si="2"/>
        <v>41759.547945205479</v>
      </c>
      <c r="M25" s="75"/>
      <c r="N25" s="73"/>
      <c r="O25" s="27" t="str">
        <v>Saskatchewan</v>
      </c>
      <c r="P25">
        <v>0.18236837273913811</v>
      </c>
      <c r="Q25">
        <v>0.18236837273913811</v>
      </c>
      <c r="R25">
        <v>0.18036984938662984</v>
      </c>
      <c r="S25">
        <v>0.1673714990268011</v>
      </c>
      <c r="T25">
        <v>0.1673714990268011</v>
      </c>
      <c r="U25">
        <v>0.1673714990268011</v>
      </c>
      <c r="V25">
        <v>0.1673714990268011</v>
      </c>
      <c r="W25">
        <v>0.1673714990268011</v>
      </c>
    </row>
    <row r="26" spans="1:26" x14ac:dyDescent="0.35">
      <c r="A26" s="65" t="s">
        <v>50</v>
      </c>
      <c r="B26" s="75"/>
      <c r="C26" s="75"/>
      <c r="D26" s="75"/>
      <c r="E26" s="75"/>
      <c r="F26" s="75"/>
      <c r="G26" s="75"/>
      <c r="H26" s="85">
        <v>65034.413698630138</v>
      </c>
      <c r="I26" s="75"/>
      <c r="J26" s="75"/>
      <c r="K26" s="75"/>
      <c r="L26" s="73">
        <f t="shared" si="2"/>
        <v>65034.413698630138</v>
      </c>
      <c r="M26" s="75"/>
      <c r="N26" s="73"/>
      <c r="O26" s="27" t="str">
        <v>Manitoba</v>
      </c>
      <c r="P26">
        <v>0.12420986939759163</v>
      </c>
      <c r="Q26">
        <v>0.12420986939759163</v>
      </c>
      <c r="R26">
        <v>0.12284868861347524</v>
      </c>
      <c r="S26">
        <v>0.11399559980027461</v>
      </c>
      <c r="T26">
        <v>0.11399559980027461</v>
      </c>
      <c r="U26">
        <v>0.11399559980027461</v>
      </c>
      <c r="V26">
        <v>0.11399559980027461</v>
      </c>
      <c r="W26">
        <v>0.11399559980027461</v>
      </c>
    </row>
    <row r="27" spans="1:26" x14ac:dyDescent="0.35">
      <c r="A27" s="65" t="s">
        <v>51</v>
      </c>
      <c r="B27" s="75"/>
      <c r="C27" s="75"/>
      <c r="D27" s="75"/>
      <c r="E27" s="75"/>
      <c r="F27" s="75"/>
      <c r="G27" s="75"/>
      <c r="H27" s="85">
        <v>53823</v>
      </c>
      <c r="I27" s="75"/>
      <c r="J27" s="75"/>
      <c r="K27" s="75"/>
      <c r="L27" s="73">
        <f t="shared" si="2"/>
        <v>53823</v>
      </c>
      <c r="M27" s="75"/>
      <c r="N27" s="73"/>
      <c r="O27" s="27" t="str">
        <v>Ontario</v>
      </c>
      <c r="P27">
        <v>0.38124623419007686</v>
      </c>
      <c r="Q27">
        <v>0.38124623419007686</v>
      </c>
      <c r="R27">
        <v>0.37706826467353916</v>
      </c>
      <c r="S27">
        <v>0.34989484610903598</v>
      </c>
      <c r="T27">
        <v>0.34989484610903598</v>
      </c>
      <c r="U27">
        <v>0.34989484610903598</v>
      </c>
      <c r="V27">
        <v>0.34989484610903598</v>
      </c>
      <c r="W27">
        <v>0.34989484610903598</v>
      </c>
    </row>
    <row r="28" spans="1:26" x14ac:dyDescent="0.35">
      <c r="A28" s="66" t="s">
        <v>52</v>
      </c>
      <c r="B28" s="75"/>
      <c r="C28" s="75"/>
      <c r="D28" s="75"/>
      <c r="E28" s="75"/>
      <c r="F28" s="75"/>
      <c r="G28" s="75"/>
      <c r="H28" s="75"/>
      <c r="I28" s="86">
        <v>23380.408219178084</v>
      </c>
      <c r="J28" s="75"/>
      <c r="K28" s="75"/>
      <c r="L28" s="73">
        <f t="shared" si="2"/>
        <v>23380.408219178084</v>
      </c>
      <c r="M28" s="75"/>
      <c r="N28" s="73"/>
      <c r="O28" s="27" t="str">
        <v>Québec</v>
      </c>
      <c r="P28">
        <v>2.1645630524623361E-3</v>
      </c>
      <c r="Q28">
        <v>2.1645630524623361E-3</v>
      </c>
      <c r="R28">
        <v>2.140842218946371E-3</v>
      </c>
      <c r="S28">
        <v>1.9865624581015917E-3</v>
      </c>
      <c r="T28">
        <v>1.9865624581015917E-3</v>
      </c>
      <c r="U28">
        <v>1.9865624581015917E-3</v>
      </c>
      <c r="V28">
        <v>1.9865624581015917E-3</v>
      </c>
      <c r="W28">
        <v>1.9865624581015917E-3</v>
      </c>
    </row>
    <row r="29" spans="1:26" x14ac:dyDescent="0.35">
      <c r="A29" s="66" t="s">
        <v>53</v>
      </c>
      <c r="B29" s="75"/>
      <c r="C29" s="75"/>
      <c r="D29" s="75"/>
      <c r="E29" s="75"/>
      <c r="F29" s="75"/>
      <c r="G29" s="75"/>
      <c r="H29" s="75"/>
      <c r="I29" s="86">
        <v>93937.064255708188</v>
      </c>
      <c r="J29" s="75"/>
      <c r="K29" s="75"/>
      <c r="L29" s="73">
        <f t="shared" si="2"/>
        <v>93937.064255708188</v>
      </c>
      <c r="M29" s="75"/>
      <c r="N29" s="73"/>
      <c r="O29" s="27" t="str">
        <v>Atlantic</v>
      </c>
      <c r="P29">
        <v>5.9033537794427344E-3</v>
      </c>
      <c r="Q29">
        <v>5.9033537794427344E-3</v>
      </c>
      <c r="R29">
        <v>5.8386605971264662E-3</v>
      </c>
      <c r="S29">
        <v>1.7927684280979749E-2</v>
      </c>
      <c r="T29">
        <v>1.7927684280979749E-2</v>
      </c>
      <c r="U29">
        <v>1.7927684280979749E-2</v>
      </c>
      <c r="V29">
        <v>1.7927684280979749E-2</v>
      </c>
      <c r="W29">
        <v>1.7927684280979749E-2</v>
      </c>
    </row>
    <row r="30" spans="1:26" x14ac:dyDescent="0.35">
      <c r="A30" s="66" t="s">
        <v>54</v>
      </c>
      <c r="B30" s="75"/>
      <c r="C30" s="75"/>
      <c r="D30" s="75"/>
      <c r="E30" s="75"/>
      <c r="F30" s="75"/>
      <c r="G30" s="75"/>
      <c r="H30" s="75"/>
      <c r="I30" s="86">
        <v>49594</v>
      </c>
      <c r="J30" s="75"/>
      <c r="K30" s="75"/>
      <c r="L30" s="73">
        <f t="shared" si="2"/>
        <v>49594</v>
      </c>
      <c r="M30" s="75"/>
      <c r="N30" s="73"/>
      <c r="O30" s="138" t="s">
        <v>175</v>
      </c>
      <c r="P30" s="138"/>
      <c r="Q30" s="138"/>
      <c r="R30" s="138"/>
      <c r="S30" s="138"/>
      <c r="T30" s="138"/>
      <c r="U30" s="138"/>
      <c r="V30" s="138"/>
      <c r="W30" s="138"/>
      <c r="X30" s="138"/>
      <c r="Y30" s="138"/>
      <c r="Z30" s="138"/>
    </row>
    <row r="31" spans="1:26" x14ac:dyDescent="0.35">
      <c r="A31" s="66" t="s">
        <v>55</v>
      </c>
      <c r="B31" s="75"/>
      <c r="C31" s="75"/>
      <c r="D31" s="75"/>
      <c r="E31" s="75"/>
      <c r="F31" s="75"/>
      <c r="G31" s="75"/>
      <c r="H31" s="75"/>
      <c r="I31" s="86">
        <v>98460</v>
      </c>
      <c r="J31" s="75"/>
      <c r="K31" s="75"/>
      <c r="L31" s="73">
        <f t="shared" si="2"/>
        <v>98460</v>
      </c>
      <c r="M31" s="75"/>
      <c r="N31" s="73"/>
      <c r="O31" t="s">
        <v>98</v>
      </c>
      <c r="P31" s="27">
        <v>2000</v>
      </c>
      <c r="Q31" s="27">
        <v>2005</v>
      </c>
      <c r="R31" s="27">
        <v>2010</v>
      </c>
      <c r="S31" s="27">
        <v>2015</v>
      </c>
      <c r="T31" s="27">
        <v>2020</v>
      </c>
      <c r="U31" s="27">
        <v>2025</v>
      </c>
      <c r="V31" s="27">
        <v>2030</v>
      </c>
      <c r="W31" s="27">
        <v>2035</v>
      </c>
      <c r="X31" s="27">
        <v>2040</v>
      </c>
      <c r="Y31" s="27">
        <v>2045</v>
      </c>
      <c r="Z31" s="27">
        <v>2050</v>
      </c>
    </row>
    <row r="32" spans="1:26" x14ac:dyDescent="0.35">
      <c r="A32" s="66" t="s">
        <v>56</v>
      </c>
      <c r="B32" s="75"/>
      <c r="C32" s="75"/>
      <c r="D32" s="75"/>
      <c r="E32" s="75"/>
      <c r="F32" s="75"/>
      <c r="G32" s="75"/>
      <c r="H32" s="75"/>
      <c r="I32" s="86">
        <v>20100</v>
      </c>
      <c r="J32" s="75"/>
      <c r="K32" s="75"/>
      <c r="L32" s="73">
        <f t="shared" si="2"/>
        <v>20100</v>
      </c>
      <c r="M32" s="75"/>
      <c r="N32" s="73"/>
      <c r="O32" t="s">
        <v>107</v>
      </c>
      <c r="P32" s="135" t="s">
        <v>108</v>
      </c>
      <c r="Q32" s="141" t="s">
        <v>109</v>
      </c>
      <c r="R32" s="141"/>
      <c r="S32" s="141"/>
      <c r="T32" t="s">
        <v>110</v>
      </c>
      <c r="U32" s="141" t="s">
        <v>114</v>
      </c>
      <c r="V32" s="141"/>
      <c r="W32" s="141"/>
      <c r="X32" s="141"/>
      <c r="Y32" s="141"/>
      <c r="Z32" s="141"/>
    </row>
    <row r="33" spans="1:26" x14ac:dyDescent="0.35">
      <c r="A33" s="66" t="s">
        <v>57</v>
      </c>
      <c r="B33" s="75"/>
      <c r="C33" s="75"/>
      <c r="D33" s="75"/>
      <c r="E33" s="75"/>
      <c r="F33" s="75"/>
      <c r="G33" s="75"/>
      <c r="H33" s="75"/>
      <c r="I33" s="86">
        <v>103560</v>
      </c>
      <c r="J33" s="75"/>
      <c r="K33" s="75"/>
      <c r="L33" s="73">
        <f t="shared" si="2"/>
        <v>103560</v>
      </c>
      <c r="M33" s="75"/>
      <c r="N33" s="73"/>
      <c r="O33" s="27" t="s">
        <v>92</v>
      </c>
      <c r="P33">
        <f>P23</f>
        <v>8.4531258028182718E-2</v>
      </c>
      <c r="Q33" s="133">
        <f t="shared" ref="Q33:S39" si="3">P33+($T33-$P33)/4</f>
        <v>7.3062115388263696E-2</v>
      </c>
      <c r="R33" s="133">
        <f t="shared" si="3"/>
        <v>6.1592972748344674E-2</v>
      </c>
      <c r="S33" s="133">
        <f t="shared" si="3"/>
        <v>5.0123830108425652E-2</v>
      </c>
      <c r="T33" s="132">
        <f>Q4</f>
        <v>3.8654687468506622E-2</v>
      </c>
      <c r="U33" s="136">
        <f t="shared" ref="U33:Z33" si="4">T33</f>
        <v>3.8654687468506622E-2</v>
      </c>
      <c r="V33" s="136">
        <f t="shared" si="4"/>
        <v>3.8654687468506622E-2</v>
      </c>
      <c r="W33" s="136">
        <f t="shared" si="4"/>
        <v>3.8654687468506622E-2</v>
      </c>
      <c r="X33" s="136">
        <f t="shared" si="4"/>
        <v>3.8654687468506622E-2</v>
      </c>
      <c r="Y33" s="136">
        <f t="shared" si="4"/>
        <v>3.8654687468506622E-2</v>
      </c>
      <c r="Z33" s="136">
        <f t="shared" si="4"/>
        <v>3.8654687468506622E-2</v>
      </c>
    </row>
    <row r="34" spans="1:26" x14ac:dyDescent="0.35">
      <c r="A34" s="66" t="s">
        <v>58</v>
      </c>
      <c r="B34" s="75"/>
      <c r="C34" s="75"/>
      <c r="D34" s="75"/>
      <c r="E34" s="75"/>
      <c r="F34" s="75"/>
      <c r="G34" s="75"/>
      <c r="H34" s="75"/>
      <c r="I34" s="86">
        <v>35654</v>
      </c>
      <c r="J34" s="75"/>
      <c r="K34" s="75"/>
      <c r="L34" s="73">
        <f t="shared" si="2"/>
        <v>35654</v>
      </c>
      <c r="M34" s="75"/>
      <c r="N34" s="73"/>
      <c r="O34" s="27" t="s">
        <v>28</v>
      </c>
      <c r="P34">
        <f t="shared" ref="P34:P39" si="5">P24</f>
        <v>0.21957634881310559</v>
      </c>
      <c r="Q34" s="133">
        <f t="shared" si="3"/>
        <v>0.29747747769612176</v>
      </c>
      <c r="R34" s="133">
        <f t="shared" si="3"/>
        <v>0.37537860657913796</v>
      </c>
      <c r="S34" s="133">
        <f t="shared" si="3"/>
        <v>0.45327973546215417</v>
      </c>
      <c r="T34" s="132">
        <f>Q2</f>
        <v>0.53118086434517042</v>
      </c>
      <c r="U34" s="136">
        <f t="shared" ref="U34:Z39" si="6">T34</f>
        <v>0.53118086434517042</v>
      </c>
      <c r="V34" s="136">
        <f t="shared" si="6"/>
        <v>0.53118086434517042</v>
      </c>
      <c r="W34" s="136">
        <f t="shared" si="6"/>
        <v>0.53118086434517042</v>
      </c>
      <c r="X34" s="136">
        <f t="shared" si="6"/>
        <v>0.53118086434517042</v>
      </c>
      <c r="Y34" s="136">
        <f t="shared" si="6"/>
        <v>0.53118086434517042</v>
      </c>
      <c r="Z34" s="136">
        <f t="shared" si="6"/>
        <v>0.53118086434517042</v>
      </c>
    </row>
    <row r="35" spans="1:26" x14ac:dyDescent="0.35">
      <c r="A35" s="66" t="s">
        <v>59</v>
      </c>
      <c r="B35" s="75"/>
      <c r="C35" s="75"/>
      <c r="D35" s="79"/>
      <c r="E35" s="75"/>
      <c r="F35" s="75"/>
      <c r="G35" s="75"/>
      <c r="H35" s="75"/>
      <c r="I35" s="86">
        <v>45915.131506849313</v>
      </c>
      <c r="J35" s="75"/>
      <c r="K35" s="75"/>
      <c r="L35" s="73">
        <f t="shared" si="2"/>
        <v>45915.131506849313</v>
      </c>
      <c r="M35" s="75"/>
      <c r="N35" s="73"/>
      <c r="O35" s="27" t="s">
        <v>67</v>
      </c>
      <c r="P35">
        <f t="shared" si="5"/>
        <v>0.18236837273913811</v>
      </c>
      <c r="Q35" s="133">
        <f t="shared" si="3"/>
        <v>0.19774022119656154</v>
      </c>
      <c r="R35" s="133">
        <f t="shared" si="3"/>
        <v>0.21311206965398496</v>
      </c>
      <c r="S35" s="133">
        <f t="shared" si="3"/>
        <v>0.22848391811140839</v>
      </c>
      <c r="T35" s="132">
        <f>Q3</f>
        <v>0.24385576656883182</v>
      </c>
      <c r="U35" s="136">
        <f t="shared" si="6"/>
        <v>0.24385576656883182</v>
      </c>
      <c r="V35" s="136">
        <f t="shared" si="6"/>
        <v>0.24385576656883182</v>
      </c>
      <c r="W35" s="136">
        <f t="shared" si="6"/>
        <v>0.24385576656883182</v>
      </c>
      <c r="X35" s="136">
        <f t="shared" si="6"/>
        <v>0.24385576656883182</v>
      </c>
      <c r="Y35" s="136">
        <f t="shared" si="6"/>
        <v>0.24385576656883182</v>
      </c>
      <c r="Z35" s="136">
        <f t="shared" si="6"/>
        <v>0.24385576656883182</v>
      </c>
    </row>
    <row r="36" spans="1:26" x14ac:dyDescent="0.35">
      <c r="A36" s="66" t="s">
        <v>60</v>
      </c>
      <c r="B36" s="75"/>
      <c r="C36" s="75"/>
      <c r="D36" s="75"/>
      <c r="E36" s="75"/>
      <c r="F36" s="75"/>
      <c r="G36" s="75"/>
      <c r="H36" s="75"/>
      <c r="I36" s="86">
        <v>97077.756712328119</v>
      </c>
      <c r="J36" s="75"/>
      <c r="K36" s="75"/>
      <c r="L36" s="73">
        <f t="shared" si="2"/>
        <v>97077.756712328119</v>
      </c>
      <c r="M36" s="75"/>
      <c r="N36" s="73"/>
      <c r="O36" s="27" t="s">
        <v>69</v>
      </c>
      <c r="P36">
        <f t="shared" si="5"/>
        <v>0.12420986939759163</v>
      </c>
      <c r="Q36" s="133">
        <f t="shared" si="3"/>
        <v>0.10701521551197013</v>
      </c>
      <c r="R36" s="133">
        <f t="shared" si="3"/>
        <v>8.9820561626348633E-2</v>
      </c>
      <c r="S36" s="133">
        <f t="shared" si="3"/>
        <v>7.2625907740727136E-2</v>
      </c>
      <c r="T36" s="132">
        <f>Q5</f>
        <v>5.5431253855105618E-2</v>
      </c>
      <c r="U36" s="136">
        <f t="shared" si="6"/>
        <v>5.5431253855105618E-2</v>
      </c>
      <c r="V36" s="136">
        <f t="shared" si="6"/>
        <v>5.5431253855105618E-2</v>
      </c>
      <c r="W36" s="136">
        <f t="shared" si="6"/>
        <v>5.5431253855105618E-2</v>
      </c>
      <c r="X36" s="136">
        <f t="shared" si="6"/>
        <v>5.5431253855105618E-2</v>
      </c>
      <c r="Y36" s="136">
        <f t="shared" si="6"/>
        <v>5.5431253855105618E-2</v>
      </c>
      <c r="Z36" s="136">
        <f t="shared" si="6"/>
        <v>5.5431253855105618E-2</v>
      </c>
    </row>
    <row r="37" spans="1:26" x14ac:dyDescent="0.35">
      <c r="A37" s="66" t="s">
        <v>61</v>
      </c>
      <c r="B37" s="75"/>
      <c r="C37" s="75"/>
      <c r="D37" s="75"/>
      <c r="E37" s="75"/>
      <c r="F37" s="75"/>
      <c r="G37" s="75"/>
      <c r="H37" s="75"/>
      <c r="I37" s="86">
        <v>8742</v>
      </c>
      <c r="J37" s="75"/>
      <c r="K37" s="75"/>
      <c r="L37" s="73">
        <f t="shared" si="2"/>
        <v>8742</v>
      </c>
      <c r="M37" s="75"/>
      <c r="N37" s="73"/>
      <c r="O37" s="27" t="s">
        <v>70</v>
      </c>
      <c r="P37">
        <f t="shared" si="5"/>
        <v>0.38124623419007686</v>
      </c>
      <c r="Q37" s="133">
        <f t="shared" si="3"/>
        <v>0.31490302270631509</v>
      </c>
      <c r="R37" s="133">
        <f t="shared" si="3"/>
        <v>0.24855981122255333</v>
      </c>
      <c r="S37" s="133">
        <f t="shared" si="3"/>
        <v>0.18221659973879156</v>
      </c>
      <c r="T37" s="132">
        <f>Q6</f>
        <v>0.11587338825502973</v>
      </c>
      <c r="U37" s="136">
        <f t="shared" si="6"/>
        <v>0.11587338825502973</v>
      </c>
      <c r="V37" s="136">
        <f t="shared" si="6"/>
        <v>0.11587338825502973</v>
      </c>
      <c r="W37" s="136">
        <f t="shared" si="6"/>
        <v>0.11587338825502973</v>
      </c>
      <c r="X37" s="136">
        <f t="shared" si="6"/>
        <v>0.11587338825502973</v>
      </c>
      <c r="Y37" s="136">
        <f t="shared" si="6"/>
        <v>0.11587338825502973</v>
      </c>
      <c r="Z37" s="136">
        <f t="shared" si="6"/>
        <v>0.11587338825502973</v>
      </c>
    </row>
    <row r="38" spans="1:26" x14ac:dyDescent="0.35">
      <c r="A38" s="66" t="s">
        <v>62</v>
      </c>
      <c r="B38" s="75"/>
      <c r="C38" s="75"/>
      <c r="D38" s="75"/>
      <c r="E38" s="75"/>
      <c r="F38" s="75"/>
      <c r="G38" s="75"/>
      <c r="H38" s="75"/>
      <c r="I38" s="86">
        <v>176062.40932972531</v>
      </c>
      <c r="J38" s="75"/>
      <c r="K38" s="75"/>
      <c r="L38" s="73">
        <f t="shared" si="2"/>
        <v>176062.40932972531</v>
      </c>
      <c r="M38" s="75"/>
      <c r="N38" s="73"/>
      <c r="O38" s="27" t="s">
        <v>93</v>
      </c>
      <c r="P38">
        <f t="shared" si="5"/>
        <v>2.1645630524623361E-3</v>
      </c>
      <c r="Q38" s="133">
        <f t="shared" si="3"/>
        <v>2.2590485526604322E-3</v>
      </c>
      <c r="R38" s="133">
        <f t="shared" si="3"/>
        <v>2.3535340528585283E-3</v>
      </c>
      <c r="S38" s="133">
        <f t="shared" si="3"/>
        <v>2.4480195530566244E-3</v>
      </c>
      <c r="T38" s="132">
        <f>Q7</f>
        <v>2.5425050532547201E-3</v>
      </c>
      <c r="U38" s="136">
        <f t="shared" si="6"/>
        <v>2.5425050532547201E-3</v>
      </c>
      <c r="V38" s="136">
        <f t="shared" si="6"/>
        <v>2.5425050532547201E-3</v>
      </c>
      <c r="W38" s="136">
        <f t="shared" si="6"/>
        <v>2.5425050532547201E-3</v>
      </c>
      <c r="X38" s="136">
        <f t="shared" si="6"/>
        <v>2.5425050532547201E-3</v>
      </c>
      <c r="Y38" s="136">
        <f t="shared" si="6"/>
        <v>2.5425050532547201E-3</v>
      </c>
      <c r="Z38" s="136">
        <f t="shared" si="6"/>
        <v>2.5425050532547201E-3</v>
      </c>
    </row>
    <row r="39" spans="1:26" x14ac:dyDescent="0.35">
      <c r="A39" s="67" t="s">
        <v>64</v>
      </c>
      <c r="B39" s="75"/>
      <c r="C39" s="75"/>
      <c r="D39" s="75"/>
      <c r="E39" s="75"/>
      <c r="F39" s="75"/>
      <c r="G39" s="75"/>
      <c r="H39" s="75"/>
      <c r="I39" s="75"/>
      <c r="J39" s="80">
        <v>29712.989041095891</v>
      </c>
      <c r="K39" s="75"/>
      <c r="L39" s="73">
        <f t="shared" si="2"/>
        <v>29712.989041095891</v>
      </c>
      <c r="M39" s="75"/>
      <c r="N39" s="73"/>
      <c r="O39" s="27" t="s">
        <v>72</v>
      </c>
      <c r="P39">
        <f t="shared" si="5"/>
        <v>5.9033537794427344E-3</v>
      </c>
      <c r="Q39" s="133">
        <f t="shared" si="3"/>
        <v>7.5428989481073393E-3</v>
      </c>
      <c r="R39" s="133">
        <f t="shared" si="3"/>
        <v>9.1824441167719442E-3</v>
      </c>
      <c r="S39" s="133">
        <f t="shared" si="3"/>
        <v>1.082198928543655E-2</v>
      </c>
      <c r="T39" s="132">
        <f>Q8</f>
        <v>1.2461534454101154E-2</v>
      </c>
      <c r="U39" s="136">
        <f t="shared" si="6"/>
        <v>1.2461534454101154E-2</v>
      </c>
      <c r="V39" s="136">
        <f t="shared" si="6"/>
        <v>1.2461534454101154E-2</v>
      </c>
      <c r="W39" s="136">
        <f t="shared" si="6"/>
        <v>1.2461534454101154E-2</v>
      </c>
      <c r="X39" s="136">
        <f t="shared" si="6"/>
        <v>1.2461534454101154E-2</v>
      </c>
      <c r="Y39" s="136">
        <f t="shared" si="6"/>
        <v>1.2461534454101154E-2</v>
      </c>
      <c r="Z39" s="136">
        <f t="shared" si="6"/>
        <v>1.2461534454101154E-2</v>
      </c>
    </row>
    <row r="40" spans="1:26" x14ac:dyDescent="0.35">
      <c r="A40" s="67" t="s">
        <v>65</v>
      </c>
      <c r="B40" s="75"/>
      <c r="C40" s="75"/>
      <c r="D40" s="75"/>
      <c r="E40" s="75"/>
      <c r="F40" s="75"/>
      <c r="G40" s="75"/>
      <c r="H40" s="75"/>
      <c r="I40" s="75"/>
      <c r="J40" s="80">
        <v>11075.328767123288</v>
      </c>
      <c r="K40" s="75"/>
      <c r="L40" s="73">
        <f t="shared" si="2"/>
        <v>11075.328767123288</v>
      </c>
      <c r="M40" s="75"/>
      <c r="N40" s="158"/>
      <c r="O40" s="138" t="s">
        <v>176</v>
      </c>
      <c r="P40" s="138"/>
      <c r="Q40" s="138"/>
      <c r="R40" s="138"/>
      <c r="S40" s="138"/>
      <c r="T40" s="138"/>
      <c r="U40" s="138"/>
      <c r="V40" s="138"/>
      <c r="W40" s="138"/>
      <c r="X40" s="138"/>
      <c r="Y40" s="138"/>
      <c r="Z40" s="138"/>
    </row>
    <row r="41" spans="1:26" x14ac:dyDescent="0.35">
      <c r="A41" s="25" t="s">
        <v>63</v>
      </c>
      <c r="B41" s="75"/>
      <c r="C41" s="75"/>
      <c r="D41" s="75"/>
      <c r="E41" s="75"/>
      <c r="F41" s="75"/>
      <c r="G41" s="75"/>
      <c r="H41" s="75"/>
      <c r="I41" s="75"/>
      <c r="J41" s="75"/>
      <c r="K41" s="83">
        <f>36.8*1000</f>
        <v>36800</v>
      </c>
      <c r="L41" s="73">
        <f t="shared" si="2"/>
        <v>36800</v>
      </c>
      <c r="M41" s="75"/>
      <c r="N41" s="158"/>
      <c r="O41" s="159"/>
      <c r="P41" s="160"/>
      <c r="Q41" s="161"/>
      <c r="R41" s="161"/>
      <c r="S41" s="161"/>
      <c r="T41" s="162"/>
      <c r="U41" s="163"/>
      <c r="V41" s="163"/>
      <c r="W41" s="163"/>
      <c r="X41" s="163"/>
      <c r="Y41" s="163"/>
      <c r="Z41" s="163"/>
    </row>
    <row r="42" spans="1:26" x14ac:dyDescent="0.35">
      <c r="B42" s="73"/>
      <c r="C42" s="73"/>
      <c r="D42" s="73"/>
      <c r="E42" s="73"/>
      <c r="F42" s="73"/>
      <c r="G42" s="73"/>
      <c r="H42" s="73"/>
      <c r="I42" s="73"/>
      <c r="J42" s="73"/>
      <c r="K42" s="73"/>
      <c r="L42" s="73"/>
      <c r="M42" s="75"/>
      <c r="N42" s="158"/>
      <c r="O42" s="27" t="s">
        <v>92</v>
      </c>
      <c r="P42" s="160">
        <f>'JCIMS Transmission'!C58</f>
        <v>316269712.04625833</v>
      </c>
      <c r="Q42" s="133">
        <f t="shared" ref="Q42:Q48" si="7">P42+($T42-$P42)/4</f>
        <v>301084026.06722802</v>
      </c>
      <c r="R42" s="133">
        <f t="shared" ref="R42:R48" si="8">Q42+($T42-$P42)/4</f>
        <v>285898340.08819771</v>
      </c>
      <c r="S42" s="133">
        <f t="shared" ref="S42:S48" si="9">R42+($T42-$P42)/4</f>
        <v>270712654.1091674</v>
      </c>
      <c r="T42" s="164">
        <f>P4</f>
        <v>255526968.13013703</v>
      </c>
      <c r="U42" s="165">
        <f t="shared" ref="U42:U48" si="10">T42</f>
        <v>255526968.13013703</v>
      </c>
      <c r="V42" s="165">
        <f t="shared" ref="V42:V48" si="11">U42</f>
        <v>255526968.13013703</v>
      </c>
      <c r="W42" s="165">
        <f t="shared" ref="W42:W48" si="12">V42</f>
        <v>255526968.13013703</v>
      </c>
      <c r="X42" s="165">
        <f t="shared" ref="X42:X48" si="13">W42</f>
        <v>255526968.13013703</v>
      </c>
      <c r="Y42" s="165">
        <f t="shared" ref="Y42:Y48" si="14">X42</f>
        <v>255526968.13013703</v>
      </c>
      <c r="Z42" s="165">
        <f t="shared" ref="Z42:Z48" si="15">Y42</f>
        <v>255526968.13013703</v>
      </c>
    </row>
    <row r="43" spans="1:26" x14ac:dyDescent="0.35">
      <c r="B43" s="73"/>
      <c r="C43" s="73"/>
      <c r="D43" s="73"/>
      <c r="E43" s="73"/>
      <c r="F43" s="73"/>
      <c r="G43" s="73"/>
      <c r="H43" s="73"/>
      <c r="I43" s="73"/>
      <c r="J43" s="73"/>
      <c r="K43" s="73"/>
      <c r="L43" s="73"/>
      <c r="M43" s="75"/>
      <c r="N43" s="158"/>
      <c r="O43" s="27" t="s">
        <v>28</v>
      </c>
      <c r="P43" s="160">
        <f>'JCIMS Transmission'!D58</f>
        <v>821534545.10444665</v>
      </c>
      <c r="Q43" s="133">
        <f t="shared" si="7"/>
        <v>1493994222.8213146</v>
      </c>
      <c r="R43" s="133">
        <f t="shared" si="8"/>
        <v>2166453900.5381823</v>
      </c>
      <c r="S43" s="133">
        <f t="shared" si="9"/>
        <v>2838913578.2550502</v>
      </c>
      <c r="T43" s="164">
        <f>P2</f>
        <v>3511373255.9719181</v>
      </c>
      <c r="U43" s="165">
        <f t="shared" si="10"/>
        <v>3511373255.9719181</v>
      </c>
      <c r="V43" s="165">
        <f t="shared" si="11"/>
        <v>3511373255.9719181</v>
      </c>
      <c r="W43" s="165">
        <f t="shared" si="12"/>
        <v>3511373255.9719181</v>
      </c>
      <c r="X43" s="165">
        <f t="shared" si="13"/>
        <v>3511373255.9719181</v>
      </c>
      <c r="Y43" s="165">
        <f t="shared" si="14"/>
        <v>3511373255.9719181</v>
      </c>
      <c r="Z43" s="165">
        <f t="shared" si="15"/>
        <v>3511373255.9719181</v>
      </c>
    </row>
    <row r="44" spans="1:26" ht="19.5" x14ac:dyDescent="0.45">
      <c r="A44" s="77" t="s">
        <v>82</v>
      </c>
      <c r="N44" s="158"/>
      <c r="O44" s="27" t="s">
        <v>67</v>
      </c>
      <c r="P44" s="160">
        <f>'JCIMS Transmission'!E58</f>
        <v>682322658.83612227</v>
      </c>
      <c r="Q44" s="133">
        <f t="shared" si="7"/>
        <v>914744377.36425829</v>
      </c>
      <c r="R44" s="133">
        <f t="shared" si="8"/>
        <v>1147166095.8923943</v>
      </c>
      <c r="S44" s="133">
        <f t="shared" si="9"/>
        <v>1379587814.4205303</v>
      </c>
      <c r="T44" s="164">
        <f>P3</f>
        <v>1612009532.9486663</v>
      </c>
      <c r="U44" s="165">
        <f t="shared" si="10"/>
        <v>1612009532.9486663</v>
      </c>
      <c r="V44" s="165">
        <f t="shared" si="11"/>
        <v>1612009532.9486663</v>
      </c>
      <c r="W44" s="165">
        <f t="shared" si="12"/>
        <v>1612009532.9486663</v>
      </c>
      <c r="X44" s="165">
        <f t="shared" si="13"/>
        <v>1612009532.9486663</v>
      </c>
      <c r="Y44" s="165">
        <f t="shared" si="14"/>
        <v>1612009532.9486663</v>
      </c>
      <c r="Z44" s="165">
        <f t="shared" si="15"/>
        <v>1612009532.9486663</v>
      </c>
    </row>
    <row r="45" spans="1:26" ht="15" thickBot="1" x14ac:dyDescent="0.4">
      <c r="A45" t="s">
        <v>75</v>
      </c>
      <c r="B45" t="s">
        <v>13</v>
      </c>
      <c r="N45" s="158"/>
      <c r="O45" s="27" t="s">
        <v>69</v>
      </c>
      <c r="P45" s="160">
        <f>'JCIMS Transmission'!F58</f>
        <v>464725363.65875965</v>
      </c>
      <c r="Q45" s="133">
        <f t="shared" si="7"/>
        <v>440151154.79491854</v>
      </c>
      <c r="R45" s="133">
        <f t="shared" si="8"/>
        <v>415576945.93107748</v>
      </c>
      <c r="S45" s="133">
        <f t="shared" si="9"/>
        <v>391002737.06723642</v>
      </c>
      <c r="T45" s="164">
        <f>P5</f>
        <v>366428528.20339531</v>
      </c>
      <c r="U45" s="165">
        <f t="shared" si="10"/>
        <v>366428528.20339531</v>
      </c>
      <c r="V45" s="165">
        <f t="shared" si="11"/>
        <v>366428528.20339531</v>
      </c>
      <c r="W45" s="165">
        <f t="shared" si="12"/>
        <v>366428528.20339531</v>
      </c>
      <c r="X45" s="165">
        <f t="shared" si="13"/>
        <v>366428528.20339531</v>
      </c>
      <c r="Y45" s="165">
        <f t="shared" si="14"/>
        <v>366428528.20339531</v>
      </c>
      <c r="Z45" s="165">
        <f t="shared" si="15"/>
        <v>366428528.20339531</v>
      </c>
    </row>
    <row r="46" spans="1:26" ht="29" x14ac:dyDescent="0.35">
      <c r="A46" s="106" t="s">
        <v>83</v>
      </c>
      <c r="B46" s="87" t="s">
        <v>14</v>
      </c>
      <c r="C46" s="88" t="s">
        <v>15</v>
      </c>
      <c r="D46" s="89" t="s">
        <v>16</v>
      </c>
      <c r="E46" s="90" t="s">
        <v>17</v>
      </c>
      <c r="F46" s="87" t="s">
        <v>18</v>
      </c>
      <c r="G46" s="91" t="s">
        <v>19</v>
      </c>
      <c r="H46" s="92" t="s">
        <v>20</v>
      </c>
      <c r="I46" s="93" t="s">
        <v>21</v>
      </c>
      <c r="J46" s="94" t="s">
        <v>22</v>
      </c>
      <c r="K46" s="87" t="s">
        <v>23</v>
      </c>
      <c r="L46" s="107" t="s">
        <v>76</v>
      </c>
      <c r="M46" s="105"/>
      <c r="N46" s="158"/>
      <c r="O46" s="27" t="s">
        <v>70</v>
      </c>
      <c r="P46" s="160">
        <f>'JCIMS Transmission'!G58</f>
        <v>1426414790.4413743</v>
      </c>
      <c r="Q46" s="133">
        <f t="shared" si="7"/>
        <v>1261306468.4688323</v>
      </c>
      <c r="R46" s="133">
        <f t="shared" si="8"/>
        <v>1096198146.4962902</v>
      </c>
      <c r="S46" s="133">
        <f t="shared" si="9"/>
        <v>931089824.52374816</v>
      </c>
      <c r="T46" s="164">
        <f>P6</f>
        <v>765981502.55120599</v>
      </c>
      <c r="U46" s="165">
        <f t="shared" si="10"/>
        <v>765981502.55120599</v>
      </c>
      <c r="V46" s="165">
        <f t="shared" si="11"/>
        <v>765981502.55120599</v>
      </c>
      <c r="W46" s="165">
        <f t="shared" si="12"/>
        <v>765981502.55120599</v>
      </c>
      <c r="X46" s="165">
        <f t="shared" si="13"/>
        <v>765981502.55120599</v>
      </c>
      <c r="Y46" s="165">
        <f t="shared" si="14"/>
        <v>765981502.55120599</v>
      </c>
      <c r="Z46" s="165">
        <f t="shared" si="15"/>
        <v>765981502.55120599</v>
      </c>
    </row>
    <row r="47" spans="1:26" x14ac:dyDescent="0.35">
      <c r="A47" s="108" t="s">
        <v>28</v>
      </c>
      <c r="L47" s="40">
        <f>SUM(B48:K82)</f>
        <v>3511373255.9719181</v>
      </c>
      <c r="M47" s="8"/>
      <c r="N47" s="158"/>
      <c r="O47" s="27" t="s">
        <v>93</v>
      </c>
      <c r="P47" s="160">
        <f>'JCIMS Transmission'!H58</f>
        <v>8098610.4936471228</v>
      </c>
      <c r="Q47" s="133">
        <f t="shared" si="7"/>
        <v>10275767.859276438</v>
      </c>
      <c r="R47" s="133">
        <f t="shared" si="8"/>
        <v>12452925.224905754</v>
      </c>
      <c r="S47" s="133">
        <f t="shared" si="9"/>
        <v>14630082.590535069</v>
      </c>
      <c r="T47" s="164">
        <f>P7</f>
        <v>16807239.956164386</v>
      </c>
      <c r="U47" s="165">
        <f t="shared" si="10"/>
        <v>16807239.956164386</v>
      </c>
      <c r="V47" s="165">
        <f t="shared" si="11"/>
        <v>16807239.956164386</v>
      </c>
      <c r="W47" s="165">
        <f t="shared" si="12"/>
        <v>16807239.956164386</v>
      </c>
      <c r="X47" s="165">
        <f t="shared" si="13"/>
        <v>16807239.956164386</v>
      </c>
      <c r="Y47" s="165">
        <f t="shared" si="14"/>
        <v>16807239.956164386</v>
      </c>
      <c r="Z47" s="165">
        <f t="shared" si="15"/>
        <v>16807239.956164386</v>
      </c>
    </row>
    <row r="48" spans="1:26" x14ac:dyDescent="0.35">
      <c r="A48" s="109" t="s">
        <v>32</v>
      </c>
      <c r="B48" s="78">
        <f>B7*LengthAllocation_2022!C26</f>
        <v>0</v>
      </c>
      <c r="C48" s="75">
        <f>C7*LengthAllocation_2022!D26</f>
        <v>0</v>
      </c>
      <c r="D48" s="75">
        <f>D7*LengthAllocation_2022!E26</f>
        <v>0</v>
      </c>
      <c r="E48" s="75">
        <f>E7*LengthAllocation_2022!F26</f>
        <v>0</v>
      </c>
      <c r="F48" s="75">
        <f>F7*LengthAllocation_2022!G26</f>
        <v>0</v>
      </c>
      <c r="G48" s="75">
        <f>G7*LengthAllocation_2022!H26</f>
        <v>0</v>
      </c>
      <c r="H48" s="75">
        <f>H7*LengthAllocation_2022!I26</f>
        <v>0</v>
      </c>
      <c r="I48" s="75">
        <f>I7*LengthAllocation_2022!J26</f>
        <v>0</v>
      </c>
      <c r="J48" s="75">
        <f>J7*LengthAllocation_2022!K26</f>
        <v>0</v>
      </c>
      <c r="K48" s="75">
        <f>K7*LengthAllocation_2022!L26</f>
        <v>0</v>
      </c>
      <c r="L48" s="42"/>
      <c r="N48" s="158"/>
      <c r="O48" s="27" t="s">
        <v>72</v>
      </c>
      <c r="P48" s="160">
        <f>'JCIMS Transmission'!I58</f>
        <v>22087119.528128512</v>
      </c>
      <c r="Q48" s="133">
        <f t="shared" si="7"/>
        <v>37159595.646096647</v>
      </c>
      <c r="R48" s="133">
        <f t="shared" si="8"/>
        <v>52232071.764064781</v>
      </c>
      <c r="S48" s="133">
        <f t="shared" si="9"/>
        <v>67304547.882032916</v>
      </c>
      <c r="T48" s="164">
        <f>P8</f>
        <v>82377024.000001058</v>
      </c>
      <c r="U48" s="165">
        <f t="shared" si="10"/>
        <v>82377024.000001058</v>
      </c>
      <c r="V48" s="165">
        <f t="shared" si="11"/>
        <v>82377024.000001058</v>
      </c>
      <c r="W48" s="165">
        <f t="shared" si="12"/>
        <v>82377024.000001058</v>
      </c>
      <c r="X48" s="165">
        <f t="shared" si="13"/>
        <v>82377024.000001058</v>
      </c>
      <c r="Y48" s="165">
        <f t="shared" si="14"/>
        <v>82377024.000001058</v>
      </c>
      <c r="Z48" s="165">
        <f t="shared" si="15"/>
        <v>82377024.000001058</v>
      </c>
    </row>
    <row r="49" spans="1:26" x14ac:dyDescent="0.35">
      <c r="A49" s="109" t="s">
        <v>33</v>
      </c>
      <c r="B49" s="78">
        <f>B8*LengthAllocation_2022!C27</f>
        <v>0</v>
      </c>
      <c r="C49" s="75">
        <f>C8*LengthAllocation_2022!D27</f>
        <v>0</v>
      </c>
      <c r="D49" s="75">
        <f>D8*LengthAllocation_2022!E27</f>
        <v>0</v>
      </c>
      <c r="E49" s="75">
        <f>E8*LengthAllocation_2022!F27</f>
        <v>0</v>
      </c>
      <c r="F49" s="75">
        <f>F8*LengthAllocation_2022!G27</f>
        <v>0</v>
      </c>
      <c r="G49" s="75">
        <f>G8*LengthAllocation_2022!H27</f>
        <v>0</v>
      </c>
      <c r="H49" s="75">
        <f>H8*LengthAllocation_2022!I27</f>
        <v>0</v>
      </c>
      <c r="I49" s="75">
        <f>I8*LengthAllocation_2022!J27</f>
        <v>0</v>
      </c>
      <c r="J49" s="75">
        <f>J8*LengthAllocation_2022!K27</f>
        <v>0</v>
      </c>
      <c r="K49" s="75">
        <f>K8*LengthAllocation_2022!L27</f>
        <v>0</v>
      </c>
      <c r="L49" s="42"/>
      <c r="N49" s="158"/>
      <c r="O49" s="159"/>
      <c r="P49" s="160"/>
      <c r="Q49" s="161"/>
      <c r="R49" s="161"/>
      <c r="S49" s="161"/>
      <c r="T49" s="162"/>
      <c r="U49" s="163"/>
      <c r="V49" s="163"/>
      <c r="W49" s="163"/>
      <c r="X49" s="163"/>
      <c r="Y49" s="163"/>
      <c r="Z49" s="163"/>
    </row>
    <row r="50" spans="1:26" x14ac:dyDescent="0.35">
      <c r="A50" s="109" t="s">
        <v>34</v>
      </c>
      <c r="B50" s="78">
        <f>B9*LengthAllocation_2022!C28</f>
        <v>0</v>
      </c>
      <c r="C50" s="75">
        <f>C9*LengthAllocation_2022!D28</f>
        <v>0</v>
      </c>
      <c r="D50" s="75">
        <f>D9*LengthAllocation_2022!E28</f>
        <v>0</v>
      </c>
      <c r="E50" s="75">
        <f>E9*LengthAllocation_2022!F28</f>
        <v>0</v>
      </c>
      <c r="F50" s="75">
        <f>F9*LengthAllocation_2022!G28</f>
        <v>0</v>
      </c>
      <c r="G50" s="75">
        <f>G9*LengthAllocation_2022!H28</f>
        <v>0</v>
      </c>
      <c r="H50" s="75">
        <f>H9*LengthAllocation_2022!I28</f>
        <v>0</v>
      </c>
      <c r="I50" s="75">
        <f>I9*LengthAllocation_2022!J28</f>
        <v>0</v>
      </c>
      <c r="J50" s="75">
        <f>J9*LengthAllocation_2022!K28</f>
        <v>0</v>
      </c>
      <c r="K50" s="75">
        <f>K9*LengthAllocation_2022!L28</f>
        <v>0</v>
      </c>
      <c r="L50" s="42"/>
      <c r="N50" s="158"/>
      <c r="O50" s="159"/>
      <c r="P50" s="160"/>
      <c r="Q50" s="161"/>
      <c r="R50" s="161"/>
      <c r="S50" s="161"/>
      <c r="T50" s="162"/>
      <c r="U50" s="163"/>
      <c r="V50" s="163"/>
      <c r="W50" s="163"/>
      <c r="X50" s="163"/>
      <c r="Y50" s="163"/>
      <c r="Z50" s="163"/>
    </row>
    <row r="51" spans="1:26" x14ac:dyDescent="0.35">
      <c r="A51" s="109" t="s">
        <v>35</v>
      </c>
      <c r="B51" s="78">
        <f>B10*LengthAllocation_2022!C29</f>
        <v>0</v>
      </c>
      <c r="C51" s="75">
        <f>C10*LengthAllocation_2022!D29</f>
        <v>0</v>
      </c>
      <c r="D51" s="75">
        <f>D10*LengthAllocation_2022!E29</f>
        <v>0</v>
      </c>
      <c r="E51" s="75">
        <f>E10*LengthAllocation_2022!F29</f>
        <v>0</v>
      </c>
      <c r="F51" s="75">
        <f>F10*LengthAllocation_2022!G29</f>
        <v>0</v>
      </c>
      <c r="G51" s="75">
        <f>G10*LengthAllocation_2022!H29</f>
        <v>0</v>
      </c>
      <c r="H51" s="75">
        <f>H10*LengthAllocation_2022!I29</f>
        <v>0</v>
      </c>
      <c r="I51" s="75">
        <f>I10*LengthAllocation_2022!J29</f>
        <v>0</v>
      </c>
      <c r="J51" s="75">
        <f>J10*LengthAllocation_2022!K29</f>
        <v>0</v>
      </c>
      <c r="K51" s="75">
        <f>K10*LengthAllocation_2022!L29</f>
        <v>0</v>
      </c>
      <c r="L51" s="42"/>
      <c r="N51" s="158"/>
      <c r="O51" s="159"/>
      <c r="P51" s="160"/>
      <c r="Q51" s="161"/>
      <c r="R51" s="161"/>
      <c r="S51" s="161"/>
      <c r="T51" s="162"/>
      <c r="U51" s="163"/>
      <c r="V51" s="163"/>
      <c r="W51" s="163"/>
      <c r="X51" s="163"/>
      <c r="Y51" s="163"/>
      <c r="Z51" s="163"/>
    </row>
    <row r="52" spans="1:26" x14ac:dyDescent="0.35">
      <c r="A52" s="109" t="s">
        <v>36</v>
      </c>
      <c r="B52" s="78">
        <f>B11*LengthAllocation_2022!C30</f>
        <v>0</v>
      </c>
      <c r="C52" s="75">
        <f>C11*LengthAllocation_2022!D30</f>
        <v>0</v>
      </c>
      <c r="D52" s="75">
        <f>D11*LengthAllocation_2022!E30</f>
        <v>0</v>
      </c>
      <c r="E52" s="75">
        <f>E11*LengthAllocation_2022!F30</f>
        <v>0</v>
      </c>
      <c r="F52" s="75">
        <f>F11*LengthAllocation_2022!G30</f>
        <v>0</v>
      </c>
      <c r="G52" s="75">
        <f>G11*LengthAllocation_2022!H30</f>
        <v>0</v>
      </c>
      <c r="H52" s="75">
        <f>H11*LengthAllocation_2022!I30</f>
        <v>0</v>
      </c>
      <c r="I52" s="75">
        <f>I11*LengthAllocation_2022!J30</f>
        <v>0</v>
      </c>
      <c r="J52" s="75">
        <f>J11*LengthAllocation_2022!K30</f>
        <v>0</v>
      </c>
      <c r="K52" s="75">
        <f>K11*LengthAllocation_2022!L30</f>
        <v>0</v>
      </c>
      <c r="L52" s="42"/>
      <c r="N52" s="73"/>
      <c r="O52" s="139" t="s">
        <v>173</v>
      </c>
      <c r="P52" s="139"/>
      <c r="Q52" s="139"/>
      <c r="R52" s="139"/>
      <c r="S52" s="139"/>
      <c r="T52" s="139"/>
      <c r="U52" s="139"/>
      <c r="V52" s="139"/>
      <c r="W52" s="139"/>
      <c r="X52" s="139"/>
      <c r="Y52" s="139"/>
      <c r="Z52" s="139"/>
    </row>
    <row r="53" spans="1:26" x14ac:dyDescent="0.35">
      <c r="A53" s="110" t="s">
        <v>37</v>
      </c>
      <c r="B53" s="75">
        <f>B12*LengthAllocation_2022!C31</f>
        <v>0</v>
      </c>
      <c r="C53" s="80">
        <f>C12*LengthAllocation_2022!D31</f>
        <v>43440658.799999997</v>
      </c>
      <c r="D53" s="75">
        <f>D12*LengthAllocation_2022!E31</f>
        <v>0</v>
      </c>
      <c r="E53" s="75">
        <f>E12*LengthAllocation_2022!F31</f>
        <v>0</v>
      </c>
      <c r="F53" s="75">
        <f>F12*LengthAllocation_2022!G31</f>
        <v>0</v>
      </c>
      <c r="G53" s="75">
        <f>G12*LengthAllocation_2022!H31</f>
        <v>0</v>
      </c>
      <c r="H53" s="75">
        <f>H12*LengthAllocation_2022!I31</f>
        <v>0</v>
      </c>
      <c r="I53" s="75">
        <f>I12*LengthAllocation_2022!J31</f>
        <v>0</v>
      </c>
      <c r="J53" s="75">
        <f>J12*LengthAllocation_2022!K31</f>
        <v>0</v>
      </c>
      <c r="K53" s="75">
        <f>K12*LengthAllocation_2022!L31</f>
        <v>0</v>
      </c>
      <c r="L53" s="42"/>
      <c r="N53" s="73"/>
      <c r="O53" s="27" t="s">
        <v>99</v>
      </c>
      <c r="P53" s="122">
        <f>'[1]NG Production_2000-2050'!D55</f>
        <v>3821522.6741798697</v>
      </c>
      <c r="Q53" s="122">
        <f>'[1]NG Production_2000-2050'!E55</f>
        <v>4408974.1368703451</v>
      </c>
      <c r="R53" s="122">
        <f>'[1]NG Production_2000-2050'!F55</f>
        <v>3407398.2290962851</v>
      </c>
      <c r="S53" s="122">
        <f>'[1]NG Production_2000-2050'!G55</f>
        <v>2227759.4306536121</v>
      </c>
      <c r="T53" s="122">
        <f>'[1]NG Production_2000-2050'!H55</f>
        <v>0</v>
      </c>
      <c r="U53" s="122">
        <f>'[1]NG Production_2000-2050'!I55</f>
        <v>0</v>
      </c>
      <c r="V53" s="122">
        <f>'[1]NG Production_2000-2050'!J55</f>
        <v>0</v>
      </c>
      <c r="W53" s="122">
        <f>'[1]NG Production_2000-2050'!K55</f>
        <v>0</v>
      </c>
      <c r="X53" s="122">
        <f>'[1]NG Production_2000-2050'!L55</f>
        <v>0</v>
      </c>
      <c r="Y53" s="122">
        <f>'[1]NG Production_2000-2050'!M55</f>
        <v>0</v>
      </c>
      <c r="Z53" s="122">
        <f>'[1]NG Production_2000-2050'!N55</f>
        <v>0</v>
      </c>
    </row>
    <row r="54" spans="1:26" x14ac:dyDescent="0.35">
      <c r="A54" s="110" t="s">
        <v>38</v>
      </c>
      <c r="B54" s="75">
        <f>B13*LengthAllocation_2022!C32</f>
        <v>0</v>
      </c>
      <c r="C54" s="80">
        <f>C13*LengthAllocation_2022!D32</f>
        <v>5184651.5999999996</v>
      </c>
      <c r="D54" s="75">
        <f>D13*LengthAllocation_2022!E32</f>
        <v>0</v>
      </c>
      <c r="E54" s="75">
        <f>E13*LengthAllocation_2022!F32</f>
        <v>0</v>
      </c>
      <c r="F54" s="75">
        <f>F13*LengthAllocation_2022!G32</f>
        <v>0</v>
      </c>
      <c r="G54" s="75">
        <f>G13*LengthAllocation_2022!H32</f>
        <v>0</v>
      </c>
      <c r="H54" s="75">
        <f>H13*LengthAllocation_2022!I32</f>
        <v>0</v>
      </c>
      <c r="I54" s="75">
        <f>I13*LengthAllocation_2022!J32</f>
        <v>0</v>
      </c>
      <c r="J54" s="75">
        <f>J13*LengthAllocation_2022!K32</f>
        <v>0</v>
      </c>
      <c r="K54" s="75">
        <f>K13*LengthAllocation_2022!L32</f>
        <v>0</v>
      </c>
      <c r="L54" s="42"/>
      <c r="O54" s="27" t="s">
        <v>100</v>
      </c>
      <c r="P54" s="122">
        <f>'[1]NG Production_2000-2050'!D56</f>
        <v>0</v>
      </c>
      <c r="Q54" s="122">
        <f>'[1]NG Production_2000-2050'!E56</f>
        <v>0</v>
      </c>
      <c r="R54" s="122">
        <f>'[1]NG Production_2000-2050'!F56</f>
        <v>184716.38362601717</v>
      </c>
      <c r="S54" s="122">
        <f>'[1]NG Production_2000-2050'!G56</f>
        <v>42758.446734396508</v>
      </c>
      <c r="T54" s="122">
        <f>'[1]NG Production_2000-2050'!H56</f>
        <v>54658.091688394881</v>
      </c>
      <c r="U54" s="122">
        <f>'[1]NG Production_2000-2050'!I56</f>
        <v>0</v>
      </c>
      <c r="V54" s="122">
        <f>'[1]NG Production_2000-2050'!J56</f>
        <v>0</v>
      </c>
      <c r="W54" s="122">
        <f>'[1]NG Production_2000-2050'!K56</f>
        <v>0</v>
      </c>
      <c r="X54" s="122">
        <f>'[1]NG Production_2000-2050'!L56</f>
        <v>0</v>
      </c>
      <c r="Y54" s="122">
        <f>'[1]NG Production_2000-2050'!M56</f>
        <v>0</v>
      </c>
      <c r="Z54" s="122">
        <f>'[1]NG Production_2000-2050'!N56</f>
        <v>0</v>
      </c>
    </row>
    <row r="55" spans="1:26" x14ac:dyDescent="0.35">
      <c r="A55" s="111" t="s">
        <v>39</v>
      </c>
      <c r="B55" s="75">
        <f>B14*LengthAllocation_2022!C33</f>
        <v>0</v>
      </c>
      <c r="C55" s="75">
        <f>C14*LengthAllocation_2022!D33</f>
        <v>0</v>
      </c>
      <c r="D55" s="81">
        <f>D14*LengthAllocation_2022!E33</f>
        <v>0</v>
      </c>
      <c r="E55" s="75">
        <f>E14*LengthAllocation_2022!F33</f>
        <v>0</v>
      </c>
      <c r="F55" s="75">
        <f>F14*LengthAllocation_2022!G33</f>
        <v>0</v>
      </c>
      <c r="G55" s="75">
        <f>G14*LengthAllocation_2022!H33</f>
        <v>0</v>
      </c>
      <c r="H55" s="75">
        <f>H14*LengthAllocation_2022!I33</f>
        <v>0</v>
      </c>
      <c r="I55" s="75">
        <f>I14*LengthAllocation_2022!J33</f>
        <v>0</v>
      </c>
      <c r="J55" s="75">
        <f>J14*LengthAllocation_2022!K33</f>
        <v>0</v>
      </c>
      <c r="K55" s="75">
        <f>K14*LengthAllocation_2022!L33</f>
        <v>0</v>
      </c>
      <c r="L55" s="42"/>
      <c r="O55" s="27" t="s">
        <v>101</v>
      </c>
      <c r="P55" s="122">
        <f>'[1]NG Production_2000-2050'!D57</f>
        <v>642626.52605732647</v>
      </c>
      <c r="Q55" s="122">
        <f>'[1]NG Production_2000-2050'!E57</f>
        <v>284817.45066447981</v>
      </c>
      <c r="R55" s="122">
        <f>'[1]NG Production_2000-2050'!F57</f>
        <v>189981.74343669825</v>
      </c>
      <c r="S55" s="122">
        <f>'[1]NG Production_2000-2050'!G57</f>
        <v>124826.81913585091</v>
      </c>
      <c r="T55" s="122">
        <f>'[1]NG Production_2000-2050'!H57</f>
        <v>78057.672780504494</v>
      </c>
      <c r="U55" s="122">
        <f>'[1]NG Production_2000-2050'!I57</f>
        <v>22826.089757570604</v>
      </c>
      <c r="V55" s="122">
        <f>'[1]NG Production_2000-2050'!J57</f>
        <v>2759.39229824423</v>
      </c>
      <c r="W55" s="122">
        <f>'[1]NG Production_2000-2050'!K57</f>
        <v>140.19046112644477</v>
      </c>
      <c r="X55" s="122">
        <f>'[1]NG Production_2000-2050'!L57</f>
        <v>3.0582959868893074</v>
      </c>
      <c r="Y55" s="122">
        <f>'[1]NG Production_2000-2050'!M57</f>
        <v>2.9701089148827169E-2</v>
      </c>
      <c r="Z55" s="122">
        <f>'[1]NG Production_2000-2050'!N57</f>
        <v>0</v>
      </c>
    </row>
    <row r="56" spans="1:26" x14ac:dyDescent="0.35">
      <c r="A56" s="112" t="s">
        <v>40</v>
      </c>
      <c r="B56" s="75">
        <f>B15*LengthAllocation_2022!C34</f>
        <v>0</v>
      </c>
      <c r="C56" s="75">
        <f>C15*LengthAllocation_2022!D34</f>
        <v>0</v>
      </c>
      <c r="D56" s="75">
        <f>D15*LengthAllocation_2022!E34</f>
        <v>0</v>
      </c>
      <c r="E56" s="82">
        <f>E15*LengthAllocation_2022!F34</f>
        <v>49069200</v>
      </c>
      <c r="F56" s="75">
        <f>F15*LengthAllocation_2022!G34</f>
        <v>0</v>
      </c>
      <c r="G56" s="75">
        <f>G15*LengthAllocation_2022!H34</f>
        <v>0</v>
      </c>
      <c r="H56" s="75">
        <f>H15*LengthAllocation_2022!I34</f>
        <v>0</v>
      </c>
      <c r="I56" s="75">
        <f>I15*LengthAllocation_2022!J34</f>
        <v>0</v>
      </c>
      <c r="J56" s="75">
        <f>J15*LengthAllocation_2022!K34</f>
        <v>0</v>
      </c>
      <c r="K56" s="75">
        <f>K15*LengthAllocation_2022!L34</f>
        <v>0</v>
      </c>
      <c r="L56" s="42"/>
      <c r="O56" s="27" t="s">
        <v>102</v>
      </c>
      <c r="P56" s="122">
        <f>'[1]NG Production_2000-2050'!D58</f>
        <v>6925962.7834212882</v>
      </c>
      <c r="Q56" s="122">
        <f>'[1]NG Production_2000-2050'!E58</f>
        <v>7997674.0157014532</v>
      </c>
      <c r="R56" s="122">
        <f>'[1]NG Production_2000-2050'!F58</f>
        <v>5802333.6412022002</v>
      </c>
      <c r="S56" s="122">
        <f>'[1]NG Production_2000-2050'!G58</f>
        <v>4974740.9681812376</v>
      </c>
      <c r="T56" s="122">
        <f>'[1]NG Production_2000-2050'!H58</f>
        <v>4031687.5446723187</v>
      </c>
      <c r="U56" s="122">
        <f>'[1]NG Production_2000-2050'!I58</f>
        <v>4480173.541613278</v>
      </c>
      <c r="V56" s="122">
        <f>'[1]NG Production_2000-2050'!J58</f>
        <v>4838099.1425919775</v>
      </c>
      <c r="W56" s="122">
        <f>'[1]NG Production_2000-2050'!K58</f>
        <v>5144278.9765655845</v>
      </c>
      <c r="X56" s="122">
        <f>'[1]NG Production_2000-2050'!L58</f>
        <v>5305116.3236640096</v>
      </c>
      <c r="Y56" s="122">
        <f>'[1]NG Production_2000-2050'!M58</f>
        <v>5291733.5150578748</v>
      </c>
      <c r="Z56" s="122">
        <f>'[1]NG Production_2000-2050'!N58</f>
        <v>5287606.0452378262</v>
      </c>
    </row>
    <row r="57" spans="1:26" x14ac:dyDescent="0.35">
      <c r="A57" s="112" t="s">
        <v>41</v>
      </c>
      <c r="B57" s="75">
        <f>B16*LengthAllocation_2022!C35</f>
        <v>0</v>
      </c>
      <c r="C57" s="75">
        <f>C16*LengthAllocation_2022!D35</f>
        <v>0</v>
      </c>
      <c r="D57" s="75">
        <f>D16*LengthAllocation_2022!E35</f>
        <v>0</v>
      </c>
      <c r="E57" s="82">
        <f>E16*LengthAllocation_2022!F35</f>
        <v>26122041.643835615</v>
      </c>
      <c r="F57" s="75">
        <f>F16*LengthAllocation_2022!G35</f>
        <v>0</v>
      </c>
      <c r="G57" s="75">
        <f>G16*LengthAllocation_2022!H35</f>
        <v>0</v>
      </c>
      <c r="H57" s="75">
        <f>H16*LengthAllocation_2022!I35</f>
        <v>0</v>
      </c>
      <c r="I57" s="75">
        <f>I16*LengthAllocation_2022!J35</f>
        <v>0</v>
      </c>
      <c r="J57" s="75">
        <f>J16*LengthAllocation_2022!K35</f>
        <v>0</v>
      </c>
      <c r="K57" s="75">
        <f>K16*LengthAllocation_2022!L35</f>
        <v>0</v>
      </c>
      <c r="L57" s="42"/>
      <c r="N57" s="8"/>
      <c r="O57" s="27" t="s">
        <v>103</v>
      </c>
      <c r="P57" s="122">
        <f>'[1]NG Production_2000-2050'!D59</f>
        <v>149406900.18731356</v>
      </c>
      <c r="Q57" s="122">
        <f>'[1]NG Production_2000-2050'!E59</f>
        <v>150668431.42194858</v>
      </c>
      <c r="R57" s="122">
        <f>'[1]NG Production_2000-2050'!F59</f>
        <v>125144353.74428269</v>
      </c>
      <c r="S57" s="122">
        <f>'[1]NG Production_2000-2050'!G59</f>
        <v>118920049.77603641</v>
      </c>
      <c r="T57" s="122">
        <f>'[1]NG Production_2000-2050'!H59</f>
        <v>110556684.06965716</v>
      </c>
      <c r="U57" s="122">
        <f>'[1]NG Production_2000-2050'!I59</f>
        <v>97001887.338538587</v>
      </c>
      <c r="V57" s="122">
        <f>'[1]NG Production_2000-2050'!J59</f>
        <v>86478360.50919129</v>
      </c>
      <c r="W57" s="122">
        <f>'[1]NG Production_2000-2050'!K59</f>
        <v>82899468.54708451</v>
      </c>
      <c r="X57" s="122">
        <f>'[1]NG Production_2000-2050'!L59</f>
        <v>84307680.194819376</v>
      </c>
      <c r="Y57" s="122">
        <f>'[1]NG Production_2000-2050'!M59</f>
        <v>86591367.809546128</v>
      </c>
      <c r="Z57" s="122">
        <f>'[1]NG Production_2000-2050'!N59</f>
        <v>87801417.085991234</v>
      </c>
    </row>
    <row r="58" spans="1:26" x14ac:dyDescent="0.35">
      <c r="A58" s="109" t="s">
        <v>18</v>
      </c>
      <c r="B58" s="75">
        <f>B17*LengthAllocation_2022!C36</f>
        <v>0</v>
      </c>
      <c r="C58" s="75">
        <f>C17*LengthAllocation_2022!D36</f>
        <v>0</v>
      </c>
      <c r="D58" s="75">
        <f>D17*LengthAllocation_2022!E36</f>
        <v>0</v>
      </c>
      <c r="E58" s="75">
        <f>E17*LengthAllocation_2022!F36</f>
        <v>0</v>
      </c>
      <c r="F58" s="83">
        <f>F17*LengthAllocation_2022!G36</f>
        <v>0</v>
      </c>
      <c r="G58" s="75">
        <f>G17*LengthAllocation_2022!H36</f>
        <v>0</v>
      </c>
      <c r="H58" s="75">
        <f>H17*LengthAllocation_2022!I36</f>
        <v>0</v>
      </c>
      <c r="I58" s="75">
        <f>I17*LengthAllocation_2022!J36</f>
        <v>0</v>
      </c>
      <c r="J58" s="75">
        <f>J17*LengthAllocation_2022!K36</f>
        <v>0</v>
      </c>
      <c r="K58" s="75">
        <f>K17*LengthAllocation_2022!L36</f>
        <v>0</v>
      </c>
      <c r="L58" s="42"/>
      <c r="O58" s="105" t="s">
        <v>104</v>
      </c>
      <c r="P58" s="122">
        <f>'[1]NG Production_2000-2050'!D60</f>
        <v>23988694.229335465</v>
      </c>
      <c r="Q58" s="122">
        <f>'[1]NG Production_2000-2050'!E60</f>
        <v>29894439.62572857</v>
      </c>
      <c r="R58" s="122">
        <f>'[1]NG Production_2000-2050'!F60</f>
        <v>33265271.874463737</v>
      </c>
      <c r="S58" s="122">
        <f>'[1]NG Production_2000-2050'!G60</f>
        <v>48256082.461794622</v>
      </c>
      <c r="T58" s="122">
        <f>'[1]NG Production_2000-2050'!H60</f>
        <v>61185261.516402736</v>
      </c>
      <c r="U58" s="122">
        <f>'[1]NG Production_2000-2050'!I60</f>
        <v>79488653.782111481</v>
      </c>
      <c r="V58" s="122">
        <f>'[1]NG Production_2000-2050'!J60</f>
        <v>95413534.754454538</v>
      </c>
      <c r="W58" s="122">
        <f>'[1]NG Production_2000-2050'!K60</f>
        <v>112872795.29341321</v>
      </c>
      <c r="X58" s="122">
        <f>'[1]NG Production_2000-2050'!L60</f>
        <v>134720124.560316</v>
      </c>
      <c r="Y58" s="122">
        <f>'[1]NG Production_2000-2050'!M60</f>
        <v>150860679.00753155</v>
      </c>
      <c r="Z58" s="122">
        <f>'[1]NG Production_2000-2050'!N60</f>
        <v>150339287.3318311</v>
      </c>
    </row>
    <row r="59" spans="1:26" x14ac:dyDescent="0.35">
      <c r="A59" s="113" t="s">
        <v>42</v>
      </c>
      <c r="B59" s="75">
        <f>B18*LengthAllocation_2022!C37</f>
        <v>0</v>
      </c>
      <c r="C59" s="75">
        <f>C18*LengthAllocation_2022!D37</f>
        <v>0</v>
      </c>
      <c r="D59" s="75">
        <f>D18*LengthAllocation_2022!E37</f>
        <v>0</v>
      </c>
      <c r="E59" s="75">
        <f>E18*LengthAllocation_2022!F37</f>
        <v>0</v>
      </c>
      <c r="F59" s="75">
        <f>F18*LengthAllocation_2022!G37</f>
        <v>0</v>
      </c>
      <c r="G59" s="84">
        <f>G18*LengthAllocation_2022!H37</f>
        <v>0</v>
      </c>
      <c r="H59" s="75">
        <f>H18*LengthAllocation_2022!I37</f>
        <v>0</v>
      </c>
      <c r="I59" s="75">
        <f>I18*LengthAllocation_2022!J37</f>
        <v>0</v>
      </c>
      <c r="J59" s="75">
        <f>J18*LengthAllocation_2022!K37</f>
        <v>0</v>
      </c>
      <c r="K59" s="75">
        <f>K18*LengthAllocation_2022!L37</f>
        <v>0</v>
      </c>
      <c r="L59" s="42"/>
      <c r="O59" s="27" t="s">
        <v>72</v>
      </c>
      <c r="P59" s="122">
        <f>'[1]NG Production_2000-2050'!D61</f>
        <v>3821522.6741798697</v>
      </c>
      <c r="Q59" s="122">
        <f>'[1]NG Production_2000-2050'!E61</f>
        <v>4408974.1368703451</v>
      </c>
      <c r="R59" s="122">
        <f>'[1]NG Production_2000-2050'!F61</f>
        <v>3592114.6127223023</v>
      </c>
      <c r="S59" s="122">
        <f>'[1]NG Production_2000-2050'!G61</f>
        <v>2270517.8773880089</v>
      </c>
      <c r="T59" s="122">
        <f>'[1]NG Production_2000-2050'!H61</f>
        <v>54658.091688394881</v>
      </c>
      <c r="U59" s="122">
        <f>'[1]NG Production_2000-2050'!I61</f>
        <v>0</v>
      </c>
      <c r="V59" s="122">
        <f>'[1]NG Production_2000-2050'!J61</f>
        <v>0</v>
      </c>
      <c r="W59" s="122">
        <f>'[1]NG Production_2000-2050'!K61</f>
        <v>0</v>
      </c>
      <c r="X59" s="122">
        <f>'[1]NG Production_2000-2050'!L61</f>
        <v>0</v>
      </c>
      <c r="Y59" s="122">
        <f>'[1]NG Production_2000-2050'!M61</f>
        <v>0</v>
      </c>
      <c r="Z59" s="122">
        <f>'[1]NG Production_2000-2050'!N61</f>
        <v>0</v>
      </c>
    </row>
    <row r="60" spans="1:26" x14ac:dyDescent="0.35">
      <c r="A60" s="114" t="s">
        <v>43</v>
      </c>
      <c r="B60" s="75">
        <f>B19*LengthAllocation_2022!C38</f>
        <v>0</v>
      </c>
      <c r="C60" s="75">
        <f>C19*LengthAllocation_2022!D38</f>
        <v>0</v>
      </c>
      <c r="D60" s="75">
        <f>D19*LengthAllocation_2022!E38</f>
        <v>0</v>
      </c>
      <c r="E60" s="75">
        <f>E19*LengthAllocation_2022!F38</f>
        <v>0</v>
      </c>
      <c r="F60" s="75">
        <f>F19*LengthAllocation_2022!G38</f>
        <v>0</v>
      </c>
      <c r="G60" s="75">
        <f>G19*LengthAllocation_2022!H38</f>
        <v>0</v>
      </c>
      <c r="H60" s="85">
        <f>H19*LengthAllocation_2022!I38</f>
        <v>778071607.26575339</v>
      </c>
      <c r="I60" s="75">
        <f>I19*LengthAllocation_2022!J38</f>
        <v>0</v>
      </c>
      <c r="J60" s="75">
        <f>J19*LengthAllocation_2022!K38</f>
        <v>0</v>
      </c>
      <c r="K60" s="75">
        <f>K19*LengthAllocation_2022!L38</f>
        <v>0</v>
      </c>
      <c r="L60" s="42"/>
      <c r="N60" t="s">
        <v>106</v>
      </c>
      <c r="O60" s="27" t="s">
        <v>105</v>
      </c>
      <c r="P60" s="122">
        <f>'[1]NG Production_2000-2050'!D62</f>
        <v>1125593.5996924792</v>
      </c>
      <c r="Q60" s="122">
        <f>'[1]NG Production_2000-2050'!E62</f>
        <v>637991.08955924609</v>
      </c>
      <c r="R60" s="122">
        <f>'[1]NG Production_2000-2050'!F62</f>
        <v>229456.47639571418</v>
      </c>
      <c r="S60" s="122">
        <f>'[1]NG Production_2000-2050'!G62</f>
        <v>94028.975020302561</v>
      </c>
      <c r="T60" s="122">
        <f>'[1]NG Production_2000-2050'!H62</f>
        <v>55251.323813627292</v>
      </c>
      <c r="U60" s="122">
        <f>'[1]NG Production_2000-2050'!I62</f>
        <v>58772.836176180026</v>
      </c>
      <c r="V60" s="122">
        <f>'[1]NG Production_2000-2050'!J62</f>
        <v>43271.261562957457</v>
      </c>
      <c r="W60" s="122">
        <f>'[1]NG Production_2000-2050'!K62</f>
        <v>31751.391548015647</v>
      </c>
      <c r="X60" s="122">
        <f>'[1]NG Production_2000-2050'!L62</f>
        <v>23253.917558909641</v>
      </c>
      <c r="Y60" s="122">
        <f>'[1]NG Production_2000-2050'!M62</f>
        <v>17088.9279713377</v>
      </c>
      <c r="Z60" s="122">
        <f>'[1]NG Production_2000-2050'!N62</f>
        <v>12625.552791898366</v>
      </c>
    </row>
    <row r="61" spans="1:26" x14ac:dyDescent="0.35">
      <c r="A61" s="114" t="s">
        <v>44</v>
      </c>
      <c r="B61" s="75">
        <f>B20*LengthAllocation_2022!C39</f>
        <v>0</v>
      </c>
      <c r="C61" s="75">
        <f>C20*LengthAllocation_2022!D39</f>
        <v>0</v>
      </c>
      <c r="D61" s="75">
        <f>D20*LengthAllocation_2022!E39</f>
        <v>0</v>
      </c>
      <c r="E61" s="75">
        <f>E20*LengthAllocation_2022!F39</f>
        <v>0</v>
      </c>
      <c r="F61" s="75">
        <f>F20*LengthAllocation_2022!G39</f>
        <v>0</v>
      </c>
      <c r="G61" s="75">
        <f>G20*LengthAllocation_2022!H39</f>
        <v>0</v>
      </c>
      <c r="H61" s="85">
        <f>H20*LengthAllocation_2022!I39</f>
        <v>609418396.70753431</v>
      </c>
      <c r="I61" s="75">
        <f>I20*LengthAllocation_2022!J39</f>
        <v>0</v>
      </c>
      <c r="J61" s="75">
        <f>J20*LengthAllocation_2022!K39</f>
        <v>0</v>
      </c>
      <c r="K61" s="75">
        <f>K20*LengthAllocation_2022!L39</f>
        <v>0</v>
      </c>
      <c r="L61" s="42"/>
      <c r="N61" t="s">
        <v>106</v>
      </c>
      <c r="O61" s="27" t="s">
        <v>69</v>
      </c>
      <c r="P61" s="122">
        <f>'[1]NG Production_2000-2050'!D63</f>
        <v>18.59113</v>
      </c>
      <c r="Q61" s="122">
        <f>'[1]NG Production_2000-2050'!E63</f>
        <v>18.902749999999997</v>
      </c>
      <c r="R61" s="122">
        <f>'[1]NG Production_2000-2050'!F63</f>
        <v>19.032869999999999</v>
      </c>
      <c r="S61" s="122">
        <f>'[1]NG Production_2000-2050'!G63</f>
        <v>18.491129999999998</v>
      </c>
      <c r="T61" s="122">
        <f>'[1]NG Production_2000-2050'!H63</f>
        <v>18.557759999999998</v>
      </c>
      <c r="U61" s="122">
        <f>'[1]NG Production_2000-2050'!I63</f>
        <v>19.389232774047269</v>
      </c>
      <c r="V61" s="122">
        <f>'[1]NG Production_2000-2050'!J63</f>
        <v>19.491974603347508</v>
      </c>
      <c r="W61" s="122">
        <f>'[1]NG Production_2000-2050'!K63</f>
        <v>19.274736166803688</v>
      </c>
      <c r="X61" s="122">
        <f>'[1]NG Production_2000-2050'!L63</f>
        <v>18.585085770115519</v>
      </c>
      <c r="Y61" s="122">
        <f>'[1]NG Production_2000-2050'!M63</f>
        <v>17.404183513507689</v>
      </c>
      <c r="Z61" s="122">
        <f>'[1]NG Production_2000-2050'!N63</f>
        <v>16.822351209250336</v>
      </c>
    </row>
    <row r="62" spans="1:26" x14ac:dyDescent="0.35">
      <c r="A62" s="114" t="s">
        <v>45</v>
      </c>
      <c r="B62" s="75">
        <f>B21*LengthAllocation_2022!C40</f>
        <v>0</v>
      </c>
      <c r="C62" s="75">
        <f>C21*LengthAllocation_2022!D40</f>
        <v>0</v>
      </c>
      <c r="D62" s="75">
        <f>D21*LengthAllocation_2022!E40</f>
        <v>0</v>
      </c>
      <c r="E62" s="75">
        <f>E21*LengthAllocation_2022!F40</f>
        <v>0</v>
      </c>
      <c r="F62" s="75">
        <f>F21*LengthAllocation_2022!G40</f>
        <v>0</v>
      </c>
      <c r="G62" s="75">
        <f>G21*LengthAllocation_2022!H40</f>
        <v>0</v>
      </c>
      <c r="H62" s="85">
        <f>H21*LengthAllocation_2022!I40</f>
        <v>1031388693.9534247</v>
      </c>
      <c r="I62" s="75">
        <f>I21*LengthAllocation_2022!J40</f>
        <v>0</v>
      </c>
      <c r="J62" s="75">
        <f>J21*LengthAllocation_2022!K40</f>
        <v>0</v>
      </c>
      <c r="K62" s="75">
        <f>K21*LengthAllocation_2022!L40</f>
        <v>0</v>
      </c>
      <c r="L62" s="42"/>
      <c r="O62" s="27" t="s">
        <v>71</v>
      </c>
      <c r="P62" s="122">
        <f>'[1]NG Production_2000-2050'!D64</f>
        <v>18.583359999999999</v>
      </c>
      <c r="Q62" s="122">
        <f>'[1]NG Production_2000-2050'!E64</f>
        <v>18.907989999999998</v>
      </c>
      <c r="R62" s="122">
        <f>'[1]NG Production_2000-2050'!F64</f>
        <v>19.033559999999998</v>
      </c>
      <c r="S62" s="122">
        <f>'[1]NG Production_2000-2050'!G64</f>
        <v>18.495339999999999</v>
      </c>
      <c r="T62" s="122">
        <f>'[1]NG Production_2000-2050'!H64</f>
        <v>18.570149999999998</v>
      </c>
      <c r="U62" s="122">
        <f>'[1]NG Production_2000-2050'!I64</f>
        <v>18.79898</v>
      </c>
      <c r="V62" s="122">
        <f>'[1]NG Production_2000-2050'!J64</f>
        <v>18.832359999999998</v>
      </c>
      <c r="W62" s="122">
        <f>'[1]NG Production_2000-2050'!K64</f>
        <v>18.30321</v>
      </c>
      <c r="X62" s="122">
        <f>'[1]NG Production_2000-2050'!L64</f>
        <v>17.408159999999999</v>
      </c>
      <c r="Y62" s="122">
        <f>'[1]NG Production_2000-2050'!M64</f>
        <v>16.209440000000001</v>
      </c>
      <c r="Z62" s="122">
        <f>'[1]NG Production_2000-2050'!N64</f>
        <v>15.630429999999999</v>
      </c>
    </row>
    <row r="63" spans="1:26" x14ac:dyDescent="0.35">
      <c r="A63" s="114" t="s">
        <v>46</v>
      </c>
      <c r="B63" s="75">
        <f>B22*LengthAllocation_2022!C41</f>
        <v>0</v>
      </c>
      <c r="C63" s="75">
        <f>C22*LengthAllocation_2022!D41</f>
        <v>0</v>
      </c>
      <c r="D63" s="75">
        <f>D22*LengthAllocation_2022!E41</f>
        <v>0</v>
      </c>
      <c r="E63" s="75">
        <f>E22*LengthAllocation_2022!F41</f>
        <v>0</v>
      </c>
      <c r="F63" s="75">
        <f>F22*LengthAllocation_2022!G41</f>
        <v>0</v>
      </c>
      <c r="G63" s="75">
        <f>G22*LengthAllocation_2022!H41</f>
        <v>0</v>
      </c>
      <c r="H63" s="85">
        <f>H22*LengthAllocation_2022!I41</f>
        <v>258462991.98904109</v>
      </c>
      <c r="I63" s="75">
        <f>I22*LengthAllocation_2022!J41</f>
        <v>0</v>
      </c>
      <c r="J63" s="75">
        <f>J22*LengthAllocation_2022!K41</f>
        <v>0</v>
      </c>
      <c r="K63" s="75">
        <f>K22*LengthAllocation_2022!L41</f>
        <v>0</v>
      </c>
      <c r="L63" s="42"/>
    </row>
    <row r="64" spans="1:26" x14ac:dyDescent="0.35">
      <c r="A64" s="114" t="s">
        <v>47</v>
      </c>
      <c r="B64" s="75">
        <f>B23*LengthAllocation_2022!C42</f>
        <v>0</v>
      </c>
      <c r="C64" s="75">
        <f>C23*LengthAllocation_2022!D42</f>
        <v>0</v>
      </c>
      <c r="D64" s="75">
        <f>D23*LengthAllocation_2022!E42</f>
        <v>0</v>
      </c>
      <c r="E64" s="75">
        <f>E23*LengthAllocation_2022!F42</f>
        <v>0</v>
      </c>
      <c r="F64" s="75">
        <f>F23*LengthAllocation_2022!G42</f>
        <v>0</v>
      </c>
      <c r="G64" s="75">
        <f>G23*LengthAllocation_2022!H42</f>
        <v>0</v>
      </c>
      <c r="H64" s="85">
        <f>H23*LengthAllocation_2022!I42</f>
        <v>56448254.182191782</v>
      </c>
      <c r="I64" s="75">
        <f>I23*LengthAllocation_2022!J42</f>
        <v>0</v>
      </c>
      <c r="J64" s="75">
        <f>J23*LengthAllocation_2022!K42</f>
        <v>0</v>
      </c>
      <c r="K64" s="75">
        <f>K23*LengthAllocation_2022!L42</f>
        <v>0</v>
      </c>
      <c r="L64" s="42"/>
      <c r="U64" s="141"/>
      <c r="V64" s="141"/>
      <c r="W64" s="141"/>
      <c r="X64" s="141"/>
      <c r="Y64" s="141"/>
      <c r="Z64" s="141"/>
    </row>
    <row r="65" spans="1:26" x14ac:dyDescent="0.35">
      <c r="A65" s="114" t="s">
        <v>48</v>
      </c>
      <c r="B65" s="75">
        <f>B24*LengthAllocation_2022!C43</f>
        <v>0</v>
      </c>
      <c r="C65" s="75">
        <f>C24*LengthAllocation_2022!D43</f>
        <v>0</v>
      </c>
      <c r="D65" s="75">
        <f>D24*LengthAllocation_2022!E43</f>
        <v>0</v>
      </c>
      <c r="E65" s="75">
        <f>E24*LengthAllocation_2022!F43</f>
        <v>0</v>
      </c>
      <c r="F65" s="75">
        <f>F24*LengthAllocation_2022!G43</f>
        <v>0</v>
      </c>
      <c r="G65" s="75">
        <f>G24*LengthAllocation_2022!H43</f>
        <v>0</v>
      </c>
      <c r="H65" s="85">
        <f>H24*LengthAllocation_2022!I43</f>
        <v>61762925.837671228</v>
      </c>
      <c r="I65" s="75">
        <f>I24*LengthAllocation_2022!J43</f>
        <v>0</v>
      </c>
      <c r="J65" s="75">
        <f>J24*LengthAllocation_2022!K43</f>
        <v>0</v>
      </c>
      <c r="K65" s="75">
        <f>K24*LengthAllocation_2022!L43</f>
        <v>0</v>
      </c>
      <c r="L65" s="42"/>
      <c r="O65" s="140" t="s">
        <v>111</v>
      </c>
      <c r="P65" s="140"/>
      <c r="Q65" s="140"/>
      <c r="R65" s="140"/>
      <c r="S65" s="140"/>
      <c r="T65" s="140"/>
      <c r="U65" s="140"/>
      <c r="V65" s="140"/>
      <c r="W65" s="140"/>
      <c r="X65" s="140"/>
      <c r="Y65" s="140"/>
      <c r="Z65" s="140"/>
    </row>
    <row r="66" spans="1:26" x14ac:dyDescent="0.35">
      <c r="A66" s="114" t="s">
        <v>49</v>
      </c>
      <c r="B66" s="75">
        <f>B25*LengthAllocation_2022!C44</f>
        <v>0</v>
      </c>
      <c r="C66" s="75">
        <f>C25*LengthAllocation_2022!D44</f>
        <v>0</v>
      </c>
      <c r="D66" s="75">
        <f>D25*LengthAllocation_2022!E44</f>
        <v>0</v>
      </c>
      <c r="E66" s="75">
        <f>E25*LengthAllocation_2022!F44</f>
        <v>0</v>
      </c>
      <c r="F66" s="75">
        <f>F25*LengthAllocation_2022!G44</f>
        <v>0</v>
      </c>
      <c r="G66" s="75">
        <f>G25*LengthAllocation_2022!H44</f>
        <v>0</v>
      </c>
      <c r="H66" s="85">
        <f>H25*LengthAllocation_2022!I44</f>
        <v>63860788.69520548</v>
      </c>
      <c r="I66" s="75">
        <f>I25*LengthAllocation_2022!J44</f>
        <v>0</v>
      </c>
      <c r="J66" s="75">
        <f>J25*LengthAllocation_2022!K44</f>
        <v>0</v>
      </c>
      <c r="K66" s="75">
        <f>K25*LengthAllocation_2022!L44</f>
        <v>0</v>
      </c>
      <c r="L66" s="42"/>
      <c r="O66" t="s">
        <v>101</v>
      </c>
      <c r="P66" s="122">
        <f>IFERROR(P46/P55,0)</f>
        <v>2219.6637278463804</v>
      </c>
      <c r="Q66" s="122">
        <f t="shared" ref="Q66:Z66" si="16">IFERROR(Q46/Q55,0)</f>
        <v>4428.4732748158558</v>
      </c>
      <c r="R66" s="122">
        <f t="shared" si="16"/>
        <v>5770.0183536927188</v>
      </c>
      <c r="S66" s="122">
        <f t="shared" si="16"/>
        <v>7459.0527177531385</v>
      </c>
      <c r="T66" s="122">
        <f t="shared" si="16"/>
        <v>9813.0199795364097</v>
      </c>
      <c r="U66" s="122">
        <f t="shared" si="16"/>
        <v>33557.280755770145</v>
      </c>
      <c r="V66" s="122">
        <f t="shared" si="16"/>
        <v>277590.6503176773</v>
      </c>
      <c r="W66" s="122">
        <f t="shared" si="16"/>
        <v>5463863.2072144272</v>
      </c>
      <c r="X66" s="122">
        <f t="shared" si="16"/>
        <v>250460225.50953636</v>
      </c>
      <c r="Y66" s="122">
        <f t="shared" si="16"/>
        <v>25789677230.791145</v>
      </c>
      <c r="Z66" s="122">
        <f t="shared" si="16"/>
        <v>0</v>
      </c>
    </row>
    <row r="67" spans="1:26" x14ac:dyDescent="0.35">
      <c r="A67" s="114" t="s">
        <v>50</v>
      </c>
      <c r="B67" s="75">
        <f>B26*LengthAllocation_2022!C45</f>
        <v>0</v>
      </c>
      <c r="C67" s="75">
        <f>C26*LengthAllocation_2022!D45</f>
        <v>0</v>
      </c>
      <c r="D67" s="75">
        <f>D26*LengthAllocation_2022!E45</f>
        <v>0</v>
      </c>
      <c r="E67" s="75">
        <f>E26*LengthAllocation_2022!F45</f>
        <v>0</v>
      </c>
      <c r="F67" s="75">
        <f>F26*LengthAllocation_2022!G45</f>
        <v>0</v>
      </c>
      <c r="G67" s="75">
        <f>G26*LengthAllocation_2022!H45</f>
        <v>0</v>
      </c>
      <c r="H67" s="85">
        <f>H26*LengthAllocation_2022!I45</f>
        <v>198907754.29726028</v>
      </c>
      <c r="I67" s="75">
        <f>I26*LengthAllocation_2022!J45</f>
        <v>0</v>
      </c>
      <c r="J67" s="75">
        <f>J26*LengthAllocation_2022!K45</f>
        <v>0</v>
      </c>
      <c r="K67" s="75">
        <f>K26*LengthAllocation_2022!L45</f>
        <v>0</v>
      </c>
      <c r="L67" s="42"/>
      <c r="O67" t="s">
        <v>102</v>
      </c>
      <c r="P67" s="122">
        <f>IFERROR(P44/P56,0)</f>
        <v>98.516651066823727</v>
      </c>
      <c r="Q67" s="122">
        <f t="shared" ref="Q67:Z67" si="17">IFERROR(Q44/Q56,0)</f>
        <v>114.3763018558126</v>
      </c>
      <c r="R67" s="122">
        <f t="shared" si="17"/>
        <v>197.70770983357482</v>
      </c>
      <c r="S67" s="122">
        <f t="shared" si="17"/>
        <v>277.31852236015152</v>
      </c>
      <c r="T67" s="122">
        <f t="shared" si="17"/>
        <v>399.83493638510242</v>
      </c>
      <c r="U67" s="122">
        <f t="shared" si="17"/>
        <v>359.80961852834685</v>
      </c>
      <c r="V67" s="122">
        <f t="shared" si="17"/>
        <v>333.19067787541115</v>
      </c>
      <c r="W67" s="122">
        <f t="shared" si="17"/>
        <v>313.35966425850285</v>
      </c>
      <c r="X67" s="122">
        <f t="shared" si="17"/>
        <v>303.8594131778288</v>
      </c>
      <c r="Y67" s="122">
        <f t="shared" si="17"/>
        <v>304.62787446904082</v>
      </c>
      <c r="Z67" s="122">
        <f t="shared" si="17"/>
        <v>304.86566494500659</v>
      </c>
    </row>
    <row r="68" spans="1:26" x14ac:dyDescent="0.35">
      <c r="A68" s="114" t="s">
        <v>51</v>
      </c>
      <c r="B68" s="75">
        <f>B27*LengthAllocation_2022!C46</f>
        <v>0</v>
      </c>
      <c r="C68" s="75">
        <f>C27*LengthAllocation_2022!D46</f>
        <v>0</v>
      </c>
      <c r="D68" s="75">
        <f>D27*LengthAllocation_2022!E46</f>
        <v>0</v>
      </c>
      <c r="E68" s="75">
        <f>E27*LengthAllocation_2022!F46</f>
        <v>0</v>
      </c>
      <c r="F68" s="75">
        <f>F27*LengthAllocation_2022!G46</f>
        <v>0</v>
      </c>
      <c r="G68" s="75">
        <f>G27*LengthAllocation_2022!H46</f>
        <v>0</v>
      </c>
      <c r="H68" s="85">
        <f>H27*LengthAllocation_2022!I46</f>
        <v>329235291</v>
      </c>
      <c r="I68" s="75">
        <f>I27*LengthAllocation_2022!J46</f>
        <v>0</v>
      </c>
      <c r="J68" s="75">
        <f>J27*LengthAllocation_2022!K46</f>
        <v>0</v>
      </c>
      <c r="K68" s="75">
        <f>K27*LengthAllocation_2022!L46</f>
        <v>0</v>
      </c>
      <c r="L68" s="42"/>
      <c r="O68" t="s">
        <v>103</v>
      </c>
      <c r="P68" s="134">
        <f>IFERROR(P43/P57,0)</f>
        <v>5.4986385774316791</v>
      </c>
      <c r="Q68" s="134">
        <f t="shared" ref="Q68:Z68" si="18">IFERROR(Q43/Q57,0)</f>
        <v>9.9157747161870127</v>
      </c>
      <c r="R68" s="134">
        <f t="shared" si="18"/>
        <v>17.311639204794393</v>
      </c>
      <c r="S68" s="134">
        <f t="shared" si="18"/>
        <v>23.872455347955295</v>
      </c>
      <c r="T68" s="134">
        <f t="shared" si="18"/>
        <v>31.760840925362306</v>
      </c>
      <c r="U68" s="134">
        <f t="shared" si="18"/>
        <v>36.199019960479255</v>
      </c>
      <c r="V68" s="134">
        <f t="shared" si="18"/>
        <v>40.604068292884833</v>
      </c>
      <c r="W68" s="134">
        <f t="shared" si="18"/>
        <v>42.357005629988556</v>
      </c>
      <c r="X68" s="134">
        <f t="shared" si="18"/>
        <v>41.649506282912625</v>
      </c>
      <c r="Y68" s="134">
        <f t="shared" si="18"/>
        <v>40.551077374075298</v>
      </c>
      <c r="Z68" s="134">
        <f t="shared" si="18"/>
        <v>39.992216213696622</v>
      </c>
    </row>
    <row r="69" spans="1:26" x14ac:dyDescent="0.35">
      <c r="A69" s="115" t="s">
        <v>52</v>
      </c>
      <c r="B69" s="75">
        <f>B28*LengthAllocation_2022!C47</f>
        <v>0</v>
      </c>
      <c r="C69" s="75">
        <f>C28*LengthAllocation_2022!D47</f>
        <v>0</v>
      </c>
      <c r="D69" s="75">
        <f>D28*LengthAllocation_2022!E47</f>
        <v>0</v>
      </c>
      <c r="E69" s="75">
        <f>E28*LengthAllocation_2022!F47</f>
        <v>0</v>
      </c>
      <c r="F69" s="75">
        <f>F28*LengthAllocation_2022!G47</f>
        <v>0</v>
      </c>
      <c r="G69" s="75">
        <f>G28*LengthAllocation_2022!H47</f>
        <v>0</v>
      </c>
      <c r="H69" s="75">
        <f>H28*LengthAllocation_2022!I47</f>
        <v>0</v>
      </c>
      <c r="I69" s="86">
        <f>I28*LengthAllocation_2022!J47</f>
        <v>0</v>
      </c>
      <c r="J69" s="75">
        <f>J28*LengthAllocation_2022!K47</f>
        <v>0</v>
      </c>
      <c r="K69" s="75">
        <f>K28*LengthAllocation_2022!L47</f>
        <v>0</v>
      </c>
      <c r="L69" s="42"/>
      <c r="O69" t="s">
        <v>92</v>
      </c>
      <c r="P69" s="134">
        <f>IFERROR(P42/(P58+P60),0)</f>
        <v>12.593218418111109</v>
      </c>
      <c r="Q69" s="134">
        <f t="shared" ref="Q69:Z69" si="19">IFERROR(Q42/(Q58+Q60),0)</f>
        <v>9.8611220598454672</v>
      </c>
      <c r="R69" s="134">
        <f t="shared" si="19"/>
        <v>8.5356219967928695</v>
      </c>
      <c r="S69" s="134">
        <f t="shared" si="19"/>
        <v>5.599007862948592</v>
      </c>
      <c r="T69" s="134">
        <f t="shared" si="19"/>
        <v>4.1725151583370419</v>
      </c>
      <c r="U69" s="134">
        <f t="shared" si="19"/>
        <v>3.2122593903168739</v>
      </c>
      <c r="V69" s="134">
        <f t="shared" si="19"/>
        <v>2.6768857957311081</v>
      </c>
      <c r="W69" s="134">
        <f t="shared" si="19"/>
        <v>2.2632123827850501</v>
      </c>
      <c r="X69" s="134">
        <f t="shared" si="19"/>
        <v>1.8963972183026048</v>
      </c>
      <c r="Y69" s="134">
        <f t="shared" si="19"/>
        <v>1.6936025209450971</v>
      </c>
      <c r="Z69" s="134">
        <f t="shared" si="19"/>
        <v>1.699525887151321</v>
      </c>
    </row>
    <row r="70" spans="1:26" x14ac:dyDescent="0.35">
      <c r="A70" s="115" t="s">
        <v>53</v>
      </c>
      <c r="B70" s="75">
        <f>B29*LengthAllocation_2022!C48</f>
        <v>0</v>
      </c>
      <c r="C70" s="75">
        <f>C29*LengthAllocation_2022!D48</f>
        <v>0</v>
      </c>
      <c r="D70" s="75">
        <f>D29*LengthAllocation_2022!E48</f>
        <v>0</v>
      </c>
      <c r="E70" s="75">
        <f>E29*LengthAllocation_2022!F48</f>
        <v>0</v>
      </c>
      <c r="F70" s="75">
        <f>F29*LengthAllocation_2022!G48</f>
        <v>0</v>
      </c>
      <c r="G70" s="75">
        <f>G29*LengthAllocation_2022!H48</f>
        <v>0</v>
      </c>
      <c r="H70" s="75">
        <f>H29*LengthAllocation_2022!I48</f>
        <v>0</v>
      </c>
      <c r="I70" s="86">
        <f>I29*LengthAllocation_2022!J48</f>
        <v>0</v>
      </c>
      <c r="J70" s="75">
        <f>J29*LengthAllocation_2022!K48</f>
        <v>0</v>
      </c>
      <c r="K70" s="75">
        <f>K29*LengthAllocation_2022!L48</f>
        <v>0</v>
      </c>
      <c r="L70" s="42"/>
      <c r="O70" t="s">
        <v>72</v>
      </c>
      <c r="P70" s="122">
        <f>IFERROR(P48/P59,0)</f>
        <v>5.7796646549712261</v>
      </c>
      <c r="Q70" s="122">
        <f t="shared" ref="Q70:Z70" si="20">IFERROR(Q48/Q59,0)</f>
        <v>8.428172743257214</v>
      </c>
      <c r="R70" s="122">
        <f t="shared" si="20"/>
        <v>14.540758688231397</v>
      </c>
      <c r="S70" s="122">
        <f t="shared" si="20"/>
        <v>29.642817857686147</v>
      </c>
      <c r="T70" s="122">
        <f t="shared" si="20"/>
        <v>1507.1331884331321</v>
      </c>
      <c r="U70" s="122">
        <f t="shared" si="20"/>
        <v>0</v>
      </c>
      <c r="V70" s="122">
        <f t="shared" si="20"/>
        <v>0</v>
      </c>
      <c r="W70" s="122">
        <f t="shared" si="20"/>
        <v>0</v>
      </c>
      <c r="X70" s="122">
        <f t="shared" si="20"/>
        <v>0</v>
      </c>
      <c r="Y70" s="122">
        <f t="shared" si="20"/>
        <v>0</v>
      </c>
      <c r="Z70" s="122">
        <f t="shared" si="20"/>
        <v>0</v>
      </c>
    </row>
    <row r="71" spans="1:26" x14ac:dyDescent="0.35">
      <c r="A71" s="115" t="s">
        <v>54</v>
      </c>
      <c r="B71" s="75">
        <f>B30*LengthAllocation_2022!C49</f>
        <v>0</v>
      </c>
      <c r="C71" s="75">
        <f>C30*LengthAllocation_2022!D49</f>
        <v>0</v>
      </c>
      <c r="D71" s="75">
        <f>D30*LengthAllocation_2022!E49</f>
        <v>0</v>
      </c>
      <c r="E71" s="75">
        <f>E30*LengthAllocation_2022!F49</f>
        <v>0</v>
      </c>
      <c r="F71" s="75">
        <f>F30*LengthAllocation_2022!G49</f>
        <v>0</v>
      </c>
      <c r="G71" s="75">
        <f>G30*LengthAllocation_2022!H49</f>
        <v>0</v>
      </c>
      <c r="H71" s="75">
        <f>H30*LengthAllocation_2022!I49</f>
        <v>0</v>
      </c>
      <c r="I71" s="86">
        <f>I30*LengthAllocation_2022!J49</f>
        <v>0</v>
      </c>
      <c r="J71" s="75">
        <f>J30*LengthAllocation_2022!K49</f>
        <v>0</v>
      </c>
      <c r="K71" s="75">
        <f>K30*LengthAllocation_2022!L49</f>
        <v>0</v>
      </c>
      <c r="L71" s="42"/>
      <c r="O71" t="s">
        <v>69</v>
      </c>
      <c r="P71" s="122">
        <f>IFERROR(P45/P61,0)</f>
        <v>24997155.291731037</v>
      </c>
      <c r="Q71" s="122">
        <f t="shared" ref="Q71:Z71" si="21">IFERROR(Q45/Q61,0)</f>
        <v>23285032.854739051</v>
      </c>
      <c r="R71" s="122">
        <f t="shared" si="21"/>
        <v>21834696.812991288</v>
      </c>
      <c r="S71" s="122">
        <f t="shared" si="21"/>
        <v>21145421.457057327</v>
      </c>
      <c r="T71" s="122">
        <f t="shared" si="21"/>
        <v>19745299.443650275</v>
      </c>
      <c r="U71" s="122">
        <f t="shared" si="21"/>
        <v>18898557.383552819</v>
      </c>
      <c r="V71" s="122">
        <f t="shared" si="21"/>
        <v>18798943.445189267</v>
      </c>
      <c r="W71" s="122">
        <f t="shared" si="21"/>
        <v>19010819.397594888</v>
      </c>
      <c r="X71" s="122">
        <f t="shared" si="21"/>
        <v>19716267.80397246</v>
      </c>
      <c r="Y71" s="122">
        <f t="shared" si="21"/>
        <v>21054048.753220957</v>
      </c>
      <c r="Z71" s="122">
        <f t="shared" si="21"/>
        <v>21782242.187519081</v>
      </c>
    </row>
    <row r="72" spans="1:26" x14ac:dyDescent="0.35">
      <c r="A72" s="115" t="s">
        <v>55</v>
      </c>
      <c r="B72" s="75">
        <f>B31*LengthAllocation_2022!C50</f>
        <v>0</v>
      </c>
      <c r="C72" s="75">
        <f>C31*LengthAllocation_2022!D50</f>
        <v>0</v>
      </c>
      <c r="D72" s="75">
        <f>D31*LengthAllocation_2022!E50</f>
        <v>0</v>
      </c>
      <c r="E72" s="75">
        <f>E31*LengthAllocation_2022!F50</f>
        <v>0</v>
      </c>
      <c r="F72" s="75">
        <f>F31*LengthAllocation_2022!G50</f>
        <v>0</v>
      </c>
      <c r="G72" s="75">
        <f>G31*LengthAllocation_2022!H50</f>
        <v>0</v>
      </c>
      <c r="H72" s="75">
        <f>H31*LengthAllocation_2022!I50</f>
        <v>0</v>
      </c>
      <c r="I72" s="86">
        <f>I31*LengthAllocation_2022!J50</f>
        <v>0</v>
      </c>
      <c r="J72" s="75">
        <f>J31*LengthAllocation_2022!K50</f>
        <v>0</v>
      </c>
      <c r="K72" s="75">
        <f>K31*LengthAllocation_2022!L50</f>
        <v>0</v>
      </c>
      <c r="L72" s="42"/>
      <c r="O72" t="s">
        <v>71</v>
      </c>
      <c r="P72" s="122">
        <f>P47/P62</f>
        <v>435799.04245772149</v>
      </c>
      <c r="Q72" s="122">
        <f t="shared" ref="Q72:Z72" si="22">Q47/Q62</f>
        <v>543461.67198504123</v>
      </c>
      <c r="R72" s="122">
        <f t="shared" si="22"/>
        <v>654261.48470941617</v>
      </c>
      <c r="S72" s="122">
        <f t="shared" si="22"/>
        <v>791014.52530935197</v>
      </c>
      <c r="T72" s="122">
        <f t="shared" si="22"/>
        <v>905067.53882787097</v>
      </c>
      <c r="U72" s="122">
        <f t="shared" si="22"/>
        <v>894050.63233028527</v>
      </c>
      <c r="V72" s="122">
        <f t="shared" si="22"/>
        <v>892465.94458497968</v>
      </c>
      <c r="W72" s="122">
        <f t="shared" si="22"/>
        <v>918267.33978162229</v>
      </c>
      <c r="X72" s="122">
        <f t="shared" si="22"/>
        <v>965480.55372678023</v>
      </c>
      <c r="Y72" s="122">
        <f t="shared" si="22"/>
        <v>1036879.7414447621</v>
      </c>
      <c r="Z72" s="122">
        <f t="shared" si="22"/>
        <v>1075289.6725275239</v>
      </c>
    </row>
    <row r="73" spans="1:26" x14ac:dyDescent="0.35">
      <c r="A73" s="115" t="s">
        <v>56</v>
      </c>
      <c r="B73" s="75">
        <f>B32*LengthAllocation_2022!C51</f>
        <v>0</v>
      </c>
      <c r="C73" s="75">
        <f>C32*LengthAllocation_2022!D51</f>
        <v>0</v>
      </c>
      <c r="D73" s="75">
        <f>D32*LengthAllocation_2022!E51</f>
        <v>0</v>
      </c>
      <c r="E73" s="75">
        <f>E32*LengthAllocation_2022!F51</f>
        <v>0</v>
      </c>
      <c r="F73" s="75">
        <f>F32*LengthAllocation_2022!G51</f>
        <v>0</v>
      </c>
      <c r="G73" s="75">
        <f>G32*LengthAllocation_2022!H51</f>
        <v>0</v>
      </c>
      <c r="H73" s="75">
        <f>H32*LengthAllocation_2022!I51</f>
        <v>0</v>
      </c>
      <c r="I73" s="86">
        <f>I32*LengthAllocation_2022!J51</f>
        <v>0</v>
      </c>
      <c r="J73" s="75">
        <f>J32*LengthAllocation_2022!K51</f>
        <v>0</v>
      </c>
      <c r="K73" s="75">
        <f>K32*LengthAllocation_2022!L51</f>
        <v>0</v>
      </c>
      <c r="L73" s="42"/>
    </row>
    <row r="74" spans="1:26" x14ac:dyDescent="0.35">
      <c r="A74" s="115" t="s">
        <v>57</v>
      </c>
      <c r="B74" s="75">
        <f>B33*LengthAllocation_2022!C52</f>
        <v>0</v>
      </c>
      <c r="C74" s="75">
        <f>C33*LengthAllocation_2022!D52</f>
        <v>0</v>
      </c>
      <c r="D74" s="75">
        <f>D33*LengthAllocation_2022!E52</f>
        <v>0</v>
      </c>
      <c r="E74" s="75">
        <f>E33*LengthAllocation_2022!F52</f>
        <v>0</v>
      </c>
      <c r="F74" s="75">
        <f>F33*LengthAllocation_2022!G52</f>
        <v>0</v>
      </c>
      <c r="G74" s="75">
        <f>G33*LengthAllocation_2022!H52</f>
        <v>0</v>
      </c>
      <c r="H74" s="75">
        <f>H33*LengthAllocation_2022!I52</f>
        <v>0</v>
      </c>
      <c r="I74" s="86">
        <f>I33*LengthAllocation_2022!J52</f>
        <v>0</v>
      </c>
      <c r="J74" s="75">
        <f>J33*LengthAllocation_2022!K52</f>
        <v>0</v>
      </c>
      <c r="K74" s="75">
        <f>K33*LengthAllocation_2022!L52</f>
        <v>0</v>
      </c>
      <c r="L74" s="42"/>
      <c r="O74" t="s">
        <v>112</v>
      </c>
      <c r="P74">
        <f>'[1]NG Production_2000-2050'!D$59</f>
        <v>149406900.18731356</v>
      </c>
      <c r="Q74">
        <f>'[1]NG Production_2000-2050'!E$59</f>
        <v>150668431.42194858</v>
      </c>
      <c r="R74">
        <f>'[1]NG Production_2000-2050'!F$59</f>
        <v>125144353.74428269</v>
      </c>
      <c r="S74">
        <f>'[1]NG Production_2000-2050'!G$59</f>
        <v>118920049.77603641</v>
      </c>
      <c r="T74">
        <f>'[1]NG Production_2000-2050'!H$59</f>
        <v>110556684.06965716</v>
      </c>
      <c r="U74">
        <f>'[1]NG Production_2000-2050'!I$59</f>
        <v>97001887.338538587</v>
      </c>
      <c r="V74">
        <f>'[1]NG Production_2000-2050'!J$59</f>
        <v>86478360.50919129</v>
      </c>
      <c r="W74">
        <f>'[1]NG Production_2000-2050'!K$59</f>
        <v>82899468.54708451</v>
      </c>
      <c r="X74">
        <f>'[1]NG Production_2000-2050'!L$59</f>
        <v>84307680.194819376</v>
      </c>
      <c r="Y74">
        <f>'[1]NG Production_2000-2050'!M$59</f>
        <v>86591367.809546128</v>
      </c>
      <c r="Z74">
        <f>'[1]NG Production_2000-2050'!N$59</f>
        <v>87801417.085991234</v>
      </c>
    </row>
    <row r="75" spans="1:26" x14ac:dyDescent="0.35">
      <c r="A75" s="115" t="s">
        <v>58</v>
      </c>
      <c r="B75" s="75">
        <f>B34*LengthAllocation_2022!C53</f>
        <v>0</v>
      </c>
      <c r="C75" s="75">
        <f>C34*LengthAllocation_2022!D53</f>
        <v>0</v>
      </c>
      <c r="D75" s="75">
        <f>D34*LengthAllocation_2022!E53</f>
        <v>0</v>
      </c>
      <c r="E75" s="75">
        <f>E34*LengthAllocation_2022!F53</f>
        <v>0</v>
      </c>
      <c r="F75" s="75">
        <f>F34*LengthAllocation_2022!G53</f>
        <v>0</v>
      </c>
      <c r="G75" s="75">
        <f>G34*LengthAllocation_2022!H53</f>
        <v>0</v>
      </c>
      <c r="H75" s="75">
        <f>H34*LengthAllocation_2022!I53</f>
        <v>0</v>
      </c>
      <c r="I75" s="86">
        <f>I34*LengthAllocation_2022!J53</f>
        <v>0</v>
      </c>
      <c r="J75" s="75">
        <f>J34*LengthAllocation_2022!K53</f>
        <v>0</v>
      </c>
      <c r="K75" s="75">
        <f>K34*LengthAllocation_2022!L53</f>
        <v>0</v>
      </c>
      <c r="L75" s="42"/>
      <c r="O75" t="s">
        <v>113</v>
      </c>
      <c r="P75" s="122">
        <f>P74*P68</f>
        <v>821534545.10444665</v>
      </c>
      <c r="Q75" s="122">
        <f t="shared" ref="Q75:Z75" si="23">Q74*Q68</f>
        <v>1493994222.8213146</v>
      </c>
      <c r="R75" s="122">
        <f t="shared" si="23"/>
        <v>2166453900.5381823</v>
      </c>
      <c r="S75" s="122">
        <f t="shared" si="23"/>
        <v>2838913578.2550502</v>
      </c>
      <c r="T75" s="122">
        <f t="shared" si="23"/>
        <v>3511373255.9719181</v>
      </c>
      <c r="U75" s="122">
        <f t="shared" si="23"/>
        <v>3511373255.9719181</v>
      </c>
      <c r="V75" s="122">
        <f t="shared" si="23"/>
        <v>3511373255.9719181</v>
      </c>
      <c r="W75" s="122">
        <f t="shared" si="23"/>
        <v>3511373255.9719176</v>
      </c>
      <c r="X75" s="122">
        <f t="shared" si="23"/>
        <v>3511373255.9719181</v>
      </c>
      <c r="Y75" s="122">
        <f t="shared" si="23"/>
        <v>3511373255.9719181</v>
      </c>
      <c r="Z75" s="122">
        <f t="shared" si="23"/>
        <v>3511373255.9719181</v>
      </c>
    </row>
    <row r="76" spans="1:26" x14ac:dyDescent="0.35">
      <c r="A76" s="115" t="s">
        <v>59</v>
      </c>
      <c r="B76" s="75">
        <f>B35*LengthAllocation_2022!C54</f>
        <v>0</v>
      </c>
      <c r="C76" s="75">
        <f>C35*LengthAllocation_2022!D54</f>
        <v>0</v>
      </c>
      <c r="D76" s="75">
        <f>D35*LengthAllocation_2022!E54</f>
        <v>0</v>
      </c>
      <c r="E76" s="75">
        <f>E35*LengthAllocation_2022!F54</f>
        <v>0</v>
      </c>
      <c r="F76" s="75">
        <f>F35*LengthAllocation_2022!G54</f>
        <v>0</v>
      </c>
      <c r="G76" s="75">
        <f>G35*LengthAllocation_2022!H54</f>
        <v>0</v>
      </c>
      <c r="H76" s="75">
        <f>H35*LengthAllocation_2022!I54</f>
        <v>0</v>
      </c>
      <c r="I76" s="86">
        <f>I35*LengthAllocation_2022!J54</f>
        <v>0</v>
      </c>
      <c r="J76" s="75">
        <f>J35*LengthAllocation_2022!K54</f>
        <v>0</v>
      </c>
      <c r="K76" s="75">
        <f>K35*LengthAllocation_2022!L54</f>
        <v>0</v>
      </c>
      <c r="L76" s="42"/>
    </row>
    <row r="77" spans="1:26" x14ac:dyDescent="0.35">
      <c r="A77" s="115" t="s">
        <v>60</v>
      </c>
      <c r="B77" s="75">
        <f>B36*LengthAllocation_2022!C55</f>
        <v>0</v>
      </c>
      <c r="C77" s="75">
        <f>C36*LengthAllocation_2022!D55</f>
        <v>0</v>
      </c>
      <c r="D77" s="75">
        <f>D36*LengthAllocation_2022!E55</f>
        <v>0</v>
      </c>
      <c r="E77" s="75">
        <f>E36*LengthAllocation_2022!F55</f>
        <v>0</v>
      </c>
      <c r="F77" s="75">
        <f>F36*LengthAllocation_2022!G55</f>
        <v>0</v>
      </c>
      <c r="G77" s="75">
        <f>G36*LengthAllocation_2022!H55</f>
        <v>0</v>
      </c>
      <c r="H77" s="75">
        <f>H36*LengthAllocation_2022!I55</f>
        <v>0</v>
      </c>
      <c r="I77" s="86">
        <f>I36*LengthAllocation_2022!J55</f>
        <v>0</v>
      </c>
      <c r="J77" s="75">
        <f>J36*LengthAllocation_2022!K55</f>
        <v>0</v>
      </c>
      <c r="K77" s="75">
        <f>K36*LengthAllocation_2022!L55</f>
        <v>0</v>
      </c>
      <c r="L77" s="42"/>
      <c r="O77" t="s">
        <v>115</v>
      </c>
      <c r="P77">
        <v>23988694.229335465</v>
      </c>
      <c r="Q77">
        <v>29894439.62572857</v>
      </c>
      <c r="R77">
        <v>33265271.874463737</v>
      </c>
      <c r="S77">
        <v>48256082.461794622</v>
      </c>
      <c r="T77">
        <v>61185261.516402736</v>
      </c>
      <c r="U77">
        <v>79488653.782111481</v>
      </c>
      <c r="V77">
        <v>95413534.754454538</v>
      </c>
      <c r="W77">
        <v>112872795.29341321</v>
      </c>
      <c r="X77">
        <v>134720124.560316</v>
      </c>
      <c r="Y77">
        <v>150860679.00753155</v>
      </c>
      <c r="Z77">
        <v>150339287.3318311</v>
      </c>
    </row>
    <row r="78" spans="1:26" x14ac:dyDescent="0.35">
      <c r="A78" s="115" t="s">
        <v>61</v>
      </c>
      <c r="B78" s="75">
        <f>B37*LengthAllocation_2022!C56</f>
        <v>0</v>
      </c>
      <c r="C78" s="75">
        <f>C37*LengthAllocation_2022!D56</f>
        <v>0</v>
      </c>
      <c r="D78" s="75">
        <f>D37*LengthAllocation_2022!E56</f>
        <v>0</v>
      </c>
      <c r="E78" s="75">
        <f>E37*LengthAllocation_2022!F56</f>
        <v>0</v>
      </c>
      <c r="F78" s="75">
        <f>F37*LengthAllocation_2022!G56</f>
        <v>0</v>
      </c>
      <c r="G78" s="75">
        <f>G37*LengthAllocation_2022!H56</f>
        <v>0</v>
      </c>
      <c r="H78" s="75">
        <f>H37*LengthAllocation_2022!I56</f>
        <v>0</v>
      </c>
      <c r="I78" s="86">
        <f>I37*LengthAllocation_2022!J56</f>
        <v>0</v>
      </c>
      <c r="J78" s="75">
        <f>J37*LengthAllocation_2022!K56</f>
        <v>0</v>
      </c>
      <c r="K78" s="75">
        <f>K37*LengthAllocation_2022!L56</f>
        <v>0</v>
      </c>
      <c r="L78" s="42"/>
    </row>
    <row r="79" spans="1:26" x14ac:dyDescent="0.35">
      <c r="A79" s="115" t="s">
        <v>62</v>
      </c>
      <c r="B79" s="75">
        <f>B38*LengthAllocation_2022!C57</f>
        <v>0</v>
      </c>
      <c r="C79" s="75">
        <f>C38*LengthAllocation_2022!D57</f>
        <v>0</v>
      </c>
      <c r="D79" s="75">
        <f>D38*LengthAllocation_2022!E57</f>
        <v>0</v>
      </c>
      <c r="E79" s="75">
        <f>E38*LengthAllocation_2022!F57</f>
        <v>0</v>
      </c>
      <c r="F79" s="75">
        <f>F38*LengthAllocation_2022!G57</f>
        <v>0</v>
      </c>
      <c r="G79" s="75">
        <f>G38*LengthAllocation_2022!H57</f>
        <v>0</v>
      </c>
      <c r="H79" s="75">
        <f>H38*LengthAllocation_2022!I57</f>
        <v>0</v>
      </c>
      <c r="I79" s="86">
        <f>I38*LengthAllocation_2022!J57</f>
        <v>0</v>
      </c>
      <c r="J79" s="75">
        <f>J38*LengthAllocation_2022!K57</f>
        <v>0</v>
      </c>
      <c r="K79" s="75">
        <f>K38*LengthAllocation_2022!L57</f>
        <v>0</v>
      </c>
      <c r="L79" s="42"/>
    </row>
    <row r="80" spans="1:26" x14ac:dyDescent="0.35">
      <c r="A80" s="116" t="s">
        <v>64</v>
      </c>
      <c r="B80" s="75">
        <f>B39*LengthAllocation_2022!C58</f>
        <v>0</v>
      </c>
      <c r="C80" s="75">
        <f>C39*LengthAllocation_2022!D58</f>
        <v>0</v>
      </c>
      <c r="D80" s="75">
        <f>D39*LengthAllocation_2022!E58</f>
        <v>0</v>
      </c>
      <c r="E80" s="75">
        <f>E39*LengthAllocation_2022!F58</f>
        <v>0</v>
      </c>
      <c r="F80" s="75">
        <f>F39*LengthAllocation_2022!G58</f>
        <v>0</v>
      </c>
      <c r="G80" s="75">
        <f>G39*LengthAllocation_2022!H58</f>
        <v>0</v>
      </c>
      <c r="H80" s="75">
        <f>H39*LengthAllocation_2022!I58</f>
        <v>0</v>
      </c>
      <c r="I80" s="75">
        <f>I39*LengthAllocation_2022!J58</f>
        <v>0</v>
      </c>
      <c r="J80" s="80">
        <f>J39*LengthAllocation_2022!K58</f>
        <v>0</v>
      </c>
      <c r="K80" s="75">
        <f>K39*LengthAllocation_2022!L58</f>
        <v>0</v>
      </c>
      <c r="L80" s="42"/>
      <c r="O80" t="s">
        <v>116</v>
      </c>
      <c r="P80" s="8">
        <f>P69*P77</f>
        <v>302094865.99530303</v>
      </c>
      <c r="Q80" s="8">
        <f t="shared" ref="Q80:Z80" si="24">Q69*Q77</f>
        <v>294792718.05999047</v>
      </c>
      <c r="R80" s="8">
        <f t="shared" si="24"/>
        <v>283939786.34096783</v>
      </c>
      <c r="S80" s="8">
        <f t="shared" si="24"/>
        <v>270186185.13868374</v>
      </c>
      <c r="T80" s="8">
        <f>T69*T77</f>
        <v>255296431.14400649</v>
      </c>
      <c r="U80" s="8">
        <f t="shared" si="24"/>
        <v>255338174.53523451</v>
      </c>
      <c r="V80" s="8">
        <f t="shared" si="24"/>
        <v>255411135.90469578</v>
      </c>
      <c r="W80" s="8">
        <f t="shared" si="24"/>
        <v>255455107.9876149</v>
      </c>
      <c r="X80" s="8">
        <f t="shared" si="24"/>
        <v>255482869.46556368</v>
      </c>
      <c r="Y80" s="8">
        <f t="shared" si="24"/>
        <v>255498026.27864453</v>
      </c>
      <c r="Z80" s="8">
        <f t="shared" si="24"/>
        <v>255505510.67632762</v>
      </c>
    </row>
    <row r="81" spans="1:20" x14ac:dyDescent="0.35">
      <c r="A81" s="116" t="s">
        <v>65</v>
      </c>
      <c r="B81" s="75">
        <f>B40*LengthAllocation_2022!C59</f>
        <v>0</v>
      </c>
      <c r="C81" s="75">
        <f>C40*LengthAllocation_2022!D59</f>
        <v>0</v>
      </c>
      <c r="D81" s="75">
        <f>D40*LengthAllocation_2022!E59</f>
        <v>0</v>
      </c>
      <c r="E81" s="75">
        <f>E40*LengthAllocation_2022!F59</f>
        <v>0</v>
      </c>
      <c r="F81" s="75">
        <f>F40*LengthAllocation_2022!G59</f>
        <v>0</v>
      </c>
      <c r="G81" s="75">
        <f>G40*LengthAllocation_2022!H59</f>
        <v>0</v>
      </c>
      <c r="H81" s="75">
        <f>H40*LengthAllocation_2022!I59</f>
        <v>0</v>
      </c>
      <c r="I81" s="75">
        <f>I40*LengthAllocation_2022!J59</f>
        <v>0</v>
      </c>
      <c r="J81" s="80">
        <f>J40*LengthAllocation_2022!K59</f>
        <v>0</v>
      </c>
      <c r="K81" s="75">
        <f>K40*LengthAllocation_2022!L59</f>
        <v>0</v>
      </c>
      <c r="L81" s="42"/>
    </row>
    <row r="82" spans="1:20" ht="15" thickBot="1" x14ac:dyDescent="0.4">
      <c r="A82" s="117" t="s">
        <v>63</v>
      </c>
      <c r="B82" s="95">
        <f>B41*LengthAllocation_2022!C60</f>
        <v>0</v>
      </c>
      <c r="C82" s="95">
        <f>C41*LengthAllocation_2022!D60</f>
        <v>0</v>
      </c>
      <c r="D82" s="95">
        <f>D41*LengthAllocation_2022!E60</f>
        <v>0</v>
      </c>
      <c r="E82" s="95">
        <f>E41*LengthAllocation_2022!F60</f>
        <v>0</v>
      </c>
      <c r="F82" s="95">
        <f>F41*LengthAllocation_2022!G60</f>
        <v>0</v>
      </c>
      <c r="G82" s="95">
        <f>G41*LengthAllocation_2022!H60</f>
        <v>0</v>
      </c>
      <c r="H82" s="95">
        <f>H41*LengthAllocation_2022!I60</f>
        <v>0</v>
      </c>
      <c r="I82" s="95">
        <f>I41*LengthAllocation_2022!J60</f>
        <v>0</v>
      </c>
      <c r="J82" s="95">
        <f>J41*LengthAllocation_2022!K60</f>
        <v>0</v>
      </c>
      <c r="K82" s="96">
        <f>K41*LengthAllocation_2022!L60</f>
        <v>0</v>
      </c>
      <c r="L82" s="52"/>
      <c r="T82" s="8"/>
    </row>
    <row r="83" spans="1:20" ht="15" thickBot="1" x14ac:dyDescent="0.4">
      <c r="A83" s="25"/>
      <c r="B83" s="26"/>
      <c r="C83" s="26"/>
      <c r="D83" s="26"/>
      <c r="E83" s="26"/>
      <c r="F83" s="26"/>
      <c r="G83" s="26"/>
      <c r="H83" s="26"/>
      <c r="I83" s="26"/>
      <c r="J83" s="26"/>
      <c r="K83" s="26"/>
    </row>
    <row r="84" spans="1:20" ht="29" x14ac:dyDescent="0.35">
      <c r="A84" s="106"/>
      <c r="B84" s="87" t="s">
        <v>14</v>
      </c>
      <c r="C84" s="88" t="s">
        <v>15</v>
      </c>
      <c r="D84" s="89" t="s">
        <v>16</v>
      </c>
      <c r="E84" s="90" t="s">
        <v>17</v>
      </c>
      <c r="F84" s="87" t="s">
        <v>18</v>
      </c>
      <c r="G84" s="91" t="s">
        <v>19</v>
      </c>
      <c r="H84" s="92" t="s">
        <v>20</v>
      </c>
      <c r="I84" s="93" t="s">
        <v>21</v>
      </c>
      <c r="J84" s="94" t="s">
        <v>22</v>
      </c>
      <c r="K84" s="87" t="s">
        <v>23</v>
      </c>
      <c r="L84" s="107" t="s">
        <v>76</v>
      </c>
      <c r="M84" s="105"/>
    </row>
    <row r="85" spans="1:20" x14ac:dyDescent="0.35">
      <c r="A85" s="108" t="s">
        <v>67</v>
      </c>
      <c r="L85" s="40">
        <f>SUM(B86:K120)</f>
        <v>1612009532.9486663</v>
      </c>
      <c r="M85" s="8"/>
    </row>
    <row r="86" spans="1:20" x14ac:dyDescent="0.35">
      <c r="A86" s="109" t="s">
        <v>32</v>
      </c>
      <c r="B86" s="78">
        <f>B7*LengthAllocation_2022!C64</f>
        <v>0</v>
      </c>
      <c r="C86" s="79">
        <f>C7*LengthAllocation_2022!D64</f>
        <v>0</v>
      </c>
      <c r="D86" s="79">
        <f>D7*LengthAllocation_2022!E64</f>
        <v>0</v>
      </c>
      <c r="E86" s="79">
        <f>E7*LengthAllocation_2022!F64</f>
        <v>0</v>
      </c>
      <c r="F86" s="79">
        <f>F7*LengthAllocation_2022!G64</f>
        <v>0</v>
      </c>
      <c r="G86" s="79">
        <f>G7*LengthAllocation_2022!H64</f>
        <v>0</v>
      </c>
      <c r="H86" s="79">
        <f>H7*LengthAllocation_2022!I64</f>
        <v>0</v>
      </c>
      <c r="I86" s="79">
        <f>I7*LengthAllocation_2022!J64</f>
        <v>0</v>
      </c>
      <c r="J86" s="79">
        <f>J7*LengthAllocation_2022!K64</f>
        <v>0</v>
      </c>
      <c r="K86" s="79">
        <f>K7*LengthAllocation_2022!L64</f>
        <v>0</v>
      </c>
      <c r="L86" s="42"/>
    </row>
    <row r="87" spans="1:20" x14ac:dyDescent="0.35">
      <c r="A87" s="109" t="s">
        <v>33</v>
      </c>
      <c r="B87" s="78">
        <f>B8*LengthAllocation_2022!C65</f>
        <v>0</v>
      </c>
      <c r="C87" s="75">
        <f>C8*LengthAllocation_2022!D65</f>
        <v>0</v>
      </c>
      <c r="D87" s="75">
        <f>D8*LengthAllocation_2022!E65</f>
        <v>0</v>
      </c>
      <c r="E87" s="75">
        <f>E8*LengthAllocation_2022!F65</f>
        <v>0</v>
      </c>
      <c r="F87" s="75">
        <f>F8*LengthAllocation_2022!G65</f>
        <v>0</v>
      </c>
      <c r="G87" s="75">
        <f>G8*LengthAllocation_2022!H65</f>
        <v>0</v>
      </c>
      <c r="H87" s="75">
        <f>H8*LengthAllocation_2022!I65</f>
        <v>0</v>
      </c>
      <c r="I87" s="75">
        <f>I8*LengthAllocation_2022!J65</f>
        <v>0</v>
      </c>
      <c r="J87" s="75">
        <f>J8*LengthAllocation_2022!K65</f>
        <v>0</v>
      </c>
      <c r="K87" s="75">
        <f>K8*LengthAllocation_2022!L65</f>
        <v>0</v>
      </c>
      <c r="L87" s="42"/>
    </row>
    <row r="88" spans="1:20" x14ac:dyDescent="0.35">
      <c r="A88" s="109" t="s">
        <v>34</v>
      </c>
      <c r="B88" s="78">
        <f>B9*LengthAllocation_2022!C66</f>
        <v>0</v>
      </c>
      <c r="C88" s="75">
        <f>C9*LengthAllocation_2022!D66</f>
        <v>0</v>
      </c>
      <c r="D88" s="75">
        <f>D9*LengthAllocation_2022!E66</f>
        <v>0</v>
      </c>
      <c r="E88" s="75">
        <f>E9*LengthAllocation_2022!F66</f>
        <v>0</v>
      </c>
      <c r="F88" s="75">
        <f>F9*LengthAllocation_2022!G66</f>
        <v>0</v>
      </c>
      <c r="G88" s="75">
        <f>G9*LengthAllocation_2022!H66</f>
        <v>0</v>
      </c>
      <c r="H88" s="75">
        <f>H9*LengthAllocation_2022!I66</f>
        <v>0</v>
      </c>
      <c r="I88" s="75">
        <f>I9*LengthAllocation_2022!J66</f>
        <v>0</v>
      </c>
      <c r="J88" s="75">
        <f>J9*LengthAllocation_2022!K66</f>
        <v>0</v>
      </c>
      <c r="K88" s="75">
        <f>K9*LengthAllocation_2022!L66</f>
        <v>0</v>
      </c>
      <c r="L88" s="42"/>
    </row>
    <row r="89" spans="1:20" x14ac:dyDescent="0.35">
      <c r="A89" s="109" t="s">
        <v>35</v>
      </c>
      <c r="B89" s="78">
        <f>B10*LengthAllocation_2022!C67</f>
        <v>0</v>
      </c>
      <c r="C89" s="75">
        <f>C10*LengthAllocation_2022!D67</f>
        <v>0</v>
      </c>
      <c r="D89" s="75">
        <f>D10*LengthAllocation_2022!E67</f>
        <v>0</v>
      </c>
      <c r="E89" s="75">
        <f>E10*LengthAllocation_2022!F67</f>
        <v>0</v>
      </c>
      <c r="F89" s="75">
        <f>F10*LengthAllocation_2022!G67</f>
        <v>0</v>
      </c>
      <c r="G89" s="75">
        <f>G10*LengthAllocation_2022!H67</f>
        <v>0</v>
      </c>
      <c r="H89" s="75">
        <f>H10*LengthAllocation_2022!I67</f>
        <v>0</v>
      </c>
      <c r="I89" s="75">
        <f>I10*LengthAllocation_2022!J67</f>
        <v>0</v>
      </c>
      <c r="J89" s="75">
        <f>J10*LengthAllocation_2022!K67</f>
        <v>0</v>
      </c>
      <c r="K89" s="75">
        <f>K10*LengthAllocation_2022!L67</f>
        <v>0</v>
      </c>
      <c r="L89" s="42"/>
    </row>
    <row r="90" spans="1:20" x14ac:dyDescent="0.35">
      <c r="A90" s="109" t="s">
        <v>36</v>
      </c>
      <c r="B90" s="78">
        <f>B11*LengthAllocation_2022!C68</f>
        <v>0</v>
      </c>
      <c r="C90" s="75">
        <f>C11*LengthAllocation_2022!D68</f>
        <v>0</v>
      </c>
      <c r="D90" s="75">
        <f>D11*LengthAllocation_2022!E68</f>
        <v>0</v>
      </c>
      <c r="E90" s="75">
        <f>E11*LengthAllocation_2022!F68</f>
        <v>0</v>
      </c>
      <c r="F90" s="75">
        <f>F11*LengthAllocation_2022!G68</f>
        <v>0</v>
      </c>
      <c r="G90" s="75">
        <f>G11*LengthAllocation_2022!H68</f>
        <v>0</v>
      </c>
      <c r="H90" s="75">
        <f>H11*LengthAllocation_2022!I68</f>
        <v>0</v>
      </c>
      <c r="I90" s="75">
        <f>I11*LengthAllocation_2022!J68</f>
        <v>0</v>
      </c>
      <c r="J90" s="75">
        <f>J11*LengthAllocation_2022!K68</f>
        <v>0</v>
      </c>
      <c r="K90" s="75">
        <f>K11*LengthAllocation_2022!L68</f>
        <v>0</v>
      </c>
      <c r="L90" s="42"/>
    </row>
    <row r="91" spans="1:20" x14ac:dyDescent="0.35">
      <c r="A91" s="110" t="s">
        <v>37</v>
      </c>
      <c r="B91" s="75">
        <f>B12*LengthAllocation_2022!C69</f>
        <v>0</v>
      </c>
      <c r="C91" s="80">
        <f>C12*LengthAllocation_2022!D69</f>
        <v>31029042</v>
      </c>
      <c r="D91" s="75">
        <f>D12*LengthAllocation_2022!E69</f>
        <v>0</v>
      </c>
      <c r="E91" s="75">
        <f>E12*LengthAllocation_2022!F69</f>
        <v>0</v>
      </c>
      <c r="F91" s="75">
        <f>F12*LengthAllocation_2022!G69</f>
        <v>0</v>
      </c>
      <c r="G91" s="75">
        <f>G12*LengthAllocation_2022!H69</f>
        <v>0</v>
      </c>
      <c r="H91" s="75">
        <f>H12*LengthAllocation_2022!I69</f>
        <v>0</v>
      </c>
      <c r="I91" s="75">
        <f>I12*LengthAllocation_2022!J69</f>
        <v>0</v>
      </c>
      <c r="J91" s="75">
        <f>J12*LengthAllocation_2022!K69</f>
        <v>0</v>
      </c>
      <c r="K91" s="75">
        <f>K12*LengthAllocation_2022!L69</f>
        <v>0</v>
      </c>
      <c r="L91" s="42"/>
    </row>
    <row r="92" spans="1:20" x14ac:dyDescent="0.35">
      <c r="A92" s="110" t="s">
        <v>38</v>
      </c>
      <c r="B92" s="75">
        <f>B13*LengthAllocation_2022!C70</f>
        <v>0</v>
      </c>
      <c r="C92" s="80">
        <f>C13*LengthAllocation_2022!D70</f>
        <v>0</v>
      </c>
      <c r="D92" s="75">
        <f>D13*LengthAllocation_2022!E70</f>
        <v>0</v>
      </c>
      <c r="E92" s="75">
        <f>E13*LengthAllocation_2022!F70</f>
        <v>0</v>
      </c>
      <c r="F92" s="75">
        <f>F13*LengthAllocation_2022!G70</f>
        <v>0</v>
      </c>
      <c r="G92" s="75">
        <f>G13*LengthAllocation_2022!H70</f>
        <v>0</v>
      </c>
      <c r="H92" s="75">
        <f>H13*LengthAllocation_2022!I70</f>
        <v>0</v>
      </c>
      <c r="I92" s="75">
        <f>I13*LengthAllocation_2022!J70</f>
        <v>0</v>
      </c>
      <c r="J92" s="75">
        <f>J13*LengthAllocation_2022!K70</f>
        <v>0</v>
      </c>
      <c r="K92" s="75">
        <f>K13*LengthAllocation_2022!L70</f>
        <v>0</v>
      </c>
      <c r="L92" s="42"/>
    </row>
    <row r="93" spans="1:20" x14ac:dyDescent="0.35">
      <c r="A93" s="111" t="s">
        <v>39</v>
      </c>
      <c r="B93" s="75">
        <f>B14*LengthAllocation_2022!C71</f>
        <v>0</v>
      </c>
      <c r="C93" s="75">
        <f>C14*LengthAllocation_2022!D71</f>
        <v>0</v>
      </c>
      <c r="D93" s="81">
        <f>D14*LengthAllocation_2022!E71</f>
        <v>0</v>
      </c>
      <c r="E93" s="75">
        <f>E14*LengthAllocation_2022!F71</f>
        <v>0</v>
      </c>
      <c r="F93" s="75">
        <f>F14*LengthAllocation_2022!G71</f>
        <v>0</v>
      </c>
      <c r="G93" s="75">
        <f>G14*LengthAllocation_2022!H71</f>
        <v>0</v>
      </c>
      <c r="H93" s="75">
        <f>H14*LengthAllocation_2022!I71</f>
        <v>0</v>
      </c>
      <c r="I93" s="75">
        <f>I14*LengthAllocation_2022!J71</f>
        <v>0</v>
      </c>
      <c r="J93" s="75">
        <f>J14*LengthAllocation_2022!K71</f>
        <v>0</v>
      </c>
      <c r="K93" s="75">
        <f>K14*LengthAllocation_2022!L71</f>
        <v>0</v>
      </c>
      <c r="L93" s="42"/>
    </row>
    <row r="94" spans="1:20" x14ac:dyDescent="0.35">
      <c r="A94" s="112" t="s">
        <v>40</v>
      </c>
      <c r="B94" s="75">
        <f>B15*LengthAllocation_2022!C72</f>
        <v>0</v>
      </c>
      <c r="C94" s="75">
        <f>C15*LengthAllocation_2022!D72</f>
        <v>0</v>
      </c>
      <c r="D94" s="75">
        <f>D15*LengthAllocation_2022!E72</f>
        <v>0</v>
      </c>
      <c r="E94" s="82">
        <f>E15*LengthAllocation_2022!F72</f>
        <v>21041000</v>
      </c>
      <c r="F94" s="75">
        <f>F15*LengthAllocation_2022!G72</f>
        <v>0</v>
      </c>
      <c r="G94" s="75">
        <f>G15*LengthAllocation_2022!H72</f>
        <v>0</v>
      </c>
      <c r="H94" s="75">
        <f>H15*LengthAllocation_2022!I72</f>
        <v>0</v>
      </c>
      <c r="I94" s="75">
        <f>I15*LengthAllocation_2022!J72</f>
        <v>0</v>
      </c>
      <c r="J94" s="75">
        <f>J15*LengthAllocation_2022!K72</f>
        <v>0</v>
      </c>
      <c r="K94" s="75">
        <f>K15*LengthAllocation_2022!L72</f>
        <v>0</v>
      </c>
      <c r="L94" s="42"/>
    </row>
    <row r="95" spans="1:20" x14ac:dyDescent="0.35">
      <c r="A95" s="112" t="s">
        <v>41</v>
      </c>
      <c r="B95" s="75">
        <f>B16*LengthAllocation_2022!C73</f>
        <v>0</v>
      </c>
      <c r="C95" s="75">
        <f>C16*LengthAllocation_2022!D73</f>
        <v>0</v>
      </c>
      <c r="D95" s="75">
        <f>D16*LengthAllocation_2022!E73</f>
        <v>0</v>
      </c>
      <c r="E95" s="82">
        <f>E16*LengthAllocation_2022!F73</f>
        <v>0</v>
      </c>
      <c r="F95" s="75">
        <f>F16*LengthAllocation_2022!G73</f>
        <v>0</v>
      </c>
      <c r="G95" s="75">
        <f>G16*LengthAllocation_2022!H73</f>
        <v>0</v>
      </c>
      <c r="H95" s="75">
        <f>H16*LengthAllocation_2022!I73</f>
        <v>0</v>
      </c>
      <c r="I95" s="75">
        <f>I16*LengthAllocation_2022!J73</f>
        <v>0</v>
      </c>
      <c r="J95" s="75">
        <f>J16*LengthAllocation_2022!K73</f>
        <v>0</v>
      </c>
      <c r="K95" s="75">
        <f>K16*LengthAllocation_2022!L73</f>
        <v>0</v>
      </c>
      <c r="L95" s="42"/>
      <c r="N95" s="8"/>
    </row>
    <row r="96" spans="1:20" x14ac:dyDescent="0.35">
      <c r="A96" s="109" t="s">
        <v>18</v>
      </c>
      <c r="B96" s="75">
        <f>B17*LengthAllocation_2022!C74</f>
        <v>0</v>
      </c>
      <c r="C96" s="75">
        <f>C17*LengthAllocation_2022!D74</f>
        <v>0</v>
      </c>
      <c r="D96" s="75">
        <f>D17*LengthAllocation_2022!E74</f>
        <v>0</v>
      </c>
      <c r="E96" s="75">
        <f>E17*LengthAllocation_2022!F74</f>
        <v>0</v>
      </c>
      <c r="F96" s="83">
        <f>AVERAGE(H19:H27)*LengthAllocation_2022!G74</f>
        <v>1062739247.0015222</v>
      </c>
      <c r="G96" s="75">
        <f>G17*LengthAllocation_2022!H74</f>
        <v>0</v>
      </c>
      <c r="H96" s="75">
        <f>H17*LengthAllocation_2022!I74</f>
        <v>0</v>
      </c>
      <c r="I96" s="75">
        <f>I17*LengthAllocation_2022!J74</f>
        <v>0</v>
      </c>
      <c r="J96" s="75">
        <f>J17*LengthAllocation_2022!K74</f>
        <v>0</v>
      </c>
      <c r="K96" s="75">
        <f>K17*LengthAllocation_2022!L74</f>
        <v>0</v>
      </c>
      <c r="L96" s="42"/>
    </row>
    <row r="97" spans="1:15" x14ac:dyDescent="0.35">
      <c r="A97" s="113" t="s">
        <v>42</v>
      </c>
      <c r="B97" s="75">
        <f>B18*LengthAllocation_2022!C75</f>
        <v>0</v>
      </c>
      <c r="C97" s="75">
        <f>C18*LengthAllocation_2022!D75</f>
        <v>0</v>
      </c>
      <c r="D97" s="75">
        <f>D18*LengthAllocation_2022!E75</f>
        <v>0</v>
      </c>
      <c r="E97" s="75">
        <f>E18*LengthAllocation_2022!F75</f>
        <v>0</v>
      </c>
      <c r="F97" s="75">
        <f>F18*LengthAllocation_2022!G75</f>
        <v>0</v>
      </c>
      <c r="G97" s="84">
        <f>G18*LengthAllocation_2022!H75</f>
        <v>0</v>
      </c>
      <c r="H97" s="75">
        <f>H18*LengthAllocation_2022!I75</f>
        <v>0</v>
      </c>
      <c r="I97" s="75">
        <f>I18*LengthAllocation_2022!J75</f>
        <v>0</v>
      </c>
      <c r="J97" s="75">
        <f>J18*LengthAllocation_2022!K75</f>
        <v>0</v>
      </c>
      <c r="K97" s="75">
        <f>K18*LengthAllocation_2022!L75</f>
        <v>0</v>
      </c>
      <c r="L97" s="42"/>
    </row>
    <row r="98" spans="1:15" x14ac:dyDescent="0.35">
      <c r="A98" s="114" t="s">
        <v>43</v>
      </c>
      <c r="B98" s="75">
        <f>B19*LengthAllocation_2022!C76</f>
        <v>0</v>
      </c>
      <c r="C98" s="75">
        <f>C19*LengthAllocation_2022!D76</f>
        <v>0</v>
      </c>
      <c r="D98" s="75">
        <f>D19*LengthAllocation_2022!E76</f>
        <v>0</v>
      </c>
      <c r="E98" s="75">
        <f>E19*LengthAllocation_2022!F76</f>
        <v>0</v>
      </c>
      <c r="F98" s="75">
        <f>F19*LengthAllocation_2022!G76</f>
        <v>0</v>
      </c>
      <c r="G98" s="75">
        <f>G19*LengthAllocation_2022!H76</f>
        <v>0</v>
      </c>
      <c r="H98" s="85">
        <f>H19*LengthAllocation_2022!I76</f>
        <v>0</v>
      </c>
      <c r="I98" s="75">
        <f>I19*LengthAllocation_2022!J76</f>
        <v>0</v>
      </c>
      <c r="J98" s="75">
        <f>J19*LengthAllocation_2022!K76</f>
        <v>0</v>
      </c>
      <c r="K98" s="75">
        <f>K19*LengthAllocation_2022!L76</f>
        <v>0</v>
      </c>
      <c r="L98" s="42"/>
    </row>
    <row r="99" spans="1:15" x14ac:dyDescent="0.35">
      <c r="A99" s="114" t="s">
        <v>44</v>
      </c>
      <c r="B99" s="75">
        <f>B20*LengthAllocation_2022!C77</f>
        <v>0</v>
      </c>
      <c r="C99" s="75">
        <f>C20*LengthAllocation_2022!D77</f>
        <v>0</v>
      </c>
      <c r="D99" s="75">
        <f>D20*LengthAllocation_2022!E77</f>
        <v>0</v>
      </c>
      <c r="E99" s="75">
        <f>E20*LengthAllocation_2022!F77</f>
        <v>0</v>
      </c>
      <c r="F99" s="75">
        <f>F20*LengthAllocation_2022!G77</f>
        <v>0</v>
      </c>
      <c r="G99" s="75">
        <f>G20*LengthAllocation_2022!H77</f>
        <v>0</v>
      </c>
      <c r="H99" s="85">
        <f>H20*LengthAllocation_2022!I77</f>
        <v>0</v>
      </c>
      <c r="I99" s="75">
        <f>I20*LengthAllocation_2022!J77</f>
        <v>0</v>
      </c>
      <c r="J99" s="75">
        <f>J20*LengthAllocation_2022!K77</f>
        <v>0</v>
      </c>
      <c r="K99" s="75">
        <f>K20*LengthAllocation_2022!L77</f>
        <v>0</v>
      </c>
      <c r="L99" s="42"/>
      <c r="O99" s="8"/>
    </row>
    <row r="100" spans="1:15" x14ac:dyDescent="0.35">
      <c r="A100" s="114" t="s">
        <v>45</v>
      </c>
      <c r="B100" s="75">
        <f>B21*LengthAllocation_2022!C78</f>
        <v>0</v>
      </c>
      <c r="C100" s="75">
        <f>C21*LengthAllocation_2022!D78</f>
        <v>0</v>
      </c>
      <c r="D100" s="75">
        <f>D21*LengthAllocation_2022!E78</f>
        <v>0</v>
      </c>
      <c r="E100" s="75">
        <f>E21*LengthAllocation_2022!F78</f>
        <v>0</v>
      </c>
      <c r="F100" s="75">
        <f>F21*LengthAllocation_2022!G78</f>
        <v>0</v>
      </c>
      <c r="G100" s="75">
        <f>G21*LengthAllocation_2022!H78</f>
        <v>0</v>
      </c>
      <c r="H100" s="85">
        <f>H21*LengthAllocation_2022!I78</f>
        <v>0</v>
      </c>
      <c r="I100" s="75">
        <f>I21*LengthAllocation_2022!J78</f>
        <v>0</v>
      </c>
      <c r="J100" s="75">
        <f>J21*LengthAllocation_2022!K78</f>
        <v>0</v>
      </c>
      <c r="K100" s="75">
        <f>K21*LengthAllocation_2022!L78</f>
        <v>0</v>
      </c>
      <c r="L100" s="42"/>
    </row>
    <row r="101" spans="1:15" x14ac:dyDescent="0.35">
      <c r="A101" s="114" t="s">
        <v>46</v>
      </c>
      <c r="B101" s="75">
        <f>B22*LengthAllocation_2022!C79</f>
        <v>0</v>
      </c>
      <c r="C101" s="75">
        <f>C22*LengthAllocation_2022!D79</f>
        <v>0</v>
      </c>
      <c r="D101" s="75">
        <f>D22*LengthAllocation_2022!E79</f>
        <v>0</v>
      </c>
      <c r="E101" s="75">
        <f>E22*LengthAllocation_2022!F79</f>
        <v>0</v>
      </c>
      <c r="F101" s="75">
        <f>F22*LengthAllocation_2022!G79</f>
        <v>0</v>
      </c>
      <c r="G101" s="75">
        <f>G22*LengthAllocation_2022!H79</f>
        <v>0</v>
      </c>
      <c r="H101" s="85">
        <f>H22*LengthAllocation_2022!I79</f>
        <v>0</v>
      </c>
      <c r="I101" s="75">
        <f>I22*LengthAllocation_2022!J79</f>
        <v>0</v>
      </c>
      <c r="J101" s="75">
        <f>J22*LengthAllocation_2022!K79</f>
        <v>0</v>
      </c>
      <c r="K101" s="75">
        <f>K22*LengthAllocation_2022!L79</f>
        <v>0</v>
      </c>
      <c r="L101" s="42"/>
    </row>
    <row r="102" spans="1:15" x14ac:dyDescent="0.35">
      <c r="A102" s="114" t="s">
        <v>47</v>
      </c>
      <c r="B102" s="75">
        <f>B23*LengthAllocation_2022!C80</f>
        <v>0</v>
      </c>
      <c r="C102" s="75">
        <f>C23*LengthAllocation_2022!D80</f>
        <v>0</v>
      </c>
      <c r="D102" s="75">
        <f>D23*LengthAllocation_2022!E80</f>
        <v>0</v>
      </c>
      <c r="E102" s="75">
        <f>E23*LengthAllocation_2022!F80</f>
        <v>0</v>
      </c>
      <c r="F102" s="75">
        <f>F23*LengthAllocation_2022!G80</f>
        <v>0</v>
      </c>
      <c r="G102" s="75">
        <f>G23*LengthAllocation_2022!H80</f>
        <v>0</v>
      </c>
      <c r="H102" s="85">
        <f>H23*LengthAllocation_2022!I80</f>
        <v>0</v>
      </c>
      <c r="I102" s="75">
        <f>I23*LengthAllocation_2022!J80</f>
        <v>0</v>
      </c>
      <c r="J102" s="75">
        <f>J23*LengthAllocation_2022!K80</f>
        <v>0</v>
      </c>
      <c r="K102" s="75">
        <f>K23*LengthAllocation_2022!L80</f>
        <v>0</v>
      </c>
      <c r="L102" s="42"/>
    </row>
    <row r="103" spans="1:15" x14ac:dyDescent="0.35">
      <c r="A103" s="114" t="s">
        <v>48</v>
      </c>
      <c r="B103" s="75">
        <f>B24*LengthAllocation_2022!C81</f>
        <v>0</v>
      </c>
      <c r="C103" s="75">
        <f>C24*LengthAllocation_2022!D81</f>
        <v>0</v>
      </c>
      <c r="D103" s="75">
        <f>D24*LengthAllocation_2022!E81</f>
        <v>0</v>
      </c>
      <c r="E103" s="75">
        <f>E24*LengthAllocation_2022!F81</f>
        <v>0</v>
      </c>
      <c r="F103" s="75">
        <f>F24*LengthAllocation_2022!G81</f>
        <v>0</v>
      </c>
      <c r="G103" s="75">
        <f>G24*LengthAllocation_2022!H81</f>
        <v>0</v>
      </c>
      <c r="H103" s="85">
        <f>H24*LengthAllocation_2022!I81</f>
        <v>0</v>
      </c>
      <c r="I103" s="75">
        <f>I24*LengthAllocation_2022!J81</f>
        <v>0</v>
      </c>
      <c r="J103" s="75">
        <f>J24*LengthAllocation_2022!K81</f>
        <v>0</v>
      </c>
      <c r="K103" s="75">
        <f>K24*LengthAllocation_2022!L81</f>
        <v>0</v>
      </c>
      <c r="L103" s="42"/>
    </row>
    <row r="104" spans="1:15" x14ac:dyDescent="0.35">
      <c r="A104" s="114" t="s">
        <v>49</v>
      </c>
      <c r="B104" s="75">
        <f>B25*LengthAllocation_2022!C82</f>
        <v>0</v>
      </c>
      <c r="C104" s="75">
        <f>C25*LengthAllocation_2022!D82</f>
        <v>0</v>
      </c>
      <c r="D104" s="75">
        <f>D25*LengthAllocation_2022!E82</f>
        <v>0</v>
      </c>
      <c r="E104" s="75">
        <f>E25*LengthAllocation_2022!F82</f>
        <v>0</v>
      </c>
      <c r="F104" s="75">
        <f>F25*LengthAllocation_2022!G82</f>
        <v>0</v>
      </c>
      <c r="G104" s="75">
        <f>G25*LengthAllocation_2022!H82</f>
        <v>0</v>
      </c>
      <c r="H104" s="85">
        <f>H25*LengthAllocation_2022!I82</f>
        <v>0</v>
      </c>
      <c r="I104" s="75">
        <f>I25*LengthAllocation_2022!J82</f>
        <v>0</v>
      </c>
      <c r="J104" s="75">
        <f>J25*LengthAllocation_2022!K82</f>
        <v>0</v>
      </c>
      <c r="K104" s="75">
        <f>K25*LengthAllocation_2022!L82</f>
        <v>0</v>
      </c>
      <c r="L104" s="42"/>
    </row>
    <row r="105" spans="1:15" x14ac:dyDescent="0.35">
      <c r="A105" s="114" t="s">
        <v>50</v>
      </c>
      <c r="B105" s="75">
        <f>B26*LengthAllocation_2022!C83</f>
        <v>0</v>
      </c>
      <c r="C105" s="75">
        <f>C26*LengthAllocation_2022!D83</f>
        <v>0</v>
      </c>
      <c r="D105" s="75">
        <f>D26*LengthAllocation_2022!E83</f>
        <v>0</v>
      </c>
      <c r="E105" s="75">
        <f>E26*LengthAllocation_2022!F83</f>
        <v>0</v>
      </c>
      <c r="F105" s="75">
        <f>F26*LengthAllocation_2022!G83</f>
        <v>0</v>
      </c>
      <c r="G105" s="75">
        <f>G26*LengthAllocation_2022!H83</f>
        <v>0</v>
      </c>
      <c r="H105" s="85">
        <f>H26*LengthAllocation_2022!I83</f>
        <v>0</v>
      </c>
      <c r="I105" s="75">
        <f>I26*LengthAllocation_2022!J83</f>
        <v>0</v>
      </c>
      <c r="J105" s="75">
        <f>J26*LengthAllocation_2022!K83</f>
        <v>0</v>
      </c>
      <c r="K105" s="75">
        <f>K26*LengthAllocation_2022!L83</f>
        <v>0</v>
      </c>
      <c r="L105" s="42"/>
    </row>
    <row r="106" spans="1:15" x14ac:dyDescent="0.35">
      <c r="A106" s="114" t="s">
        <v>51</v>
      </c>
      <c r="B106" s="75">
        <f>B27*LengthAllocation_2022!C84</f>
        <v>0</v>
      </c>
      <c r="C106" s="75">
        <f>C27*LengthAllocation_2022!D84</f>
        <v>0</v>
      </c>
      <c r="D106" s="75">
        <f>D27*LengthAllocation_2022!E84</f>
        <v>0</v>
      </c>
      <c r="E106" s="75">
        <f>E27*LengthAllocation_2022!F84</f>
        <v>0</v>
      </c>
      <c r="F106" s="75">
        <f>F27*LengthAllocation_2022!G84</f>
        <v>0</v>
      </c>
      <c r="G106" s="75">
        <f>G27*LengthAllocation_2022!H84</f>
        <v>0</v>
      </c>
      <c r="H106" s="85">
        <f>H27*LengthAllocation_2022!I84</f>
        <v>0</v>
      </c>
      <c r="I106" s="75">
        <f>I27*LengthAllocation_2022!J84</f>
        <v>0</v>
      </c>
      <c r="J106" s="75">
        <f>J27*LengthAllocation_2022!K84</f>
        <v>0</v>
      </c>
      <c r="K106" s="75">
        <f>K27*LengthAllocation_2022!L84</f>
        <v>0</v>
      </c>
      <c r="L106" s="42"/>
    </row>
    <row r="107" spans="1:15" x14ac:dyDescent="0.35">
      <c r="A107" s="115" t="s">
        <v>52</v>
      </c>
      <c r="B107" s="75">
        <f>B28*LengthAllocation_2022!C85</f>
        <v>0</v>
      </c>
      <c r="C107" s="75">
        <f>C28*LengthAllocation_2022!D85</f>
        <v>0</v>
      </c>
      <c r="D107" s="75">
        <f>D28*LengthAllocation_2022!E85</f>
        <v>0</v>
      </c>
      <c r="E107" s="75">
        <f>E28*LengthAllocation_2022!F85</f>
        <v>0</v>
      </c>
      <c r="F107" s="75">
        <f>F28*LengthAllocation_2022!G85</f>
        <v>0</v>
      </c>
      <c r="G107" s="75">
        <f>G28*LengthAllocation_2022!H85</f>
        <v>0</v>
      </c>
      <c r="H107" s="75">
        <f>H28*LengthAllocation_2022!I85</f>
        <v>0</v>
      </c>
      <c r="I107" s="86">
        <f>I28*LengthAllocation_2022!J85</f>
        <v>0</v>
      </c>
      <c r="J107" s="75">
        <f>J28*LengthAllocation_2022!K85</f>
        <v>0</v>
      </c>
      <c r="K107" s="75">
        <f>K28*LengthAllocation_2022!L85</f>
        <v>0</v>
      </c>
      <c r="L107" s="42"/>
    </row>
    <row r="108" spans="1:15" x14ac:dyDescent="0.35">
      <c r="A108" s="115" t="s">
        <v>53</v>
      </c>
      <c r="B108" s="75">
        <f>B29*LengthAllocation_2022!C86</f>
        <v>0</v>
      </c>
      <c r="C108" s="75">
        <f>C29*LengthAllocation_2022!D86</f>
        <v>0</v>
      </c>
      <c r="D108" s="75">
        <f>D29*LengthAllocation_2022!E86</f>
        <v>0</v>
      </c>
      <c r="E108" s="75">
        <f>E29*LengthAllocation_2022!F86</f>
        <v>0</v>
      </c>
      <c r="F108" s="75">
        <f>F29*LengthAllocation_2022!G86</f>
        <v>0</v>
      </c>
      <c r="G108" s="75">
        <f>G29*LengthAllocation_2022!H86</f>
        <v>0</v>
      </c>
      <c r="H108" s="75">
        <f>H29*LengthAllocation_2022!I86</f>
        <v>0</v>
      </c>
      <c r="I108" s="86">
        <f>I29*LengthAllocation_2022!J86</f>
        <v>0</v>
      </c>
      <c r="J108" s="75">
        <f>J29*LengthAllocation_2022!K86</f>
        <v>0</v>
      </c>
      <c r="K108" s="75">
        <f>K29*LengthAllocation_2022!L86</f>
        <v>0</v>
      </c>
      <c r="L108" s="42"/>
    </row>
    <row r="109" spans="1:15" x14ac:dyDescent="0.35">
      <c r="A109" s="115" t="s">
        <v>54</v>
      </c>
      <c r="B109" s="75">
        <f>B30*LengthAllocation_2022!C87</f>
        <v>0</v>
      </c>
      <c r="C109" s="75">
        <f>C30*LengthAllocation_2022!D87</f>
        <v>0</v>
      </c>
      <c r="D109" s="75">
        <f>D30*LengthAllocation_2022!E87</f>
        <v>0</v>
      </c>
      <c r="E109" s="75">
        <f>E30*LengthAllocation_2022!F87</f>
        <v>0</v>
      </c>
      <c r="F109" s="75">
        <f>F30*LengthAllocation_2022!G87</f>
        <v>0</v>
      </c>
      <c r="G109" s="75">
        <f>G30*LengthAllocation_2022!H87</f>
        <v>0</v>
      </c>
      <c r="H109" s="75">
        <f>H30*LengthAllocation_2022!I87</f>
        <v>0</v>
      </c>
      <c r="I109" s="86">
        <f>I30*LengthAllocation_2022!J87</f>
        <v>0</v>
      </c>
      <c r="J109" s="75">
        <f>J30*LengthAllocation_2022!K87</f>
        <v>0</v>
      </c>
      <c r="K109" s="75">
        <f>K30*LengthAllocation_2022!L87</f>
        <v>0</v>
      </c>
      <c r="L109" s="42"/>
    </row>
    <row r="110" spans="1:15" x14ac:dyDescent="0.35">
      <c r="A110" s="115" t="s">
        <v>55</v>
      </c>
      <c r="B110" s="75">
        <f>B31*LengthAllocation_2022!C88</f>
        <v>0</v>
      </c>
      <c r="C110" s="75">
        <f>C31*LengthAllocation_2022!D88</f>
        <v>0</v>
      </c>
      <c r="D110" s="75">
        <f>D31*LengthAllocation_2022!E88</f>
        <v>0</v>
      </c>
      <c r="E110" s="75">
        <f>E31*LengthAllocation_2022!F88</f>
        <v>0</v>
      </c>
      <c r="F110" s="75">
        <f>F31*LengthAllocation_2022!G88</f>
        <v>0</v>
      </c>
      <c r="G110" s="75">
        <f>G31*LengthAllocation_2022!H88</f>
        <v>0</v>
      </c>
      <c r="H110" s="75">
        <f>H31*LengthAllocation_2022!I88</f>
        <v>0</v>
      </c>
      <c r="I110" s="86">
        <f>I31*LengthAllocation_2022!J88</f>
        <v>0</v>
      </c>
      <c r="J110" s="75">
        <f>J31*LengthAllocation_2022!K88</f>
        <v>0</v>
      </c>
      <c r="K110" s="75">
        <f>K31*LengthAllocation_2022!L88</f>
        <v>0</v>
      </c>
      <c r="L110" s="42"/>
    </row>
    <row r="111" spans="1:15" x14ac:dyDescent="0.35">
      <c r="A111" s="115" t="s">
        <v>56</v>
      </c>
      <c r="B111" s="75">
        <f>B32*LengthAllocation_2022!C89</f>
        <v>0</v>
      </c>
      <c r="C111" s="75">
        <f>C32*LengthAllocation_2022!D89</f>
        <v>0</v>
      </c>
      <c r="D111" s="75">
        <f>D32*LengthAllocation_2022!E89</f>
        <v>0</v>
      </c>
      <c r="E111" s="75">
        <f>E32*LengthAllocation_2022!F89</f>
        <v>0</v>
      </c>
      <c r="F111" s="75">
        <f>F32*LengthAllocation_2022!G89</f>
        <v>0</v>
      </c>
      <c r="G111" s="75">
        <f>G32*LengthAllocation_2022!H89</f>
        <v>0</v>
      </c>
      <c r="H111" s="75">
        <f>H32*LengthAllocation_2022!I89</f>
        <v>0</v>
      </c>
      <c r="I111" s="86">
        <f>I32*LengthAllocation_2022!J89</f>
        <v>0</v>
      </c>
      <c r="J111" s="75">
        <f>J32*LengthAllocation_2022!K89</f>
        <v>0</v>
      </c>
      <c r="K111" s="75">
        <f>K32*LengthAllocation_2022!L89</f>
        <v>0</v>
      </c>
      <c r="L111" s="42"/>
    </row>
    <row r="112" spans="1:15" x14ac:dyDescent="0.35">
      <c r="A112" s="115" t="s">
        <v>57</v>
      </c>
      <c r="B112" s="75">
        <f>B33*LengthAllocation_2022!C90</f>
        <v>0</v>
      </c>
      <c r="C112" s="75">
        <f>C33*LengthAllocation_2022!D90</f>
        <v>0</v>
      </c>
      <c r="D112" s="75">
        <f>D33*LengthAllocation_2022!E90</f>
        <v>0</v>
      </c>
      <c r="E112" s="75">
        <f>E33*LengthAllocation_2022!F90</f>
        <v>0</v>
      </c>
      <c r="F112" s="75">
        <f>F33*LengthAllocation_2022!G90</f>
        <v>0</v>
      </c>
      <c r="G112" s="75">
        <f>G33*LengthAllocation_2022!H90</f>
        <v>0</v>
      </c>
      <c r="H112" s="75">
        <f>H33*LengthAllocation_2022!I90</f>
        <v>0</v>
      </c>
      <c r="I112" s="86">
        <f>I33*LengthAllocation_2022!J90</f>
        <v>0</v>
      </c>
      <c r="J112" s="75">
        <f>J33*LengthAllocation_2022!K90</f>
        <v>0</v>
      </c>
      <c r="K112" s="75">
        <f>K33*LengthAllocation_2022!L90</f>
        <v>0</v>
      </c>
      <c r="L112" s="42"/>
    </row>
    <row r="113" spans="1:13" x14ac:dyDescent="0.35">
      <c r="A113" s="115" t="s">
        <v>58</v>
      </c>
      <c r="B113" s="75">
        <f>B34*LengthAllocation_2022!C91</f>
        <v>0</v>
      </c>
      <c r="C113" s="75">
        <f>C34*LengthAllocation_2022!D91</f>
        <v>0</v>
      </c>
      <c r="D113" s="75">
        <f>D34*LengthAllocation_2022!E91</f>
        <v>0</v>
      </c>
      <c r="E113" s="75">
        <f>E34*LengthAllocation_2022!F91</f>
        <v>0</v>
      </c>
      <c r="F113" s="75">
        <f>F34*LengthAllocation_2022!G91</f>
        <v>0</v>
      </c>
      <c r="G113" s="75">
        <f>G34*LengthAllocation_2022!H91</f>
        <v>0</v>
      </c>
      <c r="H113" s="75">
        <f>H34*LengthAllocation_2022!I91</f>
        <v>0</v>
      </c>
      <c r="I113" s="86">
        <f>I34*LengthAllocation_2022!J91</f>
        <v>0</v>
      </c>
      <c r="J113" s="75">
        <f>J34*LengthAllocation_2022!K91</f>
        <v>0</v>
      </c>
      <c r="K113" s="75">
        <f>K34*LengthAllocation_2022!L91</f>
        <v>0</v>
      </c>
      <c r="L113" s="42"/>
    </row>
    <row r="114" spans="1:13" x14ac:dyDescent="0.35">
      <c r="A114" s="115" t="s">
        <v>59</v>
      </c>
      <c r="B114" s="75">
        <f>B35*LengthAllocation_2022!C92</f>
        <v>0</v>
      </c>
      <c r="C114" s="75">
        <f>C35*LengthAllocation_2022!D92</f>
        <v>0</v>
      </c>
      <c r="D114" s="79">
        <f>D35*LengthAllocation_2022!E92</f>
        <v>0</v>
      </c>
      <c r="E114" s="75">
        <f>E35*LengthAllocation_2022!F92</f>
        <v>0</v>
      </c>
      <c r="F114" s="75">
        <f>F35*LengthAllocation_2022!G92</f>
        <v>0</v>
      </c>
      <c r="G114" s="75">
        <f>G35*LengthAllocation_2022!H92</f>
        <v>0</v>
      </c>
      <c r="H114" s="75">
        <f>H35*LengthAllocation_2022!I92</f>
        <v>0</v>
      </c>
      <c r="I114" s="86">
        <f>I35*LengthAllocation_2022!J92</f>
        <v>0</v>
      </c>
      <c r="J114" s="75">
        <f>J35*LengthAllocation_2022!K92</f>
        <v>0</v>
      </c>
      <c r="K114" s="75">
        <f>K35*LengthAllocation_2022!L92</f>
        <v>0</v>
      </c>
      <c r="L114" s="42"/>
    </row>
    <row r="115" spans="1:13" x14ac:dyDescent="0.35">
      <c r="A115" s="115" t="s">
        <v>60</v>
      </c>
      <c r="B115" s="75">
        <f>B36*LengthAllocation_2022!C93</f>
        <v>0</v>
      </c>
      <c r="C115" s="75">
        <f>C36*LengthAllocation_2022!D93</f>
        <v>0</v>
      </c>
      <c r="D115" s="75">
        <f>D36*LengthAllocation_2022!E93</f>
        <v>0</v>
      </c>
      <c r="E115" s="75">
        <f>E36*LengthAllocation_2022!F93</f>
        <v>0</v>
      </c>
      <c r="F115" s="75">
        <f>F36*LengthAllocation_2022!G93</f>
        <v>0</v>
      </c>
      <c r="G115" s="75">
        <f>G36*LengthAllocation_2022!H93</f>
        <v>0</v>
      </c>
      <c r="H115" s="75">
        <f>H36*LengthAllocation_2022!I93</f>
        <v>0</v>
      </c>
      <c r="I115" s="86">
        <f>I36*LengthAllocation_2022!J93</f>
        <v>0</v>
      </c>
      <c r="J115" s="75">
        <f>J36*LengthAllocation_2022!K93</f>
        <v>0</v>
      </c>
      <c r="K115" s="75">
        <f>K36*LengthAllocation_2022!L93</f>
        <v>0</v>
      </c>
      <c r="L115" s="42"/>
    </row>
    <row r="116" spans="1:13" x14ac:dyDescent="0.35">
      <c r="A116" s="115" t="s">
        <v>61</v>
      </c>
      <c r="B116" s="75">
        <f>B37*LengthAllocation_2022!C94</f>
        <v>0</v>
      </c>
      <c r="C116" s="75">
        <f>C37*LengthAllocation_2022!D94</f>
        <v>0</v>
      </c>
      <c r="D116" s="75">
        <f>D37*LengthAllocation_2022!E94</f>
        <v>0</v>
      </c>
      <c r="E116" s="75">
        <f>E37*LengthAllocation_2022!F94</f>
        <v>0</v>
      </c>
      <c r="F116" s="75">
        <f>F37*LengthAllocation_2022!G94</f>
        <v>0</v>
      </c>
      <c r="G116" s="75">
        <f>G37*LengthAllocation_2022!H94</f>
        <v>0</v>
      </c>
      <c r="H116" s="75">
        <f>H37*LengthAllocation_2022!I94</f>
        <v>0</v>
      </c>
      <c r="I116" s="86">
        <f>I37*LengthAllocation_2022!J94</f>
        <v>0</v>
      </c>
      <c r="J116" s="75">
        <f>J37*LengthAllocation_2022!K94</f>
        <v>0</v>
      </c>
      <c r="K116" s="75">
        <f>K37*LengthAllocation_2022!L94</f>
        <v>0</v>
      </c>
      <c r="L116" s="42"/>
    </row>
    <row r="117" spans="1:13" x14ac:dyDescent="0.35">
      <c r="A117" s="115" t="s">
        <v>62</v>
      </c>
      <c r="B117" s="75">
        <f>B38*LengthAllocation_2022!C95</f>
        <v>0</v>
      </c>
      <c r="C117" s="75">
        <f>C38*LengthAllocation_2022!D95</f>
        <v>0</v>
      </c>
      <c r="D117" s="75">
        <f>D38*LengthAllocation_2022!E95</f>
        <v>0</v>
      </c>
      <c r="E117" s="75">
        <f>E38*LengthAllocation_2022!F95</f>
        <v>0</v>
      </c>
      <c r="F117" s="75">
        <f>F38*LengthAllocation_2022!G95</f>
        <v>0</v>
      </c>
      <c r="G117" s="75">
        <f>G38*LengthAllocation_2022!H95</f>
        <v>0</v>
      </c>
      <c r="H117" s="75">
        <f>H38*LengthAllocation_2022!I95</f>
        <v>0</v>
      </c>
      <c r="I117" s="86">
        <f>I38*LengthAllocation_2022!J95</f>
        <v>497200243.94714427</v>
      </c>
      <c r="J117" s="75">
        <f>J38*LengthAllocation_2022!K95</f>
        <v>0</v>
      </c>
      <c r="K117" s="75">
        <f>K38*LengthAllocation_2022!L95</f>
        <v>0</v>
      </c>
      <c r="L117" s="42"/>
    </row>
    <row r="118" spans="1:13" x14ac:dyDescent="0.35">
      <c r="A118" s="116" t="s">
        <v>64</v>
      </c>
      <c r="B118" s="75">
        <f>B39*LengthAllocation_2022!C96</f>
        <v>0</v>
      </c>
      <c r="C118" s="75">
        <f>C39*LengthAllocation_2022!D96</f>
        <v>0</v>
      </c>
      <c r="D118" s="75">
        <f>D39*LengthAllocation_2022!E96</f>
        <v>0</v>
      </c>
      <c r="E118" s="75">
        <f>E39*LengthAllocation_2022!F96</f>
        <v>0</v>
      </c>
      <c r="F118" s="75">
        <f>F39*LengthAllocation_2022!G96</f>
        <v>0</v>
      </c>
      <c r="G118" s="75">
        <f>G39*LengthAllocation_2022!H96</f>
        <v>0</v>
      </c>
      <c r="H118" s="75">
        <f>H39*LengthAllocation_2022!I96</f>
        <v>0</v>
      </c>
      <c r="I118" s="75">
        <f>I39*LengthAllocation_2022!J96</f>
        <v>0</v>
      </c>
      <c r="J118" s="80">
        <f>J39*LengthAllocation_2022!K96</f>
        <v>0</v>
      </c>
      <c r="K118" s="75">
        <f>K39*LengthAllocation_2022!L96</f>
        <v>0</v>
      </c>
      <c r="L118" s="42"/>
    </row>
    <row r="119" spans="1:13" x14ac:dyDescent="0.35">
      <c r="A119" s="116" t="s">
        <v>65</v>
      </c>
      <c r="B119" s="75">
        <f>B40*LengthAllocation_2022!C97</f>
        <v>0</v>
      </c>
      <c r="C119" s="75">
        <f>C40*LengthAllocation_2022!D97</f>
        <v>0</v>
      </c>
      <c r="D119" s="75">
        <f>D40*LengthAllocation_2022!E97</f>
        <v>0</v>
      </c>
      <c r="E119" s="75">
        <f>E40*LengthAllocation_2022!F97</f>
        <v>0</v>
      </c>
      <c r="F119" s="75">
        <f>F40*LengthAllocation_2022!G97</f>
        <v>0</v>
      </c>
      <c r="G119" s="75">
        <f>G40*LengthAllocation_2022!H97</f>
        <v>0</v>
      </c>
      <c r="H119" s="75">
        <f>H40*LengthAllocation_2022!I97</f>
        <v>0</v>
      </c>
      <c r="I119" s="75">
        <f>I40*LengthAllocation_2022!J97</f>
        <v>0</v>
      </c>
      <c r="J119" s="80">
        <f>J40*LengthAllocation_2022!K97</f>
        <v>0</v>
      </c>
      <c r="K119" s="75">
        <f>K40*LengthAllocation_2022!L97</f>
        <v>0</v>
      </c>
      <c r="L119" s="42"/>
    </row>
    <row r="120" spans="1:13" ht="15" thickBot="1" x14ac:dyDescent="0.4">
      <c r="A120" s="117" t="s">
        <v>63</v>
      </c>
      <c r="B120" s="95">
        <f>B41*LengthAllocation_2022!C98</f>
        <v>0</v>
      </c>
      <c r="C120" s="95">
        <f>C41*LengthAllocation_2022!D98</f>
        <v>0</v>
      </c>
      <c r="D120" s="95">
        <f>D41*LengthAllocation_2022!E98</f>
        <v>0</v>
      </c>
      <c r="E120" s="95">
        <f>E41*LengthAllocation_2022!F98</f>
        <v>0</v>
      </c>
      <c r="F120" s="95">
        <f>F41*LengthAllocation_2022!G98</f>
        <v>0</v>
      </c>
      <c r="G120" s="95">
        <f>G41*LengthAllocation_2022!H98</f>
        <v>0</v>
      </c>
      <c r="H120" s="95">
        <f>H41*LengthAllocation_2022!I98</f>
        <v>0</v>
      </c>
      <c r="I120" s="95">
        <f>I41*LengthAllocation_2022!J98</f>
        <v>0</v>
      </c>
      <c r="J120" s="95">
        <f>J41*LengthAllocation_2022!K98</f>
        <v>0</v>
      </c>
      <c r="K120" s="96">
        <f>K41*LengthAllocation_2022!L98</f>
        <v>0</v>
      </c>
      <c r="L120" s="52"/>
    </row>
    <row r="121" spans="1:13" ht="15" thickBot="1" x14ac:dyDescent="0.4">
      <c r="A121" s="25"/>
      <c r="B121" s="73"/>
      <c r="C121" s="73"/>
      <c r="D121" s="73"/>
      <c r="E121" s="73"/>
      <c r="F121" s="73"/>
      <c r="G121" s="73"/>
      <c r="H121" s="73"/>
      <c r="I121" s="73"/>
      <c r="J121" s="73"/>
      <c r="K121" s="73"/>
    </row>
    <row r="122" spans="1:13" ht="29" x14ac:dyDescent="0.35">
      <c r="A122" s="106"/>
      <c r="B122" s="87" t="s">
        <v>14</v>
      </c>
      <c r="C122" s="88" t="s">
        <v>15</v>
      </c>
      <c r="D122" s="89" t="s">
        <v>16</v>
      </c>
      <c r="E122" s="90" t="s">
        <v>17</v>
      </c>
      <c r="F122" s="87" t="s">
        <v>18</v>
      </c>
      <c r="G122" s="91" t="s">
        <v>19</v>
      </c>
      <c r="H122" s="92" t="s">
        <v>20</v>
      </c>
      <c r="I122" s="93" t="s">
        <v>21</v>
      </c>
      <c r="J122" s="94" t="s">
        <v>22</v>
      </c>
      <c r="K122" s="87" t="s">
        <v>23</v>
      </c>
      <c r="L122" s="107" t="s">
        <v>76</v>
      </c>
      <c r="M122" s="105"/>
    </row>
    <row r="123" spans="1:13" x14ac:dyDescent="0.35">
      <c r="A123" s="108" t="s">
        <v>66</v>
      </c>
      <c r="L123" s="40">
        <f>SUM(B124:K158)</f>
        <v>255526968.13013703</v>
      </c>
      <c r="M123" s="8"/>
    </row>
    <row r="124" spans="1:13" x14ac:dyDescent="0.35">
      <c r="A124" s="109" t="s">
        <v>32</v>
      </c>
      <c r="B124" s="78">
        <f>B7*LengthAllocation_2022!C102</f>
        <v>29918127</v>
      </c>
      <c r="C124" s="79">
        <f>C7*LengthAllocation_2022!D102</f>
        <v>0</v>
      </c>
      <c r="D124" s="79">
        <f>D7*LengthAllocation_2022!E102</f>
        <v>0</v>
      </c>
      <c r="E124" s="79">
        <f>E7*LengthAllocation_2022!F102</f>
        <v>0</v>
      </c>
      <c r="F124" s="79">
        <f>F7*LengthAllocation_2022!G102</f>
        <v>0</v>
      </c>
      <c r="G124" s="79">
        <f>G7*LengthAllocation_2022!H102</f>
        <v>0</v>
      </c>
      <c r="H124" s="79">
        <f>H7*LengthAllocation_2022!I102</f>
        <v>0</v>
      </c>
      <c r="I124" s="79">
        <f>I7*LengthAllocation_2022!J102</f>
        <v>0</v>
      </c>
      <c r="J124" s="79">
        <f>J7*LengthAllocation_2022!K102</f>
        <v>0</v>
      </c>
      <c r="K124" s="79">
        <f>K7*LengthAllocation_2022!L102</f>
        <v>0</v>
      </c>
      <c r="L124" s="42"/>
    </row>
    <row r="125" spans="1:13" x14ac:dyDescent="0.35">
      <c r="A125" s="109" t="s">
        <v>33</v>
      </c>
      <c r="B125" s="78">
        <f>B8*LengthAllocation_2022!C103</f>
        <v>29918127</v>
      </c>
      <c r="C125" s="75">
        <f>C8*LengthAllocation_2022!D103</f>
        <v>0</v>
      </c>
      <c r="D125" s="75">
        <f>D8*LengthAllocation_2022!E103</f>
        <v>0</v>
      </c>
      <c r="E125" s="75">
        <f>E8*LengthAllocation_2022!F103</f>
        <v>0</v>
      </c>
      <c r="F125" s="75">
        <f>F8*LengthAllocation_2022!G103</f>
        <v>0</v>
      </c>
      <c r="G125" s="75">
        <f>G8*LengthAllocation_2022!H103</f>
        <v>0</v>
      </c>
      <c r="H125" s="75">
        <f>H8*LengthAllocation_2022!I103</f>
        <v>0</v>
      </c>
      <c r="I125" s="75">
        <f>I8*LengthAllocation_2022!J103</f>
        <v>0</v>
      </c>
      <c r="J125" s="75">
        <f>J8*LengthAllocation_2022!K103</f>
        <v>0</v>
      </c>
      <c r="K125" s="75">
        <f>K8*LengthAllocation_2022!L103</f>
        <v>0</v>
      </c>
      <c r="L125" s="42"/>
    </row>
    <row r="126" spans="1:13" x14ac:dyDescent="0.35">
      <c r="A126" s="109" t="s">
        <v>34</v>
      </c>
      <c r="B126" s="78">
        <f>B9*LengthAllocation_2022!C104</f>
        <v>14727248</v>
      </c>
      <c r="C126" s="75">
        <f>C9*LengthAllocation_2022!D104</f>
        <v>0</v>
      </c>
      <c r="D126" s="75">
        <f>D9*LengthAllocation_2022!E104</f>
        <v>0</v>
      </c>
      <c r="E126" s="75">
        <f>E9*LengthAllocation_2022!F104</f>
        <v>0</v>
      </c>
      <c r="F126" s="75">
        <f>F9*LengthAllocation_2022!G104</f>
        <v>0</v>
      </c>
      <c r="G126" s="75">
        <f>G9*LengthAllocation_2022!H104</f>
        <v>0</v>
      </c>
      <c r="H126" s="75">
        <f>H9*LengthAllocation_2022!I104</f>
        <v>0</v>
      </c>
      <c r="I126" s="75">
        <f>I9*LengthAllocation_2022!J104</f>
        <v>0</v>
      </c>
      <c r="J126" s="75">
        <f>J9*LengthAllocation_2022!K104</f>
        <v>0</v>
      </c>
      <c r="K126" s="75">
        <f>K9*LengthAllocation_2022!L104</f>
        <v>0</v>
      </c>
      <c r="L126" s="42"/>
    </row>
    <row r="127" spans="1:13" x14ac:dyDescent="0.35">
      <c r="A127" s="109" t="s">
        <v>35</v>
      </c>
      <c r="B127" s="78">
        <f>B10*LengthAllocation_2022!C105</f>
        <v>17491083</v>
      </c>
      <c r="C127" s="75">
        <f>C10*LengthAllocation_2022!D105</f>
        <v>0</v>
      </c>
      <c r="D127" s="75">
        <f>D10*LengthAllocation_2022!E105</f>
        <v>0</v>
      </c>
      <c r="E127" s="75">
        <f>E10*LengthAllocation_2022!F105</f>
        <v>0</v>
      </c>
      <c r="F127" s="75">
        <f>F10*LengthAllocation_2022!G105</f>
        <v>0</v>
      </c>
      <c r="G127" s="75">
        <f>G10*LengthAllocation_2022!H105</f>
        <v>0</v>
      </c>
      <c r="H127" s="75">
        <f>H10*LengthAllocation_2022!I105</f>
        <v>0</v>
      </c>
      <c r="I127" s="75">
        <f>I10*LengthAllocation_2022!J105</f>
        <v>0</v>
      </c>
      <c r="J127" s="75">
        <f>J10*LengthAllocation_2022!K105</f>
        <v>0</v>
      </c>
      <c r="K127" s="75">
        <f>K10*LengthAllocation_2022!L105</f>
        <v>0</v>
      </c>
      <c r="L127" s="42"/>
    </row>
    <row r="128" spans="1:13" x14ac:dyDescent="0.35">
      <c r="A128" s="109" t="s">
        <v>36</v>
      </c>
      <c r="B128" s="78">
        <f>B11*LengthAllocation_2022!C106</f>
        <v>51483777.5</v>
      </c>
      <c r="C128" s="75">
        <f>C11*LengthAllocation_2022!D106</f>
        <v>0</v>
      </c>
      <c r="D128" s="75">
        <f>D11*LengthAllocation_2022!E106</f>
        <v>0</v>
      </c>
      <c r="E128" s="75">
        <f>E11*LengthAllocation_2022!F106</f>
        <v>0</v>
      </c>
      <c r="F128" s="75">
        <f>F11*LengthAllocation_2022!G106</f>
        <v>0</v>
      </c>
      <c r="G128" s="75">
        <f>G11*LengthAllocation_2022!H106</f>
        <v>0</v>
      </c>
      <c r="H128" s="75">
        <f>H11*LengthAllocation_2022!I106</f>
        <v>0</v>
      </c>
      <c r="I128" s="75">
        <f>I11*LengthAllocation_2022!J106</f>
        <v>0</v>
      </c>
      <c r="J128" s="75">
        <f>J11*LengthAllocation_2022!K106</f>
        <v>0</v>
      </c>
      <c r="K128" s="75">
        <f>K11*LengthAllocation_2022!L106</f>
        <v>0</v>
      </c>
      <c r="L128" s="42"/>
    </row>
    <row r="129" spans="1:15" x14ac:dyDescent="0.35">
      <c r="A129" s="110" t="s">
        <v>37</v>
      </c>
      <c r="B129" s="75">
        <f>B12*LengthAllocation_2022!C107</f>
        <v>0</v>
      </c>
      <c r="C129" s="80">
        <f>C12*LengthAllocation_2022!D107</f>
        <v>0</v>
      </c>
      <c r="D129" s="75">
        <f>D12*LengthAllocation_2022!E107</f>
        <v>0</v>
      </c>
      <c r="E129" s="75">
        <f>E12*LengthAllocation_2022!F107</f>
        <v>0</v>
      </c>
      <c r="F129" s="75">
        <f>F12*LengthAllocation_2022!G107</f>
        <v>0</v>
      </c>
      <c r="G129" s="75">
        <f>G12*LengthAllocation_2022!H107</f>
        <v>0</v>
      </c>
      <c r="H129" s="75">
        <f>H12*LengthAllocation_2022!I107</f>
        <v>0</v>
      </c>
      <c r="I129" s="75">
        <f>I12*LengthAllocation_2022!J107</f>
        <v>0</v>
      </c>
      <c r="J129" s="75">
        <f>J12*LengthAllocation_2022!K107</f>
        <v>0</v>
      </c>
      <c r="K129" s="75">
        <f>K12*LengthAllocation_2022!L107</f>
        <v>0</v>
      </c>
      <c r="L129" s="42"/>
    </row>
    <row r="130" spans="1:15" x14ac:dyDescent="0.35">
      <c r="A130" s="110" t="s">
        <v>38</v>
      </c>
      <c r="B130" s="75">
        <f>B13*LengthAllocation_2022!C108</f>
        <v>0</v>
      </c>
      <c r="C130" s="80">
        <f>C13*LengthAllocation_2022!D108</f>
        <v>2880362</v>
      </c>
      <c r="D130" s="75">
        <f>D13*LengthAllocation_2022!E108</f>
        <v>0</v>
      </c>
      <c r="E130" s="75">
        <f>E13*LengthAllocation_2022!F108</f>
        <v>0</v>
      </c>
      <c r="F130" s="75">
        <f>F13*LengthAllocation_2022!G108</f>
        <v>0</v>
      </c>
      <c r="G130" s="75">
        <f>G13*LengthAllocation_2022!H108</f>
        <v>0</v>
      </c>
      <c r="H130" s="75">
        <f>H13*LengthAllocation_2022!I108</f>
        <v>0</v>
      </c>
      <c r="I130" s="75">
        <f>I13*LengthAllocation_2022!J108</f>
        <v>0</v>
      </c>
      <c r="J130" s="75">
        <f>J13*LengthAllocation_2022!K108</f>
        <v>0</v>
      </c>
      <c r="K130" s="75">
        <f>K13*LengthAllocation_2022!L108</f>
        <v>0</v>
      </c>
      <c r="L130" s="42"/>
    </row>
    <row r="131" spans="1:15" x14ac:dyDescent="0.35">
      <c r="A131" s="111" t="s">
        <v>39</v>
      </c>
      <c r="B131" s="75">
        <f>B14*LengthAllocation_2022!C109</f>
        <v>0</v>
      </c>
      <c r="C131" s="75">
        <f>C14*LengthAllocation_2022!D109</f>
        <v>0</v>
      </c>
      <c r="D131" s="81">
        <f>D14*LengthAllocation_2022!E109</f>
        <v>0</v>
      </c>
      <c r="E131" s="75">
        <f>E14*LengthAllocation_2022!F109</f>
        <v>0</v>
      </c>
      <c r="F131" s="75">
        <f>F14*LengthAllocation_2022!G109</f>
        <v>0</v>
      </c>
      <c r="G131" s="75">
        <f>G14*LengthAllocation_2022!H109</f>
        <v>0</v>
      </c>
      <c r="H131" s="75">
        <f>H14*LengthAllocation_2022!I109</f>
        <v>0</v>
      </c>
      <c r="I131" s="75">
        <f>I14*LengthAllocation_2022!J109</f>
        <v>0</v>
      </c>
      <c r="J131" s="75">
        <f>J14*LengthAllocation_2022!K109</f>
        <v>0</v>
      </c>
      <c r="K131" s="75">
        <f>K14*LengthAllocation_2022!L109</f>
        <v>0</v>
      </c>
      <c r="L131" s="42"/>
    </row>
    <row r="132" spans="1:15" x14ac:dyDescent="0.35">
      <c r="A132" s="112" t="s">
        <v>40</v>
      </c>
      <c r="B132" s="75">
        <f>B15*LengthAllocation_2022!C110</f>
        <v>0</v>
      </c>
      <c r="C132" s="75">
        <f>C15*LengthAllocation_2022!D110</f>
        <v>0</v>
      </c>
      <c r="D132" s="75">
        <f>D15*LengthAllocation_2022!E110</f>
        <v>0</v>
      </c>
      <c r="E132" s="82">
        <f>E15*LengthAllocation_2022!F110</f>
        <v>0</v>
      </c>
      <c r="F132" s="75">
        <f>F15*LengthAllocation_2022!G110</f>
        <v>0</v>
      </c>
      <c r="G132" s="75">
        <f>G15*LengthAllocation_2022!H110</f>
        <v>0</v>
      </c>
      <c r="H132" s="75">
        <f>H15*LengthAllocation_2022!I110</f>
        <v>0</v>
      </c>
      <c r="I132" s="75">
        <f>I15*LengthAllocation_2022!J110</f>
        <v>0</v>
      </c>
      <c r="J132" s="75">
        <f>J15*LengthAllocation_2022!K110</f>
        <v>0</v>
      </c>
      <c r="K132" s="75">
        <f>K15*LengthAllocation_2022!L110</f>
        <v>0</v>
      </c>
      <c r="L132" s="42"/>
    </row>
    <row r="133" spans="1:15" x14ac:dyDescent="0.35">
      <c r="A133" s="112" t="s">
        <v>41</v>
      </c>
      <c r="B133" s="75">
        <f>B16*LengthAllocation_2022!C111</f>
        <v>0</v>
      </c>
      <c r="C133" s="75">
        <f>C16*LengthAllocation_2022!D111</f>
        <v>0</v>
      </c>
      <c r="D133" s="75">
        <f>D16*LengthAllocation_2022!E111</f>
        <v>0</v>
      </c>
      <c r="E133" s="82">
        <f>E16*LengthAllocation_2022!F111</f>
        <v>16801798.630136985</v>
      </c>
      <c r="F133" s="75">
        <f>F16*LengthAllocation_2022!G111</f>
        <v>0</v>
      </c>
      <c r="G133" s="75">
        <f>G16*LengthAllocation_2022!H111</f>
        <v>0</v>
      </c>
      <c r="H133" s="75">
        <f>H16*LengthAllocation_2022!I111</f>
        <v>0</v>
      </c>
      <c r="I133" s="75">
        <f>I16*LengthAllocation_2022!J111</f>
        <v>0</v>
      </c>
      <c r="J133" s="75">
        <f>J16*LengthAllocation_2022!K111</f>
        <v>0</v>
      </c>
      <c r="K133" s="75">
        <f>K16*LengthAllocation_2022!L111</f>
        <v>0</v>
      </c>
      <c r="L133" s="42"/>
      <c r="N133" s="8"/>
    </row>
    <row r="134" spans="1:15" x14ac:dyDescent="0.35">
      <c r="A134" s="109" t="s">
        <v>18</v>
      </c>
      <c r="B134" s="75">
        <f>B17*LengthAllocation_2022!C112</f>
        <v>0</v>
      </c>
      <c r="C134" s="75">
        <f>C17*LengthAllocation_2022!D112</f>
        <v>0</v>
      </c>
      <c r="D134" s="75">
        <f>D17*LengthAllocation_2022!E112</f>
        <v>0</v>
      </c>
      <c r="E134" s="75">
        <f>E17*LengthAllocation_2022!F112</f>
        <v>0</v>
      </c>
      <c r="F134" s="83">
        <f>F17*LengthAllocation_2022!G112</f>
        <v>0</v>
      </c>
      <c r="G134" s="75">
        <f>G17*LengthAllocation_2022!H112</f>
        <v>0</v>
      </c>
      <c r="H134" s="75">
        <f>H17*LengthAllocation_2022!I112</f>
        <v>0</v>
      </c>
      <c r="I134" s="75">
        <f>I17*LengthAllocation_2022!J112</f>
        <v>0</v>
      </c>
      <c r="J134" s="75">
        <f>J17*LengthAllocation_2022!K112</f>
        <v>0</v>
      </c>
      <c r="K134" s="75">
        <f>K17*LengthAllocation_2022!L112</f>
        <v>0</v>
      </c>
      <c r="L134" s="42"/>
    </row>
    <row r="135" spans="1:15" x14ac:dyDescent="0.35">
      <c r="A135" s="113" t="s">
        <v>42</v>
      </c>
      <c r="B135" s="75">
        <f>B18*LengthAllocation_2022!C113</f>
        <v>0</v>
      </c>
      <c r="C135" s="75">
        <f>C18*LengthAllocation_2022!D113</f>
        <v>0</v>
      </c>
      <c r="D135" s="75">
        <f>D18*LengthAllocation_2022!E113</f>
        <v>0</v>
      </c>
      <c r="E135" s="75">
        <f>E18*LengthAllocation_2022!F113</f>
        <v>0</v>
      </c>
      <c r="F135" s="75">
        <f>F18*LengthAllocation_2022!G113</f>
        <v>0</v>
      </c>
      <c r="G135" s="84">
        <f>G18*LengthAllocation_2022!H113</f>
        <v>0</v>
      </c>
      <c r="H135" s="75">
        <f>H18*LengthAllocation_2022!I113</f>
        <v>0</v>
      </c>
      <c r="I135" s="75">
        <f>I18*LengthAllocation_2022!J113</f>
        <v>0</v>
      </c>
      <c r="J135" s="75">
        <f>J18*LengthAllocation_2022!K113</f>
        <v>0</v>
      </c>
      <c r="K135" s="75">
        <f>K18*LengthAllocation_2022!L113</f>
        <v>0</v>
      </c>
      <c r="L135" s="42"/>
    </row>
    <row r="136" spans="1:15" x14ac:dyDescent="0.35">
      <c r="A136" s="114" t="s">
        <v>43</v>
      </c>
      <c r="B136" s="75">
        <f>B19*LengthAllocation_2022!C114</f>
        <v>0</v>
      </c>
      <c r="C136" s="75">
        <f>C19*LengthAllocation_2022!D114</f>
        <v>0</v>
      </c>
      <c r="D136" s="75">
        <f>D19*LengthAllocation_2022!E114</f>
        <v>0</v>
      </c>
      <c r="E136" s="75">
        <f>E19*LengthAllocation_2022!F114</f>
        <v>0</v>
      </c>
      <c r="F136" s="75">
        <f>F19*LengthAllocation_2022!G114</f>
        <v>0</v>
      </c>
      <c r="G136" s="75">
        <f>G19*LengthAllocation_2022!H114</f>
        <v>0</v>
      </c>
      <c r="H136" s="85">
        <f>H19*LengthAllocation_2022!I114</f>
        <v>0</v>
      </c>
      <c r="I136" s="75">
        <f>I19*LengthAllocation_2022!J114</f>
        <v>0</v>
      </c>
      <c r="J136" s="75">
        <f>J19*LengthAllocation_2022!K114</f>
        <v>0</v>
      </c>
      <c r="K136" s="75">
        <f>K19*LengthAllocation_2022!L114</f>
        <v>0</v>
      </c>
      <c r="L136" s="42"/>
    </row>
    <row r="137" spans="1:15" x14ac:dyDescent="0.35">
      <c r="A137" s="114" t="s">
        <v>44</v>
      </c>
      <c r="B137" s="75">
        <f>B20*LengthAllocation_2022!C115</f>
        <v>0</v>
      </c>
      <c r="C137" s="75">
        <f>C20*LengthAllocation_2022!D115</f>
        <v>0</v>
      </c>
      <c r="D137" s="75">
        <f>D20*LengthAllocation_2022!E115</f>
        <v>0</v>
      </c>
      <c r="E137" s="75">
        <f>E20*LengthAllocation_2022!F115</f>
        <v>0</v>
      </c>
      <c r="F137" s="75">
        <f>F20*LengthAllocation_2022!G115</f>
        <v>0</v>
      </c>
      <c r="G137" s="75">
        <f>G20*LengthAllocation_2022!H115</f>
        <v>0</v>
      </c>
      <c r="H137" s="85">
        <f>H20*LengthAllocation_2022!I115</f>
        <v>0</v>
      </c>
      <c r="I137" s="75">
        <f>I20*LengthAllocation_2022!J115</f>
        <v>0</v>
      </c>
      <c r="J137" s="75">
        <f>J20*LengthAllocation_2022!K115</f>
        <v>0</v>
      </c>
      <c r="K137" s="75">
        <f>K20*LengthAllocation_2022!L115</f>
        <v>0</v>
      </c>
      <c r="L137" s="42"/>
      <c r="O137" s="8"/>
    </row>
    <row r="138" spans="1:15" x14ac:dyDescent="0.35">
      <c r="A138" s="114" t="s">
        <v>45</v>
      </c>
      <c r="B138" s="75">
        <f>B21*LengthAllocation_2022!C116</f>
        <v>0</v>
      </c>
      <c r="C138" s="75">
        <f>C21*LengthAllocation_2022!D116</f>
        <v>0</v>
      </c>
      <c r="D138" s="75">
        <f>D21*LengthAllocation_2022!E116</f>
        <v>0</v>
      </c>
      <c r="E138" s="75">
        <f>E21*LengthAllocation_2022!F116</f>
        <v>0</v>
      </c>
      <c r="F138" s="75">
        <f>F21*LengthAllocation_2022!G116</f>
        <v>0</v>
      </c>
      <c r="G138" s="75">
        <f>G21*LengthAllocation_2022!H116</f>
        <v>0</v>
      </c>
      <c r="H138" s="85">
        <f>H21*LengthAllocation_2022!I116</f>
        <v>0</v>
      </c>
      <c r="I138" s="75">
        <f>I21*LengthAllocation_2022!J116</f>
        <v>0</v>
      </c>
      <c r="J138" s="75">
        <f>J21*LengthAllocation_2022!K116</f>
        <v>0</v>
      </c>
      <c r="K138" s="75">
        <f>K21*LengthAllocation_2022!L116</f>
        <v>0</v>
      </c>
      <c r="L138" s="42"/>
    </row>
    <row r="139" spans="1:15" x14ac:dyDescent="0.35">
      <c r="A139" s="114" t="s">
        <v>46</v>
      </c>
      <c r="B139" s="75">
        <f>B22*LengthAllocation_2022!C117</f>
        <v>0</v>
      </c>
      <c r="C139" s="75">
        <f>C22*LengthAllocation_2022!D117</f>
        <v>0</v>
      </c>
      <c r="D139" s="75">
        <f>D22*LengthAllocation_2022!E117</f>
        <v>0</v>
      </c>
      <c r="E139" s="75">
        <f>E22*LengthAllocation_2022!F117</f>
        <v>0</v>
      </c>
      <c r="F139" s="75">
        <f>F22*LengthAllocation_2022!G117</f>
        <v>0</v>
      </c>
      <c r="G139" s="75">
        <f>G22*LengthAllocation_2022!H117</f>
        <v>0</v>
      </c>
      <c r="H139" s="85">
        <f>H22*LengthAllocation_2022!I117</f>
        <v>0</v>
      </c>
      <c r="I139" s="75">
        <f>I22*LengthAllocation_2022!J117</f>
        <v>0</v>
      </c>
      <c r="J139" s="75">
        <f>J22*LengthAllocation_2022!K117</f>
        <v>0</v>
      </c>
      <c r="K139" s="75">
        <f>K22*LengthAllocation_2022!L117</f>
        <v>0</v>
      </c>
      <c r="L139" s="42"/>
    </row>
    <row r="140" spans="1:15" x14ac:dyDescent="0.35">
      <c r="A140" s="114" t="s">
        <v>47</v>
      </c>
      <c r="B140" s="75">
        <f>B23*LengthAllocation_2022!C118</f>
        <v>0</v>
      </c>
      <c r="C140" s="75">
        <f>C23*LengthAllocation_2022!D118</f>
        <v>0</v>
      </c>
      <c r="D140" s="75">
        <f>D23*LengthAllocation_2022!E118</f>
        <v>0</v>
      </c>
      <c r="E140" s="75">
        <f>E23*LengthAllocation_2022!F118</f>
        <v>0</v>
      </c>
      <c r="F140" s="75">
        <f>F23*LengthAllocation_2022!G118</f>
        <v>0</v>
      </c>
      <c r="G140" s="75">
        <f>G23*LengthAllocation_2022!H118</f>
        <v>0</v>
      </c>
      <c r="H140" s="85">
        <f>H23*LengthAllocation_2022!I118</f>
        <v>0</v>
      </c>
      <c r="I140" s="75">
        <f>I23*LengthAllocation_2022!J118</f>
        <v>0</v>
      </c>
      <c r="J140" s="75">
        <f>J23*LengthAllocation_2022!K118</f>
        <v>0</v>
      </c>
      <c r="K140" s="75">
        <f>K23*LengthAllocation_2022!L118</f>
        <v>0</v>
      </c>
      <c r="L140" s="42"/>
    </row>
    <row r="141" spans="1:15" x14ac:dyDescent="0.35">
      <c r="A141" s="114" t="s">
        <v>48</v>
      </c>
      <c r="B141" s="75">
        <f>B24*LengthAllocation_2022!C119</f>
        <v>0</v>
      </c>
      <c r="C141" s="75">
        <f>C24*LengthAllocation_2022!D119</f>
        <v>0</v>
      </c>
      <c r="D141" s="75">
        <f>D24*LengthAllocation_2022!E119</f>
        <v>0</v>
      </c>
      <c r="E141" s="75">
        <f>E24*LengthAllocation_2022!F119</f>
        <v>0</v>
      </c>
      <c r="F141" s="75">
        <f>F24*LengthAllocation_2022!G119</f>
        <v>0</v>
      </c>
      <c r="G141" s="75">
        <f>G24*LengthAllocation_2022!H119</f>
        <v>0</v>
      </c>
      <c r="H141" s="85">
        <f>H24*LengthAllocation_2022!I119</f>
        <v>0</v>
      </c>
      <c r="I141" s="75">
        <f>I24*LengthAllocation_2022!J119</f>
        <v>0</v>
      </c>
      <c r="J141" s="75">
        <f>J24*LengthAllocation_2022!K119</f>
        <v>0</v>
      </c>
      <c r="K141" s="75">
        <f>K24*LengthAllocation_2022!L119</f>
        <v>0</v>
      </c>
      <c r="L141" s="42"/>
    </row>
    <row r="142" spans="1:15" x14ac:dyDescent="0.35">
      <c r="A142" s="114" t="s">
        <v>49</v>
      </c>
      <c r="B142" s="75">
        <f>B25*LengthAllocation_2022!C120</f>
        <v>0</v>
      </c>
      <c r="C142" s="75">
        <f>C25*LengthAllocation_2022!D120</f>
        <v>0</v>
      </c>
      <c r="D142" s="75">
        <f>D25*LengthAllocation_2022!E120</f>
        <v>0</v>
      </c>
      <c r="E142" s="75">
        <f>E25*LengthAllocation_2022!F120</f>
        <v>0</v>
      </c>
      <c r="F142" s="75">
        <f>F25*LengthAllocation_2022!G120</f>
        <v>0</v>
      </c>
      <c r="G142" s="75">
        <f>G25*LengthAllocation_2022!H120</f>
        <v>0</v>
      </c>
      <c r="H142" s="85">
        <f>H25*LengthAllocation_2022!I120</f>
        <v>0</v>
      </c>
      <c r="I142" s="75">
        <f>I25*LengthAllocation_2022!J120</f>
        <v>0</v>
      </c>
      <c r="J142" s="75">
        <f>J25*LengthAllocation_2022!K120</f>
        <v>0</v>
      </c>
      <c r="K142" s="75">
        <f>K25*LengthAllocation_2022!L120</f>
        <v>0</v>
      </c>
      <c r="L142" s="42"/>
    </row>
    <row r="143" spans="1:15" x14ac:dyDescent="0.35">
      <c r="A143" s="114" t="s">
        <v>50</v>
      </c>
      <c r="B143" s="75">
        <f>B26*LengthAllocation_2022!C121</f>
        <v>0</v>
      </c>
      <c r="C143" s="75">
        <f>C26*LengthAllocation_2022!D121</f>
        <v>0</v>
      </c>
      <c r="D143" s="75">
        <f>D26*LengthAllocation_2022!E121</f>
        <v>0</v>
      </c>
      <c r="E143" s="75">
        <f>E26*LengthAllocation_2022!F121</f>
        <v>0</v>
      </c>
      <c r="F143" s="75">
        <f>F26*LengthAllocation_2022!G121</f>
        <v>0</v>
      </c>
      <c r="G143" s="75">
        <f>G26*LengthAllocation_2022!H121</f>
        <v>0</v>
      </c>
      <c r="H143" s="85">
        <f>H26*LengthAllocation_2022!I121</f>
        <v>0</v>
      </c>
      <c r="I143" s="75">
        <f>I26*LengthAllocation_2022!J121</f>
        <v>0</v>
      </c>
      <c r="J143" s="75">
        <f>J26*LengthAllocation_2022!K121</f>
        <v>0</v>
      </c>
      <c r="K143" s="75">
        <f>K26*LengthAllocation_2022!L121</f>
        <v>0</v>
      </c>
      <c r="L143" s="42"/>
    </row>
    <row r="144" spans="1:15" x14ac:dyDescent="0.35">
      <c r="A144" s="114" t="s">
        <v>51</v>
      </c>
      <c r="B144" s="75">
        <f>B27*LengthAllocation_2022!C122</f>
        <v>0</v>
      </c>
      <c r="C144" s="75">
        <f>C27*LengthAllocation_2022!D122</f>
        <v>0</v>
      </c>
      <c r="D144" s="75">
        <f>D27*LengthAllocation_2022!E122</f>
        <v>0</v>
      </c>
      <c r="E144" s="75">
        <f>E27*LengthAllocation_2022!F122</f>
        <v>0</v>
      </c>
      <c r="F144" s="75">
        <f>F27*LengthAllocation_2022!G122</f>
        <v>0</v>
      </c>
      <c r="G144" s="75">
        <f>G27*LengthAllocation_2022!H122</f>
        <v>0</v>
      </c>
      <c r="H144" s="85">
        <f>H27*LengthAllocation_2022!I122</f>
        <v>92306445.000000015</v>
      </c>
      <c r="I144" s="75">
        <f>I27*LengthAllocation_2022!J122</f>
        <v>0</v>
      </c>
      <c r="J144" s="75">
        <f>J27*LengthAllocation_2022!K122</f>
        <v>0</v>
      </c>
      <c r="K144" s="75">
        <f>K27*LengthAllocation_2022!L122</f>
        <v>0</v>
      </c>
      <c r="L144" s="42"/>
    </row>
    <row r="145" spans="1:13" x14ac:dyDescent="0.35">
      <c r="A145" s="115" t="s">
        <v>52</v>
      </c>
      <c r="B145" s="75">
        <f>B28*LengthAllocation_2022!C123</f>
        <v>0</v>
      </c>
      <c r="C145" s="75">
        <f>C28*LengthAllocation_2022!D123</f>
        <v>0</v>
      </c>
      <c r="D145" s="75">
        <f>D28*LengthAllocation_2022!E123</f>
        <v>0</v>
      </c>
      <c r="E145" s="75">
        <f>E28*LengthAllocation_2022!F123</f>
        <v>0</v>
      </c>
      <c r="F145" s="75">
        <f>F28*LengthAllocation_2022!G123</f>
        <v>0</v>
      </c>
      <c r="G145" s="75">
        <f>G28*LengthAllocation_2022!H123</f>
        <v>0</v>
      </c>
      <c r="H145" s="75">
        <f>H28*LengthAllocation_2022!I123</f>
        <v>0</v>
      </c>
      <c r="I145" s="86">
        <f>I28*LengthAllocation_2022!J123</f>
        <v>0</v>
      </c>
      <c r="J145" s="75">
        <f>J28*LengthAllocation_2022!K123</f>
        <v>0</v>
      </c>
      <c r="K145" s="75">
        <f>K28*LengthAllocation_2022!L123</f>
        <v>0</v>
      </c>
      <c r="L145" s="42"/>
    </row>
    <row r="146" spans="1:13" x14ac:dyDescent="0.35">
      <c r="A146" s="115" t="s">
        <v>53</v>
      </c>
      <c r="B146" s="75">
        <f>B29*LengthAllocation_2022!C124</f>
        <v>0</v>
      </c>
      <c r="C146" s="75">
        <f>C29*LengthAllocation_2022!D124</f>
        <v>0</v>
      </c>
      <c r="D146" s="75">
        <f>D29*LengthAllocation_2022!E124</f>
        <v>0</v>
      </c>
      <c r="E146" s="75">
        <f>E29*LengthAllocation_2022!F124</f>
        <v>0</v>
      </c>
      <c r="F146" s="75">
        <f>F29*LengthAllocation_2022!G124</f>
        <v>0</v>
      </c>
      <c r="G146" s="75">
        <f>G29*LengthAllocation_2022!H124</f>
        <v>0</v>
      </c>
      <c r="H146" s="75">
        <f>H29*LengthAllocation_2022!I124</f>
        <v>0</v>
      </c>
      <c r="I146" s="86">
        <f>I29*LengthAllocation_2022!J124</f>
        <v>0</v>
      </c>
      <c r="J146" s="75">
        <f>J29*LengthAllocation_2022!K124</f>
        <v>0</v>
      </c>
      <c r="K146" s="75">
        <f>K29*LengthAllocation_2022!L124</f>
        <v>0</v>
      </c>
      <c r="L146" s="42"/>
    </row>
    <row r="147" spans="1:13" x14ac:dyDescent="0.35">
      <c r="A147" s="115" t="s">
        <v>54</v>
      </c>
      <c r="B147" s="75">
        <f>B30*LengthAllocation_2022!C125</f>
        <v>0</v>
      </c>
      <c r="C147" s="75">
        <f>C30*LengthAllocation_2022!D125</f>
        <v>0</v>
      </c>
      <c r="D147" s="75">
        <f>D30*LengthAllocation_2022!E125</f>
        <v>0</v>
      </c>
      <c r="E147" s="75">
        <f>E30*LengthAllocation_2022!F125</f>
        <v>0</v>
      </c>
      <c r="F147" s="75">
        <f>F30*LengthAllocation_2022!G125</f>
        <v>0</v>
      </c>
      <c r="G147" s="75">
        <f>G30*LengthAllocation_2022!H125</f>
        <v>0</v>
      </c>
      <c r="H147" s="75">
        <f>H30*LengthAllocation_2022!I125</f>
        <v>0</v>
      </c>
      <c r="I147" s="86">
        <f>I30*LengthAllocation_2022!J125</f>
        <v>0</v>
      </c>
      <c r="J147" s="75">
        <f>J30*LengthAllocation_2022!K125</f>
        <v>0</v>
      </c>
      <c r="K147" s="75">
        <f>K30*LengthAllocation_2022!L125</f>
        <v>0</v>
      </c>
      <c r="L147" s="42"/>
    </row>
    <row r="148" spans="1:13" x14ac:dyDescent="0.35">
      <c r="A148" s="115" t="s">
        <v>55</v>
      </c>
      <c r="B148" s="75">
        <f>B31*LengthAllocation_2022!C126</f>
        <v>0</v>
      </c>
      <c r="C148" s="75">
        <f>C31*LengthAllocation_2022!D126</f>
        <v>0</v>
      </c>
      <c r="D148" s="75">
        <f>D31*LengthAllocation_2022!E126</f>
        <v>0</v>
      </c>
      <c r="E148" s="75">
        <f>E31*LengthAllocation_2022!F126</f>
        <v>0</v>
      </c>
      <c r="F148" s="75">
        <f>F31*LengthAllocation_2022!G126</f>
        <v>0</v>
      </c>
      <c r="G148" s="75">
        <f>G31*LengthAllocation_2022!H126</f>
        <v>0</v>
      </c>
      <c r="H148" s="75">
        <f>H31*LengthAllocation_2022!I126</f>
        <v>0</v>
      </c>
      <c r="I148" s="86">
        <f>I31*LengthAllocation_2022!J126</f>
        <v>0</v>
      </c>
      <c r="J148" s="75">
        <f>J31*LengthAllocation_2022!K126</f>
        <v>0</v>
      </c>
      <c r="K148" s="75">
        <f>K31*LengthAllocation_2022!L126</f>
        <v>0</v>
      </c>
      <c r="L148" s="42"/>
    </row>
    <row r="149" spans="1:13" x14ac:dyDescent="0.35">
      <c r="A149" s="115" t="s">
        <v>56</v>
      </c>
      <c r="B149" s="75">
        <f>B32*LengthAllocation_2022!C127</f>
        <v>0</v>
      </c>
      <c r="C149" s="75">
        <f>C32*LengthAllocation_2022!D127</f>
        <v>0</v>
      </c>
      <c r="D149" s="75">
        <f>D32*LengthAllocation_2022!E127</f>
        <v>0</v>
      </c>
      <c r="E149" s="75">
        <f>E32*LengthAllocation_2022!F127</f>
        <v>0</v>
      </c>
      <c r="F149" s="75">
        <f>F32*LengthAllocation_2022!G127</f>
        <v>0</v>
      </c>
      <c r="G149" s="75">
        <f>G32*LengthAllocation_2022!H127</f>
        <v>0</v>
      </c>
      <c r="H149" s="75">
        <f>H32*LengthAllocation_2022!I127</f>
        <v>0</v>
      </c>
      <c r="I149" s="86">
        <f>I32*LengthAllocation_2022!J127</f>
        <v>0</v>
      </c>
      <c r="J149" s="75">
        <f>J32*LengthAllocation_2022!K127</f>
        <v>0</v>
      </c>
      <c r="K149" s="75">
        <f>K32*LengthAllocation_2022!L127</f>
        <v>0</v>
      </c>
      <c r="L149" s="42"/>
    </row>
    <row r="150" spans="1:13" x14ac:dyDescent="0.35">
      <c r="A150" s="115" t="s">
        <v>57</v>
      </c>
      <c r="B150" s="75">
        <f>B33*LengthAllocation_2022!C128</f>
        <v>0</v>
      </c>
      <c r="C150" s="75">
        <f>C33*LengthAllocation_2022!D128</f>
        <v>0</v>
      </c>
      <c r="D150" s="75">
        <f>D33*LengthAllocation_2022!E128</f>
        <v>0</v>
      </c>
      <c r="E150" s="75">
        <f>E33*LengthAllocation_2022!F128</f>
        <v>0</v>
      </c>
      <c r="F150" s="75">
        <f>F33*LengthAllocation_2022!G128</f>
        <v>0</v>
      </c>
      <c r="G150" s="75">
        <f>G33*LengthAllocation_2022!H128</f>
        <v>0</v>
      </c>
      <c r="H150" s="75">
        <f>H33*LengthAllocation_2022!I128</f>
        <v>0</v>
      </c>
      <c r="I150" s="86">
        <f>I33*LengthAllocation_2022!J128</f>
        <v>0</v>
      </c>
      <c r="J150" s="75">
        <f>J33*LengthAllocation_2022!K128</f>
        <v>0</v>
      </c>
      <c r="K150" s="75">
        <f>K33*LengthAllocation_2022!L128</f>
        <v>0</v>
      </c>
      <c r="L150" s="42"/>
    </row>
    <row r="151" spans="1:13" x14ac:dyDescent="0.35">
      <c r="A151" s="115" t="s">
        <v>58</v>
      </c>
      <c r="B151" s="75">
        <f>B34*LengthAllocation_2022!C129</f>
        <v>0</v>
      </c>
      <c r="C151" s="75">
        <f>C34*LengthAllocation_2022!D129</f>
        <v>0</v>
      </c>
      <c r="D151" s="75">
        <f>D34*LengthAllocation_2022!E129</f>
        <v>0</v>
      </c>
      <c r="E151" s="75">
        <f>E34*LengthAllocation_2022!F129</f>
        <v>0</v>
      </c>
      <c r="F151" s="75">
        <f>F34*LengthAllocation_2022!G129</f>
        <v>0</v>
      </c>
      <c r="G151" s="75">
        <f>G34*LengthAllocation_2022!H129</f>
        <v>0</v>
      </c>
      <c r="H151" s="75">
        <f>H34*LengthAllocation_2022!I129</f>
        <v>0</v>
      </c>
      <c r="I151" s="86">
        <f>I34*LengthAllocation_2022!J129</f>
        <v>0</v>
      </c>
      <c r="J151" s="75">
        <f>J34*LengthAllocation_2022!K129</f>
        <v>0</v>
      </c>
      <c r="K151" s="75">
        <f>K34*LengthAllocation_2022!L129</f>
        <v>0</v>
      </c>
      <c r="L151" s="42"/>
    </row>
    <row r="152" spans="1:13" x14ac:dyDescent="0.35">
      <c r="A152" s="115" t="s">
        <v>59</v>
      </c>
      <c r="B152" s="75">
        <f>B35*LengthAllocation_2022!C130</f>
        <v>0</v>
      </c>
      <c r="C152" s="75">
        <f>C35*LengthAllocation_2022!D130</f>
        <v>0</v>
      </c>
      <c r="D152" s="79">
        <f>D35*LengthAllocation_2022!E130</f>
        <v>0</v>
      </c>
      <c r="E152" s="75">
        <f>E35*LengthAllocation_2022!F130</f>
        <v>0</v>
      </c>
      <c r="F152" s="75">
        <f>F35*LengthAllocation_2022!G130</f>
        <v>0</v>
      </c>
      <c r="G152" s="75">
        <f>G35*LengthAllocation_2022!H130</f>
        <v>0</v>
      </c>
      <c r="H152" s="75">
        <f>H35*LengthAllocation_2022!I130</f>
        <v>0</v>
      </c>
      <c r="I152" s="86">
        <f>I35*LengthAllocation_2022!J130</f>
        <v>0</v>
      </c>
      <c r="J152" s="75">
        <f>J35*LengthAllocation_2022!K130</f>
        <v>0</v>
      </c>
      <c r="K152" s="75">
        <f>K35*LengthAllocation_2022!L130</f>
        <v>0</v>
      </c>
      <c r="L152" s="42"/>
    </row>
    <row r="153" spans="1:13" x14ac:dyDescent="0.35">
      <c r="A153" s="115" t="s">
        <v>60</v>
      </c>
      <c r="B153" s="75">
        <f>B36*LengthAllocation_2022!C131</f>
        <v>0</v>
      </c>
      <c r="C153" s="75">
        <f>C36*LengthAllocation_2022!D131</f>
        <v>0</v>
      </c>
      <c r="D153" s="75">
        <f>D36*LengthAllocation_2022!E131</f>
        <v>0</v>
      </c>
      <c r="E153" s="75">
        <f>E36*LengthAllocation_2022!F131</f>
        <v>0</v>
      </c>
      <c r="F153" s="75">
        <f>F36*LengthAllocation_2022!G131</f>
        <v>0</v>
      </c>
      <c r="G153" s="75">
        <f>G36*LengthAllocation_2022!H131</f>
        <v>0</v>
      </c>
      <c r="H153" s="75">
        <f>H36*LengthAllocation_2022!I131</f>
        <v>0</v>
      </c>
      <c r="I153" s="86">
        <f>I36*LengthAllocation_2022!J131</f>
        <v>0</v>
      </c>
      <c r="J153" s="75">
        <f>J36*LengthAllocation_2022!K131</f>
        <v>0</v>
      </c>
      <c r="K153" s="75">
        <f>K36*LengthAllocation_2022!L131</f>
        <v>0</v>
      </c>
      <c r="L153" s="42"/>
    </row>
    <row r="154" spans="1:13" x14ac:dyDescent="0.35">
      <c r="A154" s="115" t="s">
        <v>61</v>
      </c>
      <c r="B154" s="75">
        <f>B37*LengthAllocation_2022!C132</f>
        <v>0</v>
      </c>
      <c r="C154" s="75">
        <f>C37*LengthAllocation_2022!D132</f>
        <v>0</v>
      </c>
      <c r="D154" s="75">
        <f>D37*LengthAllocation_2022!E132</f>
        <v>0</v>
      </c>
      <c r="E154" s="75">
        <f>E37*LengthAllocation_2022!F132</f>
        <v>0</v>
      </c>
      <c r="F154" s="75">
        <f>F37*LengthAllocation_2022!G132</f>
        <v>0</v>
      </c>
      <c r="G154" s="75">
        <f>G37*LengthAllocation_2022!H132</f>
        <v>0</v>
      </c>
      <c r="H154" s="75">
        <f>H37*LengthAllocation_2022!I132</f>
        <v>0</v>
      </c>
      <c r="I154" s="86">
        <f>I37*LengthAllocation_2022!J132</f>
        <v>0</v>
      </c>
      <c r="J154" s="75">
        <f>J37*LengthAllocation_2022!K132</f>
        <v>0</v>
      </c>
      <c r="K154" s="75">
        <f>K37*LengthAllocation_2022!L132</f>
        <v>0</v>
      </c>
      <c r="L154" s="42"/>
    </row>
    <row r="155" spans="1:13" x14ac:dyDescent="0.35">
      <c r="A155" s="115" t="s">
        <v>62</v>
      </c>
      <c r="B155" s="75">
        <f>B38*LengthAllocation_2022!C133</f>
        <v>0</v>
      </c>
      <c r="C155" s="75">
        <f>C38*LengthAllocation_2022!D133</f>
        <v>0</v>
      </c>
      <c r="D155" s="75">
        <f>D38*LengthAllocation_2022!E133</f>
        <v>0</v>
      </c>
      <c r="E155" s="75">
        <f>E38*LengthAllocation_2022!F133</f>
        <v>0</v>
      </c>
      <c r="F155" s="75">
        <f>F38*LengthAllocation_2022!G133</f>
        <v>0</v>
      </c>
      <c r="G155" s="75">
        <f>G38*LengthAllocation_2022!H133</f>
        <v>0</v>
      </c>
      <c r="H155" s="75">
        <f>H38*LengthAllocation_2022!I133</f>
        <v>0</v>
      </c>
      <c r="I155" s="86">
        <f>I38*LengthAllocation_2022!J133</f>
        <v>0</v>
      </c>
      <c r="J155" s="75">
        <f>J38*LengthAllocation_2022!K133</f>
        <v>0</v>
      </c>
      <c r="K155" s="75">
        <f>K38*LengthAllocation_2022!L133</f>
        <v>0</v>
      </c>
      <c r="L155" s="42"/>
    </row>
    <row r="156" spans="1:13" x14ac:dyDescent="0.35">
      <c r="A156" s="116" t="s">
        <v>64</v>
      </c>
      <c r="B156" s="75">
        <f>B39*LengthAllocation_2022!C134</f>
        <v>0</v>
      </c>
      <c r="C156" s="75">
        <f>C39*LengthAllocation_2022!D134</f>
        <v>0</v>
      </c>
      <c r="D156" s="75">
        <f>D39*LengthAllocation_2022!E134</f>
        <v>0</v>
      </c>
      <c r="E156" s="75">
        <f>E39*LengthAllocation_2022!F134</f>
        <v>0</v>
      </c>
      <c r="F156" s="75">
        <f>F39*LengthAllocation_2022!G134</f>
        <v>0</v>
      </c>
      <c r="G156" s="75">
        <f>G39*LengthAllocation_2022!H134</f>
        <v>0</v>
      </c>
      <c r="H156" s="75">
        <f>H39*LengthAllocation_2022!I134</f>
        <v>0</v>
      </c>
      <c r="I156" s="75">
        <f>I39*LengthAllocation_2022!J134</f>
        <v>0</v>
      </c>
      <c r="J156" s="80">
        <f>J39*LengthAllocation_2022!K134</f>
        <v>0</v>
      </c>
      <c r="K156" s="75">
        <f>K39*LengthAllocation_2022!L134</f>
        <v>0</v>
      </c>
      <c r="L156" s="42"/>
    </row>
    <row r="157" spans="1:13" x14ac:dyDescent="0.35">
      <c r="A157" s="116" t="s">
        <v>65</v>
      </c>
      <c r="B157" s="75">
        <f>B40*LengthAllocation_2022!C135</f>
        <v>0</v>
      </c>
      <c r="C157" s="75">
        <f>C40*LengthAllocation_2022!D135</f>
        <v>0</v>
      </c>
      <c r="D157" s="75">
        <f>D40*LengthAllocation_2022!E135</f>
        <v>0</v>
      </c>
      <c r="E157" s="75">
        <f>E40*LengthAllocation_2022!F135</f>
        <v>0</v>
      </c>
      <c r="F157" s="75">
        <f>F40*LengthAllocation_2022!G135</f>
        <v>0</v>
      </c>
      <c r="G157" s="75">
        <f>G40*LengthAllocation_2022!H135</f>
        <v>0</v>
      </c>
      <c r="H157" s="75">
        <f>H40*LengthAllocation_2022!I135</f>
        <v>0</v>
      </c>
      <c r="I157" s="75">
        <f>I40*LengthAllocation_2022!J135</f>
        <v>0</v>
      </c>
      <c r="J157" s="80">
        <f>J40*LengthAllocation_2022!K135</f>
        <v>0</v>
      </c>
      <c r="K157" s="75">
        <f>K40*LengthAllocation_2022!L135</f>
        <v>0</v>
      </c>
      <c r="L157" s="42"/>
    </row>
    <row r="158" spans="1:13" ht="15" thickBot="1" x14ac:dyDescent="0.4">
      <c r="A158" s="117" t="s">
        <v>63</v>
      </c>
      <c r="B158" s="95">
        <f>B41*LengthAllocation_2022!C136</f>
        <v>0</v>
      </c>
      <c r="C158" s="95">
        <f>C41*LengthAllocation_2022!D136</f>
        <v>0</v>
      </c>
      <c r="D158" s="95">
        <f>D41*LengthAllocation_2022!E136</f>
        <v>0</v>
      </c>
      <c r="E158" s="95">
        <f>E41*LengthAllocation_2022!F136</f>
        <v>0</v>
      </c>
      <c r="F158" s="95">
        <f>F41*LengthAllocation_2022!G136</f>
        <v>0</v>
      </c>
      <c r="G158" s="95">
        <f>G41*LengthAllocation_2022!H136</f>
        <v>0</v>
      </c>
      <c r="H158" s="95">
        <f>H41*LengthAllocation_2022!I136</f>
        <v>0</v>
      </c>
      <c r="I158" s="95">
        <f>I41*LengthAllocation_2022!J136</f>
        <v>0</v>
      </c>
      <c r="J158" s="95">
        <f>J41*LengthAllocation_2022!K136</f>
        <v>0</v>
      </c>
      <c r="K158" s="96">
        <f>K41*LengthAllocation_2022!L136</f>
        <v>0</v>
      </c>
      <c r="L158" s="52"/>
    </row>
    <row r="159" spans="1:13" ht="15" thickBot="1" x14ac:dyDescent="0.4"/>
    <row r="160" spans="1:13" ht="29" x14ac:dyDescent="0.35">
      <c r="A160" s="106"/>
      <c r="B160" s="87" t="s">
        <v>14</v>
      </c>
      <c r="C160" s="88" t="s">
        <v>15</v>
      </c>
      <c r="D160" s="89" t="s">
        <v>16</v>
      </c>
      <c r="E160" s="90" t="s">
        <v>17</v>
      </c>
      <c r="F160" s="87" t="s">
        <v>18</v>
      </c>
      <c r="G160" s="91" t="s">
        <v>19</v>
      </c>
      <c r="H160" s="92" t="s">
        <v>20</v>
      </c>
      <c r="I160" s="93" t="s">
        <v>21</v>
      </c>
      <c r="J160" s="94" t="s">
        <v>22</v>
      </c>
      <c r="K160" s="87" t="s">
        <v>23</v>
      </c>
      <c r="L160" s="107" t="s">
        <v>76</v>
      </c>
      <c r="M160" s="105"/>
    </row>
    <row r="161" spans="1:15" x14ac:dyDescent="0.35">
      <c r="A161" s="108" t="s">
        <v>69</v>
      </c>
      <c r="L161" s="40">
        <f>SUM(B162:K196)</f>
        <v>366428528.20339531</v>
      </c>
      <c r="M161" s="8"/>
    </row>
    <row r="162" spans="1:15" x14ac:dyDescent="0.35">
      <c r="A162" s="109" t="s">
        <v>32</v>
      </c>
      <c r="B162" s="78">
        <f>B7*LengthAllocation_2022!C140</f>
        <v>0</v>
      </c>
      <c r="C162" s="79">
        <f>C7*LengthAllocation_2022!D140</f>
        <v>0</v>
      </c>
      <c r="D162" s="79">
        <f>D7*LengthAllocation_2022!E140</f>
        <v>0</v>
      </c>
      <c r="E162" s="79">
        <f>E7*LengthAllocation_2022!F140</f>
        <v>0</v>
      </c>
      <c r="F162" s="79">
        <f>F7*LengthAllocation_2022!G140</f>
        <v>0</v>
      </c>
      <c r="G162" s="79">
        <f>G7*LengthAllocation_2022!H140</f>
        <v>0</v>
      </c>
      <c r="H162" s="79">
        <f>H7*LengthAllocation_2022!I140</f>
        <v>0</v>
      </c>
      <c r="I162" s="79">
        <f>I7*LengthAllocation_2022!J140</f>
        <v>0</v>
      </c>
      <c r="J162" s="79">
        <f>J7*LengthAllocation_2022!K140</f>
        <v>0</v>
      </c>
      <c r="K162" s="79">
        <f>K7*LengthAllocation_2022!L140</f>
        <v>0</v>
      </c>
      <c r="L162" s="42"/>
    </row>
    <row r="163" spans="1:15" x14ac:dyDescent="0.35">
      <c r="A163" s="109" t="s">
        <v>33</v>
      </c>
      <c r="B163" s="78">
        <f>B8*LengthAllocation_2022!C141</f>
        <v>0</v>
      </c>
      <c r="C163" s="75">
        <f>C8*LengthAllocation_2022!D141</f>
        <v>0</v>
      </c>
      <c r="D163" s="75">
        <f>D8*LengthAllocation_2022!E141</f>
        <v>0</v>
      </c>
      <c r="E163" s="75">
        <f>E8*LengthAllocation_2022!F141</f>
        <v>0</v>
      </c>
      <c r="F163" s="75">
        <f>F8*LengthAllocation_2022!G141</f>
        <v>0</v>
      </c>
      <c r="G163" s="75">
        <f>G8*LengthAllocation_2022!H141</f>
        <v>0</v>
      </c>
      <c r="H163" s="75">
        <f>H8*LengthAllocation_2022!I141</f>
        <v>0</v>
      </c>
      <c r="I163" s="75">
        <f>I8*LengthAllocation_2022!J141</f>
        <v>0</v>
      </c>
      <c r="J163" s="75">
        <f>J8*LengthAllocation_2022!K141</f>
        <v>0</v>
      </c>
      <c r="K163" s="75">
        <f>K8*LengthAllocation_2022!L141</f>
        <v>0</v>
      </c>
      <c r="L163" s="42"/>
    </row>
    <row r="164" spans="1:15" x14ac:dyDescent="0.35">
      <c r="A164" s="109" t="s">
        <v>34</v>
      </c>
      <c r="B164" s="78">
        <f>B9*LengthAllocation_2022!C142</f>
        <v>0</v>
      </c>
      <c r="C164" s="75">
        <f>C9*LengthAllocation_2022!D142</f>
        <v>0</v>
      </c>
      <c r="D164" s="75">
        <f>D9*LengthAllocation_2022!E142</f>
        <v>0</v>
      </c>
      <c r="E164" s="75">
        <f>E9*LengthAllocation_2022!F142</f>
        <v>0</v>
      </c>
      <c r="F164" s="75">
        <f>F9*LengthAllocation_2022!G142</f>
        <v>0</v>
      </c>
      <c r="G164" s="75">
        <f>G9*LengthAllocation_2022!H142</f>
        <v>0</v>
      </c>
      <c r="H164" s="75">
        <f>H9*LengthAllocation_2022!I142</f>
        <v>0</v>
      </c>
      <c r="I164" s="75">
        <f>I9*LengthAllocation_2022!J142</f>
        <v>0</v>
      </c>
      <c r="J164" s="75">
        <f>J9*LengthAllocation_2022!K142</f>
        <v>0</v>
      </c>
      <c r="K164" s="75">
        <f>K9*LengthAllocation_2022!L142</f>
        <v>0</v>
      </c>
      <c r="L164" s="42"/>
    </row>
    <row r="165" spans="1:15" x14ac:dyDescent="0.35">
      <c r="A165" s="109" t="s">
        <v>35</v>
      </c>
      <c r="B165" s="78">
        <f>B10*LengthAllocation_2022!C143</f>
        <v>0</v>
      </c>
      <c r="C165" s="75">
        <f>C10*LengthAllocation_2022!D143</f>
        <v>0</v>
      </c>
      <c r="D165" s="75">
        <f>D10*LengthAllocation_2022!E143</f>
        <v>0</v>
      </c>
      <c r="E165" s="75">
        <f>E10*LengthAllocation_2022!F143</f>
        <v>0</v>
      </c>
      <c r="F165" s="75">
        <f>F10*LengthAllocation_2022!G143</f>
        <v>0</v>
      </c>
      <c r="G165" s="75">
        <f>G10*LengthAllocation_2022!H143</f>
        <v>0</v>
      </c>
      <c r="H165" s="75">
        <f>H10*LengthAllocation_2022!I143</f>
        <v>0</v>
      </c>
      <c r="I165" s="75">
        <f>I10*LengthAllocation_2022!J143</f>
        <v>0</v>
      </c>
      <c r="J165" s="75">
        <f>J10*LengthAllocation_2022!K143</f>
        <v>0</v>
      </c>
      <c r="K165" s="75">
        <f>K10*LengthAllocation_2022!L143</f>
        <v>0</v>
      </c>
      <c r="L165" s="42"/>
    </row>
    <row r="166" spans="1:15" x14ac:dyDescent="0.35">
      <c r="A166" s="109" t="s">
        <v>36</v>
      </c>
      <c r="B166" s="78">
        <f>B11*LengthAllocation_2022!C144</f>
        <v>0</v>
      </c>
      <c r="C166" s="75">
        <f>C11*LengthAllocation_2022!D144</f>
        <v>0</v>
      </c>
      <c r="D166" s="75">
        <f>D11*LengthAllocation_2022!E144</f>
        <v>0</v>
      </c>
      <c r="E166" s="75">
        <f>E11*LengthAllocation_2022!F144</f>
        <v>0</v>
      </c>
      <c r="F166" s="75">
        <f>F11*LengthAllocation_2022!G144</f>
        <v>0</v>
      </c>
      <c r="G166" s="75">
        <f>G11*LengthAllocation_2022!H144</f>
        <v>0</v>
      </c>
      <c r="H166" s="75">
        <f>H11*LengthAllocation_2022!I144</f>
        <v>0</v>
      </c>
      <c r="I166" s="75">
        <f>I11*LengthAllocation_2022!J144</f>
        <v>0</v>
      </c>
      <c r="J166" s="75">
        <f>J11*LengthAllocation_2022!K144</f>
        <v>0</v>
      </c>
      <c r="K166" s="75">
        <f>K11*LengthAllocation_2022!L144</f>
        <v>0</v>
      </c>
      <c r="L166" s="42"/>
    </row>
    <row r="167" spans="1:15" x14ac:dyDescent="0.35">
      <c r="A167" s="110" t="s">
        <v>37</v>
      </c>
      <c r="B167" s="75">
        <f>B12*LengthAllocation_2022!C145</f>
        <v>0</v>
      </c>
      <c r="C167" s="80">
        <f>C12*LengthAllocation_2022!D145</f>
        <v>0</v>
      </c>
      <c r="D167" s="75">
        <f>D12*LengthAllocation_2022!E145</f>
        <v>0</v>
      </c>
      <c r="E167" s="75">
        <f>E12*LengthAllocation_2022!F145</f>
        <v>0</v>
      </c>
      <c r="F167" s="75">
        <f>F12*LengthAllocation_2022!G145</f>
        <v>0</v>
      </c>
      <c r="G167" s="75">
        <f>G12*LengthAllocation_2022!H145</f>
        <v>0</v>
      </c>
      <c r="H167" s="75">
        <f>H12*LengthAllocation_2022!I145</f>
        <v>0</v>
      </c>
      <c r="I167" s="75">
        <f>I12*LengthAllocation_2022!J145</f>
        <v>0</v>
      </c>
      <c r="J167" s="75">
        <f>J12*LengthAllocation_2022!K145</f>
        <v>0</v>
      </c>
      <c r="K167" s="75">
        <f>K12*LengthAllocation_2022!L145</f>
        <v>0</v>
      </c>
      <c r="L167" s="42"/>
    </row>
    <row r="168" spans="1:15" x14ac:dyDescent="0.35">
      <c r="A168" s="110" t="s">
        <v>38</v>
      </c>
      <c r="B168" s="75">
        <f>B13*LengthAllocation_2022!C146</f>
        <v>0</v>
      </c>
      <c r="C168" s="80">
        <f>C13*LengthAllocation_2022!D146</f>
        <v>0</v>
      </c>
      <c r="D168" s="75">
        <f>D13*LengthAllocation_2022!E146</f>
        <v>0</v>
      </c>
      <c r="E168" s="75">
        <f>E13*LengthAllocation_2022!F146</f>
        <v>0</v>
      </c>
      <c r="F168" s="75">
        <f>F13*LengthAllocation_2022!G146</f>
        <v>0</v>
      </c>
      <c r="G168" s="75">
        <f>G13*LengthAllocation_2022!H146</f>
        <v>0</v>
      </c>
      <c r="H168" s="75">
        <f>H13*LengthAllocation_2022!I146</f>
        <v>0</v>
      </c>
      <c r="I168" s="75">
        <f>I13*LengthAllocation_2022!J146</f>
        <v>0</v>
      </c>
      <c r="J168" s="75">
        <f>J13*LengthAllocation_2022!K146</f>
        <v>0</v>
      </c>
      <c r="K168" s="75">
        <f>K13*LengthAllocation_2022!L146</f>
        <v>0</v>
      </c>
      <c r="L168" s="42"/>
    </row>
    <row r="169" spans="1:15" x14ac:dyDescent="0.35">
      <c r="A169" s="111" t="s">
        <v>39</v>
      </c>
      <c r="B169" s="75">
        <f>B14*LengthAllocation_2022!C147</f>
        <v>0</v>
      </c>
      <c r="C169" s="75">
        <f>C14*LengthAllocation_2022!D147</f>
        <v>0</v>
      </c>
      <c r="D169" s="81">
        <f>D14*LengthAllocation_2022!E147</f>
        <v>0</v>
      </c>
      <c r="E169" s="75">
        <f>E14*LengthAllocation_2022!F147</f>
        <v>0</v>
      </c>
      <c r="F169" s="75">
        <f>F14*LengthAllocation_2022!G147</f>
        <v>0</v>
      </c>
      <c r="G169" s="75">
        <f>G14*LengthAllocation_2022!H147</f>
        <v>0</v>
      </c>
      <c r="H169" s="75">
        <f>H14*LengthAllocation_2022!I147</f>
        <v>0</v>
      </c>
      <c r="I169" s="75">
        <f>I14*LengthAllocation_2022!J147</f>
        <v>0</v>
      </c>
      <c r="J169" s="75">
        <f>J14*LengthAllocation_2022!K147</f>
        <v>0</v>
      </c>
      <c r="K169" s="75">
        <f>K14*LengthAllocation_2022!L147</f>
        <v>0</v>
      </c>
      <c r="L169" s="42"/>
    </row>
    <row r="170" spans="1:15" x14ac:dyDescent="0.35">
      <c r="A170" s="112" t="s">
        <v>40</v>
      </c>
      <c r="B170" s="75">
        <f>B15*LengthAllocation_2022!C148</f>
        <v>0</v>
      </c>
      <c r="C170" s="75">
        <f>C15*LengthAllocation_2022!D148</f>
        <v>0</v>
      </c>
      <c r="D170" s="75">
        <f>D15*LengthAllocation_2022!E148</f>
        <v>0</v>
      </c>
      <c r="E170" s="82">
        <f>E15*LengthAllocation_2022!F148</f>
        <v>0</v>
      </c>
      <c r="F170" s="75">
        <f>F15*LengthAllocation_2022!G148</f>
        <v>0</v>
      </c>
      <c r="G170" s="75">
        <f>G15*LengthAllocation_2022!H148</f>
        <v>0</v>
      </c>
      <c r="H170" s="75">
        <f>H15*LengthAllocation_2022!I148</f>
        <v>0</v>
      </c>
      <c r="I170" s="75">
        <f>I15*LengthAllocation_2022!J148</f>
        <v>0</v>
      </c>
      <c r="J170" s="75">
        <f>J15*LengthAllocation_2022!K148</f>
        <v>0</v>
      </c>
      <c r="K170" s="75">
        <f>K15*LengthAllocation_2022!L148</f>
        <v>0</v>
      </c>
      <c r="L170" s="42"/>
    </row>
    <row r="171" spans="1:15" x14ac:dyDescent="0.35">
      <c r="A171" s="112" t="s">
        <v>41</v>
      </c>
      <c r="B171" s="75">
        <f>B16*LengthAllocation_2022!C149</f>
        <v>0</v>
      </c>
      <c r="C171" s="75">
        <f>C16*LengthAllocation_2022!D149</f>
        <v>0</v>
      </c>
      <c r="D171" s="75">
        <f>D16*LengthAllocation_2022!E149</f>
        <v>0</v>
      </c>
      <c r="E171" s="82">
        <f>E16*LengthAllocation_2022!F149</f>
        <v>0</v>
      </c>
      <c r="F171" s="75">
        <f>F16*LengthAllocation_2022!G149</f>
        <v>0</v>
      </c>
      <c r="G171" s="75">
        <f>G16*LengthAllocation_2022!H149</f>
        <v>0</v>
      </c>
      <c r="H171" s="75">
        <f>H16*LengthAllocation_2022!I149</f>
        <v>0</v>
      </c>
      <c r="I171" s="75">
        <f>I16*LengthAllocation_2022!J149</f>
        <v>0</v>
      </c>
      <c r="J171" s="75">
        <f>J16*LengthAllocation_2022!K149</f>
        <v>0</v>
      </c>
      <c r="K171" s="75">
        <f>K16*LengthAllocation_2022!L149</f>
        <v>0</v>
      </c>
      <c r="L171" s="42"/>
      <c r="N171" s="8"/>
    </row>
    <row r="172" spans="1:15" x14ac:dyDescent="0.35">
      <c r="A172" s="109" t="s">
        <v>18</v>
      </c>
      <c r="B172" s="75">
        <f>B17*LengthAllocation_2022!C150</f>
        <v>0</v>
      </c>
      <c r="C172" s="75">
        <f>C17*LengthAllocation_2022!D150</f>
        <v>0</v>
      </c>
      <c r="D172" s="75">
        <f>D17*LengthAllocation_2022!E150</f>
        <v>0</v>
      </c>
      <c r="E172" s="75">
        <f>E17*LengthAllocation_2022!F150</f>
        <v>0</v>
      </c>
      <c r="F172" s="83">
        <f>F17*LengthAllocation_2022!G150</f>
        <v>0</v>
      </c>
      <c r="G172" s="75">
        <f>G17*LengthAllocation_2022!H150</f>
        <v>0</v>
      </c>
      <c r="H172" s="75">
        <f>H17*LengthAllocation_2022!I150</f>
        <v>0</v>
      </c>
      <c r="I172" s="75">
        <f>I17*LengthAllocation_2022!J150</f>
        <v>0</v>
      </c>
      <c r="J172" s="75">
        <f>J17*LengthAllocation_2022!K150</f>
        <v>0</v>
      </c>
      <c r="K172" s="75">
        <f>K17*LengthAllocation_2022!L150</f>
        <v>0</v>
      </c>
      <c r="L172" s="42"/>
    </row>
    <row r="173" spans="1:15" x14ac:dyDescent="0.35">
      <c r="A173" s="113" t="s">
        <v>42</v>
      </c>
      <c r="B173" s="75">
        <f>B18*LengthAllocation_2022!C151</f>
        <v>0</v>
      </c>
      <c r="C173" s="75">
        <f>C18*LengthAllocation_2022!D151</f>
        <v>0</v>
      </c>
      <c r="D173" s="75">
        <f>D18*LengthAllocation_2022!E151</f>
        <v>0</v>
      </c>
      <c r="E173" s="75">
        <f>E18*LengthAllocation_2022!F151</f>
        <v>0</v>
      </c>
      <c r="F173" s="75">
        <f>F18*LengthAllocation_2022!G151</f>
        <v>0</v>
      </c>
      <c r="G173" s="84">
        <f>G18*LengthAllocation_2022!H151</f>
        <v>0</v>
      </c>
      <c r="H173" s="75">
        <f>H18*LengthAllocation_2022!I151</f>
        <v>0</v>
      </c>
      <c r="I173" s="75">
        <f>I18*LengthAllocation_2022!J151</f>
        <v>0</v>
      </c>
      <c r="J173" s="75">
        <f>J18*LengthAllocation_2022!K151</f>
        <v>0</v>
      </c>
      <c r="K173" s="75">
        <f>K18*LengthAllocation_2022!L151</f>
        <v>0</v>
      </c>
      <c r="L173" s="42"/>
    </row>
    <row r="174" spans="1:15" x14ac:dyDescent="0.35">
      <c r="A174" s="114" t="s">
        <v>43</v>
      </c>
      <c r="B174" s="75">
        <f>B19*LengthAllocation_2022!C152</f>
        <v>0</v>
      </c>
      <c r="C174" s="75">
        <f>C19*LengthAllocation_2022!D152</f>
        <v>0</v>
      </c>
      <c r="D174" s="75">
        <f>D19*LengthAllocation_2022!E152</f>
        <v>0</v>
      </c>
      <c r="E174" s="75">
        <f>E19*LengthAllocation_2022!F152</f>
        <v>0</v>
      </c>
      <c r="F174" s="75">
        <f>F19*LengthAllocation_2022!G152</f>
        <v>0</v>
      </c>
      <c r="G174" s="75">
        <f>G19*LengthAllocation_2022!H152</f>
        <v>0</v>
      </c>
      <c r="H174" s="85">
        <f>H19*LengthAllocation_2022!I152</f>
        <v>0</v>
      </c>
      <c r="I174" s="75">
        <f>I19*LengthAllocation_2022!J152</f>
        <v>0</v>
      </c>
      <c r="J174" s="75">
        <f>J19*LengthAllocation_2022!K152</f>
        <v>0</v>
      </c>
      <c r="K174" s="75">
        <f>K19*LengthAllocation_2022!L152</f>
        <v>0</v>
      </c>
      <c r="L174" s="42"/>
    </row>
    <row r="175" spans="1:15" x14ac:dyDescent="0.35">
      <c r="A175" s="114" t="s">
        <v>44</v>
      </c>
      <c r="B175" s="75">
        <f>B20*LengthAllocation_2022!C153</f>
        <v>0</v>
      </c>
      <c r="C175" s="75">
        <f>C20*LengthAllocation_2022!D153</f>
        <v>0</v>
      </c>
      <c r="D175" s="75">
        <f>D20*LengthAllocation_2022!E153</f>
        <v>0</v>
      </c>
      <c r="E175" s="75">
        <f>E20*LengthAllocation_2022!F153</f>
        <v>0</v>
      </c>
      <c r="F175" s="75">
        <f>F20*LengthAllocation_2022!G153</f>
        <v>0</v>
      </c>
      <c r="G175" s="75">
        <f>G20*LengthAllocation_2022!H153</f>
        <v>0</v>
      </c>
      <c r="H175" s="85">
        <f>H20*LengthAllocation_2022!I153</f>
        <v>0</v>
      </c>
      <c r="I175" s="75">
        <f>I20*LengthAllocation_2022!J153</f>
        <v>0</v>
      </c>
      <c r="J175" s="75">
        <f>J20*LengthAllocation_2022!K153</f>
        <v>0</v>
      </c>
      <c r="K175" s="75">
        <f>K20*LengthAllocation_2022!L153</f>
        <v>0</v>
      </c>
      <c r="L175" s="42"/>
      <c r="O175" s="8"/>
    </row>
    <row r="176" spans="1:15" x14ac:dyDescent="0.35">
      <c r="A176" s="114" t="s">
        <v>45</v>
      </c>
      <c r="B176" s="75">
        <f>B21*LengthAllocation_2022!C154</f>
        <v>0</v>
      </c>
      <c r="C176" s="75">
        <f>C21*LengthAllocation_2022!D154</f>
        <v>0</v>
      </c>
      <c r="D176" s="75">
        <f>D21*LengthAllocation_2022!E154</f>
        <v>0</v>
      </c>
      <c r="E176" s="75">
        <f>E21*LengthAllocation_2022!F154</f>
        <v>0</v>
      </c>
      <c r="F176" s="75">
        <f>F21*LengthAllocation_2022!G154</f>
        <v>0</v>
      </c>
      <c r="G176" s="75">
        <f>G21*LengthAllocation_2022!H154</f>
        <v>0</v>
      </c>
      <c r="H176" s="85">
        <f>H21*LengthAllocation_2022!I154</f>
        <v>0</v>
      </c>
      <c r="I176" s="75">
        <f>I21*LengthAllocation_2022!J154</f>
        <v>0</v>
      </c>
      <c r="J176" s="75">
        <f>J21*LengthAllocation_2022!K154</f>
        <v>0</v>
      </c>
      <c r="K176" s="75">
        <f>K21*LengthAllocation_2022!L154</f>
        <v>0</v>
      </c>
      <c r="L176" s="42"/>
    </row>
    <row r="177" spans="1:12" x14ac:dyDescent="0.35">
      <c r="A177" s="114" t="s">
        <v>46</v>
      </c>
      <c r="B177" s="75">
        <f>B22*LengthAllocation_2022!C155</f>
        <v>0</v>
      </c>
      <c r="C177" s="75">
        <f>C22*LengthAllocation_2022!D155</f>
        <v>0</v>
      </c>
      <c r="D177" s="75">
        <f>D22*LengthAllocation_2022!E155</f>
        <v>0</v>
      </c>
      <c r="E177" s="75">
        <f>E22*LengthAllocation_2022!F155</f>
        <v>0</v>
      </c>
      <c r="F177" s="75">
        <f>F22*LengthAllocation_2022!G155</f>
        <v>0</v>
      </c>
      <c r="G177" s="75">
        <f>G22*LengthAllocation_2022!H155</f>
        <v>0</v>
      </c>
      <c r="H177" s="85">
        <f>H22*LengthAllocation_2022!I155</f>
        <v>0</v>
      </c>
      <c r="I177" s="75">
        <f>I22*LengthAllocation_2022!J155</f>
        <v>0</v>
      </c>
      <c r="J177" s="75">
        <f>J22*LengthAllocation_2022!K155</f>
        <v>0</v>
      </c>
      <c r="K177" s="75">
        <f>K22*LengthAllocation_2022!L155</f>
        <v>0</v>
      </c>
      <c r="L177" s="42"/>
    </row>
    <row r="178" spans="1:12" x14ac:dyDescent="0.35">
      <c r="A178" s="114" t="s">
        <v>47</v>
      </c>
      <c r="B178" s="75">
        <f>B23*LengthAllocation_2022!C156</f>
        <v>0</v>
      </c>
      <c r="C178" s="75">
        <f>C23*LengthAllocation_2022!D156</f>
        <v>0</v>
      </c>
      <c r="D178" s="75">
        <f>D23*LengthAllocation_2022!E156</f>
        <v>0</v>
      </c>
      <c r="E178" s="75">
        <f>E23*LengthAllocation_2022!F156</f>
        <v>0</v>
      </c>
      <c r="F178" s="75">
        <f>F23*LengthAllocation_2022!G156</f>
        <v>0</v>
      </c>
      <c r="G178" s="75">
        <f>G23*LengthAllocation_2022!H156</f>
        <v>0</v>
      </c>
      <c r="H178" s="85">
        <f>H23*LengthAllocation_2022!I156</f>
        <v>0</v>
      </c>
      <c r="I178" s="75">
        <f>I23*LengthAllocation_2022!J156</f>
        <v>0</v>
      </c>
      <c r="J178" s="75">
        <f>J23*LengthAllocation_2022!K156</f>
        <v>0</v>
      </c>
      <c r="K178" s="75">
        <f>K23*LengthAllocation_2022!L156</f>
        <v>0</v>
      </c>
      <c r="L178" s="42"/>
    </row>
    <row r="179" spans="1:12" x14ac:dyDescent="0.35">
      <c r="A179" s="114" t="s">
        <v>48</v>
      </c>
      <c r="B179" s="75">
        <f>B24*LengthAllocation_2022!C157</f>
        <v>0</v>
      </c>
      <c r="C179" s="75">
        <f>C24*LengthAllocation_2022!D157</f>
        <v>0</v>
      </c>
      <c r="D179" s="75">
        <f>D24*LengthAllocation_2022!E157</f>
        <v>0</v>
      </c>
      <c r="E179" s="75">
        <f>E24*LengthAllocation_2022!F157</f>
        <v>0</v>
      </c>
      <c r="F179" s="75">
        <f>F24*LengthAllocation_2022!G157</f>
        <v>0</v>
      </c>
      <c r="G179" s="75">
        <f>G24*LengthAllocation_2022!H157</f>
        <v>0</v>
      </c>
      <c r="H179" s="85">
        <f>H24*LengthAllocation_2022!I157</f>
        <v>0</v>
      </c>
      <c r="I179" s="75">
        <f>I24*LengthAllocation_2022!J157</f>
        <v>0</v>
      </c>
      <c r="J179" s="75">
        <f>J24*LengthAllocation_2022!K157</f>
        <v>0</v>
      </c>
      <c r="K179" s="75">
        <f>K24*LengthAllocation_2022!L157</f>
        <v>0</v>
      </c>
      <c r="L179" s="42"/>
    </row>
    <row r="180" spans="1:12" x14ac:dyDescent="0.35">
      <c r="A180" s="114" t="s">
        <v>49</v>
      </c>
      <c r="B180" s="75">
        <f>B25*LengthAllocation_2022!C158</f>
        <v>0</v>
      </c>
      <c r="C180" s="75">
        <f>C25*LengthAllocation_2022!D158</f>
        <v>0</v>
      </c>
      <c r="D180" s="75">
        <f>D25*LengthAllocation_2022!E158</f>
        <v>0</v>
      </c>
      <c r="E180" s="75">
        <f>E25*LengthAllocation_2022!F158</f>
        <v>0</v>
      </c>
      <c r="F180" s="75">
        <f>F25*LengthAllocation_2022!G158</f>
        <v>0</v>
      </c>
      <c r="G180" s="75">
        <f>G25*LengthAllocation_2022!H158</f>
        <v>0</v>
      </c>
      <c r="H180" s="85">
        <f>H25*LengthAllocation_2022!I158</f>
        <v>0</v>
      </c>
      <c r="I180" s="75">
        <f>I25*LengthAllocation_2022!J158</f>
        <v>0</v>
      </c>
      <c r="J180" s="75">
        <f>J25*LengthAllocation_2022!K158</f>
        <v>0</v>
      </c>
      <c r="K180" s="75">
        <f>K25*LengthAllocation_2022!L158</f>
        <v>0</v>
      </c>
      <c r="L180" s="42"/>
    </row>
    <row r="181" spans="1:12" x14ac:dyDescent="0.35">
      <c r="A181" s="114" t="s">
        <v>50</v>
      </c>
      <c r="B181" s="75">
        <f>B26*LengthAllocation_2022!C159</f>
        <v>0</v>
      </c>
      <c r="C181" s="75">
        <f>C26*LengthAllocation_2022!D159</f>
        <v>0</v>
      </c>
      <c r="D181" s="75">
        <f>D26*LengthAllocation_2022!E159</f>
        <v>0</v>
      </c>
      <c r="E181" s="75">
        <f>E26*LengthAllocation_2022!F159</f>
        <v>0</v>
      </c>
      <c r="F181" s="75">
        <f>F26*LengthAllocation_2022!G159</f>
        <v>0</v>
      </c>
      <c r="G181" s="75">
        <f>G26*LengthAllocation_2022!H159</f>
        <v>0</v>
      </c>
      <c r="H181" s="85">
        <f>H26*LengthAllocation_2022!I159</f>
        <v>0</v>
      </c>
      <c r="I181" s="75">
        <f>I26*LengthAllocation_2022!J159</f>
        <v>0</v>
      </c>
      <c r="J181" s="75">
        <f>J26*LengthAllocation_2022!K159</f>
        <v>0</v>
      </c>
      <c r="K181" s="75">
        <f>K26*LengthAllocation_2022!L159</f>
        <v>0</v>
      </c>
      <c r="L181" s="42"/>
    </row>
    <row r="182" spans="1:12" x14ac:dyDescent="0.35">
      <c r="A182" s="114" t="s">
        <v>51</v>
      </c>
      <c r="B182" s="75">
        <f>B27*LengthAllocation_2022!C160</f>
        <v>0</v>
      </c>
      <c r="C182" s="75">
        <f>C27*LengthAllocation_2022!D160</f>
        <v>0</v>
      </c>
      <c r="D182" s="75">
        <f>D27*LengthAllocation_2022!E160</f>
        <v>0</v>
      </c>
      <c r="E182" s="75">
        <f>E27*LengthAllocation_2022!F160</f>
        <v>0</v>
      </c>
      <c r="F182" s="75">
        <f>F27*LengthAllocation_2022!G160</f>
        <v>0</v>
      </c>
      <c r="G182" s="75">
        <f>G27*LengthAllocation_2022!H160</f>
        <v>0</v>
      </c>
      <c r="H182" s="85">
        <f>H27*LengthAllocation_2022!I160</f>
        <v>0</v>
      </c>
      <c r="I182" s="75">
        <f>I27*LengthAllocation_2022!J160</f>
        <v>0</v>
      </c>
      <c r="J182" s="75">
        <f>J27*LengthAllocation_2022!K160</f>
        <v>0</v>
      </c>
      <c r="K182" s="75">
        <f>K27*LengthAllocation_2022!L160</f>
        <v>0</v>
      </c>
      <c r="L182" s="42"/>
    </row>
    <row r="183" spans="1:12" x14ac:dyDescent="0.35">
      <c r="A183" s="115" t="s">
        <v>52</v>
      </c>
      <c r="B183" s="75">
        <f>B28*LengthAllocation_2022!C161</f>
        <v>0</v>
      </c>
      <c r="C183" s="75">
        <f>C28*LengthAllocation_2022!D161</f>
        <v>0</v>
      </c>
      <c r="D183" s="75">
        <f>D28*LengthAllocation_2022!E161</f>
        <v>0</v>
      </c>
      <c r="E183" s="75">
        <f>E28*LengthAllocation_2022!F161</f>
        <v>0</v>
      </c>
      <c r="F183" s="75">
        <f>F28*LengthAllocation_2022!G161</f>
        <v>0</v>
      </c>
      <c r="G183" s="75">
        <f>G28*LengthAllocation_2022!H161</f>
        <v>0</v>
      </c>
      <c r="H183" s="75">
        <f>H28*LengthAllocation_2022!I161</f>
        <v>0</v>
      </c>
      <c r="I183" s="86">
        <f>I28*LengthAllocation_2022!J161</f>
        <v>0</v>
      </c>
      <c r="J183" s="75">
        <f>J28*LengthAllocation_2022!K161</f>
        <v>0</v>
      </c>
      <c r="K183" s="75">
        <f>K28*LengthAllocation_2022!L161</f>
        <v>0</v>
      </c>
      <c r="L183" s="42"/>
    </row>
    <row r="184" spans="1:12" x14ac:dyDescent="0.35">
      <c r="A184" s="115" t="s">
        <v>53</v>
      </c>
      <c r="B184" s="75">
        <f>B29*LengthAllocation_2022!C162</f>
        <v>0</v>
      </c>
      <c r="C184" s="75">
        <f>C29*LengthAllocation_2022!D162</f>
        <v>0</v>
      </c>
      <c r="D184" s="75">
        <f>D29*LengthAllocation_2022!E162</f>
        <v>0</v>
      </c>
      <c r="E184" s="75">
        <f>E29*LengthAllocation_2022!F162</f>
        <v>0</v>
      </c>
      <c r="F184" s="75">
        <f>F29*LengthAllocation_2022!G162</f>
        <v>0</v>
      </c>
      <c r="G184" s="75">
        <f>G29*LengthAllocation_2022!H162</f>
        <v>0</v>
      </c>
      <c r="H184" s="75">
        <f>H29*LengthAllocation_2022!I162</f>
        <v>0</v>
      </c>
      <c r="I184" s="86">
        <f>I29*LengthAllocation_2022!J162</f>
        <v>0</v>
      </c>
      <c r="J184" s="75">
        <f>J29*LengthAllocation_2022!K162</f>
        <v>0</v>
      </c>
      <c r="K184" s="75">
        <f>K29*LengthAllocation_2022!L162</f>
        <v>0</v>
      </c>
      <c r="L184" s="42"/>
    </row>
    <row r="185" spans="1:12" x14ac:dyDescent="0.35">
      <c r="A185" s="115" t="s">
        <v>54</v>
      </c>
      <c r="B185" s="75">
        <f>B30*LengthAllocation_2022!C163</f>
        <v>0</v>
      </c>
      <c r="C185" s="75">
        <f>C30*LengthAllocation_2022!D163</f>
        <v>0</v>
      </c>
      <c r="D185" s="75">
        <f>D30*LengthAllocation_2022!E163</f>
        <v>0</v>
      </c>
      <c r="E185" s="75">
        <f>E30*LengthAllocation_2022!F163</f>
        <v>0</v>
      </c>
      <c r="F185" s="75">
        <f>F30*LengthAllocation_2022!G163</f>
        <v>0</v>
      </c>
      <c r="G185" s="75">
        <f>G30*LengthAllocation_2022!H163</f>
        <v>0</v>
      </c>
      <c r="H185" s="75">
        <f>H30*LengthAllocation_2022!I163</f>
        <v>0</v>
      </c>
      <c r="I185" s="86">
        <f>I30*LengthAllocation_2022!J163</f>
        <v>0</v>
      </c>
      <c r="J185" s="75">
        <f>J30*LengthAllocation_2022!K163</f>
        <v>0</v>
      </c>
      <c r="K185" s="75">
        <f>K30*LengthAllocation_2022!L163</f>
        <v>0</v>
      </c>
      <c r="L185" s="42"/>
    </row>
    <row r="186" spans="1:12" x14ac:dyDescent="0.35">
      <c r="A186" s="115" t="s">
        <v>55</v>
      </c>
      <c r="B186" s="75">
        <f>B31*LengthAllocation_2022!C164</f>
        <v>0</v>
      </c>
      <c r="C186" s="75">
        <f>C31*LengthAllocation_2022!D164</f>
        <v>0</v>
      </c>
      <c r="D186" s="75">
        <f>D31*LengthAllocation_2022!E164</f>
        <v>0</v>
      </c>
      <c r="E186" s="75">
        <f>E31*LengthAllocation_2022!F164</f>
        <v>0</v>
      </c>
      <c r="F186" s="75">
        <f>F31*LengthAllocation_2022!G164</f>
        <v>0</v>
      </c>
      <c r="G186" s="75">
        <f>G31*LengthAllocation_2022!H164</f>
        <v>0</v>
      </c>
      <c r="H186" s="75">
        <f>H31*LengthAllocation_2022!I164</f>
        <v>0</v>
      </c>
      <c r="I186" s="86">
        <f>I31*LengthAllocation_2022!J164</f>
        <v>0</v>
      </c>
      <c r="J186" s="75">
        <f>J31*LengthAllocation_2022!K164</f>
        <v>0</v>
      </c>
      <c r="K186" s="75">
        <f>K31*LengthAllocation_2022!L164</f>
        <v>0</v>
      </c>
      <c r="L186" s="42"/>
    </row>
    <row r="187" spans="1:12" x14ac:dyDescent="0.35">
      <c r="A187" s="115" t="s">
        <v>56</v>
      </c>
      <c r="B187" s="75">
        <f>B32*LengthAllocation_2022!C165</f>
        <v>0</v>
      </c>
      <c r="C187" s="75">
        <f>C32*LengthAllocation_2022!D165</f>
        <v>0</v>
      </c>
      <c r="D187" s="75">
        <f>D32*LengthAllocation_2022!E165</f>
        <v>0</v>
      </c>
      <c r="E187" s="75">
        <f>E32*LengthAllocation_2022!F165</f>
        <v>0</v>
      </c>
      <c r="F187" s="75">
        <f>F32*LengthAllocation_2022!G165</f>
        <v>0</v>
      </c>
      <c r="G187" s="75">
        <f>G32*LengthAllocation_2022!H165</f>
        <v>0</v>
      </c>
      <c r="H187" s="75">
        <f>H32*LengthAllocation_2022!I165</f>
        <v>0</v>
      </c>
      <c r="I187" s="86">
        <f>I32*LengthAllocation_2022!J165</f>
        <v>12771540</v>
      </c>
      <c r="J187" s="75">
        <f>J32*LengthAllocation_2022!K165</f>
        <v>0</v>
      </c>
      <c r="K187" s="75">
        <f>K32*LengthAllocation_2022!L165</f>
        <v>0</v>
      </c>
      <c r="L187" s="42"/>
    </row>
    <row r="188" spans="1:12" x14ac:dyDescent="0.35">
      <c r="A188" s="115" t="s">
        <v>57</v>
      </c>
      <c r="B188" s="75">
        <f>B33*LengthAllocation_2022!C166</f>
        <v>0</v>
      </c>
      <c r="C188" s="75">
        <f>C33*LengthAllocation_2022!D166</f>
        <v>0</v>
      </c>
      <c r="D188" s="75">
        <f>D33*LengthAllocation_2022!E166</f>
        <v>0</v>
      </c>
      <c r="E188" s="75">
        <f>E33*LengthAllocation_2022!F166</f>
        <v>0</v>
      </c>
      <c r="F188" s="75">
        <f>F33*LengthAllocation_2022!G166</f>
        <v>0</v>
      </c>
      <c r="G188" s="75">
        <f>G33*LengthAllocation_2022!H166</f>
        <v>0</v>
      </c>
      <c r="H188" s="75">
        <f>H33*LengthAllocation_2022!I166</f>
        <v>0</v>
      </c>
      <c r="I188" s="86">
        <f>I33*LengthAllocation_2022!J166</f>
        <v>65802024</v>
      </c>
      <c r="J188" s="75">
        <f>J33*LengthAllocation_2022!K166</f>
        <v>0</v>
      </c>
      <c r="K188" s="75">
        <f>K33*LengthAllocation_2022!L166</f>
        <v>0</v>
      </c>
      <c r="L188" s="42"/>
    </row>
    <row r="189" spans="1:12" x14ac:dyDescent="0.35">
      <c r="A189" s="115" t="s">
        <v>58</v>
      </c>
      <c r="B189" s="75">
        <f>B34*LengthAllocation_2022!C167</f>
        <v>0</v>
      </c>
      <c r="C189" s="75">
        <f>C34*LengthAllocation_2022!D167</f>
        <v>0</v>
      </c>
      <c r="D189" s="75">
        <f>D34*LengthAllocation_2022!E167</f>
        <v>0</v>
      </c>
      <c r="E189" s="75">
        <f>E34*LengthAllocation_2022!F167</f>
        <v>0</v>
      </c>
      <c r="F189" s="75">
        <f>F34*LengthAllocation_2022!G167</f>
        <v>0</v>
      </c>
      <c r="G189" s="75">
        <f>G34*LengthAllocation_2022!H167</f>
        <v>0</v>
      </c>
      <c r="H189" s="75">
        <f>H34*LengthAllocation_2022!I167</f>
        <v>0</v>
      </c>
      <c r="I189" s="86">
        <f>I34*LengthAllocation_2022!J167</f>
        <v>0</v>
      </c>
      <c r="J189" s="75">
        <f>J34*LengthAllocation_2022!K167</f>
        <v>0</v>
      </c>
      <c r="K189" s="75">
        <f>K34*LengthAllocation_2022!L167</f>
        <v>0</v>
      </c>
      <c r="L189" s="42"/>
    </row>
    <row r="190" spans="1:12" x14ac:dyDescent="0.35">
      <c r="A190" s="115" t="s">
        <v>59</v>
      </c>
      <c r="B190" s="75">
        <f>B35*LengthAllocation_2022!C168</f>
        <v>0</v>
      </c>
      <c r="C190" s="75">
        <f>C35*LengthAllocation_2022!D168</f>
        <v>0</v>
      </c>
      <c r="D190" s="79">
        <f>D35*LengthAllocation_2022!E168</f>
        <v>0</v>
      </c>
      <c r="E190" s="75">
        <f>E35*LengthAllocation_2022!F168</f>
        <v>0</v>
      </c>
      <c r="F190" s="75">
        <f>F35*LengthAllocation_2022!G168</f>
        <v>0</v>
      </c>
      <c r="G190" s="75">
        <f>G35*LengthAllocation_2022!H168</f>
        <v>0</v>
      </c>
      <c r="H190" s="75">
        <f>H35*LengthAllocation_2022!I168</f>
        <v>0</v>
      </c>
      <c r="I190" s="86">
        <f>I35*LengthAllocation_2022!J168</f>
        <v>0</v>
      </c>
      <c r="J190" s="75">
        <f>J35*LengthAllocation_2022!K168</f>
        <v>0</v>
      </c>
      <c r="K190" s="75">
        <f>K35*LengthAllocation_2022!L168</f>
        <v>0</v>
      </c>
      <c r="L190" s="42"/>
    </row>
    <row r="191" spans="1:12" x14ac:dyDescent="0.35">
      <c r="A191" s="115" t="s">
        <v>60</v>
      </c>
      <c r="B191" s="75">
        <f>B36*LengthAllocation_2022!C169</f>
        <v>0</v>
      </c>
      <c r="C191" s="75">
        <f>C36*LengthAllocation_2022!D169</f>
        <v>0</v>
      </c>
      <c r="D191" s="75">
        <f>D36*LengthAllocation_2022!E169</f>
        <v>0</v>
      </c>
      <c r="E191" s="75">
        <f>E36*LengthAllocation_2022!F169</f>
        <v>0</v>
      </c>
      <c r="F191" s="75">
        <f>F36*LengthAllocation_2022!G169</f>
        <v>0</v>
      </c>
      <c r="G191" s="75">
        <f>G36*LengthAllocation_2022!H169</f>
        <v>0</v>
      </c>
      <c r="H191" s="75">
        <f>H36*LengthAllocation_2022!I169</f>
        <v>0</v>
      </c>
      <c r="I191" s="86">
        <f>I36*LengthAllocation_2022!J169</f>
        <v>287854964.20339531</v>
      </c>
      <c r="J191" s="75">
        <f>J36*LengthAllocation_2022!K169</f>
        <v>0</v>
      </c>
      <c r="K191" s="75">
        <f>K36*LengthAllocation_2022!L169</f>
        <v>0</v>
      </c>
      <c r="L191" s="42"/>
    </row>
    <row r="192" spans="1:12" x14ac:dyDescent="0.35">
      <c r="A192" s="115" t="s">
        <v>61</v>
      </c>
      <c r="B192" s="75">
        <f>B37*LengthAllocation_2022!C170</f>
        <v>0</v>
      </c>
      <c r="C192" s="75">
        <f>C37*LengthAllocation_2022!D170</f>
        <v>0</v>
      </c>
      <c r="D192" s="75">
        <f>D37*LengthAllocation_2022!E170</f>
        <v>0</v>
      </c>
      <c r="E192" s="75">
        <f>E37*LengthAllocation_2022!F170</f>
        <v>0</v>
      </c>
      <c r="F192" s="75">
        <f>F37*LengthAllocation_2022!G170</f>
        <v>0</v>
      </c>
      <c r="G192" s="75">
        <f>G37*LengthAllocation_2022!H170</f>
        <v>0</v>
      </c>
      <c r="H192" s="75">
        <f>H37*LengthAllocation_2022!I170</f>
        <v>0</v>
      </c>
      <c r="I192" s="86">
        <f>I37*LengthAllocation_2022!J170</f>
        <v>0</v>
      </c>
      <c r="J192" s="75">
        <f>J37*LengthAllocation_2022!K170</f>
        <v>0</v>
      </c>
      <c r="K192" s="75">
        <f>K37*LengthAllocation_2022!L170</f>
        <v>0</v>
      </c>
      <c r="L192" s="42"/>
    </row>
    <row r="193" spans="1:13" x14ac:dyDescent="0.35">
      <c r="A193" s="115" t="s">
        <v>62</v>
      </c>
      <c r="B193" s="75">
        <f>B38*LengthAllocation_2022!C171</f>
        <v>0</v>
      </c>
      <c r="C193" s="75">
        <f>C38*LengthAllocation_2022!D171</f>
        <v>0</v>
      </c>
      <c r="D193" s="75">
        <f>D38*LengthAllocation_2022!E171</f>
        <v>0</v>
      </c>
      <c r="E193" s="75">
        <f>E38*LengthAllocation_2022!F171</f>
        <v>0</v>
      </c>
      <c r="F193" s="75">
        <f>F38*LengthAllocation_2022!G171</f>
        <v>0</v>
      </c>
      <c r="G193" s="75">
        <f>G38*LengthAllocation_2022!H171</f>
        <v>0</v>
      </c>
      <c r="H193" s="75">
        <f>H38*LengthAllocation_2022!I171</f>
        <v>0</v>
      </c>
      <c r="I193" s="86">
        <f>I38*LengthAllocation_2022!J171</f>
        <v>0</v>
      </c>
      <c r="J193" s="75">
        <f>J38*LengthAllocation_2022!K171</f>
        <v>0</v>
      </c>
      <c r="K193" s="75">
        <f>K38*LengthAllocation_2022!L171</f>
        <v>0</v>
      </c>
      <c r="L193" s="42"/>
    </row>
    <row r="194" spans="1:13" x14ac:dyDescent="0.35">
      <c r="A194" s="116" t="s">
        <v>64</v>
      </c>
      <c r="B194" s="75">
        <f>B39*LengthAllocation_2022!C172</f>
        <v>0</v>
      </c>
      <c r="C194" s="75">
        <f>C39*LengthAllocation_2022!D172</f>
        <v>0</v>
      </c>
      <c r="D194" s="75">
        <f>D39*LengthAllocation_2022!E172</f>
        <v>0</v>
      </c>
      <c r="E194" s="75">
        <f>E39*LengthAllocation_2022!F172</f>
        <v>0</v>
      </c>
      <c r="F194" s="75">
        <f>F39*LengthAllocation_2022!G172</f>
        <v>0</v>
      </c>
      <c r="G194" s="75">
        <f>G39*LengthAllocation_2022!H172</f>
        <v>0</v>
      </c>
      <c r="H194" s="75">
        <f>H39*LengthAllocation_2022!I172</f>
        <v>0</v>
      </c>
      <c r="I194" s="75">
        <f>I39*LengthAllocation_2022!J172</f>
        <v>0</v>
      </c>
      <c r="J194" s="80">
        <f>J39*LengthAllocation_2022!K172</f>
        <v>0</v>
      </c>
      <c r="K194" s="75">
        <f>K39*LengthAllocation_2022!L172</f>
        <v>0</v>
      </c>
      <c r="L194" s="42"/>
    </row>
    <row r="195" spans="1:13" x14ac:dyDescent="0.35">
      <c r="A195" s="116" t="s">
        <v>65</v>
      </c>
      <c r="B195" s="75">
        <f>B40*LengthAllocation_2022!C173</f>
        <v>0</v>
      </c>
      <c r="C195" s="75">
        <f>C40*LengthAllocation_2022!D173</f>
        <v>0</v>
      </c>
      <c r="D195" s="75">
        <f>D40*LengthAllocation_2022!E173</f>
        <v>0</v>
      </c>
      <c r="E195" s="75">
        <f>E40*LengthAllocation_2022!F173</f>
        <v>0</v>
      </c>
      <c r="F195" s="75">
        <f>F40*LengthAllocation_2022!G173</f>
        <v>0</v>
      </c>
      <c r="G195" s="75">
        <f>G40*LengthAllocation_2022!H173</f>
        <v>0</v>
      </c>
      <c r="H195" s="75">
        <f>H40*LengthAllocation_2022!I173</f>
        <v>0</v>
      </c>
      <c r="I195" s="75">
        <f>I40*LengthAllocation_2022!J173</f>
        <v>0</v>
      </c>
      <c r="J195" s="80">
        <f>J40*LengthAllocation_2022!K173</f>
        <v>0</v>
      </c>
      <c r="K195" s="75">
        <f>K40*LengthAllocation_2022!L173</f>
        <v>0</v>
      </c>
      <c r="L195" s="42"/>
    </row>
    <row r="196" spans="1:13" ht="15" thickBot="1" x14ac:dyDescent="0.4">
      <c r="A196" s="117" t="s">
        <v>63</v>
      </c>
      <c r="B196" s="95">
        <f>B41*LengthAllocation_2022!C174</f>
        <v>0</v>
      </c>
      <c r="C196" s="95">
        <f>C41*LengthAllocation_2022!D174</f>
        <v>0</v>
      </c>
      <c r="D196" s="95">
        <f>D41*LengthAllocation_2022!E174</f>
        <v>0</v>
      </c>
      <c r="E196" s="95">
        <f>E41*LengthAllocation_2022!F174</f>
        <v>0</v>
      </c>
      <c r="F196" s="95">
        <f>F41*LengthAllocation_2022!G174</f>
        <v>0</v>
      </c>
      <c r="G196" s="95">
        <f>G41*LengthAllocation_2022!H174</f>
        <v>0</v>
      </c>
      <c r="H196" s="95">
        <f>H41*LengthAllocation_2022!I174</f>
        <v>0</v>
      </c>
      <c r="I196" s="95">
        <f>I41*LengthAllocation_2022!J174</f>
        <v>0</v>
      </c>
      <c r="J196" s="95">
        <f>J41*LengthAllocation_2022!K174</f>
        <v>0</v>
      </c>
      <c r="K196" s="96">
        <f>K41*LengthAllocation_2022!L174</f>
        <v>0</v>
      </c>
      <c r="L196" s="52"/>
    </row>
    <row r="197" spans="1:13" ht="15" thickBot="1" x14ac:dyDescent="0.4"/>
    <row r="198" spans="1:13" ht="29" x14ac:dyDescent="0.35">
      <c r="A198" s="106"/>
      <c r="B198" s="87" t="s">
        <v>14</v>
      </c>
      <c r="C198" s="88" t="s">
        <v>15</v>
      </c>
      <c r="D198" s="89" t="s">
        <v>16</v>
      </c>
      <c r="E198" s="90" t="s">
        <v>17</v>
      </c>
      <c r="F198" s="87" t="s">
        <v>18</v>
      </c>
      <c r="G198" s="91" t="s">
        <v>19</v>
      </c>
      <c r="H198" s="92" t="s">
        <v>20</v>
      </c>
      <c r="I198" s="93" t="s">
        <v>21</v>
      </c>
      <c r="J198" s="94" t="s">
        <v>22</v>
      </c>
      <c r="K198" s="87" t="s">
        <v>23</v>
      </c>
      <c r="L198" s="107" t="s">
        <v>76</v>
      </c>
      <c r="M198" s="105"/>
    </row>
    <row r="199" spans="1:13" x14ac:dyDescent="0.35">
      <c r="A199" s="108" t="s">
        <v>70</v>
      </c>
      <c r="L199" s="40">
        <f>SUM(B200:K234)</f>
        <v>765981502.55120599</v>
      </c>
      <c r="M199" s="8"/>
    </row>
    <row r="200" spans="1:13" x14ac:dyDescent="0.35">
      <c r="A200" s="109" t="s">
        <v>32</v>
      </c>
      <c r="B200" s="78">
        <f>B7*LengthAllocation_2022!C178</f>
        <v>0</v>
      </c>
      <c r="C200" s="79">
        <f>C7*LengthAllocation_2022!D178</f>
        <v>0</v>
      </c>
      <c r="D200" s="79">
        <f>D7*LengthAllocation_2022!E178</f>
        <v>0</v>
      </c>
      <c r="E200" s="79">
        <f>E7*LengthAllocation_2022!F178</f>
        <v>0</v>
      </c>
      <c r="F200" s="79">
        <f>F7*LengthAllocation_2022!G178</f>
        <v>0</v>
      </c>
      <c r="G200" s="79">
        <f>G7*LengthAllocation_2022!H178</f>
        <v>0</v>
      </c>
      <c r="H200" s="79">
        <f>H7*LengthAllocation_2022!I178</f>
        <v>0</v>
      </c>
      <c r="I200" s="79">
        <f>I7*LengthAllocation_2022!J178</f>
        <v>0</v>
      </c>
      <c r="J200" s="79">
        <f>J7*LengthAllocation_2022!K178</f>
        <v>0</v>
      </c>
      <c r="K200" s="79">
        <f>K7*LengthAllocation_2022!L178</f>
        <v>0</v>
      </c>
      <c r="L200" s="42"/>
    </row>
    <row r="201" spans="1:13" x14ac:dyDescent="0.35">
      <c r="A201" s="109" t="s">
        <v>33</v>
      </c>
      <c r="B201" s="78">
        <f>B8*LengthAllocation_2022!C179</f>
        <v>0</v>
      </c>
      <c r="C201" s="75">
        <f>C8*LengthAllocation_2022!D179</f>
        <v>0</v>
      </c>
      <c r="D201" s="75">
        <f>D8*LengthAllocation_2022!E179</f>
        <v>0</v>
      </c>
      <c r="E201" s="75">
        <f>E8*LengthAllocation_2022!F179</f>
        <v>0</v>
      </c>
      <c r="F201" s="75">
        <f>F8*LengthAllocation_2022!G179</f>
        <v>0</v>
      </c>
      <c r="G201" s="75">
        <f>G8*LengthAllocation_2022!H179</f>
        <v>0</v>
      </c>
      <c r="H201" s="75">
        <f>H8*LengthAllocation_2022!I179</f>
        <v>0</v>
      </c>
      <c r="I201" s="75">
        <f>I8*LengthAllocation_2022!J179</f>
        <v>0</v>
      </c>
      <c r="J201" s="75">
        <f>J8*LengthAllocation_2022!K179</f>
        <v>0</v>
      </c>
      <c r="K201" s="75">
        <f>K8*LengthAllocation_2022!L179</f>
        <v>0</v>
      </c>
      <c r="L201" s="42"/>
    </row>
    <row r="202" spans="1:13" x14ac:dyDescent="0.35">
      <c r="A202" s="109" t="s">
        <v>34</v>
      </c>
      <c r="B202" s="78">
        <f>B9*LengthAllocation_2022!C180</f>
        <v>0</v>
      </c>
      <c r="C202" s="75">
        <f>C9*LengthAllocation_2022!D180</f>
        <v>0</v>
      </c>
      <c r="D202" s="75">
        <f>D9*LengthAllocation_2022!E180</f>
        <v>0</v>
      </c>
      <c r="E202" s="75">
        <f>E9*LengthAllocation_2022!F180</f>
        <v>0</v>
      </c>
      <c r="F202" s="75">
        <f>F9*LengthAllocation_2022!G180</f>
        <v>0</v>
      </c>
      <c r="G202" s="75">
        <f>G9*LengthAllocation_2022!H180</f>
        <v>0</v>
      </c>
      <c r="H202" s="75">
        <f>H9*LengthAllocation_2022!I180</f>
        <v>0</v>
      </c>
      <c r="I202" s="75">
        <f>I9*LengthAllocation_2022!J180</f>
        <v>0</v>
      </c>
      <c r="J202" s="75">
        <f>J9*LengthAllocation_2022!K180</f>
        <v>0</v>
      </c>
      <c r="K202" s="75">
        <f>K9*LengthAllocation_2022!L180</f>
        <v>0</v>
      </c>
      <c r="L202" s="42"/>
    </row>
    <row r="203" spans="1:13" x14ac:dyDescent="0.35">
      <c r="A203" s="109" t="s">
        <v>35</v>
      </c>
      <c r="B203" s="78">
        <f>B10*LengthAllocation_2022!C181</f>
        <v>0</v>
      </c>
      <c r="C203" s="75">
        <f>C10*LengthAllocation_2022!D181</f>
        <v>0</v>
      </c>
      <c r="D203" s="75">
        <f>D10*LengthAllocation_2022!E181</f>
        <v>0</v>
      </c>
      <c r="E203" s="75">
        <f>E10*LengthAllocation_2022!F181</f>
        <v>0</v>
      </c>
      <c r="F203" s="75">
        <f>F10*LengthAllocation_2022!G181</f>
        <v>0</v>
      </c>
      <c r="G203" s="75">
        <f>G10*LengthAllocation_2022!H181</f>
        <v>0</v>
      </c>
      <c r="H203" s="75">
        <f>H10*LengthAllocation_2022!I181</f>
        <v>0</v>
      </c>
      <c r="I203" s="75">
        <f>I10*LengthAllocation_2022!J181</f>
        <v>0</v>
      </c>
      <c r="J203" s="75">
        <f>J10*LengthAllocation_2022!K181</f>
        <v>0</v>
      </c>
      <c r="K203" s="75">
        <f>K10*LengthAllocation_2022!L181</f>
        <v>0</v>
      </c>
      <c r="L203" s="42"/>
    </row>
    <row r="204" spans="1:13" x14ac:dyDescent="0.35">
      <c r="A204" s="109" t="s">
        <v>36</v>
      </c>
      <c r="B204" s="78">
        <f>B11*LengthAllocation_2022!C182</f>
        <v>0</v>
      </c>
      <c r="C204" s="75">
        <f>C11*LengthAllocation_2022!D182</f>
        <v>0</v>
      </c>
      <c r="D204" s="75">
        <f>D11*LengthAllocation_2022!E182</f>
        <v>0</v>
      </c>
      <c r="E204" s="75">
        <f>E11*LengthAllocation_2022!F182</f>
        <v>0</v>
      </c>
      <c r="F204" s="75">
        <f>F11*LengthAllocation_2022!G182</f>
        <v>0</v>
      </c>
      <c r="G204" s="75">
        <f>G11*LengthAllocation_2022!H182</f>
        <v>0</v>
      </c>
      <c r="H204" s="75">
        <f>H11*LengthAllocation_2022!I182</f>
        <v>0</v>
      </c>
      <c r="I204" s="75">
        <f>I11*LengthAllocation_2022!J182</f>
        <v>0</v>
      </c>
      <c r="J204" s="75">
        <f>J11*LengthAllocation_2022!K182</f>
        <v>0</v>
      </c>
      <c r="K204" s="75">
        <f>K11*LengthAllocation_2022!L182</f>
        <v>0</v>
      </c>
      <c r="L204" s="42"/>
    </row>
    <row r="205" spans="1:13" x14ac:dyDescent="0.35">
      <c r="A205" s="110" t="s">
        <v>37</v>
      </c>
      <c r="B205" s="75">
        <f>B12*LengthAllocation_2022!C183</f>
        <v>0</v>
      </c>
      <c r="C205" s="80">
        <f>C12*LengthAllocation_2022!D183</f>
        <v>0</v>
      </c>
      <c r="D205" s="75">
        <f>D12*LengthAllocation_2022!E183</f>
        <v>0</v>
      </c>
      <c r="E205" s="75">
        <f>E12*LengthAllocation_2022!F183</f>
        <v>0</v>
      </c>
      <c r="F205" s="75">
        <f>F12*LengthAllocation_2022!G183</f>
        <v>0</v>
      </c>
      <c r="G205" s="75">
        <f>G12*LengthAllocation_2022!H183</f>
        <v>0</v>
      </c>
      <c r="H205" s="75">
        <f>H12*LengthAllocation_2022!I183</f>
        <v>0</v>
      </c>
      <c r="I205" s="75">
        <f>I12*LengthAllocation_2022!J183</f>
        <v>0</v>
      </c>
      <c r="J205" s="75">
        <f>J12*LengthAllocation_2022!K183</f>
        <v>0</v>
      </c>
      <c r="K205" s="75">
        <f>K12*LengthAllocation_2022!L183</f>
        <v>0</v>
      </c>
      <c r="L205" s="42"/>
    </row>
    <row r="206" spans="1:13" x14ac:dyDescent="0.35">
      <c r="A206" s="110" t="s">
        <v>38</v>
      </c>
      <c r="B206" s="75">
        <f>B13*LengthAllocation_2022!C184</f>
        <v>0</v>
      </c>
      <c r="C206" s="80">
        <f>C13*LengthAllocation_2022!D184</f>
        <v>0</v>
      </c>
      <c r="D206" s="75">
        <f>D13*LengthAllocation_2022!E184</f>
        <v>0</v>
      </c>
      <c r="E206" s="75">
        <f>E13*LengthAllocation_2022!F184</f>
        <v>0</v>
      </c>
      <c r="F206" s="75">
        <f>F13*LengthAllocation_2022!G184</f>
        <v>0</v>
      </c>
      <c r="G206" s="75">
        <f>G13*LengthAllocation_2022!H184</f>
        <v>0</v>
      </c>
      <c r="H206" s="75">
        <f>H13*LengthAllocation_2022!I184</f>
        <v>0</v>
      </c>
      <c r="I206" s="75">
        <f>I13*LengthAllocation_2022!J184</f>
        <v>0</v>
      </c>
      <c r="J206" s="75">
        <f>J13*LengthAllocation_2022!K184</f>
        <v>0</v>
      </c>
      <c r="K206" s="75">
        <f>K13*LengthAllocation_2022!L184</f>
        <v>0</v>
      </c>
      <c r="L206" s="42"/>
    </row>
    <row r="207" spans="1:13" x14ac:dyDescent="0.35">
      <c r="A207" s="111" t="s">
        <v>39</v>
      </c>
      <c r="B207" s="75">
        <f>B14*LengthAllocation_2022!C185</f>
        <v>0</v>
      </c>
      <c r="C207" s="75">
        <f>C14*LengthAllocation_2022!D185</f>
        <v>0</v>
      </c>
      <c r="D207" s="81">
        <f>D14*LengthAllocation_2022!E185</f>
        <v>0</v>
      </c>
      <c r="E207" s="75">
        <f>E14*LengthAllocation_2022!F185</f>
        <v>0</v>
      </c>
      <c r="F207" s="75">
        <f>F14*LengthAllocation_2022!G185</f>
        <v>0</v>
      </c>
      <c r="G207" s="75">
        <f>G14*LengthAllocation_2022!H185</f>
        <v>0</v>
      </c>
      <c r="H207" s="75">
        <f>H14*LengthAllocation_2022!I185</f>
        <v>0</v>
      </c>
      <c r="I207" s="75">
        <f>I14*LengthAllocation_2022!J185</f>
        <v>0</v>
      </c>
      <c r="J207" s="75">
        <f>J14*LengthAllocation_2022!K185</f>
        <v>0</v>
      </c>
      <c r="K207" s="75">
        <f>K14*LengthAllocation_2022!L185</f>
        <v>0</v>
      </c>
      <c r="L207" s="42"/>
    </row>
    <row r="208" spans="1:13" x14ac:dyDescent="0.35">
      <c r="A208" s="112" t="s">
        <v>40</v>
      </c>
      <c r="B208" s="75">
        <f>B15*LengthAllocation_2022!C186</f>
        <v>0</v>
      </c>
      <c r="C208" s="75">
        <f>C15*LengthAllocation_2022!D186</f>
        <v>0</v>
      </c>
      <c r="D208" s="75">
        <f>D15*LengthAllocation_2022!E186</f>
        <v>0</v>
      </c>
      <c r="E208" s="82">
        <f>E15*LengthAllocation_2022!F186</f>
        <v>0</v>
      </c>
      <c r="F208" s="75">
        <f>F15*LengthAllocation_2022!G186</f>
        <v>0</v>
      </c>
      <c r="G208" s="75">
        <f>G15*LengthAllocation_2022!H186</f>
        <v>0</v>
      </c>
      <c r="H208" s="75">
        <f>H15*LengthAllocation_2022!I186</f>
        <v>0</v>
      </c>
      <c r="I208" s="75">
        <f>I15*LengthAllocation_2022!J186</f>
        <v>0</v>
      </c>
      <c r="J208" s="75">
        <f>J15*LengthAllocation_2022!K186</f>
        <v>0</v>
      </c>
      <c r="K208" s="75">
        <f>K15*LengthAllocation_2022!L186</f>
        <v>0</v>
      </c>
      <c r="L208" s="42"/>
    </row>
    <row r="209" spans="1:15" x14ac:dyDescent="0.35">
      <c r="A209" s="112" t="s">
        <v>41</v>
      </c>
      <c r="B209" s="75">
        <f>B16*LengthAllocation_2022!C187</f>
        <v>0</v>
      </c>
      <c r="C209" s="75">
        <f>C16*LengthAllocation_2022!D187</f>
        <v>0</v>
      </c>
      <c r="D209" s="75">
        <f>D16*LengthAllocation_2022!E187</f>
        <v>0</v>
      </c>
      <c r="E209" s="82">
        <f>E16*LengthAllocation_2022!F187</f>
        <v>0</v>
      </c>
      <c r="F209" s="75">
        <f>F16*LengthAllocation_2022!G187</f>
        <v>0</v>
      </c>
      <c r="G209" s="75">
        <f>G16*LengthAllocation_2022!H187</f>
        <v>0</v>
      </c>
      <c r="H209" s="75">
        <f>H16*LengthAllocation_2022!I187</f>
        <v>0</v>
      </c>
      <c r="I209" s="75">
        <f>I16*LengthAllocation_2022!J187</f>
        <v>0</v>
      </c>
      <c r="J209" s="75">
        <f>J16*LengthAllocation_2022!K187</f>
        <v>0</v>
      </c>
      <c r="K209" s="75">
        <f>K16*LengthAllocation_2022!L187</f>
        <v>0</v>
      </c>
      <c r="L209" s="42"/>
      <c r="N209" s="8"/>
    </row>
    <row r="210" spans="1:15" x14ac:dyDescent="0.35">
      <c r="A210" s="109" t="s">
        <v>18</v>
      </c>
      <c r="B210" s="75">
        <f>B17*LengthAllocation_2022!C188</f>
        <v>0</v>
      </c>
      <c r="C210" s="75">
        <f>C17*LengthAllocation_2022!D188</f>
        <v>0</v>
      </c>
      <c r="D210" s="75">
        <f>D17*LengthAllocation_2022!E188</f>
        <v>0</v>
      </c>
      <c r="E210" s="75">
        <f>E17*LengthAllocation_2022!F188</f>
        <v>0</v>
      </c>
      <c r="F210" s="83">
        <f>F17*LengthAllocation_2022!G188</f>
        <v>0</v>
      </c>
      <c r="G210" s="75">
        <f>G17*LengthAllocation_2022!H188</f>
        <v>0</v>
      </c>
      <c r="H210" s="75">
        <f>H17*LengthAllocation_2022!I188</f>
        <v>0</v>
      </c>
      <c r="I210" s="75">
        <f>I17*LengthAllocation_2022!J188</f>
        <v>0</v>
      </c>
      <c r="J210" s="75">
        <f>J17*LengthAllocation_2022!K188</f>
        <v>0</v>
      </c>
      <c r="K210" s="75">
        <f>K17*LengthAllocation_2022!L188</f>
        <v>0</v>
      </c>
      <c r="L210" s="42"/>
    </row>
    <row r="211" spans="1:15" x14ac:dyDescent="0.35">
      <c r="A211" s="113" t="s">
        <v>42</v>
      </c>
      <c r="B211" s="75">
        <f>B18*LengthAllocation_2022!C189</f>
        <v>0</v>
      </c>
      <c r="C211" s="75">
        <f>C18*LengthAllocation_2022!D189</f>
        <v>0</v>
      </c>
      <c r="D211" s="75">
        <f>D18*LengthAllocation_2022!E189</f>
        <v>0</v>
      </c>
      <c r="E211" s="75">
        <f>E18*LengthAllocation_2022!F189</f>
        <v>0</v>
      </c>
      <c r="F211" s="75">
        <f>F18*LengthAllocation_2022!G189</f>
        <v>0</v>
      </c>
      <c r="G211" s="84">
        <f>G18*LengthAllocation_2022!H189</f>
        <v>0</v>
      </c>
      <c r="H211" s="75">
        <f>H18*LengthAllocation_2022!I189</f>
        <v>0</v>
      </c>
      <c r="I211" s="75">
        <f>I18*LengthAllocation_2022!J189</f>
        <v>0</v>
      </c>
      <c r="J211" s="75">
        <f>J18*LengthAllocation_2022!K189</f>
        <v>0</v>
      </c>
      <c r="K211" s="75">
        <f>K18*LengthAllocation_2022!L189</f>
        <v>0</v>
      </c>
      <c r="L211" s="42"/>
    </row>
    <row r="212" spans="1:15" x14ac:dyDescent="0.35">
      <c r="A212" s="114" t="s">
        <v>43</v>
      </c>
      <c r="B212" s="75">
        <f>B19*LengthAllocation_2022!C190</f>
        <v>0</v>
      </c>
      <c r="C212" s="75">
        <f>C19*LengthAllocation_2022!D190</f>
        <v>0</v>
      </c>
      <c r="D212" s="75">
        <f>D19*LengthAllocation_2022!E190</f>
        <v>0</v>
      </c>
      <c r="E212" s="75">
        <f>E19*LengthAllocation_2022!F190</f>
        <v>0</v>
      </c>
      <c r="F212" s="75">
        <f>F19*LengthAllocation_2022!G190</f>
        <v>0</v>
      </c>
      <c r="G212" s="75">
        <f>G19*LengthAllocation_2022!H190</f>
        <v>0</v>
      </c>
      <c r="H212" s="85">
        <f>H19*LengthAllocation_2022!I190</f>
        <v>0</v>
      </c>
      <c r="I212" s="75">
        <f>I19*LengthAllocation_2022!J190</f>
        <v>0</v>
      </c>
      <c r="J212" s="75">
        <f>J19*LengthAllocation_2022!K190</f>
        <v>0</v>
      </c>
      <c r="K212" s="75">
        <f>K19*LengthAllocation_2022!L190</f>
        <v>0</v>
      </c>
      <c r="L212" s="42"/>
    </row>
    <row r="213" spans="1:15" x14ac:dyDescent="0.35">
      <c r="A213" s="114" t="s">
        <v>44</v>
      </c>
      <c r="B213" s="75">
        <f>B20*LengthAllocation_2022!C191</f>
        <v>0</v>
      </c>
      <c r="C213" s="75">
        <f>C20*LengthAllocation_2022!D191</f>
        <v>0</v>
      </c>
      <c r="D213" s="75">
        <f>D20*LengthAllocation_2022!E191</f>
        <v>0</v>
      </c>
      <c r="E213" s="75">
        <f>E20*LengthAllocation_2022!F191</f>
        <v>0</v>
      </c>
      <c r="F213" s="75">
        <f>F20*LengthAllocation_2022!G191</f>
        <v>0</v>
      </c>
      <c r="G213" s="75">
        <f>G20*LengthAllocation_2022!H191</f>
        <v>0</v>
      </c>
      <c r="H213" s="85">
        <f>H20*LengthAllocation_2022!I191</f>
        <v>0</v>
      </c>
      <c r="I213" s="75">
        <f>I20*LengthAllocation_2022!J191</f>
        <v>0</v>
      </c>
      <c r="J213" s="75">
        <f>J20*LengthAllocation_2022!K191</f>
        <v>0</v>
      </c>
      <c r="K213" s="75">
        <f>K20*LengthAllocation_2022!L191</f>
        <v>0</v>
      </c>
      <c r="L213" s="42"/>
      <c r="O213" s="8"/>
    </row>
    <row r="214" spans="1:15" x14ac:dyDescent="0.35">
      <c r="A214" s="114" t="s">
        <v>45</v>
      </c>
      <c r="B214" s="75">
        <f>B21*LengthAllocation_2022!C192</f>
        <v>0</v>
      </c>
      <c r="C214" s="75">
        <f>C21*LengthAllocation_2022!D192</f>
        <v>0</v>
      </c>
      <c r="D214" s="75">
        <f>D21*LengthAllocation_2022!E192</f>
        <v>0</v>
      </c>
      <c r="E214" s="75">
        <f>E21*LengthAllocation_2022!F192</f>
        <v>0</v>
      </c>
      <c r="F214" s="75">
        <f>F21*LengthAllocation_2022!G192</f>
        <v>0</v>
      </c>
      <c r="G214" s="75">
        <f>G21*LengthAllocation_2022!H192</f>
        <v>0</v>
      </c>
      <c r="H214" s="85">
        <f>H21*LengthAllocation_2022!I192</f>
        <v>0</v>
      </c>
      <c r="I214" s="75">
        <f>I21*LengthAllocation_2022!J192</f>
        <v>0</v>
      </c>
      <c r="J214" s="75">
        <f>J21*LengthAllocation_2022!K192</f>
        <v>0</v>
      </c>
      <c r="K214" s="75">
        <f>K21*LengthAllocation_2022!L192</f>
        <v>0</v>
      </c>
      <c r="L214" s="42"/>
    </row>
    <row r="215" spans="1:15" x14ac:dyDescent="0.35">
      <c r="A215" s="114" t="s">
        <v>46</v>
      </c>
      <c r="B215" s="75">
        <f>B22*LengthAllocation_2022!C193</f>
        <v>0</v>
      </c>
      <c r="C215" s="75">
        <f>C22*LengthAllocation_2022!D193</f>
        <v>0</v>
      </c>
      <c r="D215" s="75">
        <f>D22*LengthAllocation_2022!E193</f>
        <v>0</v>
      </c>
      <c r="E215" s="75">
        <f>E22*LengthAllocation_2022!F193</f>
        <v>0</v>
      </c>
      <c r="F215" s="75">
        <f>F22*LengthAllocation_2022!G193</f>
        <v>0</v>
      </c>
      <c r="G215" s="75">
        <f>G22*LengthAllocation_2022!H193</f>
        <v>0</v>
      </c>
      <c r="H215" s="85">
        <f>H22*LengthAllocation_2022!I193</f>
        <v>0</v>
      </c>
      <c r="I215" s="75">
        <f>I22*LengthAllocation_2022!J193</f>
        <v>0</v>
      </c>
      <c r="J215" s="75">
        <f>J22*LengthAllocation_2022!K193</f>
        <v>0</v>
      </c>
      <c r="K215" s="75">
        <f>K22*LengthAllocation_2022!L193</f>
        <v>0</v>
      </c>
      <c r="L215" s="42"/>
    </row>
    <row r="216" spans="1:15" x14ac:dyDescent="0.35">
      <c r="A216" s="114" t="s">
        <v>47</v>
      </c>
      <c r="B216" s="75">
        <f>B23*LengthAllocation_2022!C194</f>
        <v>0</v>
      </c>
      <c r="C216" s="75">
        <f>C23*LengthAllocation_2022!D194</f>
        <v>0</v>
      </c>
      <c r="D216" s="75">
        <f>D23*LengthAllocation_2022!E194</f>
        <v>0</v>
      </c>
      <c r="E216" s="75">
        <f>E23*LengthAllocation_2022!F194</f>
        <v>0</v>
      </c>
      <c r="F216" s="75">
        <f>F23*LengthAllocation_2022!G194</f>
        <v>0</v>
      </c>
      <c r="G216" s="75">
        <f>G23*LengthAllocation_2022!H194</f>
        <v>0</v>
      </c>
      <c r="H216" s="85">
        <f>H23*LengthAllocation_2022!I194</f>
        <v>0</v>
      </c>
      <c r="I216" s="75">
        <f>I23*LengthAllocation_2022!J194</f>
        <v>0</v>
      </c>
      <c r="J216" s="75">
        <f>J23*LengthAllocation_2022!K194</f>
        <v>0</v>
      </c>
      <c r="K216" s="75">
        <f>K23*LengthAllocation_2022!L194</f>
        <v>0</v>
      </c>
      <c r="L216" s="42"/>
    </row>
    <row r="217" spans="1:15" x14ac:dyDescent="0.35">
      <c r="A217" s="114" t="s">
        <v>48</v>
      </c>
      <c r="B217" s="75">
        <f>B24*LengthAllocation_2022!C195</f>
        <v>0</v>
      </c>
      <c r="C217" s="75">
        <f>C24*LengthAllocation_2022!D195</f>
        <v>0</v>
      </c>
      <c r="D217" s="75">
        <f>D24*LengthAllocation_2022!E195</f>
        <v>0</v>
      </c>
      <c r="E217" s="75">
        <f>E24*LengthAllocation_2022!F195</f>
        <v>0</v>
      </c>
      <c r="F217" s="75">
        <f>F24*LengthAllocation_2022!G195</f>
        <v>0</v>
      </c>
      <c r="G217" s="75">
        <f>G24*LengthAllocation_2022!H195</f>
        <v>0</v>
      </c>
      <c r="H217" s="85">
        <f>H24*LengthAllocation_2022!I195</f>
        <v>0</v>
      </c>
      <c r="I217" s="75">
        <f>I24*LengthAllocation_2022!J195</f>
        <v>0</v>
      </c>
      <c r="J217" s="75">
        <f>J24*LengthAllocation_2022!K195</f>
        <v>0</v>
      </c>
      <c r="K217" s="75">
        <f>K24*LengthAllocation_2022!L195</f>
        <v>0</v>
      </c>
      <c r="L217" s="42"/>
    </row>
    <row r="218" spans="1:15" x14ac:dyDescent="0.35">
      <c r="A218" s="114" t="s">
        <v>49</v>
      </c>
      <c r="B218" s="75">
        <f>B25*LengthAllocation_2022!C196</f>
        <v>0</v>
      </c>
      <c r="C218" s="75">
        <f>C25*LengthAllocation_2022!D196</f>
        <v>0</v>
      </c>
      <c r="D218" s="75">
        <f>D25*LengthAllocation_2022!E196</f>
        <v>0</v>
      </c>
      <c r="E218" s="75">
        <f>E25*LengthAllocation_2022!F196</f>
        <v>0</v>
      </c>
      <c r="F218" s="75">
        <f>F25*LengthAllocation_2022!G196</f>
        <v>0</v>
      </c>
      <c r="G218" s="75">
        <f>G25*LengthAllocation_2022!H196</f>
        <v>0</v>
      </c>
      <c r="H218" s="85">
        <f>H25*LengthAllocation_2022!I196</f>
        <v>0</v>
      </c>
      <c r="I218" s="75">
        <f>I25*LengthAllocation_2022!J196</f>
        <v>0</v>
      </c>
      <c r="J218" s="75">
        <f>J25*LengthAllocation_2022!K196</f>
        <v>0</v>
      </c>
      <c r="K218" s="75">
        <f>K25*LengthAllocation_2022!L196</f>
        <v>0</v>
      </c>
      <c r="L218" s="42"/>
    </row>
    <row r="219" spans="1:15" x14ac:dyDescent="0.35">
      <c r="A219" s="114" t="s">
        <v>50</v>
      </c>
      <c r="B219" s="75">
        <f>B26*LengthAllocation_2022!C197</f>
        <v>0</v>
      </c>
      <c r="C219" s="75">
        <f>C26*LengthAllocation_2022!D197</f>
        <v>0</v>
      </c>
      <c r="D219" s="75">
        <f>D26*LengthAllocation_2022!E197</f>
        <v>0</v>
      </c>
      <c r="E219" s="75">
        <f>E26*LengthAllocation_2022!F197</f>
        <v>0</v>
      </c>
      <c r="F219" s="75">
        <f>F26*LengthAllocation_2022!G197</f>
        <v>0</v>
      </c>
      <c r="G219" s="75">
        <f>G26*LengthAllocation_2022!H197</f>
        <v>0</v>
      </c>
      <c r="H219" s="85">
        <f>H26*LengthAllocation_2022!I197</f>
        <v>0</v>
      </c>
      <c r="I219" s="75">
        <f>I26*LengthAllocation_2022!J197</f>
        <v>0</v>
      </c>
      <c r="J219" s="75">
        <f>J26*LengthAllocation_2022!K197</f>
        <v>0</v>
      </c>
      <c r="K219" s="75">
        <f>K26*LengthAllocation_2022!L197</f>
        <v>0</v>
      </c>
      <c r="L219" s="42"/>
    </row>
    <row r="220" spans="1:15" x14ac:dyDescent="0.35">
      <c r="A220" s="114" t="s">
        <v>51</v>
      </c>
      <c r="B220" s="75">
        <f>B27*LengthAllocation_2022!C198</f>
        <v>0</v>
      </c>
      <c r="C220" s="75">
        <f>C27*LengthAllocation_2022!D198</f>
        <v>0</v>
      </c>
      <c r="D220" s="75">
        <f>D27*LengthAllocation_2022!E198</f>
        <v>0</v>
      </c>
      <c r="E220" s="75">
        <f>E27*LengthAllocation_2022!F198</f>
        <v>0</v>
      </c>
      <c r="F220" s="75">
        <f>F27*LengthAllocation_2022!G198</f>
        <v>0</v>
      </c>
      <c r="G220" s="75">
        <f>G27*LengthAllocation_2022!H198</f>
        <v>0</v>
      </c>
      <c r="H220" s="85">
        <f>H27*LengthAllocation_2022!I198</f>
        <v>0</v>
      </c>
      <c r="I220" s="75">
        <f>I27*LengthAllocation_2022!J198</f>
        <v>0</v>
      </c>
      <c r="J220" s="75">
        <f>J27*LengthAllocation_2022!K198</f>
        <v>0</v>
      </c>
      <c r="K220" s="75">
        <f>K27*LengthAllocation_2022!L198</f>
        <v>0</v>
      </c>
      <c r="L220" s="42"/>
    </row>
    <row r="221" spans="1:15" x14ac:dyDescent="0.35">
      <c r="A221" s="115" t="s">
        <v>52</v>
      </c>
      <c r="B221" s="75">
        <f>B28*LengthAllocation_2022!C199</f>
        <v>0</v>
      </c>
      <c r="C221" s="75">
        <f>C28*LengthAllocation_2022!D199</f>
        <v>0</v>
      </c>
      <c r="D221" s="75">
        <f>D28*LengthAllocation_2022!E199</f>
        <v>0</v>
      </c>
      <c r="E221" s="75">
        <f>E28*LengthAllocation_2022!F199</f>
        <v>0</v>
      </c>
      <c r="F221" s="75">
        <f>F28*LengthAllocation_2022!G199</f>
        <v>0</v>
      </c>
      <c r="G221" s="75">
        <f>G28*LengthAllocation_2022!H199</f>
        <v>0</v>
      </c>
      <c r="H221" s="75">
        <f>H28*LengthAllocation_2022!I199</f>
        <v>0</v>
      </c>
      <c r="I221" s="86">
        <f>I28*LengthAllocation_2022!J199</f>
        <v>12358416.176493153</v>
      </c>
      <c r="J221" s="75">
        <f>J28*LengthAllocation_2022!K199</f>
        <v>0</v>
      </c>
      <c r="K221" s="75">
        <f>K28*LengthAllocation_2022!L199</f>
        <v>0</v>
      </c>
      <c r="L221" s="42"/>
    </row>
    <row r="222" spans="1:15" x14ac:dyDescent="0.35">
      <c r="A222" s="115" t="s">
        <v>53</v>
      </c>
      <c r="B222" s="75">
        <f>B29*LengthAllocation_2022!C200</f>
        <v>0</v>
      </c>
      <c r="C222" s="75">
        <f>C29*LengthAllocation_2022!D200</f>
        <v>0</v>
      </c>
      <c r="D222" s="75">
        <f>D29*LengthAllocation_2022!E200</f>
        <v>0</v>
      </c>
      <c r="E222" s="75">
        <f>E29*LengthAllocation_2022!F200</f>
        <v>0</v>
      </c>
      <c r="F222" s="75">
        <f>F29*LengthAllocation_2022!G200</f>
        <v>0</v>
      </c>
      <c r="G222" s="75">
        <f>G29*LengthAllocation_2022!H200</f>
        <v>0</v>
      </c>
      <c r="H222" s="75">
        <f>H29*LengthAllocation_2022!I200</f>
        <v>0</v>
      </c>
      <c r="I222" s="86">
        <f>I29*LengthAllocation_2022!J200</f>
        <v>496532534.24282235</v>
      </c>
      <c r="J222" s="75">
        <f>J29*LengthAllocation_2022!K200</f>
        <v>0</v>
      </c>
      <c r="K222" s="75">
        <f>K29*LengthAllocation_2022!L200</f>
        <v>0</v>
      </c>
      <c r="L222" s="42"/>
    </row>
    <row r="223" spans="1:15" x14ac:dyDescent="0.35">
      <c r="A223" s="115" t="s">
        <v>54</v>
      </c>
      <c r="B223" s="75">
        <f>B30*LengthAllocation_2022!C201</f>
        <v>0</v>
      </c>
      <c r="C223" s="75">
        <f>C30*LengthAllocation_2022!D201</f>
        <v>0</v>
      </c>
      <c r="D223" s="75">
        <f>D30*LengthAllocation_2022!E201</f>
        <v>0</v>
      </c>
      <c r="E223" s="75">
        <f>E30*LengthAllocation_2022!F201</f>
        <v>0</v>
      </c>
      <c r="F223" s="75">
        <f>F30*LengthAllocation_2022!G201</f>
        <v>0</v>
      </c>
      <c r="G223" s="75">
        <f>G30*LengthAllocation_2022!H201</f>
        <v>0</v>
      </c>
      <c r="H223" s="75">
        <f>H30*LengthAllocation_2022!I201</f>
        <v>0</v>
      </c>
      <c r="I223" s="86">
        <f>I30*LengthAllocation_2022!J201</f>
        <v>52428793.040000007</v>
      </c>
      <c r="J223" s="75">
        <f>J30*LengthAllocation_2022!K201</f>
        <v>0</v>
      </c>
      <c r="K223" s="75">
        <f>K30*LengthAllocation_2022!L201</f>
        <v>0</v>
      </c>
      <c r="L223" s="42"/>
    </row>
    <row r="224" spans="1:15" x14ac:dyDescent="0.35">
      <c r="A224" s="115" t="s">
        <v>55</v>
      </c>
      <c r="B224" s="75">
        <f>B31*LengthAllocation_2022!C202</f>
        <v>0</v>
      </c>
      <c r="C224" s="75">
        <f>C31*LengthAllocation_2022!D202</f>
        <v>0</v>
      </c>
      <c r="D224" s="75">
        <f>D31*LengthAllocation_2022!E202</f>
        <v>0</v>
      </c>
      <c r="E224" s="75">
        <f>E31*LengthAllocation_2022!F202</f>
        <v>0</v>
      </c>
      <c r="F224" s="75">
        <f>F31*LengthAllocation_2022!G202</f>
        <v>0</v>
      </c>
      <c r="G224" s="75">
        <f>G31*LengthAllocation_2022!H202</f>
        <v>0</v>
      </c>
      <c r="H224" s="75">
        <f>H31*LengthAllocation_2022!I202</f>
        <v>0</v>
      </c>
      <c r="I224" s="86">
        <f>I31*LengthAllocation_2022!J202</f>
        <v>104087973.60000001</v>
      </c>
      <c r="J224" s="75">
        <f>J31*LengthAllocation_2022!K202</f>
        <v>0</v>
      </c>
      <c r="K224" s="75">
        <f>K31*LengthAllocation_2022!L202</f>
        <v>0</v>
      </c>
      <c r="L224" s="42"/>
    </row>
    <row r="225" spans="1:13" x14ac:dyDescent="0.35">
      <c r="A225" s="115" t="s">
        <v>56</v>
      </c>
      <c r="B225" s="75">
        <f>B32*LengthAllocation_2022!C203</f>
        <v>0</v>
      </c>
      <c r="C225" s="75">
        <f>C32*LengthAllocation_2022!D203</f>
        <v>0</v>
      </c>
      <c r="D225" s="75">
        <f>D32*LengthAllocation_2022!E203</f>
        <v>0</v>
      </c>
      <c r="E225" s="75">
        <f>E32*LengthAllocation_2022!F203</f>
        <v>0</v>
      </c>
      <c r="F225" s="75">
        <f>F32*LengthAllocation_2022!G203</f>
        <v>0</v>
      </c>
      <c r="G225" s="75">
        <f>G32*LengthAllocation_2022!H203</f>
        <v>0</v>
      </c>
      <c r="H225" s="75">
        <f>H32*LengthAllocation_2022!I203</f>
        <v>0</v>
      </c>
      <c r="I225" s="86">
        <f>I32*LengthAllocation_2022!J203</f>
        <v>0</v>
      </c>
      <c r="J225" s="75">
        <f>J32*LengthAllocation_2022!K203</f>
        <v>0</v>
      </c>
      <c r="K225" s="75">
        <f>K32*LengthAllocation_2022!L203</f>
        <v>0</v>
      </c>
      <c r="L225" s="42"/>
    </row>
    <row r="226" spans="1:13" x14ac:dyDescent="0.35">
      <c r="A226" s="115" t="s">
        <v>57</v>
      </c>
      <c r="B226" s="75">
        <f>B33*LengthAllocation_2022!C204</f>
        <v>0</v>
      </c>
      <c r="C226" s="75">
        <f>C33*LengthAllocation_2022!D204</f>
        <v>0</v>
      </c>
      <c r="D226" s="75">
        <f>D33*LengthAllocation_2022!E204</f>
        <v>0</v>
      </c>
      <c r="E226" s="75">
        <f>E33*LengthAllocation_2022!F204</f>
        <v>0</v>
      </c>
      <c r="F226" s="75">
        <f>F33*LengthAllocation_2022!G204</f>
        <v>0</v>
      </c>
      <c r="G226" s="75">
        <f>G33*LengthAllocation_2022!H204</f>
        <v>0</v>
      </c>
      <c r="H226" s="75">
        <f>H33*LengthAllocation_2022!I204</f>
        <v>0</v>
      </c>
      <c r="I226" s="86">
        <f>I33*LengthAllocation_2022!J204</f>
        <v>0</v>
      </c>
      <c r="J226" s="75">
        <f>J33*LengthAllocation_2022!K204</f>
        <v>0</v>
      </c>
      <c r="K226" s="75">
        <f>K33*LengthAllocation_2022!L204</f>
        <v>0</v>
      </c>
      <c r="L226" s="42"/>
    </row>
    <row r="227" spans="1:13" x14ac:dyDescent="0.35">
      <c r="A227" s="115" t="s">
        <v>58</v>
      </c>
      <c r="B227" s="75">
        <f>B34*LengthAllocation_2022!C205</f>
        <v>0</v>
      </c>
      <c r="C227" s="75">
        <f>C34*LengthAllocation_2022!D205</f>
        <v>0</v>
      </c>
      <c r="D227" s="75">
        <f>D34*LengthAllocation_2022!E205</f>
        <v>0</v>
      </c>
      <c r="E227" s="75">
        <f>E34*LengthAllocation_2022!F205</f>
        <v>0</v>
      </c>
      <c r="F227" s="75">
        <f>F34*LengthAllocation_2022!G205</f>
        <v>0</v>
      </c>
      <c r="G227" s="75">
        <f>G34*LengthAllocation_2022!H205</f>
        <v>0</v>
      </c>
      <c r="H227" s="75">
        <f>H34*LengthAllocation_2022!I205</f>
        <v>0</v>
      </c>
      <c r="I227" s="86">
        <f>I34*LengthAllocation_2022!J205</f>
        <v>75383965.280000001</v>
      </c>
      <c r="J227" s="75">
        <f>J34*LengthAllocation_2022!K205</f>
        <v>0</v>
      </c>
      <c r="K227" s="75">
        <f>K34*LengthAllocation_2022!L205</f>
        <v>0</v>
      </c>
      <c r="L227" s="42"/>
    </row>
    <row r="228" spans="1:13" x14ac:dyDescent="0.35">
      <c r="A228" s="115" t="s">
        <v>59</v>
      </c>
      <c r="B228" s="75">
        <f>B35*LengthAllocation_2022!C206</f>
        <v>0</v>
      </c>
      <c r="C228" s="75">
        <f>C35*LengthAllocation_2022!D206</f>
        <v>0</v>
      </c>
      <c r="D228" s="79">
        <f>D35*LengthAllocation_2022!E206</f>
        <v>0</v>
      </c>
      <c r="E228" s="75">
        <f>E35*LengthAllocation_2022!F206</f>
        <v>0</v>
      </c>
      <c r="F228" s="75">
        <f>F35*LengthAllocation_2022!G206</f>
        <v>0</v>
      </c>
      <c r="G228" s="75">
        <f>G35*LengthAllocation_2022!H206</f>
        <v>0</v>
      </c>
      <c r="H228" s="75">
        <f>H35*LengthAllocation_2022!I206</f>
        <v>0</v>
      </c>
      <c r="I228" s="86">
        <f>I35*LengthAllocation_2022!J206</f>
        <v>24269820.211890411</v>
      </c>
      <c r="J228" s="75">
        <f>J35*LengthAllocation_2022!K206</f>
        <v>0</v>
      </c>
      <c r="K228" s="75">
        <f>K35*LengthAllocation_2022!L206</f>
        <v>0</v>
      </c>
      <c r="L228" s="42"/>
    </row>
    <row r="229" spans="1:13" x14ac:dyDescent="0.35">
      <c r="A229" s="115" t="s">
        <v>60</v>
      </c>
      <c r="B229" s="75">
        <f>B36*LengthAllocation_2022!C207</f>
        <v>0</v>
      </c>
      <c r="C229" s="75">
        <f>C36*LengthAllocation_2022!D207</f>
        <v>0</v>
      </c>
      <c r="D229" s="75">
        <f>D36*LengthAllocation_2022!E207</f>
        <v>0</v>
      </c>
      <c r="E229" s="75">
        <f>E36*LengthAllocation_2022!F207</f>
        <v>0</v>
      </c>
      <c r="F229" s="75">
        <f>F36*LengthAllocation_2022!G207</f>
        <v>0</v>
      </c>
      <c r="G229" s="75">
        <f>G36*LengthAllocation_2022!H207</f>
        <v>0</v>
      </c>
      <c r="H229" s="75">
        <f>H36*LengthAllocation_2022!I207</f>
        <v>0</v>
      </c>
      <c r="I229" s="86">
        <f>I36*LengthAllocation_2022!J207</f>
        <v>0</v>
      </c>
      <c r="J229" s="75">
        <f>J36*LengthAllocation_2022!K207</f>
        <v>0</v>
      </c>
      <c r="K229" s="75">
        <f>K36*LengthAllocation_2022!L207</f>
        <v>0</v>
      </c>
      <c r="L229" s="42"/>
    </row>
    <row r="230" spans="1:13" x14ac:dyDescent="0.35">
      <c r="A230" s="115" t="s">
        <v>61</v>
      </c>
      <c r="B230" s="75">
        <f>B37*LengthAllocation_2022!C208</f>
        <v>0</v>
      </c>
      <c r="C230" s="75">
        <f>C37*LengthAllocation_2022!D208</f>
        <v>0</v>
      </c>
      <c r="D230" s="75">
        <f>D37*LengthAllocation_2022!E208</f>
        <v>0</v>
      </c>
      <c r="E230" s="75">
        <f>E37*LengthAllocation_2022!F208</f>
        <v>0</v>
      </c>
      <c r="F230" s="75">
        <f>F37*LengthAllocation_2022!G208</f>
        <v>0</v>
      </c>
      <c r="G230" s="75">
        <f>G37*LengthAllocation_2022!H208</f>
        <v>0</v>
      </c>
      <c r="H230" s="75">
        <f>H37*LengthAllocation_2022!I208</f>
        <v>0</v>
      </c>
      <c r="I230" s="86">
        <f>I37*LengthAllocation_2022!J208</f>
        <v>0</v>
      </c>
      <c r="J230" s="75">
        <f>J37*LengthAllocation_2022!K208</f>
        <v>0</v>
      </c>
      <c r="K230" s="75">
        <f>K37*LengthAllocation_2022!L208</f>
        <v>0</v>
      </c>
      <c r="L230" s="42"/>
    </row>
    <row r="231" spans="1:13" x14ac:dyDescent="0.35">
      <c r="A231" s="115" t="s">
        <v>62</v>
      </c>
      <c r="B231" s="75">
        <f>B38*LengthAllocation_2022!C209</f>
        <v>0</v>
      </c>
      <c r="C231" s="75">
        <f>C38*LengthAllocation_2022!D209</f>
        <v>0</v>
      </c>
      <c r="D231" s="75">
        <f>D38*LengthAllocation_2022!E209</f>
        <v>0</v>
      </c>
      <c r="E231" s="75">
        <f>E38*LengthAllocation_2022!F209</f>
        <v>0</v>
      </c>
      <c r="F231" s="75">
        <f>F38*LengthAllocation_2022!G209</f>
        <v>0</v>
      </c>
      <c r="G231" s="75">
        <f>G38*LengthAllocation_2022!H209</f>
        <v>0</v>
      </c>
      <c r="H231" s="75">
        <f>H38*LengthAllocation_2022!I209</f>
        <v>0</v>
      </c>
      <c r="I231" s="86">
        <f>I38*LengthAllocation_2022!J209</f>
        <v>0</v>
      </c>
      <c r="J231" s="75">
        <f>J38*LengthAllocation_2022!K209</f>
        <v>0</v>
      </c>
      <c r="K231" s="75">
        <f>K38*LengthAllocation_2022!L209</f>
        <v>0</v>
      </c>
      <c r="L231" s="42"/>
    </row>
    <row r="232" spans="1:13" x14ac:dyDescent="0.35">
      <c r="A232" s="116" t="s">
        <v>64</v>
      </c>
      <c r="B232" s="75">
        <f>B39*LengthAllocation_2022!C210</f>
        <v>0</v>
      </c>
      <c r="C232" s="75">
        <f>C39*LengthAllocation_2022!D210</f>
        <v>0</v>
      </c>
      <c r="D232" s="75">
        <f>D39*LengthAllocation_2022!E210</f>
        <v>0</v>
      </c>
      <c r="E232" s="75">
        <f>E39*LengthAllocation_2022!F210</f>
        <v>0</v>
      </c>
      <c r="F232" s="75">
        <f>F39*LengthAllocation_2022!G210</f>
        <v>0</v>
      </c>
      <c r="G232" s="75">
        <f>G39*LengthAllocation_2022!H210</f>
        <v>0</v>
      </c>
      <c r="H232" s="75">
        <f>H39*LengthAllocation_2022!I210</f>
        <v>0</v>
      </c>
      <c r="I232" s="75">
        <f>I39*LengthAllocation_2022!J210</f>
        <v>0</v>
      </c>
      <c r="J232" s="80">
        <f>J39*LengthAllocation_2022!K210</f>
        <v>0</v>
      </c>
      <c r="K232" s="75">
        <f>K39*LengthAllocation_2022!L210</f>
        <v>0</v>
      </c>
      <c r="L232" s="42"/>
    </row>
    <row r="233" spans="1:13" x14ac:dyDescent="0.35">
      <c r="A233" s="116" t="s">
        <v>65</v>
      </c>
      <c r="B233" s="75">
        <f>B40*LengthAllocation_2022!C211</f>
        <v>0</v>
      </c>
      <c r="C233" s="75">
        <f>C40*LengthAllocation_2022!D211</f>
        <v>0</v>
      </c>
      <c r="D233" s="75">
        <f>D40*LengthAllocation_2022!E211</f>
        <v>0</v>
      </c>
      <c r="E233" s="75">
        <f>E40*LengthAllocation_2022!F211</f>
        <v>0</v>
      </c>
      <c r="F233" s="75">
        <f>F40*LengthAllocation_2022!G211</f>
        <v>0</v>
      </c>
      <c r="G233" s="75">
        <f>G40*LengthAllocation_2022!H211</f>
        <v>0</v>
      </c>
      <c r="H233" s="75">
        <f>H40*LengthAllocation_2022!I211</f>
        <v>0</v>
      </c>
      <c r="I233" s="75">
        <f>I40*LengthAllocation_2022!J211</f>
        <v>0</v>
      </c>
      <c r="J233" s="80">
        <f>J40*LengthAllocation_2022!K211</f>
        <v>0</v>
      </c>
      <c r="K233" s="75">
        <f>K40*LengthAllocation_2022!L211</f>
        <v>0</v>
      </c>
      <c r="L233" s="42"/>
    </row>
    <row r="234" spans="1:13" ht="15" thickBot="1" x14ac:dyDescent="0.4">
      <c r="A234" s="117" t="s">
        <v>63</v>
      </c>
      <c r="B234" s="95">
        <f>B41*LengthAllocation_2022!C212</f>
        <v>0</v>
      </c>
      <c r="C234" s="95">
        <f>C41*LengthAllocation_2022!D212</f>
        <v>0</v>
      </c>
      <c r="D234" s="95">
        <f>D41*LengthAllocation_2022!E212</f>
        <v>0</v>
      </c>
      <c r="E234" s="95">
        <f>E41*LengthAllocation_2022!F212</f>
        <v>0</v>
      </c>
      <c r="F234" s="95">
        <f>F41*LengthAllocation_2022!G212</f>
        <v>0</v>
      </c>
      <c r="G234" s="95">
        <f>G41*LengthAllocation_2022!H212</f>
        <v>0</v>
      </c>
      <c r="H234" s="95">
        <f>H41*LengthAllocation_2022!I212</f>
        <v>0</v>
      </c>
      <c r="I234" s="95">
        <f>I41*LengthAllocation_2022!J212</f>
        <v>0</v>
      </c>
      <c r="J234" s="95">
        <f>J41*LengthAllocation_2022!K212</f>
        <v>0</v>
      </c>
      <c r="K234" s="96">
        <f>K41*LengthAllocation_2022!L212</f>
        <v>920000</v>
      </c>
      <c r="L234" s="52"/>
    </row>
    <row r="235" spans="1:13" ht="15" thickBot="1" x14ac:dyDescent="0.4"/>
    <row r="236" spans="1:13" ht="29" x14ac:dyDescent="0.35">
      <c r="A236" s="106"/>
      <c r="B236" s="87" t="s">
        <v>14</v>
      </c>
      <c r="C236" s="88" t="s">
        <v>15</v>
      </c>
      <c r="D236" s="89" t="s">
        <v>16</v>
      </c>
      <c r="E236" s="90" t="s">
        <v>17</v>
      </c>
      <c r="F236" s="87" t="s">
        <v>18</v>
      </c>
      <c r="G236" s="91" t="s">
        <v>19</v>
      </c>
      <c r="H236" s="92" t="s">
        <v>20</v>
      </c>
      <c r="I236" s="93" t="s">
        <v>21</v>
      </c>
      <c r="J236" s="94" t="s">
        <v>22</v>
      </c>
      <c r="K236" s="87" t="s">
        <v>23</v>
      </c>
      <c r="L236" s="107" t="s">
        <v>76</v>
      </c>
      <c r="M236" s="105"/>
    </row>
    <row r="237" spans="1:13" x14ac:dyDescent="0.35">
      <c r="A237" s="108" t="s">
        <v>71</v>
      </c>
      <c r="L237" s="40">
        <f>SUM(B238:K272)</f>
        <v>16807239.956164386</v>
      </c>
      <c r="M237" s="8"/>
    </row>
    <row r="238" spans="1:13" x14ac:dyDescent="0.35">
      <c r="A238" s="109" t="s">
        <v>32</v>
      </c>
      <c r="B238" s="78">
        <f>B7*LengthAllocation_2022!C216</f>
        <v>0</v>
      </c>
      <c r="C238" s="79">
        <f>C7*LengthAllocation_2022!D216</f>
        <v>0</v>
      </c>
      <c r="D238" s="79">
        <f>D7*LengthAllocation_2022!E216</f>
        <v>0</v>
      </c>
      <c r="E238" s="79">
        <f>E7*LengthAllocation_2022!F216</f>
        <v>0</v>
      </c>
      <c r="F238" s="79">
        <f>F7*LengthAllocation_2022!G216</f>
        <v>0</v>
      </c>
      <c r="G238" s="79">
        <f>G7*LengthAllocation_2022!H216</f>
        <v>0</v>
      </c>
      <c r="H238" s="79">
        <f>H7*LengthAllocation_2022!I216</f>
        <v>0</v>
      </c>
      <c r="I238" s="79">
        <f>I7*LengthAllocation_2022!J216</f>
        <v>0</v>
      </c>
      <c r="J238" s="79">
        <f>J7*LengthAllocation_2022!K216</f>
        <v>0</v>
      </c>
      <c r="K238" s="79">
        <f>K7*LengthAllocation_2022!L216</f>
        <v>0</v>
      </c>
      <c r="L238" s="42"/>
    </row>
    <row r="239" spans="1:13" x14ac:dyDescent="0.35">
      <c r="A239" s="109" t="s">
        <v>33</v>
      </c>
      <c r="B239" s="78">
        <f>B8*LengthAllocation_2022!C217</f>
        <v>0</v>
      </c>
      <c r="C239" s="75">
        <f>C8*LengthAllocation_2022!D217</f>
        <v>0</v>
      </c>
      <c r="D239" s="75">
        <f>D8*LengthAllocation_2022!E217</f>
        <v>0</v>
      </c>
      <c r="E239" s="75">
        <f>E8*LengthAllocation_2022!F217</f>
        <v>0</v>
      </c>
      <c r="F239" s="75">
        <f>F8*LengthAllocation_2022!G217</f>
        <v>0</v>
      </c>
      <c r="G239" s="75">
        <f>G8*LengthAllocation_2022!H217</f>
        <v>0</v>
      </c>
      <c r="H239" s="75">
        <f>H8*LengthAllocation_2022!I217</f>
        <v>0</v>
      </c>
      <c r="I239" s="75">
        <f>I8*LengthAllocation_2022!J217</f>
        <v>0</v>
      </c>
      <c r="J239" s="75">
        <f>J8*LengthAllocation_2022!K217</f>
        <v>0</v>
      </c>
      <c r="K239" s="75">
        <f>K8*LengthAllocation_2022!L217</f>
        <v>0</v>
      </c>
      <c r="L239" s="42"/>
    </row>
    <row r="240" spans="1:13" x14ac:dyDescent="0.35">
      <c r="A240" s="109" t="s">
        <v>34</v>
      </c>
      <c r="B240" s="78">
        <f>B9*LengthAllocation_2022!C218</f>
        <v>0</v>
      </c>
      <c r="C240" s="75">
        <f>C9*LengthAllocation_2022!D218</f>
        <v>0</v>
      </c>
      <c r="D240" s="75">
        <f>D9*LengthAllocation_2022!E218</f>
        <v>0</v>
      </c>
      <c r="E240" s="75">
        <f>E9*LengthAllocation_2022!F218</f>
        <v>0</v>
      </c>
      <c r="F240" s="75">
        <f>F9*LengthAllocation_2022!G218</f>
        <v>0</v>
      </c>
      <c r="G240" s="75">
        <f>G9*LengthAllocation_2022!H218</f>
        <v>0</v>
      </c>
      <c r="H240" s="75">
        <f>H9*LengthAllocation_2022!I218</f>
        <v>0</v>
      </c>
      <c r="I240" s="75">
        <f>I9*LengthAllocation_2022!J218</f>
        <v>0</v>
      </c>
      <c r="J240" s="75">
        <f>J9*LengthAllocation_2022!K218</f>
        <v>0</v>
      </c>
      <c r="K240" s="75">
        <f>K9*LengthAllocation_2022!L218</f>
        <v>0</v>
      </c>
      <c r="L240" s="42"/>
    </row>
    <row r="241" spans="1:15" x14ac:dyDescent="0.35">
      <c r="A241" s="109" t="s">
        <v>35</v>
      </c>
      <c r="B241" s="78">
        <f>B10*LengthAllocation_2022!C219</f>
        <v>0</v>
      </c>
      <c r="C241" s="75">
        <f>C10*LengthAllocation_2022!D219</f>
        <v>0</v>
      </c>
      <c r="D241" s="75">
        <f>D10*LengthAllocation_2022!E219</f>
        <v>0</v>
      </c>
      <c r="E241" s="75">
        <f>E10*LengthAllocation_2022!F219</f>
        <v>0</v>
      </c>
      <c r="F241" s="75">
        <f>F10*LengthAllocation_2022!G219</f>
        <v>0</v>
      </c>
      <c r="G241" s="75">
        <f>G10*LengthAllocation_2022!H219</f>
        <v>0</v>
      </c>
      <c r="H241" s="75">
        <f>H10*LengthAllocation_2022!I219</f>
        <v>0</v>
      </c>
      <c r="I241" s="75">
        <f>I10*LengthAllocation_2022!J219</f>
        <v>0</v>
      </c>
      <c r="J241" s="75">
        <f>J10*LengthAllocation_2022!K219</f>
        <v>0</v>
      </c>
      <c r="K241" s="75">
        <f>K10*LengthAllocation_2022!L219</f>
        <v>0</v>
      </c>
      <c r="L241" s="42"/>
    </row>
    <row r="242" spans="1:15" x14ac:dyDescent="0.35">
      <c r="A242" s="109" t="s">
        <v>36</v>
      </c>
      <c r="B242" s="78">
        <f>B11*LengthAllocation_2022!C220</f>
        <v>0</v>
      </c>
      <c r="C242" s="75">
        <f>C11*LengthAllocation_2022!D220</f>
        <v>0</v>
      </c>
      <c r="D242" s="75">
        <f>D11*LengthAllocation_2022!E220</f>
        <v>0</v>
      </c>
      <c r="E242" s="75">
        <f>E11*LengthAllocation_2022!F220</f>
        <v>0</v>
      </c>
      <c r="F242" s="75">
        <f>F11*LengthAllocation_2022!G220</f>
        <v>0</v>
      </c>
      <c r="G242" s="75">
        <f>G11*LengthAllocation_2022!H220</f>
        <v>0</v>
      </c>
      <c r="H242" s="75">
        <f>H11*LengthAllocation_2022!I220</f>
        <v>0</v>
      </c>
      <c r="I242" s="75">
        <f>I11*LengthAllocation_2022!J220</f>
        <v>0</v>
      </c>
      <c r="J242" s="75">
        <f>J11*LengthAllocation_2022!K220</f>
        <v>0</v>
      </c>
      <c r="K242" s="75">
        <f>K11*LengthAllocation_2022!L220</f>
        <v>0</v>
      </c>
      <c r="L242" s="42"/>
    </row>
    <row r="243" spans="1:15" x14ac:dyDescent="0.35">
      <c r="A243" s="110" t="s">
        <v>37</v>
      </c>
      <c r="B243" s="75">
        <f>B12*LengthAllocation_2022!C221</f>
        <v>0</v>
      </c>
      <c r="C243" s="80">
        <f>C12*LengthAllocation_2022!D221</f>
        <v>0</v>
      </c>
      <c r="D243" s="75">
        <f>D12*LengthAllocation_2022!E221</f>
        <v>0</v>
      </c>
      <c r="E243" s="75">
        <f>E12*LengthAllocation_2022!F221</f>
        <v>0</v>
      </c>
      <c r="F243" s="75">
        <f>F12*LengthAllocation_2022!G221</f>
        <v>0</v>
      </c>
      <c r="G243" s="75">
        <f>G12*LengthAllocation_2022!H221</f>
        <v>0</v>
      </c>
      <c r="H243" s="75">
        <f>H12*LengthAllocation_2022!I221</f>
        <v>0</v>
      </c>
      <c r="I243" s="75">
        <f>I12*LengthAllocation_2022!J221</f>
        <v>0</v>
      </c>
      <c r="J243" s="75">
        <f>J12*LengthAllocation_2022!K221</f>
        <v>0</v>
      </c>
      <c r="K243" s="75">
        <f>K12*LengthAllocation_2022!L221</f>
        <v>0</v>
      </c>
      <c r="L243" s="42"/>
    </row>
    <row r="244" spans="1:15" x14ac:dyDescent="0.35">
      <c r="A244" s="110" t="s">
        <v>38</v>
      </c>
      <c r="B244" s="75">
        <f>B13*LengthAllocation_2022!C222</f>
        <v>0</v>
      </c>
      <c r="C244" s="80">
        <f>C13*LengthAllocation_2022!D222</f>
        <v>0</v>
      </c>
      <c r="D244" s="75">
        <f>D13*LengthAllocation_2022!E222</f>
        <v>0</v>
      </c>
      <c r="E244" s="75">
        <f>E13*LengthAllocation_2022!F222</f>
        <v>0</v>
      </c>
      <c r="F244" s="75">
        <f>F13*LengthAllocation_2022!G222</f>
        <v>0</v>
      </c>
      <c r="G244" s="75">
        <f>G13*LengthAllocation_2022!H222</f>
        <v>0</v>
      </c>
      <c r="H244" s="75">
        <f>H13*LengthAllocation_2022!I222</f>
        <v>0</v>
      </c>
      <c r="I244" s="75">
        <f>I13*LengthAllocation_2022!J222</f>
        <v>0</v>
      </c>
      <c r="J244" s="75">
        <f>J13*LengthAllocation_2022!K222</f>
        <v>0</v>
      </c>
      <c r="K244" s="75">
        <f>K13*LengthAllocation_2022!L222</f>
        <v>0</v>
      </c>
      <c r="L244" s="42"/>
    </row>
    <row r="245" spans="1:15" x14ac:dyDescent="0.35">
      <c r="A245" s="111" t="s">
        <v>39</v>
      </c>
      <c r="B245" s="75">
        <f>B14*LengthAllocation_2022!C223</f>
        <v>0</v>
      </c>
      <c r="C245" s="75">
        <f>C14*LengthAllocation_2022!D223</f>
        <v>0</v>
      </c>
      <c r="D245" s="81">
        <f>D14*LengthAllocation_2022!E223</f>
        <v>0</v>
      </c>
      <c r="E245" s="75">
        <f>E14*LengthAllocation_2022!F223</f>
        <v>0</v>
      </c>
      <c r="F245" s="75">
        <f>F14*LengthAllocation_2022!G223</f>
        <v>0</v>
      </c>
      <c r="G245" s="75">
        <f>G14*LengthAllocation_2022!H223</f>
        <v>0</v>
      </c>
      <c r="H245" s="75">
        <f>H14*LengthAllocation_2022!I223</f>
        <v>0</v>
      </c>
      <c r="I245" s="75">
        <f>I14*LengthAllocation_2022!J223</f>
        <v>0</v>
      </c>
      <c r="J245" s="75">
        <f>J14*LengthAllocation_2022!K223</f>
        <v>0</v>
      </c>
      <c r="K245" s="75">
        <f>K14*LengthAllocation_2022!L223</f>
        <v>0</v>
      </c>
      <c r="L245" s="42"/>
    </row>
    <row r="246" spans="1:15" x14ac:dyDescent="0.35">
      <c r="A246" s="112" t="s">
        <v>40</v>
      </c>
      <c r="B246" s="75">
        <f>B15*LengthAllocation_2022!C224</f>
        <v>0</v>
      </c>
      <c r="C246" s="75">
        <f>C15*LengthAllocation_2022!D224</f>
        <v>0</v>
      </c>
      <c r="D246" s="75">
        <f>D15*LengthAllocation_2022!E224</f>
        <v>0</v>
      </c>
      <c r="E246" s="82">
        <f>E15*LengthAllocation_2022!F224</f>
        <v>0</v>
      </c>
      <c r="F246" s="75">
        <f>F15*LengthAllocation_2022!G224</f>
        <v>0</v>
      </c>
      <c r="G246" s="75">
        <f>G15*LengthAllocation_2022!H224</f>
        <v>0</v>
      </c>
      <c r="H246" s="75">
        <f>H15*LengthAllocation_2022!I224</f>
        <v>0</v>
      </c>
      <c r="I246" s="75">
        <f>I15*LengthAllocation_2022!J224</f>
        <v>0</v>
      </c>
      <c r="J246" s="75">
        <f>J15*LengthAllocation_2022!K224</f>
        <v>0</v>
      </c>
      <c r="K246" s="75">
        <f>K15*LengthAllocation_2022!L224</f>
        <v>0</v>
      </c>
      <c r="L246" s="42"/>
    </row>
    <row r="247" spans="1:15" x14ac:dyDescent="0.35">
      <c r="A247" s="112" t="s">
        <v>41</v>
      </c>
      <c r="B247" s="75">
        <f>B16*LengthAllocation_2022!C225</f>
        <v>0</v>
      </c>
      <c r="C247" s="75">
        <f>C16*LengthAllocation_2022!D225</f>
        <v>0</v>
      </c>
      <c r="D247" s="75">
        <f>D16*LengthAllocation_2022!E225</f>
        <v>0</v>
      </c>
      <c r="E247" s="82">
        <f>E16*LengthAllocation_2022!F225</f>
        <v>0</v>
      </c>
      <c r="F247" s="75">
        <f>F16*LengthAllocation_2022!G225</f>
        <v>0</v>
      </c>
      <c r="G247" s="75">
        <f>G16*LengthAllocation_2022!H225</f>
        <v>0</v>
      </c>
      <c r="H247" s="75">
        <f>H16*LengthAllocation_2022!I225</f>
        <v>0</v>
      </c>
      <c r="I247" s="75">
        <f>I16*LengthAllocation_2022!J225</f>
        <v>0</v>
      </c>
      <c r="J247" s="75">
        <f>J16*LengthAllocation_2022!K225</f>
        <v>0</v>
      </c>
      <c r="K247" s="75">
        <f>K16*LengthAllocation_2022!L225</f>
        <v>0</v>
      </c>
      <c r="L247" s="42"/>
      <c r="N247" s="8"/>
    </row>
    <row r="248" spans="1:15" x14ac:dyDescent="0.35">
      <c r="A248" s="109" t="s">
        <v>18</v>
      </c>
      <c r="B248" s="75">
        <f>B17*LengthAllocation_2022!C226</f>
        <v>0</v>
      </c>
      <c r="C248" s="75">
        <f>C17*LengthAllocation_2022!D226</f>
        <v>0</v>
      </c>
      <c r="D248" s="75">
        <f>D17*LengthAllocation_2022!E226</f>
        <v>0</v>
      </c>
      <c r="E248" s="75">
        <f>E17*LengthAllocation_2022!F226</f>
        <v>0</v>
      </c>
      <c r="F248" s="83">
        <f>F17*LengthAllocation_2022!G226</f>
        <v>0</v>
      </c>
      <c r="G248" s="75">
        <f>G17*LengthAllocation_2022!H226</f>
        <v>0</v>
      </c>
      <c r="H248" s="75">
        <f>H17*LengthAllocation_2022!I226</f>
        <v>0</v>
      </c>
      <c r="I248" s="75">
        <f>I17*LengthAllocation_2022!J226</f>
        <v>0</v>
      </c>
      <c r="J248" s="75">
        <f>J17*LengthAllocation_2022!K226</f>
        <v>0</v>
      </c>
      <c r="K248" s="75">
        <f>K17*LengthAllocation_2022!L226</f>
        <v>0</v>
      </c>
      <c r="L248" s="42"/>
    </row>
    <row r="249" spans="1:15" x14ac:dyDescent="0.35">
      <c r="A249" s="113" t="s">
        <v>42</v>
      </c>
      <c r="B249" s="75">
        <f>B18*LengthAllocation_2022!C227</f>
        <v>0</v>
      </c>
      <c r="C249" s="75">
        <f>C18*LengthAllocation_2022!D227</f>
        <v>0</v>
      </c>
      <c r="D249" s="75">
        <f>D18*LengthAllocation_2022!E227</f>
        <v>0</v>
      </c>
      <c r="E249" s="75">
        <f>E18*LengthAllocation_2022!F227</f>
        <v>0</v>
      </c>
      <c r="F249" s="75">
        <f>F18*LengthAllocation_2022!G227</f>
        <v>0</v>
      </c>
      <c r="G249" s="84">
        <f>G18*LengthAllocation_2022!H227</f>
        <v>0</v>
      </c>
      <c r="H249" s="75">
        <f>H18*LengthAllocation_2022!I227</f>
        <v>0</v>
      </c>
      <c r="I249" s="75">
        <f>I18*LengthAllocation_2022!J227</f>
        <v>0</v>
      </c>
      <c r="J249" s="75">
        <f>J18*LengthAllocation_2022!K227</f>
        <v>0</v>
      </c>
      <c r="K249" s="75">
        <f>K18*LengthAllocation_2022!L227</f>
        <v>0</v>
      </c>
      <c r="L249" s="42"/>
    </row>
    <row r="250" spans="1:15" x14ac:dyDescent="0.35">
      <c r="A250" s="114" t="s">
        <v>43</v>
      </c>
      <c r="B250" s="75">
        <f>B19*LengthAllocation_2022!C228</f>
        <v>0</v>
      </c>
      <c r="C250" s="75">
        <f>C19*LengthAllocation_2022!D228</f>
        <v>0</v>
      </c>
      <c r="D250" s="75">
        <f>D19*LengthAllocation_2022!E228</f>
        <v>0</v>
      </c>
      <c r="E250" s="75">
        <f>E19*LengthAllocation_2022!F228</f>
        <v>0</v>
      </c>
      <c r="F250" s="75">
        <f>F19*LengthAllocation_2022!G228</f>
        <v>0</v>
      </c>
      <c r="G250" s="75">
        <f>G19*LengthAllocation_2022!H228</f>
        <v>0</v>
      </c>
      <c r="H250" s="85">
        <f>H19*LengthAllocation_2022!I228</f>
        <v>0</v>
      </c>
      <c r="I250" s="75">
        <f>I19*LengthAllocation_2022!J228</f>
        <v>0</v>
      </c>
      <c r="J250" s="75">
        <f>J19*LengthAllocation_2022!K228</f>
        <v>0</v>
      </c>
      <c r="K250" s="75">
        <f>K19*LengthAllocation_2022!L228</f>
        <v>0</v>
      </c>
      <c r="L250" s="42"/>
    </row>
    <row r="251" spans="1:15" x14ac:dyDescent="0.35">
      <c r="A251" s="114" t="s">
        <v>44</v>
      </c>
      <c r="B251" s="75">
        <f>B20*LengthAllocation_2022!C229</f>
        <v>0</v>
      </c>
      <c r="C251" s="75">
        <f>C20*LengthAllocation_2022!D229</f>
        <v>0</v>
      </c>
      <c r="D251" s="75">
        <f>D20*LengthAllocation_2022!E229</f>
        <v>0</v>
      </c>
      <c r="E251" s="75">
        <f>E20*LengthAllocation_2022!F229</f>
        <v>0</v>
      </c>
      <c r="F251" s="75">
        <f>F20*LengthAllocation_2022!G229</f>
        <v>0</v>
      </c>
      <c r="G251" s="75">
        <f>G20*LengthAllocation_2022!H229</f>
        <v>0</v>
      </c>
      <c r="H251" s="85">
        <f>H20*LengthAllocation_2022!I229</f>
        <v>0</v>
      </c>
      <c r="I251" s="75">
        <f>I20*LengthAllocation_2022!J229</f>
        <v>0</v>
      </c>
      <c r="J251" s="75">
        <f>J20*LengthAllocation_2022!K229</f>
        <v>0</v>
      </c>
      <c r="K251" s="75">
        <f>K20*LengthAllocation_2022!L229</f>
        <v>0</v>
      </c>
      <c r="L251" s="42"/>
      <c r="O251" s="8"/>
    </row>
    <row r="252" spans="1:15" x14ac:dyDescent="0.35">
      <c r="A252" s="114" t="s">
        <v>45</v>
      </c>
      <c r="B252" s="75">
        <f>B21*LengthAllocation_2022!C230</f>
        <v>0</v>
      </c>
      <c r="C252" s="75">
        <f>C21*LengthAllocation_2022!D230</f>
        <v>0</v>
      </c>
      <c r="D252" s="75">
        <f>D21*LengthAllocation_2022!E230</f>
        <v>0</v>
      </c>
      <c r="E252" s="75">
        <f>E21*LengthAllocation_2022!F230</f>
        <v>0</v>
      </c>
      <c r="F252" s="75">
        <f>F21*LengthAllocation_2022!G230</f>
        <v>0</v>
      </c>
      <c r="G252" s="75">
        <f>G21*LengthAllocation_2022!H230</f>
        <v>0</v>
      </c>
      <c r="H252" s="85">
        <f>H21*LengthAllocation_2022!I230</f>
        <v>0</v>
      </c>
      <c r="I252" s="75">
        <f>I21*LengthAllocation_2022!J230</f>
        <v>0</v>
      </c>
      <c r="J252" s="75">
        <f>J21*LengthAllocation_2022!K230</f>
        <v>0</v>
      </c>
      <c r="K252" s="75">
        <f>K21*LengthAllocation_2022!L230</f>
        <v>0</v>
      </c>
      <c r="L252" s="42"/>
    </row>
    <row r="253" spans="1:15" x14ac:dyDescent="0.35">
      <c r="A253" s="114" t="s">
        <v>46</v>
      </c>
      <c r="B253" s="75">
        <f>B22*LengthAllocation_2022!C231</f>
        <v>0</v>
      </c>
      <c r="C253" s="75">
        <f>C22*LengthAllocation_2022!D231</f>
        <v>0</v>
      </c>
      <c r="D253" s="75">
        <f>D22*LengthAllocation_2022!E231</f>
        <v>0</v>
      </c>
      <c r="E253" s="75">
        <f>E22*LengthAllocation_2022!F231</f>
        <v>0</v>
      </c>
      <c r="F253" s="75">
        <f>F22*LengthAllocation_2022!G231</f>
        <v>0</v>
      </c>
      <c r="G253" s="75">
        <f>G22*LengthAllocation_2022!H231</f>
        <v>0</v>
      </c>
      <c r="H253" s="85">
        <f>H22*LengthAllocation_2022!I231</f>
        <v>0</v>
      </c>
      <c r="I253" s="75">
        <f>I22*LengthAllocation_2022!J231</f>
        <v>0</v>
      </c>
      <c r="J253" s="75">
        <f>J22*LengthAllocation_2022!K231</f>
        <v>0</v>
      </c>
      <c r="K253" s="75">
        <f>K22*LengthAllocation_2022!L231</f>
        <v>0</v>
      </c>
      <c r="L253" s="42"/>
    </row>
    <row r="254" spans="1:15" x14ac:dyDescent="0.35">
      <c r="A254" s="114" t="s">
        <v>47</v>
      </c>
      <c r="B254" s="75">
        <f>B23*LengthAllocation_2022!C232</f>
        <v>0</v>
      </c>
      <c r="C254" s="75">
        <f>C23*LengthAllocation_2022!D232</f>
        <v>0</v>
      </c>
      <c r="D254" s="75">
        <f>D23*LengthAllocation_2022!E232</f>
        <v>0</v>
      </c>
      <c r="E254" s="75">
        <f>E23*LengthAllocation_2022!F232</f>
        <v>0</v>
      </c>
      <c r="F254" s="75">
        <f>F23*LengthAllocation_2022!G232</f>
        <v>0</v>
      </c>
      <c r="G254" s="75">
        <f>G23*LengthAllocation_2022!H232</f>
        <v>0</v>
      </c>
      <c r="H254" s="85">
        <f>H23*LengthAllocation_2022!I232</f>
        <v>0</v>
      </c>
      <c r="I254" s="75">
        <f>I23*LengthAllocation_2022!J232</f>
        <v>0</v>
      </c>
      <c r="J254" s="75">
        <f>J23*LengthAllocation_2022!K232</f>
        <v>0</v>
      </c>
      <c r="K254" s="75">
        <f>K23*LengthAllocation_2022!L232</f>
        <v>0</v>
      </c>
      <c r="L254" s="42"/>
    </row>
    <row r="255" spans="1:15" x14ac:dyDescent="0.35">
      <c r="A255" s="114" t="s">
        <v>48</v>
      </c>
      <c r="B255" s="75">
        <f>B24*LengthAllocation_2022!C233</f>
        <v>0</v>
      </c>
      <c r="C255" s="75">
        <f>C24*LengthAllocation_2022!D233</f>
        <v>0</v>
      </c>
      <c r="D255" s="75">
        <f>D24*LengthAllocation_2022!E233</f>
        <v>0</v>
      </c>
      <c r="E255" s="75">
        <f>E24*LengthAllocation_2022!F233</f>
        <v>0</v>
      </c>
      <c r="F255" s="75">
        <f>F24*LengthAllocation_2022!G233</f>
        <v>0</v>
      </c>
      <c r="G255" s="75">
        <f>G24*LengthAllocation_2022!H233</f>
        <v>0</v>
      </c>
      <c r="H255" s="85">
        <f>H24*LengthAllocation_2022!I233</f>
        <v>0</v>
      </c>
      <c r="I255" s="75">
        <f>I24*LengthAllocation_2022!J233</f>
        <v>0</v>
      </c>
      <c r="J255" s="75">
        <f>J24*LengthAllocation_2022!K233</f>
        <v>0</v>
      </c>
      <c r="K255" s="75">
        <f>K24*LengthAllocation_2022!L233</f>
        <v>0</v>
      </c>
      <c r="L255" s="42"/>
    </row>
    <row r="256" spans="1:15" x14ac:dyDescent="0.35">
      <c r="A256" s="114" t="s">
        <v>49</v>
      </c>
      <c r="B256" s="75">
        <f>B25*LengthAllocation_2022!C234</f>
        <v>0</v>
      </c>
      <c r="C256" s="75">
        <f>C25*LengthAllocation_2022!D234</f>
        <v>0</v>
      </c>
      <c r="D256" s="75">
        <f>D25*LengthAllocation_2022!E234</f>
        <v>0</v>
      </c>
      <c r="E256" s="75">
        <f>E25*LengthAllocation_2022!F234</f>
        <v>0</v>
      </c>
      <c r="F256" s="75">
        <f>F25*LengthAllocation_2022!G234</f>
        <v>0</v>
      </c>
      <c r="G256" s="75">
        <f>G25*LengthAllocation_2022!H234</f>
        <v>0</v>
      </c>
      <c r="H256" s="85">
        <f>H25*LengthAllocation_2022!I234</f>
        <v>0</v>
      </c>
      <c r="I256" s="75">
        <f>I25*LengthAllocation_2022!J234</f>
        <v>0</v>
      </c>
      <c r="J256" s="75">
        <f>J25*LengthAllocation_2022!K234</f>
        <v>0</v>
      </c>
      <c r="K256" s="75">
        <f>K25*LengthAllocation_2022!L234</f>
        <v>0</v>
      </c>
      <c r="L256" s="42"/>
    </row>
    <row r="257" spans="1:12" x14ac:dyDescent="0.35">
      <c r="A257" s="114" t="s">
        <v>50</v>
      </c>
      <c r="B257" s="75">
        <f>B26*LengthAllocation_2022!C235</f>
        <v>0</v>
      </c>
      <c r="C257" s="75">
        <f>C26*LengthAllocation_2022!D235</f>
        <v>0</v>
      </c>
      <c r="D257" s="75">
        <f>D26*LengthAllocation_2022!E235</f>
        <v>0</v>
      </c>
      <c r="E257" s="75">
        <f>E26*LengthAllocation_2022!F235</f>
        <v>0</v>
      </c>
      <c r="F257" s="75">
        <f>F26*LengthAllocation_2022!G235</f>
        <v>0</v>
      </c>
      <c r="G257" s="75">
        <f>G26*LengthAllocation_2022!H235</f>
        <v>0</v>
      </c>
      <c r="H257" s="85">
        <f>H26*LengthAllocation_2022!I235</f>
        <v>0</v>
      </c>
      <c r="I257" s="75">
        <f>I26*LengthAllocation_2022!J235</f>
        <v>0</v>
      </c>
      <c r="J257" s="75">
        <f>J26*LengthAllocation_2022!K235</f>
        <v>0</v>
      </c>
      <c r="K257" s="75">
        <f>K26*LengthAllocation_2022!L235</f>
        <v>0</v>
      </c>
      <c r="L257" s="42"/>
    </row>
    <row r="258" spans="1:12" x14ac:dyDescent="0.35">
      <c r="A258" s="114" t="s">
        <v>51</v>
      </c>
      <c r="B258" s="75">
        <f>B27*LengthAllocation_2022!C236</f>
        <v>0</v>
      </c>
      <c r="C258" s="75">
        <f>C27*LengthAllocation_2022!D236</f>
        <v>0</v>
      </c>
      <c r="D258" s="75">
        <f>D27*LengthAllocation_2022!E236</f>
        <v>0</v>
      </c>
      <c r="E258" s="75">
        <f>E27*LengthAllocation_2022!F236</f>
        <v>0</v>
      </c>
      <c r="F258" s="75">
        <f>F27*LengthAllocation_2022!G236</f>
        <v>0</v>
      </c>
      <c r="G258" s="75">
        <f>G27*LengthAllocation_2022!H236</f>
        <v>0</v>
      </c>
      <c r="H258" s="85">
        <f>H27*LengthAllocation_2022!I236</f>
        <v>0</v>
      </c>
      <c r="I258" s="75">
        <f>I27*LengthAllocation_2022!J236</f>
        <v>0</v>
      </c>
      <c r="J258" s="75">
        <f>J27*LengthAllocation_2022!K236</f>
        <v>0</v>
      </c>
      <c r="K258" s="75">
        <f>K27*LengthAllocation_2022!L236</f>
        <v>0</v>
      </c>
      <c r="L258" s="42"/>
    </row>
    <row r="259" spans="1:12" x14ac:dyDescent="0.35">
      <c r="A259" s="115" t="s">
        <v>52</v>
      </c>
      <c r="B259" s="75">
        <f>B28*LengthAllocation_2022!C237</f>
        <v>0</v>
      </c>
      <c r="C259" s="75">
        <f>C28*LengthAllocation_2022!D237</f>
        <v>0</v>
      </c>
      <c r="D259" s="75">
        <f>D28*LengthAllocation_2022!E237</f>
        <v>0</v>
      </c>
      <c r="E259" s="75">
        <f>E28*LengthAllocation_2022!F237</f>
        <v>0</v>
      </c>
      <c r="F259" s="75">
        <f>F28*LengthAllocation_2022!G237</f>
        <v>0</v>
      </c>
      <c r="G259" s="75">
        <f>G28*LengthAllocation_2022!H237</f>
        <v>0</v>
      </c>
      <c r="H259" s="75">
        <f>H28*LengthAllocation_2022!I237</f>
        <v>0</v>
      </c>
      <c r="I259" s="86">
        <f>I28*LengthAllocation_2022!J237</f>
        <v>0</v>
      </c>
      <c r="J259" s="75">
        <f>J28*LengthAllocation_2022!K237</f>
        <v>0</v>
      </c>
      <c r="K259" s="75">
        <f>K28*LengthAllocation_2022!L237</f>
        <v>0</v>
      </c>
      <c r="L259" s="42"/>
    </row>
    <row r="260" spans="1:12" x14ac:dyDescent="0.35">
      <c r="A260" s="115" t="s">
        <v>53</v>
      </c>
      <c r="B260" s="75">
        <f>B29*LengthAllocation_2022!C238</f>
        <v>0</v>
      </c>
      <c r="C260" s="75">
        <f>C29*LengthAllocation_2022!D238</f>
        <v>0</v>
      </c>
      <c r="D260" s="75">
        <f>D29*LengthAllocation_2022!E238</f>
        <v>0</v>
      </c>
      <c r="E260" s="75">
        <f>E29*LengthAllocation_2022!F238</f>
        <v>0</v>
      </c>
      <c r="F260" s="75">
        <f>F29*LengthAllocation_2022!G238</f>
        <v>0</v>
      </c>
      <c r="G260" s="75">
        <f>G29*LengthAllocation_2022!H238</f>
        <v>0</v>
      </c>
      <c r="H260" s="75">
        <f>H29*LengthAllocation_2022!I238</f>
        <v>0</v>
      </c>
      <c r="I260" s="86">
        <f>I29*LengthAllocation_2022!J238</f>
        <v>0</v>
      </c>
      <c r="J260" s="75">
        <f>J29*LengthAllocation_2022!K238</f>
        <v>0</v>
      </c>
      <c r="K260" s="75">
        <f>K29*LengthAllocation_2022!L238</f>
        <v>0</v>
      </c>
      <c r="L260" s="42"/>
    </row>
    <row r="261" spans="1:12" x14ac:dyDescent="0.35">
      <c r="A261" s="115" t="s">
        <v>54</v>
      </c>
      <c r="B261" s="75">
        <f>B30*LengthAllocation_2022!C239</f>
        <v>0</v>
      </c>
      <c r="C261" s="75">
        <f>C30*LengthAllocation_2022!D239</f>
        <v>0</v>
      </c>
      <c r="D261" s="75">
        <f>D30*LengthAllocation_2022!E239</f>
        <v>0</v>
      </c>
      <c r="E261" s="75">
        <f>E30*LengthAllocation_2022!F239</f>
        <v>0</v>
      </c>
      <c r="F261" s="75">
        <f>F30*LengthAllocation_2022!G239</f>
        <v>0</v>
      </c>
      <c r="G261" s="75">
        <f>G30*LengthAllocation_2022!H239</f>
        <v>0</v>
      </c>
      <c r="H261" s="75">
        <f>H30*LengthAllocation_2022!I239</f>
        <v>0</v>
      </c>
      <c r="I261" s="86">
        <f>I30*LengthAllocation_2022!J239</f>
        <v>0</v>
      </c>
      <c r="J261" s="75">
        <f>J30*LengthAllocation_2022!K239</f>
        <v>0</v>
      </c>
      <c r="K261" s="75">
        <f>K30*LengthAllocation_2022!L239</f>
        <v>0</v>
      </c>
      <c r="L261" s="42"/>
    </row>
    <row r="262" spans="1:12" x14ac:dyDescent="0.35">
      <c r="A262" s="115" t="s">
        <v>55</v>
      </c>
      <c r="B262" s="75">
        <f>B31*LengthAllocation_2022!C240</f>
        <v>0</v>
      </c>
      <c r="C262" s="75">
        <f>C31*LengthAllocation_2022!D240</f>
        <v>0</v>
      </c>
      <c r="D262" s="75">
        <f>D31*LengthAllocation_2022!E240</f>
        <v>0</v>
      </c>
      <c r="E262" s="75">
        <f>E31*LengthAllocation_2022!F240</f>
        <v>0</v>
      </c>
      <c r="F262" s="75">
        <f>F31*LengthAllocation_2022!G240</f>
        <v>0</v>
      </c>
      <c r="G262" s="75">
        <f>G31*LengthAllocation_2022!H240</f>
        <v>0</v>
      </c>
      <c r="H262" s="75">
        <f>H31*LengthAllocation_2022!I240</f>
        <v>0</v>
      </c>
      <c r="I262" s="86">
        <f>I31*LengthAllocation_2022!J240</f>
        <v>0</v>
      </c>
      <c r="J262" s="75">
        <f>J31*LengthAllocation_2022!K240</f>
        <v>0</v>
      </c>
      <c r="K262" s="75">
        <f>K31*LengthAllocation_2022!L240</f>
        <v>0</v>
      </c>
      <c r="L262" s="42"/>
    </row>
    <row r="263" spans="1:12" x14ac:dyDescent="0.35">
      <c r="A263" s="115" t="s">
        <v>56</v>
      </c>
      <c r="B263" s="75">
        <f>B32*LengthAllocation_2022!C241</f>
        <v>0</v>
      </c>
      <c r="C263" s="75">
        <f>C32*LengthAllocation_2022!D241</f>
        <v>0</v>
      </c>
      <c r="D263" s="75">
        <f>D32*LengthAllocation_2022!E241</f>
        <v>0</v>
      </c>
      <c r="E263" s="75">
        <f>E32*LengthAllocation_2022!F241</f>
        <v>0</v>
      </c>
      <c r="F263" s="75">
        <f>F32*LengthAllocation_2022!G241</f>
        <v>0</v>
      </c>
      <c r="G263" s="75">
        <f>G32*LengthAllocation_2022!H241</f>
        <v>0</v>
      </c>
      <c r="H263" s="75">
        <f>H32*LengthAllocation_2022!I241</f>
        <v>0</v>
      </c>
      <c r="I263" s="86">
        <f>I32*LengthAllocation_2022!J241</f>
        <v>0</v>
      </c>
      <c r="J263" s="75">
        <f>J32*LengthAllocation_2022!K241</f>
        <v>0</v>
      </c>
      <c r="K263" s="75">
        <f>K32*LengthAllocation_2022!L241</f>
        <v>0</v>
      </c>
      <c r="L263" s="42"/>
    </row>
    <row r="264" spans="1:12" x14ac:dyDescent="0.35">
      <c r="A264" s="115" t="s">
        <v>57</v>
      </c>
      <c r="B264" s="75">
        <f>B33*LengthAllocation_2022!C242</f>
        <v>0</v>
      </c>
      <c r="C264" s="75">
        <f>C33*LengthAllocation_2022!D242</f>
        <v>0</v>
      </c>
      <c r="D264" s="75">
        <f>D33*LengthAllocation_2022!E242</f>
        <v>0</v>
      </c>
      <c r="E264" s="75">
        <f>E33*LengthAllocation_2022!F242</f>
        <v>0</v>
      </c>
      <c r="F264" s="75">
        <f>F33*LengthAllocation_2022!G242</f>
        <v>0</v>
      </c>
      <c r="G264" s="75">
        <f>G33*LengthAllocation_2022!H242</f>
        <v>0</v>
      </c>
      <c r="H264" s="75">
        <f>H33*LengthAllocation_2022!I242</f>
        <v>0</v>
      </c>
      <c r="I264" s="86">
        <f>I33*LengthAllocation_2022!J242</f>
        <v>0</v>
      </c>
      <c r="J264" s="75">
        <f>J33*LengthAllocation_2022!K242</f>
        <v>0</v>
      </c>
      <c r="K264" s="75">
        <f>K33*LengthAllocation_2022!L242</f>
        <v>0</v>
      </c>
      <c r="L264" s="42"/>
    </row>
    <row r="265" spans="1:12" x14ac:dyDescent="0.35">
      <c r="A265" s="115" t="s">
        <v>58</v>
      </c>
      <c r="B265" s="75">
        <f>B34*LengthAllocation_2022!C243</f>
        <v>0</v>
      </c>
      <c r="C265" s="75">
        <f>C34*LengthAllocation_2022!D243</f>
        <v>0</v>
      </c>
      <c r="D265" s="75">
        <f>D34*LengthAllocation_2022!E243</f>
        <v>0</v>
      </c>
      <c r="E265" s="75">
        <f>E34*LengthAllocation_2022!F243</f>
        <v>0</v>
      </c>
      <c r="F265" s="75">
        <f>F34*LengthAllocation_2022!G243</f>
        <v>0</v>
      </c>
      <c r="G265" s="75">
        <f>G34*LengthAllocation_2022!H243</f>
        <v>0</v>
      </c>
      <c r="H265" s="75">
        <f>H34*LengthAllocation_2022!I243</f>
        <v>0</v>
      </c>
      <c r="I265" s="86">
        <f>I34*LengthAllocation_2022!J243</f>
        <v>0</v>
      </c>
      <c r="J265" s="75">
        <f>J34*LengthAllocation_2022!K243</f>
        <v>0</v>
      </c>
      <c r="K265" s="75">
        <f>K34*LengthAllocation_2022!L243</f>
        <v>0</v>
      </c>
      <c r="L265" s="42"/>
    </row>
    <row r="266" spans="1:12" x14ac:dyDescent="0.35">
      <c r="A266" s="115" t="s">
        <v>59</v>
      </c>
      <c r="B266" s="75">
        <f>B35*LengthAllocation_2022!C244</f>
        <v>0</v>
      </c>
      <c r="C266" s="75">
        <f>C35*LengthAllocation_2022!D244</f>
        <v>0</v>
      </c>
      <c r="D266" s="79">
        <f>D35*LengthAllocation_2022!E244</f>
        <v>0</v>
      </c>
      <c r="E266" s="75">
        <f>E35*LengthAllocation_2022!F244</f>
        <v>0</v>
      </c>
      <c r="F266" s="75">
        <f>F35*LengthAllocation_2022!G244</f>
        <v>0</v>
      </c>
      <c r="G266" s="75">
        <f>G35*LengthAllocation_2022!H244</f>
        <v>0</v>
      </c>
      <c r="H266" s="75">
        <f>H35*LengthAllocation_2022!I244</f>
        <v>0</v>
      </c>
      <c r="I266" s="86">
        <f>I35*LengthAllocation_2022!J244</f>
        <v>0</v>
      </c>
      <c r="J266" s="75">
        <f>J35*LengthAllocation_2022!K244</f>
        <v>0</v>
      </c>
      <c r="K266" s="75">
        <f>K35*LengthAllocation_2022!L244</f>
        <v>0</v>
      </c>
      <c r="L266" s="42"/>
    </row>
    <row r="267" spans="1:12" x14ac:dyDescent="0.35">
      <c r="A267" s="115" t="s">
        <v>60</v>
      </c>
      <c r="B267" s="75">
        <f>B36*LengthAllocation_2022!C245</f>
        <v>0</v>
      </c>
      <c r="C267" s="75">
        <f>C36*LengthAllocation_2022!D245</f>
        <v>0</v>
      </c>
      <c r="D267" s="75">
        <f>D36*LengthAllocation_2022!E245</f>
        <v>0</v>
      </c>
      <c r="E267" s="75">
        <f>E36*LengthAllocation_2022!F245</f>
        <v>0</v>
      </c>
      <c r="F267" s="75">
        <f>F36*LengthAllocation_2022!G245</f>
        <v>0</v>
      </c>
      <c r="G267" s="75">
        <f>G36*LengthAllocation_2022!H245</f>
        <v>0</v>
      </c>
      <c r="H267" s="75">
        <f>H36*LengthAllocation_2022!I245</f>
        <v>0</v>
      </c>
      <c r="I267" s="86">
        <f>I36*LengthAllocation_2022!J245</f>
        <v>0</v>
      </c>
      <c r="J267" s="75">
        <f>J36*LengthAllocation_2022!K245</f>
        <v>0</v>
      </c>
      <c r="K267" s="75">
        <f>K36*LengthAllocation_2022!L245</f>
        <v>0</v>
      </c>
      <c r="L267" s="42"/>
    </row>
    <row r="268" spans="1:12" x14ac:dyDescent="0.35">
      <c r="A268" s="115" t="s">
        <v>61</v>
      </c>
      <c r="B268" s="75">
        <f>B37*LengthAllocation_2022!C246</f>
        <v>0</v>
      </c>
      <c r="C268" s="75">
        <f>C37*LengthAllocation_2022!D246</f>
        <v>0</v>
      </c>
      <c r="D268" s="75">
        <f>D37*LengthAllocation_2022!E246</f>
        <v>0</v>
      </c>
      <c r="E268" s="75">
        <f>E37*LengthAllocation_2022!F246</f>
        <v>0</v>
      </c>
      <c r="F268" s="75">
        <f>F37*LengthAllocation_2022!G246</f>
        <v>0</v>
      </c>
      <c r="G268" s="75">
        <f>G37*LengthAllocation_2022!H246</f>
        <v>0</v>
      </c>
      <c r="H268" s="75">
        <f>H37*LengthAllocation_2022!I246</f>
        <v>0</v>
      </c>
      <c r="I268" s="86">
        <f>I37*LengthAllocation_2022!J246</f>
        <v>8640592.8000000007</v>
      </c>
      <c r="J268" s="75">
        <f>J37*LengthAllocation_2022!K246</f>
        <v>0</v>
      </c>
      <c r="K268" s="75">
        <f>K37*LengthAllocation_2022!L246</f>
        <v>0</v>
      </c>
      <c r="L268" s="42"/>
    </row>
    <row r="269" spans="1:12" x14ac:dyDescent="0.35">
      <c r="A269" s="115" t="s">
        <v>62</v>
      </c>
      <c r="B269" s="75">
        <f>B38*LengthAllocation_2022!C247</f>
        <v>0</v>
      </c>
      <c r="C269" s="75">
        <f>C38*LengthAllocation_2022!D247</f>
        <v>0</v>
      </c>
      <c r="D269" s="75">
        <f>D38*LengthAllocation_2022!E247</f>
        <v>0</v>
      </c>
      <c r="E269" s="75">
        <f>E38*LengthAllocation_2022!F247</f>
        <v>0</v>
      </c>
      <c r="F269" s="75">
        <f>F38*LengthAllocation_2022!G247</f>
        <v>0</v>
      </c>
      <c r="G269" s="75">
        <f>G38*LengthAllocation_2022!H247</f>
        <v>0</v>
      </c>
      <c r="H269" s="75">
        <f>H38*LengthAllocation_2022!I247</f>
        <v>0</v>
      </c>
      <c r="I269" s="86">
        <f>I38*LengthAllocation_2022!J247</f>
        <v>0</v>
      </c>
      <c r="J269" s="75">
        <f>J38*LengthAllocation_2022!K247</f>
        <v>0</v>
      </c>
      <c r="K269" s="75">
        <f>K38*LengthAllocation_2022!L247</f>
        <v>0</v>
      </c>
      <c r="L269" s="42"/>
    </row>
    <row r="270" spans="1:12" x14ac:dyDescent="0.35">
      <c r="A270" s="116" t="s">
        <v>64</v>
      </c>
      <c r="B270" s="75">
        <f>B39*LengthAllocation_2022!C248</f>
        <v>0</v>
      </c>
      <c r="C270" s="75">
        <f>C39*LengthAllocation_2022!D248</f>
        <v>0</v>
      </c>
      <c r="D270" s="75">
        <f>D39*LengthAllocation_2022!E248</f>
        <v>0</v>
      </c>
      <c r="E270" s="75">
        <f>E39*LengthAllocation_2022!F248</f>
        <v>0</v>
      </c>
      <c r="F270" s="75">
        <f>F39*LengthAllocation_2022!G248</f>
        <v>0</v>
      </c>
      <c r="G270" s="75">
        <f>G39*LengthAllocation_2022!H248</f>
        <v>0</v>
      </c>
      <c r="H270" s="75">
        <f>H39*LengthAllocation_2022!I248</f>
        <v>0</v>
      </c>
      <c r="I270" s="75">
        <f>I39*LengthAllocation_2022!J248</f>
        <v>0</v>
      </c>
      <c r="J270" s="80">
        <f>J39*LengthAllocation_2022!K248</f>
        <v>4367809.389041096</v>
      </c>
      <c r="K270" s="75">
        <f>K39*LengthAllocation_2022!L248</f>
        <v>0</v>
      </c>
      <c r="L270" s="42"/>
    </row>
    <row r="271" spans="1:12" x14ac:dyDescent="0.35">
      <c r="A271" s="116" t="s">
        <v>65</v>
      </c>
      <c r="B271" s="75">
        <f>B40*LengthAllocation_2022!C249</f>
        <v>0</v>
      </c>
      <c r="C271" s="75">
        <f>C40*LengthAllocation_2022!D249</f>
        <v>0</v>
      </c>
      <c r="D271" s="75">
        <f>D40*LengthAllocation_2022!E249</f>
        <v>0</v>
      </c>
      <c r="E271" s="75">
        <f>E40*LengthAllocation_2022!F249</f>
        <v>0</v>
      </c>
      <c r="F271" s="75">
        <f>F40*LengthAllocation_2022!G249</f>
        <v>0</v>
      </c>
      <c r="G271" s="75">
        <f>G40*LengthAllocation_2022!H249</f>
        <v>0</v>
      </c>
      <c r="H271" s="75">
        <f>H40*LengthAllocation_2022!I249</f>
        <v>0</v>
      </c>
      <c r="I271" s="75">
        <f>I40*LengthAllocation_2022!J249</f>
        <v>0</v>
      </c>
      <c r="J271" s="80">
        <f>J40*LengthAllocation_2022!K249</f>
        <v>3798837.767123288</v>
      </c>
      <c r="K271" s="75">
        <f>K40*LengthAllocation_2022!L249</f>
        <v>0</v>
      </c>
      <c r="L271" s="42"/>
    </row>
    <row r="272" spans="1:12" ht="15" thickBot="1" x14ac:dyDescent="0.4">
      <c r="A272" s="117" t="s">
        <v>63</v>
      </c>
      <c r="B272" s="95">
        <f>B41*LengthAllocation_2022!C250</f>
        <v>0</v>
      </c>
      <c r="C272" s="95">
        <f>C41*LengthAllocation_2022!D250</f>
        <v>0</v>
      </c>
      <c r="D272" s="95">
        <f>D41*LengthAllocation_2022!E250</f>
        <v>0</v>
      </c>
      <c r="E272" s="95">
        <f>E41*LengthAllocation_2022!F250</f>
        <v>0</v>
      </c>
      <c r="F272" s="95">
        <f>F41*LengthAllocation_2022!G250</f>
        <v>0</v>
      </c>
      <c r="G272" s="95">
        <f>G41*LengthAllocation_2022!H250</f>
        <v>0</v>
      </c>
      <c r="H272" s="95">
        <f>H41*LengthAllocation_2022!I250</f>
        <v>0</v>
      </c>
      <c r="I272" s="95">
        <f>I41*LengthAllocation_2022!J250</f>
        <v>0</v>
      </c>
      <c r="J272" s="95">
        <f>J41*LengthAllocation_2022!K250</f>
        <v>0</v>
      </c>
      <c r="K272" s="96">
        <f>K41*LengthAllocation_2022!L250</f>
        <v>0</v>
      </c>
      <c r="L272" s="52"/>
    </row>
    <row r="273" spans="1:14" ht="15" thickBot="1" x14ac:dyDescent="0.4"/>
    <row r="274" spans="1:14" ht="29" x14ac:dyDescent="0.35">
      <c r="A274" s="106"/>
      <c r="B274" s="87" t="s">
        <v>14</v>
      </c>
      <c r="C274" s="88" t="s">
        <v>15</v>
      </c>
      <c r="D274" s="89" t="s">
        <v>16</v>
      </c>
      <c r="E274" s="90" t="s">
        <v>17</v>
      </c>
      <c r="F274" s="87" t="s">
        <v>18</v>
      </c>
      <c r="G274" s="91" t="s">
        <v>19</v>
      </c>
      <c r="H274" s="92" t="s">
        <v>20</v>
      </c>
      <c r="I274" s="93" t="s">
        <v>21</v>
      </c>
      <c r="J274" s="94" t="s">
        <v>22</v>
      </c>
      <c r="K274" s="87" t="s">
        <v>23</v>
      </c>
      <c r="L274" s="107" t="s">
        <v>76</v>
      </c>
      <c r="M274" s="105"/>
    </row>
    <row r="275" spans="1:14" x14ac:dyDescent="0.35">
      <c r="A275" s="108" t="s">
        <v>72</v>
      </c>
      <c r="L275" s="40">
        <f>SUM(B276:K310)</f>
        <v>82377024.000001058</v>
      </c>
      <c r="M275" s="8"/>
    </row>
    <row r="276" spans="1:14" x14ac:dyDescent="0.35">
      <c r="A276" s="109" t="s">
        <v>32</v>
      </c>
      <c r="B276" s="78">
        <f>B7*LengthAllocation_2022!C254</f>
        <v>0</v>
      </c>
      <c r="C276" s="79">
        <f>C7*LengthAllocation_2022!D254</f>
        <v>0</v>
      </c>
      <c r="D276" s="79">
        <f>D7*LengthAllocation_2022!E254</f>
        <v>0</v>
      </c>
      <c r="E276" s="79">
        <f>E7*LengthAllocation_2022!F254</f>
        <v>0</v>
      </c>
      <c r="F276" s="79">
        <f>F7*LengthAllocation_2022!G254</f>
        <v>0</v>
      </c>
      <c r="G276" s="79">
        <f>G7*LengthAllocation_2022!H254</f>
        <v>0</v>
      </c>
      <c r="H276" s="79">
        <f>H7*LengthAllocation_2022!I254</f>
        <v>0</v>
      </c>
      <c r="I276" s="79">
        <f>I7*LengthAllocation_2022!J254</f>
        <v>0</v>
      </c>
      <c r="J276" s="79">
        <f>J7*LengthAllocation_2022!K254</f>
        <v>0</v>
      </c>
      <c r="K276" s="79">
        <f>K7*LengthAllocation_2022!L254</f>
        <v>0</v>
      </c>
      <c r="L276" s="42"/>
    </row>
    <row r="277" spans="1:14" x14ac:dyDescent="0.35">
      <c r="A277" s="109" t="s">
        <v>33</v>
      </c>
      <c r="B277" s="78">
        <f>B8*LengthAllocation_2022!C255</f>
        <v>0</v>
      </c>
      <c r="C277" s="75">
        <f>C8*LengthAllocation_2022!D255</f>
        <v>0</v>
      </c>
      <c r="D277" s="75">
        <f>D8*LengthAllocation_2022!E255</f>
        <v>0</v>
      </c>
      <c r="E277" s="75">
        <f>E8*LengthAllocation_2022!F255</f>
        <v>0</v>
      </c>
      <c r="F277" s="75">
        <f>F8*LengthAllocation_2022!G255</f>
        <v>0</v>
      </c>
      <c r="G277" s="75">
        <f>G8*LengthAllocation_2022!H255</f>
        <v>0</v>
      </c>
      <c r="H277" s="75">
        <f>H8*LengthAllocation_2022!I255</f>
        <v>0</v>
      </c>
      <c r="I277" s="75">
        <f>I8*LengthAllocation_2022!J255</f>
        <v>0</v>
      </c>
      <c r="J277" s="75">
        <f>J8*LengthAllocation_2022!K255</f>
        <v>0</v>
      </c>
      <c r="K277" s="75">
        <f>K8*LengthAllocation_2022!L255</f>
        <v>0</v>
      </c>
      <c r="L277" s="42"/>
    </row>
    <row r="278" spans="1:14" x14ac:dyDescent="0.35">
      <c r="A278" s="109" t="s">
        <v>34</v>
      </c>
      <c r="B278" s="78">
        <f>B9*LengthAllocation_2022!C256</f>
        <v>0</v>
      </c>
      <c r="C278" s="75">
        <f>C9*LengthAllocation_2022!D256</f>
        <v>0</v>
      </c>
      <c r="D278" s="75">
        <f>D9*LengthAllocation_2022!E256</f>
        <v>0</v>
      </c>
      <c r="E278" s="75">
        <f>E9*LengthAllocation_2022!F256</f>
        <v>0</v>
      </c>
      <c r="F278" s="75">
        <f>F9*LengthAllocation_2022!G256</f>
        <v>0</v>
      </c>
      <c r="G278" s="75">
        <f>G9*LengthAllocation_2022!H256</f>
        <v>0</v>
      </c>
      <c r="H278" s="75">
        <f>H9*LengthAllocation_2022!I256</f>
        <v>0</v>
      </c>
      <c r="I278" s="75">
        <f>I9*LengthAllocation_2022!J256</f>
        <v>0</v>
      </c>
      <c r="J278" s="75">
        <f>J9*LengthAllocation_2022!K256</f>
        <v>0</v>
      </c>
      <c r="K278" s="75">
        <f>K9*LengthAllocation_2022!L256</f>
        <v>0</v>
      </c>
      <c r="L278" s="42"/>
    </row>
    <row r="279" spans="1:14" x14ac:dyDescent="0.35">
      <c r="A279" s="109" t="s">
        <v>35</v>
      </c>
      <c r="B279" s="78">
        <f>B10*LengthAllocation_2022!C257</f>
        <v>0</v>
      </c>
      <c r="C279" s="75">
        <f>C10*LengthAllocation_2022!D257</f>
        <v>0</v>
      </c>
      <c r="D279" s="75">
        <f>D10*LengthAllocation_2022!E257</f>
        <v>0</v>
      </c>
      <c r="E279" s="75">
        <f>E10*LengthAllocation_2022!F257</f>
        <v>0</v>
      </c>
      <c r="F279" s="75">
        <f>F10*LengthAllocation_2022!G257</f>
        <v>0</v>
      </c>
      <c r="G279" s="75">
        <f>G10*LengthAllocation_2022!H257</f>
        <v>0</v>
      </c>
      <c r="H279" s="75">
        <f>H10*LengthAllocation_2022!I257</f>
        <v>0</v>
      </c>
      <c r="I279" s="75">
        <f>I10*LengthAllocation_2022!J257</f>
        <v>0</v>
      </c>
      <c r="J279" s="75">
        <f>J10*LengthAllocation_2022!K257</f>
        <v>0</v>
      </c>
      <c r="K279" s="75">
        <f>K10*LengthAllocation_2022!L257</f>
        <v>0</v>
      </c>
      <c r="L279" s="42"/>
    </row>
    <row r="280" spans="1:14" x14ac:dyDescent="0.35">
      <c r="A280" s="109" t="s">
        <v>36</v>
      </c>
      <c r="B280" s="78">
        <f>B11*LengthAllocation_2022!C258</f>
        <v>0</v>
      </c>
      <c r="C280" s="75">
        <f>C11*LengthAllocation_2022!D258</f>
        <v>0</v>
      </c>
      <c r="D280" s="75">
        <f>D11*LengthAllocation_2022!E258</f>
        <v>0</v>
      </c>
      <c r="E280" s="75">
        <f>E11*LengthAllocation_2022!F258</f>
        <v>0</v>
      </c>
      <c r="F280" s="75">
        <f>F11*LengthAllocation_2022!G258</f>
        <v>0</v>
      </c>
      <c r="G280" s="75">
        <f>G11*LengthAllocation_2022!H258</f>
        <v>0</v>
      </c>
      <c r="H280" s="75">
        <f>H11*LengthAllocation_2022!I258</f>
        <v>0</v>
      </c>
      <c r="I280" s="75">
        <f>I11*LengthAllocation_2022!J258</f>
        <v>0</v>
      </c>
      <c r="J280" s="75">
        <f>J11*LengthAllocation_2022!K258</f>
        <v>0</v>
      </c>
      <c r="K280" s="75">
        <f>K11*LengthAllocation_2022!L258</f>
        <v>0</v>
      </c>
      <c r="L280" s="42"/>
    </row>
    <row r="281" spans="1:14" x14ac:dyDescent="0.35">
      <c r="A281" s="110" t="s">
        <v>37</v>
      </c>
      <c r="B281" s="75">
        <f>B12*LengthAllocation_2022!C259</f>
        <v>0</v>
      </c>
      <c r="C281" s="80">
        <f>C12*LengthAllocation_2022!D259</f>
        <v>0</v>
      </c>
      <c r="D281" s="75">
        <f>D12*LengthAllocation_2022!E259</f>
        <v>0</v>
      </c>
      <c r="E281" s="75">
        <f>E12*LengthAllocation_2022!F259</f>
        <v>0</v>
      </c>
      <c r="F281" s="75">
        <f>F12*LengthAllocation_2022!G259</f>
        <v>0</v>
      </c>
      <c r="G281" s="75">
        <f>G12*LengthAllocation_2022!H259</f>
        <v>0</v>
      </c>
      <c r="H281" s="75">
        <f>H12*LengthAllocation_2022!I259</f>
        <v>0</v>
      </c>
      <c r="I281" s="75">
        <f>I12*LengthAllocation_2022!J259</f>
        <v>0</v>
      </c>
      <c r="J281" s="75">
        <f>J12*LengthAllocation_2022!K259</f>
        <v>0</v>
      </c>
      <c r="K281" s="75">
        <f>K12*LengthAllocation_2022!L259</f>
        <v>0</v>
      </c>
      <c r="L281" s="42"/>
    </row>
    <row r="282" spans="1:14" x14ac:dyDescent="0.35">
      <c r="A282" s="110" t="s">
        <v>38</v>
      </c>
      <c r="B282" s="75">
        <f>B13*LengthAllocation_2022!C260</f>
        <v>0</v>
      </c>
      <c r="C282" s="80">
        <f>C13*LengthAllocation_2022!D260</f>
        <v>0</v>
      </c>
      <c r="D282" s="75">
        <f>D13*LengthAllocation_2022!E260</f>
        <v>0</v>
      </c>
      <c r="E282" s="75">
        <f>E13*LengthAllocation_2022!F260</f>
        <v>0</v>
      </c>
      <c r="F282" s="75">
        <f>F13*LengthAllocation_2022!G260</f>
        <v>0</v>
      </c>
      <c r="G282" s="75">
        <f>G13*LengthAllocation_2022!H260</f>
        <v>0</v>
      </c>
      <c r="H282" s="75">
        <f>H13*LengthAllocation_2022!I260</f>
        <v>0</v>
      </c>
      <c r="I282" s="75">
        <f>I13*LengthAllocation_2022!J260</f>
        <v>0</v>
      </c>
      <c r="J282" s="75">
        <f>J13*LengthAllocation_2022!K260</f>
        <v>0</v>
      </c>
      <c r="K282" s="75">
        <f>K13*LengthAllocation_2022!L260</f>
        <v>0</v>
      </c>
      <c r="L282" s="42"/>
    </row>
    <row r="283" spans="1:14" x14ac:dyDescent="0.35">
      <c r="A283" s="111" t="s">
        <v>39</v>
      </c>
      <c r="B283" s="75">
        <f>B14*LengthAllocation_2022!C261</f>
        <v>0</v>
      </c>
      <c r="C283" s="75">
        <f>C14*LengthAllocation_2022!D261</f>
        <v>0</v>
      </c>
      <c r="D283" s="81">
        <f>D14*LengthAllocation_2022!E261</f>
        <v>5568000</v>
      </c>
      <c r="E283" s="75">
        <f>E14*LengthAllocation_2022!F261</f>
        <v>0</v>
      </c>
      <c r="F283" s="75">
        <f>F14*LengthAllocation_2022!G261</f>
        <v>0</v>
      </c>
      <c r="G283" s="75">
        <f>G14*LengthAllocation_2022!H261</f>
        <v>0</v>
      </c>
      <c r="H283" s="75">
        <f>H14*LengthAllocation_2022!I261</f>
        <v>0</v>
      </c>
      <c r="I283" s="75">
        <f>I14*LengthAllocation_2022!J261</f>
        <v>0</v>
      </c>
      <c r="J283" s="75">
        <f>J14*LengthAllocation_2022!K261</f>
        <v>0</v>
      </c>
      <c r="K283" s="75">
        <f>K14*LengthAllocation_2022!L261</f>
        <v>0</v>
      </c>
      <c r="L283" s="42"/>
    </row>
    <row r="284" spans="1:14" x14ac:dyDescent="0.35">
      <c r="A284" s="112" t="s">
        <v>40</v>
      </c>
      <c r="B284" s="75">
        <f>B15*LengthAllocation_2022!C262</f>
        <v>0</v>
      </c>
      <c r="C284" s="75">
        <f>C15*LengthAllocation_2022!D262</f>
        <v>0</v>
      </c>
      <c r="D284" s="75">
        <f>D15*LengthAllocation_2022!E262</f>
        <v>0</v>
      </c>
      <c r="E284" s="82">
        <f>E15*LengthAllocation_2022!F262</f>
        <v>0</v>
      </c>
      <c r="F284" s="75">
        <f>F15*LengthAllocation_2022!G262</f>
        <v>0</v>
      </c>
      <c r="G284" s="75">
        <f>G15*LengthAllocation_2022!H262</f>
        <v>0</v>
      </c>
      <c r="H284" s="75">
        <f>H15*LengthAllocation_2022!I262</f>
        <v>0</v>
      </c>
      <c r="I284" s="75">
        <f>I15*LengthAllocation_2022!J262</f>
        <v>0</v>
      </c>
      <c r="J284" s="75">
        <f>J15*LengthAllocation_2022!K262</f>
        <v>0</v>
      </c>
      <c r="K284" s="75">
        <f>K15*LengthAllocation_2022!L262</f>
        <v>0</v>
      </c>
      <c r="L284" s="42"/>
    </row>
    <row r="285" spans="1:14" x14ac:dyDescent="0.35">
      <c r="A285" s="112" t="s">
        <v>41</v>
      </c>
      <c r="B285" s="75">
        <f>B16*LengthAllocation_2022!C263</f>
        <v>0</v>
      </c>
      <c r="C285" s="75">
        <f>C16*LengthAllocation_2022!D263</f>
        <v>0</v>
      </c>
      <c r="D285" s="75">
        <f>D16*LengthAllocation_2022!E263</f>
        <v>0</v>
      </c>
      <c r="E285" s="82">
        <f>E16*LengthAllocation_2022!F263</f>
        <v>0</v>
      </c>
      <c r="F285" s="75">
        <f>F16*LengthAllocation_2022!G263</f>
        <v>0</v>
      </c>
      <c r="G285" s="75">
        <f>G16*LengthAllocation_2022!H263</f>
        <v>0</v>
      </c>
      <c r="H285" s="75">
        <f>H16*LengthAllocation_2022!I263</f>
        <v>0</v>
      </c>
      <c r="I285" s="75">
        <f>I16*LengthAllocation_2022!J263</f>
        <v>0</v>
      </c>
      <c r="J285" s="75">
        <f>J16*LengthAllocation_2022!K263</f>
        <v>0</v>
      </c>
      <c r="K285" s="75">
        <f>K16*LengthAllocation_2022!L263</f>
        <v>0</v>
      </c>
      <c r="L285" s="42"/>
      <c r="N285" s="8"/>
    </row>
    <row r="286" spans="1:14" x14ac:dyDescent="0.35">
      <c r="A286" s="109" t="s">
        <v>18</v>
      </c>
      <c r="B286" s="75">
        <f>B17*LengthAllocation_2022!C264</f>
        <v>0</v>
      </c>
      <c r="C286" s="75">
        <f>C17*LengthAllocation_2022!D264</f>
        <v>0</v>
      </c>
      <c r="D286" s="75">
        <f>D17*LengthAllocation_2022!E264</f>
        <v>0</v>
      </c>
      <c r="E286" s="75">
        <f>E17*LengthAllocation_2022!F264</f>
        <v>0</v>
      </c>
      <c r="F286" s="83">
        <f>F17*LengthAllocation_2022!G264</f>
        <v>0</v>
      </c>
      <c r="G286" s="75">
        <f>G17*LengthAllocation_2022!H264</f>
        <v>0</v>
      </c>
      <c r="H286" s="75">
        <f>H17*LengthAllocation_2022!I264</f>
        <v>0</v>
      </c>
      <c r="I286" s="75">
        <f>I17*LengthAllocation_2022!J264</f>
        <v>0</v>
      </c>
      <c r="J286" s="75">
        <f>J17*LengthAllocation_2022!K264</f>
        <v>0</v>
      </c>
      <c r="K286" s="75">
        <f>K17*LengthAllocation_2022!L264</f>
        <v>0</v>
      </c>
      <c r="L286" s="42"/>
    </row>
    <row r="287" spans="1:14" x14ac:dyDescent="0.35">
      <c r="A287" s="113" t="s">
        <v>42</v>
      </c>
      <c r="B287" s="75">
        <f>B18*LengthAllocation_2022!C265</f>
        <v>0</v>
      </c>
      <c r="C287" s="75">
        <f>C18*LengthAllocation_2022!D265</f>
        <v>0</v>
      </c>
      <c r="D287" s="75">
        <f>D18*LengthAllocation_2022!E265</f>
        <v>0</v>
      </c>
      <c r="E287" s="75">
        <f>E18*LengthAllocation_2022!F265</f>
        <v>0</v>
      </c>
      <c r="F287" s="75">
        <f>F18*LengthAllocation_2022!G265</f>
        <v>0</v>
      </c>
      <c r="G287" s="84">
        <f>G18*LengthAllocation_2022!H265</f>
        <v>76809024.000001058</v>
      </c>
      <c r="H287" s="75">
        <f>H18*LengthAllocation_2022!I265</f>
        <v>0</v>
      </c>
      <c r="I287" s="75">
        <f>I18*LengthAllocation_2022!J265</f>
        <v>0</v>
      </c>
      <c r="J287" s="75">
        <f>J18*LengthAllocation_2022!K265</f>
        <v>0</v>
      </c>
      <c r="K287" s="75">
        <f>K18*LengthAllocation_2022!L265</f>
        <v>0</v>
      </c>
      <c r="L287" s="42"/>
    </row>
    <row r="288" spans="1:14" x14ac:dyDescent="0.35">
      <c r="A288" s="114" t="s">
        <v>43</v>
      </c>
      <c r="B288" s="75">
        <f>B19*LengthAllocation_2022!C266</f>
        <v>0</v>
      </c>
      <c r="C288" s="75">
        <f>C19*LengthAllocation_2022!D266</f>
        <v>0</v>
      </c>
      <c r="D288" s="75">
        <f>D19*LengthAllocation_2022!E266</f>
        <v>0</v>
      </c>
      <c r="E288" s="75">
        <f>E19*LengthAllocation_2022!F266</f>
        <v>0</v>
      </c>
      <c r="F288" s="75">
        <f>F19*LengthAllocation_2022!G266</f>
        <v>0</v>
      </c>
      <c r="G288" s="75">
        <f>G19*LengthAllocation_2022!H266</f>
        <v>0</v>
      </c>
      <c r="H288" s="85">
        <f>H19*LengthAllocation_2022!I266</f>
        <v>0</v>
      </c>
      <c r="I288" s="75">
        <f>I19*LengthAllocation_2022!J266</f>
        <v>0</v>
      </c>
      <c r="J288" s="75">
        <f>J19*LengthAllocation_2022!K266</f>
        <v>0</v>
      </c>
      <c r="K288" s="75">
        <f>K19*LengthAllocation_2022!L266</f>
        <v>0</v>
      </c>
      <c r="L288" s="42"/>
    </row>
    <row r="289" spans="1:15" x14ac:dyDescent="0.35">
      <c r="A289" s="114" t="s">
        <v>44</v>
      </c>
      <c r="B289" s="75">
        <f>B20*LengthAllocation_2022!C267</f>
        <v>0</v>
      </c>
      <c r="C289" s="75">
        <f>C20*LengthAllocation_2022!D267</f>
        <v>0</v>
      </c>
      <c r="D289" s="75">
        <f>D20*LengthAllocation_2022!E267</f>
        <v>0</v>
      </c>
      <c r="E289" s="75">
        <f>E20*LengthAllocation_2022!F267</f>
        <v>0</v>
      </c>
      <c r="F289" s="75">
        <f>F20*LengthAllocation_2022!G267</f>
        <v>0</v>
      </c>
      <c r="G289" s="75">
        <f>G20*LengthAllocation_2022!H267</f>
        <v>0</v>
      </c>
      <c r="H289" s="85">
        <f>H20*LengthAllocation_2022!I267</f>
        <v>0</v>
      </c>
      <c r="I289" s="75">
        <f>I20*LengthAllocation_2022!J267</f>
        <v>0</v>
      </c>
      <c r="J289" s="75">
        <f>J20*LengthAllocation_2022!K267</f>
        <v>0</v>
      </c>
      <c r="K289" s="75">
        <f>K20*LengthAllocation_2022!L267</f>
        <v>0</v>
      </c>
      <c r="L289" s="42"/>
      <c r="O289" s="8"/>
    </row>
    <row r="290" spans="1:15" x14ac:dyDescent="0.35">
      <c r="A290" s="114" t="s">
        <v>45</v>
      </c>
      <c r="B290" s="75">
        <f>B21*LengthAllocation_2022!C268</f>
        <v>0</v>
      </c>
      <c r="C290" s="75">
        <f>C21*LengthAllocation_2022!D268</f>
        <v>0</v>
      </c>
      <c r="D290" s="75">
        <f>D21*LengthAllocation_2022!E268</f>
        <v>0</v>
      </c>
      <c r="E290" s="75">
        <f>E21*LengthAllocation_2022!F268</f>
        <v>0</v>
      </c>
      <c r="F290" s="75">
        <f>F21*LengthAllocation_2022!G268</f>
        <v>0</v>
      </c>
      <c r="G290" s="75">
        <f>G21*LengthAllocation_2022!H268</f>
        <v>0</v>
      </c>
      <c r="H290" s="85">
        <f>H21*LengthAllocation_2022!I268</f>
        <v>0</v>
      </c>
      <c r="I290" s="75">
        <f>I21*LengthAllocation_2022!J268</f>
        <v>0</v>
      </c>
      <c r="J290" s="75">
        <f>J21*LengthAllocation_2022!K268</f>
        <v>0</v>
      </c>
      <c r="K290" s="75">
        <f>K21*LengthAllocation_2022!L268</f>
        <v>0</v>
      </c>
      <c r="L290" s="42"/>
    </row>
    <row r="291" spans="1:15" x14ac:dyDescent="0.35">
      <c r="A291" s="114" t="s">
        <v>46</v>
      </c>
      <c r="B291" s="75">
        <f>B22*LengthAllocation_2022!C269</f>
        <v>0</v>
      </c>
      <c r="C291" s="75">
        <f>C22*LengthAllocation_2022!D269</f>
        <v>0</v>
      </c>
      <c r="D291" s="75">
        <f>D22*LengthAllocation_2022!E269</f>
        <v>0</v>
      </c>
      <c r="E291" s="75">
        <f>E22*LengthAllocation_2022!F269</f>
        <v>0</v>
      </c>
      <c r="F291" s="75">
        <f>F22*LengthAllocation_2022!G269</f>
        <v>0</v>
      </c>
      <c r="G291" s="75">
        <f>G22*LengthAllocation_2022!H269</f>
        <v>0</v>
      </c>
      <c r="H291" s="85">
        <f>H22*LengthAllocation_2022!I269</f>
        <v>0</v>
      </c>
      <c r="I291" s="75">
        <f>I22*LengthAllocation_2022!J269</f>
        <v>0</v>
      </c>
      <c r="J291" s="75">
        <f>J22*LengthAllocation_2022!K269</f>
        <v>0</v>
      </c>
      <c r="K291" s="75">
        <f>K22*LengthAllocation_2022!L269</f>
        <v>0</v>
      </c>
      <c r="L291" s="42"/>
    </row>
    <row r="292" spans="1:15" x14ac:dyDescent="0.35">
      <c r="A292" s="114" t="s">
        <v>47</v>
      </c>
      <c r="B292" s="75">
        <f>B23*LengthAllocation_2022!C270</f>
        <v>0</v>
      </c>
      <c r="C292" s="75">
        <f>C23*LengthAllocation_2022!D270</f>
        <v>0</v>
      </c>
      <c r="D292" s="75">
        <f>D23*LengthAllocation_2022!E270</f>
        <v>0</v>
      </c>
      <c r="E292" s="75">
        <f>E23*LengthAllocation_2022!F270</f>
        <v>0</v>
      </c>
      <c r="F292" s="75">
        <f>F23*LengthAllocation_2022!G270</f>
        <v>0</v>
      </c>
      <c r="G292" s="75">
        <f>G23*LengthAllocation_2022!H270</f>
        <v>0</v>
      </c>
      <c r="H292" s="85">
        <f>H23*LengthAllocation_2022!I270</f>
        <v>0</v>
      </c>
      <c r="I292" s="75">
        <f>I23*LengthAllocation_2022!J270</f>
        <v>0</v>
      </c>
      <c r="J292" s="75">
        <f>J23*LengthAllocation_2022!K270</f>
        <v>0</v>
      </c>
      <c r="K292" s="75">
        <f>K23*LengthAllocation_2022!L270</f>
        <v>0</v>
      </c>
      <c r="L292" s="42"/>
    </row>
    <row r="293" spans="1:15" x14ac:dyDescent="0.35">
      <c r="A293" s="114" t="s">
        <v>48</v>
      </c>
      <c r="B293" s="75">
        <f>B24*LengthAllocation_2022!C271</f>
        <v>0</v>
      </c>
      <c r="C293" s="75">
        <f>C24*LengthAllocation_2022!D271</f>
        <v>0</v>
      </c>
      <c r="D293" s="75">
        <f>D24*LengthAllocation_2022!E271</f>
        <v>0</v>
      </c>
      <c r="E293" s="75">
        <f>E24*LengthAllocation_2022!F271</f>
        <v>0</v>
      </c>
      <c r="F293" s="75">
        <f>F24*LengthAllocation_2022!G271</f>
        <v>0</v>
      </c>
      <c r="G293" s="75">
        <f>G24*LengthAllocation_2022!H271</f>
        <v>0</v>
      </c>
      <c r="H293" s="85">
        <f>H24*LengthAllocation_2022!I271</f>
        <v>0</v>
      </c>
      <c r="I293" s="75">
        <f>I24*LengthAllocation_2022!J271</f>
        <v>0</v>
      </c>
      <c r="J293" s="75">
        <f>J24*LengthAllocation_2022!K271</f>
        <v>0</v>
      </c>
      <c r="K293" s="75">
        <f>K24*LengthAllocation_2022!L271</f>
        <v>0</v>
      </c>
      <c r="L293" s="42"/>
    </row>
    <row r="294" spans="1:15" x14ac:dyDescent="0.35">
      <c r="A294" s="114" t="s">
        <v>49</v>
      </c>
      <c r="B294" s="75">
        <f>B25*LengthAllocation_2022!C272</f>
        <v>0</v>
      </c>
      <c r="C294" s="75">
        <f>C25*LengthAllocation_2022!D272</f>
        <v>0</v>
      </c>
      <c r="D294" s="75">
        <f>D25*LengthAllocation_2022!E272</f>
        <v>0</v>
      </c>
      <c r="E294" s="75">
        <f>E25*LengthAllocation_2022!F272</f>
        <v>0</v>
      </c>
      <c r="F294" s="75">
        <f>F25*LengthAllocation_2022!G272</f>
        <v>0</v>
      </c>
      <c r="G294" s="75">
        <f>G25*LengthAllocation_2022!H272</f>
        <v>0</v>
      </c>
      <c r="H294" s="85">
        <f>H25*LengthAllocation_2022!I272</f>
        <v>0</v>
      </c>
      <c r="I294" s="75">
        <f>I25*LengthAllocation_2022!J272</f>
        <v>0</v>
      </c>
      <c r="J294" s="75">
        <f>J25*LengthAllocation_2022!K272</f>
        <v>0</v>
      </c>
      <c r="K294" s="75">
        <f>K25*LengthAllocation_2022!L272</f>
        <v>0</v>
      </c>
      <c r="L294" s="42"/>
    </row>
    <row r="295" spans="1:15" x14ac:dyDescent="0.35">
      <c r="A295" s="114" t="s">
        <v>50</v>
      </c>
      <c r="B295" s="75">
        <f>B26*LengthAllocation_2022!C273</f>
        <v>0</v>
      </c>
      <c r="C295" s="75">
        <f>C26*LengthAllocation_2022!D273</f>
        <v>0</v>
      </c>
      <c r="D295" s="75">
        <f>D26*LengthAllocation_2022!E273</f>
        <v>0</v>
      </c>
      <c r="E295" s="75">
        <f>E26*LengthAllocation_2022!F273</f>
        <v>0</v>
      </c>
      <c r="F295" s="75">
        <f>F26*LengthAllocation_2022!G273</f>
        <v>0</v>
      </c>
      <c r="G295" s="75">
        <f>G26*LengthAllocation_2022!H273</f>
        <v>0</v>
      </c>
      <c r="H295" s="85">
        <f>H26*LengthAllocation_2022!I273</f>
        <v>0</v>
      </c>
      <c r="I295" s="75">
        <f>I26*LengthAllocation_2022!J273</f>
        <v>0</v>
      </c>
      <c r="J295" s="75">
        <f>J26*LengthAllocation_2022!K273</f>
        <v>0</v>
      </c>
      <c r="K295" s="75">
        <f>K26*LengthAllocation_2022!L273</f>
        <v>0</v>
      </c>
      <c r="L295" s="42"/>
    </row>
    <row r="296" spans="1:15" x14ac:dyDescent="0.35">
      <c r="A296" s="114" t="s">
        <v>51</v>
      </c>
      <c r="B296" s="75">
        <f>B27*LengthAllocation_2022!C274</f>
        <v>0</v>
      </c>
      <c r="C296" s="75">
        <f>C27*LengthAllocation_2022!D274</f>
        <v>0</v>
      </c>
      <c r="D296" s="75">
        <f>D27*LengthAllocation_2022!E274</f>
        <v>0</v>
      </c>
      <c r="E296" s="75">
        <f>E27*LengthAllocation_2022!F274</f>
        <v>0</v>
      </c>
      <c r="F296" s="75">
        <f>F27*LengthAllocation_2022!G274</f>
        <v>0</v>
      </c>
      <c r="G296" s="75">
        <f>G27*LengthAllocation_2022!H274</f>
        <v>0</v>
      </c>
      <c r="H296" s="85">
        <f>H27*LengthAllocation_2022!I274</f>
        <v>0</v>
      </c>
      <c r="I296" s="75">
        <f>I27*LengthAllocation_2022!J274</f>
        <v>0</v>
      </c>
      <c r="J296" s="75">
        <f>J27*LengthAllocation_2022!K274</f>
        <v>0</v>
      </c>
      <c r="K296" s="75">
        <f>K27*LengthAllocation_2022!L274</f>
        <v>0</v>
      </c>
      <c r="L296" s="42"/>
    </row>
    <row r="297" spans="1:15" x14ac:dyDescent="0.35">
      <c r="A297" s="115" t="s">
        <v>52</v>
      </c>
      <c r="B297" s="75">
        <f>B28*LengthAllocation_2022!C275</f>
        <v>0</v>
      </c>
      <c r="C297" s="75">
        <f>C28*LengthAllocation_2022!D275</f>
        <v>0</v>
      </c>
      <c r="D297" s="75">
        <f>D28*LengthAllocation_2022!E275</f>
        <v>0</v>
      </c>
      <c r="E297" s="75">
        <f>E28*LengthAllocation_2022!F275</f>
        <v>0</v>
      </c>
      <c r="F297" s="75">
        <f>F28*LengthAllocation_2022!G275</f>
        <v>0</v>
      </c>
      <c r="G297" s="75">
        <f>G28*LengthAllocation_2022!H275</f>
        <v>0</v>
      </c>
      <c r="H297" s="75">
        <f>H28*LengthAllocation_2022!I275</f>
        <v>0</v>
      </c>
      <c r="I297" s="86">
        <f>I28*LengthAllocation_2022!J275</f>
        <v>0</v>
      </c>
      <c r="J297" s="75">
        <f>J28*LengthAllocation_2022!K275</f>
        <v>0</v>
      </c>
      <c r="K297" s="75">
        <f>K28*LengthAllocation_2022!L275</f>
        <v>0</v>
      </c>
      <c r="L297" s="42"/>
    </row>
    <row r="298" spans="1:15" x14ac:dyDescent="0.35">
      <c r="A298" s="115" t="s">
        <v>53</v>
      </c>
      <c r="B298" s="75">
        <f>B29*LengthAllocation_2022!C276</f>
        <v>0</v>
      </c>
      <c r="C298" s="75">
        <f>C29*LengthAllocation_2022!D276</f>
        <v>0</v>
      </c>
      <c r="D298" s="75">
        <f>D29*LengthAllocation_2022!E276</f>
        <v>0</v>
      </c>
      <c r="E298" s="75">
        <f>E29*LengthAllocation_2022!F276</f>
        <v>0</v>
      </c>
      <c r="F298" s="75">
        <f>F29*LengthAllocation_2022!G276</f>
        <v>0</v>
      </c>
      <c r="G298" s="75">
        <f>G29*LengthAllocation_2022!H276</f>
        <v>0</v>
      </c>
      <c r="H298" s="75">
        <f>H29*LengthAllocation_2022!I276</f>
        <v>0</v>
      </c>
      <c r="I298" s="86">
        <f>I29*LengthAllocation_2022!J276</f>
        <v>0</v>
      </c>
      <c r="J298" s="75">
        <f>J29*LengthAllocation_2022!K276</f>
        <v>0</v>
      </c>
      <c r="K298" s="75">
        <f>K29*LengthAllocation_2022!L276</f>
        <v>0</v>
      </c>
      <c r="L298" s="42"/>
    </row>
    <row r="299" spans="1:15" x14ac:dyDescent="0.35">
      <c r="A299" s="115" t="s">
        <v>54</v>
      </c>
      <c r="B299" s="75">
        <f>B30*LengthAllocation_2022!C277</f>
        <v>0</v>
      </c>
      <c r="C299" s="75">
        <f>C30*LengthAllocation_2022!D277</f>
        <v>0</v>
      </c>
      <c r="D299" s="75">
        <f>D30*LengthAllocation_2022!E277</f>
        <v>0</v>
      </c>
      <c r="E299" s="75">
        <f>E30*LengthAllocation_2022!F277</f>
        <v>0</v>
      </c>
      <c r="F299" s="75">
        <f>F30*LengthAllocation_2022!G277</f>
        <v>0</v>
      </c>
      <c r="G299" s="75">
        <f>G30*LengthAllocation_2022!H277</f>
        <v>0</v>
      </c>
      <c r="H299" s="75">
        <f>H30*LengthAllocation_2022!I277</f>
        <v>0</v>
      </c>
      <c r="I299" s="86">
        <f>I30*LengthAllocation_2022!J277</f>
        <v>0</v>
      </c>
      <c r="J299" s="75">
        <f>J30*LengthAllocation_2022!K277</f>
        <v>0</v>
      </c>
      <c r="K299" s="75">
        <f>K30*LengthAllocation_2022!L277</f>
        <v>0</v>
      </c>
      <c r="L299" s="42"/>
    </row>
    <row r="300" spans="1:15" x14ac:dyDescent="0.35">
      <c r="A300" s="115" t="s">
        <v>55</v>
      </c>
      <c r="B300" s="75">
        <f>B31*LengthAllocation_2022!C278</f>
        <v>0</v>
      </c>
      <c r="C300" s="75">
        <f>C31*LengthAllocation_2022!D278</f>
        <v>0</v>
      </c>
      <c r="D300" s="75">
        <f>D31*LengthAllocation_2022!E278</f>
        <v>0</v>
      </c>
      <c r="E300" s="75">
        <f>E31*LengthAllocation_2022!F278</f>
        <v>0</v>
      </c>
      <c r="F300" s="75">
        <f>F31*LengthAllocation_2022!G278</f>
        <v>0</v>
      </c>
      <c r="G300" s="75">
        <f>G31*LengthAllocation_2022!H278</f>
        <v>0</v>
      </c>
      <c r="H300" s="75">
        <f>H31*LengthAllocation_2022!I278</f>
        <v>0</v>
      </c>
      <c r="I300" s="86">
        <f>I31*LengthAllocation_2022!J278</f>
        <v>0</v>
      </c>
      <c r="J300" s="75">
        <f>J31*LengthAllocation_2022!K278</f>
        <v>0</v>
      </c>
      <c r="K300" s="75">
        <f>K31*LengthAllocation_2022!L278</f>
        <v>0</v>
      </c>
      <c r="L300" s="42"/>
    </row>
    <row r="301" spans="1:15" x14ac:dyDescent="0.35">
      <c r="A301" s="115" t="s">
        <v>56</v>
      </c>
      <c r="B301" s="75">
        <f>B32*LengthAllocation_2022!C279</f>
        <v>0</v>
      </c>
      <c r="C301" s="75">
        <f>C32*LengthAllocation_2022!D279</f>
        <v>0</v>
      </c>
      <c r="D301" s="75">
        <f>D32*LengthAllocation_2022!E279</f>
        <v>0</v>
      </c>
      <c r="E301" s="75">
        <f>E32*LengthAllocation_2022!F279</f>
        <v>0</v>
      </c>
      <c r="F301" s="75">
        <f>F32*LengthAllocation_2022!G279</f>
        <v>0</v>
      </c>
      <c r="G301" s="75">
        <f>G32*LengthAllocation_2022!H279</f>
        <v>0</v>
      </c>
      <c r="H301" s="75">
        <f>H32*LengthAllocation_2022!I279</f>
        <v>0</v>
      </c>
      <c r="I301" s="86">
        <f>I32*LengthAllocation_2022!J279</f>
        <v>0</v>
      </c>
      <c r="J301" s="75">
        <f>J32*LengthAllocation_2022!K279</f>
        <v>0</v>
      </c>
      <c r="K301" s="75">
        <f>K32*LengthAllocation_2022!L279</f>
        <v>0</v>
      </c>
      <c r="L301" s="42"/>
    </row>
    <row r="302" spans="1:15" x14ac:dyDescent="0.35">
      <c r="A302" s="115" t="s">
        <v>57</v>
      </c>
      <c r="B302" s="75">
        <f>B33*LengthAllocation_2022!C280</f>
        <v>0</v>
      </c>
      <c r="C302" s="75">
        <f>C33*LengthAllocation_2022!D280</f>
        <v>0</v>
      </c>
      <c r="D302" s="75">
        <f>D33*LengthAllocation_2022!E280</f>
        <v>0</v>
      </c>
      <c r="E302" s="75">
        <f>E33*LengthAllocation_2022!F280</f>
        <v>0</v>
      </c>
      <c r="F302" s="75">
        <f>F33*LengthAllocation_2022!G280</f>
        <v>0</v>
      </c>
      <c r="G302" s="75">
        <f>G33*LengthAllocation_2022!H280</f>
        <v>0</v>
      </c>
      <c r="H302" s="75">
        <f>H33*LengthAllocation_2022!I280</f>
        <v>0</v>
      </c>
      <c r="I302" s="86">
        <f>I33*LengthAllocation_2022!J280</f>
        <v>0</v>
      </c>
      <c r="J302" s="75">
        <f>J33*LengthAllocation_2022!K280</f>
        <v>0</v>
      </c>
      <c r="K302" s="75">
        <f>K33*LengthAllocation_2022!L280</f>
        <v>0</v>
      </c>
      <c r="L302" s="42"/>
    </row>
    <row r="303" spans="1:15" x14ac:dyDescent="0.35">
      <c r="A303" s="115" t="s">
        <v>58</v>
      </c>
      <c r="B303" s="75">
        <f>B34*LengthAllocation_2022!C281</f>
        <v>0</v>
      </c>
      <c r="C303" s="75">
        <f>C34*LengthAllocation_2022!D281</f>
        <v>0</v>
      </c>
      <c r="D303" s="75">
        <f>D34*LengthAllocation_2022!E281</f>
        <v>0</v>
      </c>
      <c r="E303" s="75">
        <f>E34*LengthAllocation_2022!F281</f>
        <v>0</v>
      </c>
      <c r="F303" s="75">
        <f>F34*LengthAllocation_2022!G281</f>
        <v>0</v>
      </c>
      <c r="G303" s="75">
        <f>G34*LengthAllocation_2022!H281</f>
        <v>0</v>
      </c>
      <c r="H303" s="75">
        <f>H34*LengthAllocation_2022!I281</f>
        <v>0</v>
      </c>
      <c r="I303" s="86">
        <f>I34*LengthAllocation_2022!J281</f>
        <v>0</v>
      </c>
      <c r="J303" s="75">
        <f>J34*LengthAllocation_2022!K281</f>
        <v>0</v>
      </c>
      <c r="K303" s="75">
        <f>K34*LengthAllocation_2022!L281</f>
        <v>0</v>
      </c>
      <c r="L303" s="42"/>
    </row>
    <row r="304" spans="1:15" x14ac:dyDescent="0.35">
      <c r="A304" s="115" t="s">
        <v>59</v>
      </c>
      <c r="B304" s="75">
        <f>B35*LengthAllocation_2022!C282</f>
        <v>0</v>
      </c>
      <c r="C304" s="75">
        <f>C35*LengthAllocation_2022!D282</f>
        <v>0</v>
      </c>
      <c r="D304" s="79">
        <f>D35*LengthAllocation_2022!E282</f>
        <v>0</v>
      </c>
      <c r="E304" s="75">
        <f>E35*LengthAllocation_2022!F282</f>
        <v>0</v>
      </c>
      <c r="F304" s="75">
        <f>F35*LengthAllocation_2022!G282</f>
        <v>0</v>
      </c>
      <c r="G304" s="75">
        <f>G35*LengthAllocation_2022!H282</f>
        <v>0</v>
      </c>
      <c r="H304" s="75">
        <f>H35*LengthAllocation_2022!I282</f>
        <v>0</v>
      </c>
      <c r="I304" s="86">
        <f>I35*LengthAllocation_2022!J282</f>
        <v>0</v>
      </c>
      <c r="J304" s="75">
        <f>J35*LengthAllocation_2022!K282</f>
        <v>0</v>
      </c>
      <c r="K304" s="75">
        <f>K35*LengthAllocation_2022!L282</f>
        <v>0</v>
      </c>
      <c r="L304" s="42"/>
    </row>
    <row r="305" spans="1:12" x14ac:dyDescent="0.35">
      <c r="A305" s="115" t="s">
        <v>60</v>
      </c>
      <c r="B305" s="75">
        <f>B36*LengthAllocation_2022!C283</f>
        <v>0</v>
      </c>
      <c r="C305" s="75">
        <f>C36*LengthAllocation_2022!D283</f>
        <v>0</v>
      </c>
      <c r="D305" s="75">
        <f>D36*LengthAllocation_2022!E283</f>
        <v>0</v>
      </c>
      <c r="E305" s="75">
        <f>E36*LengthAllocation_2022!F283</f>
        <v>0</v>
      </c>
      <c r="F305" s="75">
        <f>F36*LengthAllocation_2022!G283</f>
        <v>0</v>
      </c>
      <c r="G305" s="75">
        <f>G36*LengthAllocation_2022!H283</f>
        <v>0</v>
      </c>
      <c r="H305" s="75">
        <f>H36*LengthAllocation_2022!I283</f>
        <v>0</v>
      </c>
      <c r="I305" s="86">
        <f>I36*LengthAllocation_2022!J283</f>
        <v>0</v>
      </c>
      <c r="J305" s="75">
        <f>J36*LengthAllocation_2022!K283</f>
        <v>0</v>
      </c>
      <c r="K305" s="75">
        <f>K36*LengthAllocation_2022!L283</f>
        <v>0</v>
      </c>
      <c r="L305" s="42"/>
    </row>
    <row r="306" spans="1:12" x14ac:dyDescent="0.35">
      <c r="A306" s="115" t="s">
        <v>61</v>
      </c>
      <c r="B306" s="75">
        <f>B37*LengthAllocation_2022!C284</f>
        <v>0</v>
      </c>
      <c r="C306" s="75">
        <f>C37*LengthAllocation_2022!D284</f>
        <v>0</v>
      </c>
      <c r="D306" s="75">
        <f>D37*LengthAllocation_2022!E284</f>
        <v>0</v>
      </c>
      <c r="E306" s="75">
        <f>E37*LengthAllocation_2022!F284</f>
        <v>0</v>
      </c>
      <c r="F306" s="75">
        <f>F37*LengthAllocation_2022!G284</f>
        <v>0</v>
      </c>
      <c r="G306" s="75">
        <f>G37*LengthAllocation_2022!H284</f>
        <v>0</v>
      </c>
      <c r="H306" s="75">
        <f>H37*LengthAllocation_2022!I284</f>
        <v>0</v>
      </c>
      <c r="I306" s="86">
        <f>I37*LengthAllocation_2022!J284</f>
        <v>0</v>
      </c>
      <c r="J306" s="75">
        <f>J37*LengthAllocation_2022!K284</f>
        <v>0</v>
      </c>
      <c r="K306" s="75">
        <f>K37*LengthAllocation_2022!L284</f>
        <v>0</v>
      </c>
      <c r="L306" s="42"/>
    </row>
    <row r="307" spans="1:12" x14ac:dyDescent="0.35">
      <c r="A307" s="115" t="s">
        <v>62</v>
      </c>
      <c r="B307" s="75">
        <f>B38*LengthAllocation_2022!C285</f>
        <v>0</v>
      </c>
      <c r="C307" s="75">
        <f>C38*LengthAllocation_2022!D285</f>
        <v>0</v>
      </c>
      <c r="D307" s="75">
        <f>D38*LengthAllocation_2022!E285</f>
        <v>0</v>
      </c>
      <c r="E307" s="75">
        <f>E38*LengthAllocation_2022!F285</f>
        <v>0</v>
      </c>
      <c r="F307" s="75">
        <f>F38*LengthAllocation_2022!G285</f>
        <v>0</v>
      </c>
      <c r="G307" s="75">
        <f>G38*LengthAllocation_2022!H285</f>
        <v>0</v>
      </c>
      <c r="H307" s="75">
        <f>H38*LengthAllocation_2022!I285</f>
        <v>0</v>
      </c>
      <c r="I307" s="86">
        <f>I38*LengthAllocation_2022!J285</f>
        <v>0</v>
      </c>
      <c r="J307" s="75">
        <f>J38*LengthAllocation_2022!K285</f>
        <v>0</v>
      </c>
      <c r="K307" s="75">
        <f>K38*LengthAllocation_2022!L285</f>
        <v>0</v>
      </c>
      <c r="L307" s="42"/>
    </row>
    <row r="308" spans="1:12" x14ac:dyDescent="0.35">
      <c r="A308" s="116" t="s">
        <v>64</v>
      </c>
      <c r="B308" s="75">
        <f>B39*LengthAllocation_2022!C286</f>
        <v>0</v>
      </c>
      <c r="C308" s="75">
        <f>C39*LengthAllocation_2022!D286</f>
        <v>0</v>
      </c>
      <c r="D308" s="75">
        <f>D39*LengthAllocation_2022!E286</f>
        <v>0</v>
      </c>
      <c r="E308" s="75">
        <f>E39*LengthAllocation_2022!F286</f>
        <v>0</v>
      </c>
      <c r="F308" s="75">
        <f>F39*LengthAllocation_2022!G286</f>
        <v>0</v>
      </c>
      <c r="G308" s="75">
        <f>G39*LengthAllocation_2022!H286</f>
        <v>0</v>
      </c>
      <c r="H308" s="75">
        <f>H39*LengthAllocation_2022!I286</f>
        <v>0</v>
      </c>
      <c r="I308" s="75">
        <f>I39*LengthAllocation_2022!J286</f>
        <v>0</v>
      </c>
      <c r="J308" s="80">
        <f>J39*LengthAllocation_2022!K286</f>
        <v>0</v>
      </c>
      <c r="K308" s="75">
        <f>K39*LengthAllocation_2022!L286</f>
        <v>0</v>
      </c>
      <c r="L308" s="42"/>
    </row>
    <row r="309" spans="1:12" x14ac:dyDescent="0.35">
      <c r="A309" s="116" t="s">
        <v>65</v>
      </c>
      <c r="B309" s="75">
        <f>B40*LengthAllocation_2022!C287</f>
        <v>0</v>
      </c>
      <c r="C309" s="75">
        <f>C40*LengthAllocation_2022!D287</f>
        <v>0</v>
      </c>
      <c r="D309" s="75">
        <f>D40*LengthAllocation_2022!E287</f>
        <v>0</v>
      </c>
      <c r="E309" s="75">
        <f>E40*LengthAllocation_2022!F287</f>
        <v>0</v>
      </c>
      <c r="F309" s="75">
        <f>F40*LengthAllocation_2022!G287</f>
        <v>0</v>
      </c>
      <c r="G309" s="75">
        <f>G40*LengthAllocation_2022!H287</f>
        <v>0</v>
      </c>
      <c r="H309" s="75">
        <f>H40*LengthAllocation_2022!I287</f>
        <v>0</v>
      </c>
      <c r="I309" s="75">
        <f>I40*LengthAllocation_2022!J287</f>
        <v>0</v>
      </c>
      <c r="J309" s="80">
        <f>J40*LengthAllocation_2022!K287</f>
        <v>0</v>
      </c>
      <c r="K309" s="75">
        <f>K40*LengthAllocation_2022!L287</f>
        <v>0</v>
      </c>
      <c r="L309" s="42"/>
    </row>
    <row r="310" spans="1:12" ht="15" thickBot="1" x14ac:dyDescent="0.4">
      <c r="A310" s="117" t="s">
        <v>63</v>
      </c>
      <c r="B310" s="95">
        <f>B41*LengthAllocation_2022!C288</f>
        <v>0</v>
      </c>
      <c r="C310" s="95">
        <f>C41*LengthAllocation_2022!D288</f>
        <v>0</v>
      </c>
      <c r="D310" s="95">
        <f>D41*LengthAllocation_2022!E288</f>
        <v>0</v>
      </c>
      <c r="E310" s="95">
        <f>E41*LengthAllocation_2022!F288</f>
        <v>0</v>
      </c>
      <c r="F310" s="95">
        <f>F41*LengthAllocation_2022!G288</f>
        <v>0</v>
      </c>
      <c r="G310" s="95">
        <f>G41*LengthAllocation_2022!H288</f>
        <v>0</v>
      </c>
      <c r="H310" s="95">
        <f>H41*LengthAllocation_2022!I288</f>
        <v>0</v>
      </c>
      <c r="I310" s="95">
        <f>I41*LengthAllocation_2022!J288</f>
        <v>0</v>
      </c>
      <c r="J310" s="95">
        <f>J41*LengthAllocation_2022!K288</f>
        <v>0</v>
      </c>
      <c r="K310" s="96">
        <f>K41*LengthAllocation_2022!L288</f>
        <v>0</v>
      </c>
      <c r="L310" s="52"/>
    </row>
  </sheetData>
  <mergeCells count="8">
    <mergeCell ref="O30:Z30"/>
    <mergeCell ref="O21:Z21"/>
    <mergeCell ref="O52:Z52"/>
    <mergeCell ref="O65:Z65"/>
    <mergeCell ref="Q32:S32"/>
    <mergeCell ref="U32:Z32"/>
    <mergeCell ref="U64:Z64"/>
    <mergeCell ref="O40:Z40"/>
  </mergeCells>
  <hyperlinks>
    <hyperlink ref="P20" r:id="rId1" xr:uid="{36E4CB86-30C8-48F7-ABEA-8A69127E1AA9}"/>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2B0C-B115-479A-9516-7A116F3D2617}">
  <dimension ref="A1:O71"/>
  <sheetViews>
    <sheetView topLeftCell="A36" workbookViewId="0">
      <selection activeCell="C58" sqref="C58"/>
    </sheetView>
  </sheetViews>
  <sheetFormatPr defaultRowHeight="14.5" x14ac:dyDescent="0.35"/>
  <cols>
    <col min="2" max="2" width="30.90625" customWidth="1"/>
    <col min="3" max="6" width="12.36328125" customWidth="1"/>
    <col min="7" max="8" width="15.54296875" customWidth="1"/>
    <col min="9" max="9" width="12.36328125" customWidth="1"/>
    <col min="10" max="10" width="15.7265625" customWidth="1"/>
    <col min="12" max="12" width="12.1796875" bestFit="1" customWidth="1"/>
  </cols>
  <sheetData>
    <row r="1" spans="1:15" x14ac:dyDescent="0.35">
      <c r="A1" s="142" t="s">
        <v>117</v>
      </c>
      <c r="D1" s="143"/>
      <c r="E1">
        <v>1</v>
      </c>
      <c r="F1" t="s">
        <v>163</v>
      </c>
      <c r="G1" t="s">
        <v>164</v>
      </c>
      <c r="H1">
        <f>28316846.592/1000</f>
        <v>28316.846592000002</v>
      </c>
      <c r="I1" t="s">
        <v>166</v>
      </c>
    </row>
    <row r="2" spans="1:15" x14ac:dyDescent="0.35">
      <c r="A2" s="142"/>
      <c r="D2" s="143"/>
      <c r="E2">
        <v>1</v>
      </c>
      <c r="F2" t="s">
        <v>165</v>
      </c>
      <c r="G2" t="s">
        <v>164</v>
      </c>
      <c r="H2">
        <v>35.314700000000002</v>
      </c>
      <c r="I2" t="s">
        <v>167</v>
      </c>
    </row>
    <row r="3" spans="1:15" x14ac:dyDescent="0.35">
      <c r="A3" s="142"/>
      <c r="B3" t="s">
        <v>118</v>
      </c>
      <c r="D3" s="143"/>
      <c r="E3">
        <v>1</v>
      </c>
      <c r="F3" t="s">
        <v>163</v>
      </c>
      <c r="G3" t="s">
        <v>164</v>
      </c>
      <c r="H3">
        <f>(1/H2)*(1000000000/1000)</f>
        <v>28316.819907857069</v>
      </c>
      <c r="I3" t="s">
        <v>168</v>
      </c>
    </row>
    <row r="4" spans="1:15" x14ac:dyDescent="0.35">
      <c r="G4" s="144" t="s">
        <v>119</v>
      </c>
      <c r="H4" s="145"/>
      <c r="I4" s="145"/>
      <c r="J4" s="145"/>
      <c r="K4" s="145"/>
      <c r="L4" s="145"/>
      <c r="M4" s="145"/>
      <c r="N4" s="145"/>
      <c r="O4" s="146"/>
    </row>
    <row r="5" spans="1:15" x14ac:dyDescent="0.35">
      <c r="B5" s="147" t="s">
        <v>120</v>
      </c>
      <c r="C5" s="147" t="s">
        <v>121</v>
      </c>
      <c r="D5" s="147" t="s">
        <v>122</v>
      </c>
      <c r="E5" s="147" t="s">
        <v>123</v>
      </c>
      <c r="F5" s="147" t="s">
        <v>169</v>
      </c>
      <c r="G5" s="147" t="s">
        <v>66</v>
      </c>
      <c r="H5" s="147" t="s">
        <v>28</v>
      </c>
      <c r="I5" s="147" t="s">
        <v>124</v>
      </c>
      <c r="J5" s="147" t="s">
        <v>125</v>
      </c>
      <c r="K5" s="147" t="s">
        <v>67</v>
      </c>
      <c r="L5" s="147" t="s">
        <v>69</v>
      </c>
      <c r="M5" s="147" t="s">
        <v>70</v>
      </c>
      <c r="N5" s="147" t="s">
        <v>93</v>
      </c>
      <c r="O5" s="147" t="s">
        <v>72</v>
      </c>
    </row>
    <row r="6" spans="1:15" x14ac:dyDescent="0.35">
      <c r="B6" s="147" t="s">
        <v>126</v>
      </c>
      <c r="C6" s="147" t="s">
        <v>127</v>
      </c>
      <c r="D6" s="148">
        <v>14898</v>
      </c>
      <c r="E6" s="147">
        <f>7.2</f>
        <v>7.2</v>
      </c>
      <c r="F6" s="157">
        <f>E6*$H$3</f>
        <v>203881.1033365709</v>
      </c>
      <c r="G6" s="148"/>
      <c r="H6" s="148">
        <f>0.035*$D6</f>
        <v>521.43000000000006</v>
      </c>
      <c r="I6" s="148"/>
      <c r="J6" s="148"/>
      <c r="K6" s="148">
        <f>0.2*$D6</f>
        <v>2979.6000000000004</v>
      </c>
      <c r="L6" s="148">
        <f>0.153*$D6</f>
        <v>2279.3939999999998</v>
      </c>
      <c r="M6" s="148">
        <f>0.612*$D6</f>
        <v>9117.5759999999991</v>
      </c>
      <c r="N6" s="148"/>
      <c r="O6" s="148"/>
    </row>
    <row r="7" spans="1:15" x14ac:dyDescent="0.35">
      <c r="B7" s="147" t="s">
        <v>128</v>
      </c>
      <c r="C7" s="147" t="s">
        <v>28</v>
      </c>
      <c r="D7" s="148">
        <f>H7</f>
        <v>8186</v>
      </c>
      <c r="E7" s="147">
        <f>10.7*0.25</f>
        <v>2.6749999999999998</v>
      </c>
      <c r="F7" s="157">
        <f t="shared" ref="F7:F22" si="0">E7*$H$3</f>
        <v>75747.493253517649</v>
      </c>
      <c r="G7" s="148"/>
      <c r="H7" s="148">
        <f>23186-15000</f>
        <v>8186</v>
      </c>
      <c r="I7" s="148"/>
      <c r="J7" s="148"/>
      <c r="K7" s="148"/>
      <c r="L7" s="148"/>
      <c r="M7" s="148"/>
      <c r="N7" s="148"/>
      <c r="O7" s="148"/>
    </row>
    <row r="8" spans="1:15" x14ac:dyDescent="0.35">
      <c r="B8" s="147" t="s">
        <v>129</v>
      </c>
      <c r="C8" s="147" t="s">
        <v>28</v>
      </c>
      <c r="D8" s="148">
        <v>1656</v>
      </c>
      <c r="E8" s="147">
        <v>1.7</v>
      </c>
      <c r="F8" s="157">
        <f t="shared" si="0"/>
        <v>48138.593843357019</v>
      </c>
      <c r="G8" s="148">
        <v>50</v>
      </c>
      <c r="H8" s="148">
        <v>883</v>
      </c>
      <c r="I8" s="148"/>
      <c r="J8" s="148"/>
      <c r="K8" s="148">
        <v>723</v>
      </c>
      <c r="L8" s="148"/>
      <c r="M8" s="148"/>
      <c r="N8" s="148"/>
      <c r="O8" s="148"/>
    </row>
    <row r="9" spans="1:15" x14ac:dyDescent="0.35">
      <c r="B9" s="147" t="s">
        <v>130</v>
      </c>
      <c r="C9" s="147" t="s">
        <v>66</v>
      </c>
      <c r="D9" s="148">
        <v>201</v>
      </c>
      <c r="E9" s="147">
        <v>1</v>
      </c>
      <c r="F9" s="157">
        <f t="shared" si="0"/>
        <v>28316.819907857069</v>
      </c>
      <c r="G9" s="148">
        <v>201</v>
      </c>
      <c r="H9" s="148"/>
      <c r="I9" s="148"/>
      <c r="J9" s="148"/>
      <c r="K9" s="148"/>
      <c r="L9" s="148"/>
      <c r="M9" s="148"/>
      <c r="N9" s="148"/>
      <c r="O9" s="148"/>
    </row>
    <row r="10" spans="1:15" x14ac:dyDescent="0.35">
      <c r="B10" s="147" t="s">
        <v>131</v>
      </c>
      <c r="C10" s="147" t="s">
        <v>132</v>
      </c>
      <c r="D10" s="148">
        <f>SUM(G10:O10)</f>
        <v>1044</v>
      </c>
      <c r="E10" s="147">
        <v>3.3</v>
      </c>
      <c r="F10" s="157">
        <f t="shared" si="0"/>
        <v>93445.505695928325</v>
      </c>
      <c r="G10" s="148">
        <v>165</v>
      </c>
      <c r="H10" s="148">
        <f>126+381</f>
        <v>507</v>
      </c>
      <c r="I10" s="148"/>
      <c r="J10" s="148"/>
      <c r="K10" s="148">
        <v>372</v>
      </c>
      <c r="L10" s="148"/>
      <c r="M10" s="148"/>
      <c r="N10" s="148"/>
      <c r="O10" s="148"/>
    </row>
    <row r="11" spans="1:15" x14ac:dyDescent="0.35">
      <c r="B11" s="147" t="s">
        <v>133</v>
      </c>
      <c r="C11" s="147" t="s">
        <v>93</v>
      </c>
      <c r="D11" s="148">
        <v>572</v>
      </c>
      <c r="E11" s="147">
        <v>0.5</v>
      </c>
      <c r="F11" s="157">
        <f t="shared" si="0"/>
        <v>14158.409953928534</v>
      </c>
      <c r="G11" s="148"/>
      <c r="H11" s="148"/>
      <c r="I11" s="148"/>
      <c r="J11" s="148"/>
      <c r="K11" s="148"/>
      <c r="L11" s="148"/>
      <c r="M11" s="148"/>
      <c r="N11" s="148">
        <v>572</v>
      </c>
      <c r="O11" s="148"/>
    </row>
    <row r="12" spans="1:15" x14ac:dyDescent="0.35">
      <c r="B12" s="147" t="s">
        <v>134</v>
      </c>
      <c r="C12" s="147" t="s">
        <v>135</v>
      </c>
      <c r="D12" s="148">
        <f>SUM(G12:O12)</f>
        <v>339</v>
      </c>
      <c r="E12" s="147">
        <v>1.33</v>
      </c>
      <c r="F12" s="157">
        <f t="shared" si="0"/>
        <v>37661.370477449906</v>
      </c>
      <c r="G12" s="148">
        <v>59</v>
      </c>
      <c r="H12" s="148">
        <v>140</v>
      </c>
      <c r="I12" s="148"/>
      <c r="J12" s="148"/>
      <c r="K12" s="148">
        <v>140</v>
      </c>
      <c r="L12" s="148"/>
      <c r="M12" s="148"/>
      <c r="N12" s="148"/>
      <c r="O12" s="148"/>
    </row>
    <row r="13" spans="1:15" x14ac:dyDescent="0.35">
      <c r="B13" s="147" t="s">
        <v>136</v>
      </c>
      <c r="C13" s="147" t="s">
        <v>137</v>
      </c>
      <c r="D13" s="148">
        <v>5700</v>
      </c>
      <c r="E13" s="147">
        <v>1.8</v>
      </c>
      <c r="F13" s="157">
        <f t="shared" si="0"/>
        <v>50970.275834142725</v>
      </c>
      <c r="G13" s="148">
        <v>5700</v>
      </c>
      <c r="H13" s="148"/>
      <c r="I13" s="148"/>
      <c r="J13" s="148"/>
      <c r="K13" s="148"/>
      <c r="L13" s="148"/>
      <c r="M13" s="148"/>
      <c r="N13" s="148"/>
      <c r="O13" s="148"/>
    </row>
    <row r="14" spans="1:15" x14ac:dyDescent="0.35">
      <c r="B14" s="147" t="s">
        <v>138</v>
      </c>
      <c r="C14" s="147" t="s">
        <v>139</v>
      </c>
      <c r="D14" s="148">
        <v>1300</v>
      </c>
      <c r="E14" s="147">
        <v>0.6</v>
      </c>
      <c r="F14" s="157">
        <f t="shared" si="0"/>
        <v>16990.091944714241</v>
      </c>
      <c r="G14" s="148"/>
      <c r="H14" s="148"/>
      <c r="I14" s="148"/>
      <c r="J14" s="148"/>
      <c r="K14" s="148"/>
      <c r="L14" s="148"/>
      <c r="M14" s="148"/>
      <c r="N14" s="148"/>
      <c r="O14" s="148">
        <v>1300</v>
      </c>
    </row>
    <row r="15" spans="1:15" x14ac:dyDescent="0.35">
      <c r="B15" s="147" t="s">
        <v>140</v>
      </c>
      <c r="C15" s="147" t="s">
        <v>70</v>
      </c>
      <c r="D15" s="148">
        <v>330</v>
      </c>
      <c r="E15" s="147">
        <v>3.45</v>
      </c>
      <c r="F15" s="157">
        <f t="shared" si="0"/>
        <v>97693.028682106888</v>
      </c>
      <c r="G15" s="148"/>
      <c r="H15" s="148"/>
      <c r="I15" s="148"/>
      <c r="J15" s="148"/>
      <c r="K15" s="148"/>
      <c r="L15" s="148"/>
      <c r="M15" s="148">
        <v>330</v>
      </c>
      <c r="N15" s="148"/>
      <c r="O15" s="148"/>
    </row>
    <row r="16" spans="1:15" x14ac:dyDescent="0.35">
      <c r="B16" s="145" t="s">
        <v>141</v>
      </c>
      <c r="C16" s="145"/>
      <c r="D16" s="149"/>
      <c r="E16" s="145"/>
      <c r="F16" s="157">
        <f t="shared" si="0"/>
        <v>0</v>
      </c>
      <c r="G16" s="149"/>
      <c r="H16" s="149"/>
      <c r="I16" s="149"/>
      <c r="J16" s="149"/>
      <c r="K16" s="149"/>
      <c r="L16" s="149"/>
      <c r="M16" s="149"/>
      <c r="N16" s="149"/>
      <c r="O16" s="149"/>
    </row>
    <row r="17" spans="2:15" x14ac:dyDescent="0.35">
      <c r="B17" s="147" t="s">
        <v>142</v>
      </c>
      <c r="C17" s="147" t="s">
        <v>143</v>
      </c>
      <c r="D17" s="148">
        <v>1220</v>
      </c>
      <c r="E17" s="147">
        <v>1.2</v>
      </c>
      <c r="F17" s="157">
        <f t="shared" si="0"/>
        <v>33980.183889428481</v>
      </c>
      <c r="G17" s="148"/>
      <c r="H17" s="148"/>
      <c r="I17" s="148">
        <v>1220</v>
      </c>
      <c r="J17" s="148"/>
      <c r="K17" s="148"/>
      <c r="L17" s="148"/>
      <c r="M17" s="148"/>
      <c r="N17" s="148"/>
      <c r="O17" s="148"/>
    </row>
    <row r="18" spans="2:15" x14ac:dyDescent="0.35">
      <c r="B18" s="147" t="s">
        <v>144</v>
      </c>
      <c r="C18" s="147" t="s">
        <v>145</v>
      </c>
      <c r="D18" s="148">
        <f>SUM(G18:O18)</f>
        <v>1530</v>
      </c>
      <c r="E18" s="147">
        <v>5.6</v>
      </c>
      <c r="F18" s="157">
        <f t="shared" si="0"/>
        <v>158574.19148399957</v>
      </c>
      <c r="G18" s="148">
        <v>700</v>
      </c>
      <c r="H18" s="148"/>
      <c r="I18" s="148"/>
      <c r="J18" s="148">
        <v>830</v>
      </c>
      <c r="K18" s="148"/>
      <c r="L18" s="148"/>
      <c r="M18" s="148"/>
      <c r="N18" s="148"/>
      <c r="O18" s="148"/>
    </row>
    <row r="19" spans="2:15" x14ac:dyDescent="0.35">
      <c r="B19" s="147" t="s">
        <v>146</v>
      </c>
      <c r="C19" s="147" t="s">
        <v>147</v>
      </c>
      <c r="D19" s="148">
        <v>1200</v>
      </c>
      <c r="E19" s="147">
        <v>1</v>
      </c>
      <c r="F19" s="157">
        <f t="shared" si="0"/>
        <v>28316.819907857069</v>
      </c>
      <c r="G19" s="148"/>
      <c r="H19" s="148"/>
      <c r="I19" s="148"/>
      <c r="J19" s="148"/>
      <c r="K19" s="148"/>
      <c r="L19" s="148"/>
      <c r="M19" s="148"/>
      <c r="N19" s="148"/>
      <c r="O19" s="148">
        <v>1200</v>
      </c>
    </row>
    <row r="20" spans="2:15" x14ac:dyDescent="0.35">
      <c r="B20" s="147" t="s">
        <v>148</v>
      </c>
      <c r="C20" s="147" t="s">
        <v>72</v>
      </c>
      <c r="D20" s="148">
        <v>450</v>
      </c>
      <c r="E20" s="147">
        <v>0.18</v>
      </c>
      <c r="F20" s="157">
        <f t="shared" si="0"/>
        <v>5097.0275834142722</v>
      </c>
      <c r="G20" s="148"/>
      <c r="H20" s="148"/>
      <c r="I20" s="148"/>
      <c r="J20" s="148"/>
      <c r="K20" s="148"/>
      <c r="L20" s="148"/>
      <c r="M20" s="148"/>
      <c r="N20" s="148"/>
      <c r="O20" s="148">
        <v>450</v>
      </c>
    </row>
    <row r="21" spans="2:15" x14ac:dyDescent="0.35">
      <c r="B21" s="147" t="s">
        <v>149</v>
      </c>
      <c r="C21" s="147"/>
      <c r="D21" s="148">
        <v>60</v>
      </c>
      <c r="E21" s="147">
        <v>0.1</v>
      </c>
      <c r="F21" s="157">
        <f t="shared" si="0"/>
        <v>2831.6819907857071</v>
      </c>
      <c r="G21" s="148">
        <v>60</v>
      </c>
      <c r="H21" s="148"/>
      <c r="I21" s="148"/>
      <c r="J21" s="148"/>
      <c r="K21" s="148"/>
      <c r="L21" s="148"/>
      <c r="M21" s="148"/>
      <c r="N21" s="148"/>
      <c r="O21" s="148"/>
    </row>
    <row r="22" spans="2:15" x14ac:dyDescent="0.35">
      <c r="B22" s="147" t="s">
        <v>150</v>
      </c>
      <c r="C22" s="147"/>
      <c r="D22" s="148">
        <f>D14</f>
        <v>1300</v>
      </c>
      <c r="E22" s="147">
        <v>0.4</v>
      </c>
      <c r="F22" s="157">
        <f t="shared" si="0"/>
        <v>11326.727963142828</v>
      </c>
      <c r="G22" s="148"/>
      <c r="H22" s="148"/>
      <c r="I22" s="148"/>
      <c r="J22" s="148"/>
      <c r="K22" s="148"/>
      <c r="L22" s="148"/>
      <c r="M22" s="148"/>
      <c r="N22" s="148"/>
      <c r="O22" s="148">
        <v>1300</v>
      </c>
    </row>
    <row r="23" spans="2:15" x14ac:dyDescent="0.35">
      <c r="D23" s="143"/>
      <c r="G23" s="143"/>
      <c r="H23" s="143"/>
      <c r="I23" s="143"/>
      <c r="J23" s="143"/>
      <c r="K23" s="143"/>
      <c r="L23" s="143"/>
      <c r="M23" s="143"/>
      <c r="N23" s="143"/>
      <c r="O23" s="143"/>
    </row>
    <row r="25" spans="2:15" x14ac:dyDescent="0.35">
      <c r="B25" t="s">
        <v>151</v>
      </c>
    </row>
    <row r="26" spans="2:15" x14ac:dyDescent="0.35">
      <c r="C26" s="144" t="s">
        <v>170</v>
      </c>
      <c r="D26" s="145"/>
      <c r="E26" s="145"/>
      <c r="F26" s="145"/>
      <c r="G26" s="145"/>
      <c r="H26" s="145"/>
      <c r="I26" s="146"/>
    </row>
    <row r="27" spans="2:15" x14ac:dyDescent="0.35">
      <c r="B27" s="147" t="s">
        <v>120</v>
      </c>
      <c r="C27" s="147" t="s">
        <v>152</v>
      </c>
      <c r="D27" s="147" t="s">
        <v>153</v>
      </c>
      <c r="E27" s="147" t="s">
        <v>67</v>
      </c>
      <c r="F27" s="147" t="s">
        <v>69</v>
      </c>
      <c r="G27" s="147" t="s">
        <v>154</v>
      </c>
      <c r="H27" s="147" t="s">
        <v>93</v>
      </c>
      <c r="I27" s="147" t="s">
        <v>72</v>
      </c>
      <c r="J27" s="147" t="s">
        <v>94</v>
      </c>
      <c r="L27" t="s">
        <v>171</v>
      </c>
    </row>
    <row r="28" spans="2:15" x14ac:dyDescent="0.35">
      <c r="B28" s="147" t="str">
        <f t="shared" ref="B28:B44" si="1">B6</f>
        <v>Canadian Mainline System** (http://www.transcanada.com/gas_transmission/mainline.html)</v>
      </c>
      <c r="C28" s="150">
        <f>$F6*SUM(G6,I6:J6)</f>
        <v>0</v>
      </c>
      <c r="D28" s="150">
        <f>$F6*H6</f>
        <v>106309723.71278818</v>
      </c>
      <c r="E28" s="150">
        <f>$F6*K6</f>
        <v>607484135.50164676</v>
      </c>
      <c r="F28" s="150">
        <f>$F6*L6</f>
        <v>464725363.65875965</v>
      </c>
      <c r="G28" s="150">
        <f>$F6*M6*0.75</f>
        <v>1394176090.976279</v>
      </c>
      <c r="H28" s="150">
        <f>$F6*N6</f>
        <v>0</v>
      </c>
      <c r="I28" s="150">
        <f>$F6*O6</f>
        <v>0</v>
      </c>
      <c r="J28" s="150">
        <f>SUM(C28:I28)</f>
        <v>2572695313.849474</v>
      </c>
      <c r="L28" s="143">
        <f>SUM(J28:J37)</f>
        <v>3741452800.108737</v>
      </c>
    </row>
    <row r="29" spans="2:15" x14ac:dyDescent="0.35">
      <c r="B29" s="147" t="str">
        <f t="shared" si="1"/>
        <v>Alberta System* (http://www.transcanada.com/gas_transmission/alberta.html)</v>
      </c>
      <c r="C29" s="150">
        <f>$F7*SUM(G7,I7:J7)</f>
        <v>0</v>
      </c>
      <c r="D29" s="150">
        <f>$F7*H7</f>
        <v>620068979.77329552</v>
      </c>
      <c r="E29" s="150">
        <f>$F7*K7</f>
        <v>0</v>
      </c>
      <c r="F29" s="150">
        <f>$F7*L7</f>
        <v>0</v>
      </c>
      <c r="G29" s="150">
        <f>$F7*M7</f>
        <v>0</v>
      </c>
      <c r="H29" s="150">
        <f>$F7*N7</f>
        <v>0</v>
      </c>
      <c r="I29" s="150">
        <f>$F7*O7</f>
        <v>0</v>
      </c>
      <c r="J29" s="150">
        <f t="shared" ref="J29:J37" si="2">SUM(C29:I29)</f>
        <v>620068979.77329552</v>
      </c>
    </row>
    <row r="30" spans="2:15" x14ac:dyDescent="0.35">
      <c r="B30" s="147" t="str">
        <f t="shared" si="1"/>
        <v>PipeLine Ventures Partnership (http://www.undergroundinfo.com/PGJ/pgj_archive/archi112.htm)</v>
      </c>
      <c r="C30" s="150">
        <f>$F8*SUM(G8,I8:J8)</f>
        <v>2406929.6921678511</v>
      </c>
      <c r="D30" s="150">
        <f>$F8*H8</f>
        <v>42506378.363684244</v>
      </c>
      <c r="E30" s="150">
        <f>$F8*K8</f>
        <v>34804203.348747127</v>
      </c>
      <c r="F30" s="150">
        <f>$F8*L8</f>
        <v>0</v>
      </c>
      <c r="G30" s="150">
        <f>$F8*M8</f>
        <v>0</v>
      </c>
      <c r="H30" s="150">
        <f>$F8*N8</f>
        <v>0</v>
      </c>
      <c r="I30" s="150">
        <f>$F8*O8</f>
        <v>0</v>
      </c>
      <c r="J30" s="150">
        <f t="shared" si="2"/>
        <v>79717511.40459922</v>
      </c>
    </row>
    <row r="31" spans="2:15" x14ac:dyDescent="0.35">
      <c r="B31" s="147" t="str">
        <f t="shared" si="1"/>
        <v>BC System (http://www.transcanada.com/gas_transmission/britishcolumbia.html)</v>
      </c>
      <c r="C31" s="150">
        <f>$F9*SUM(G9,I9:J9)</f>
        <v>5691680.8014792707</v>
      </c>
      <c r="D31" s="150">
        <f>$F9*H9</f>
        <v>0</v>
      </c>
      <c r="E31" s="150">
        <f>$F9*K9</f>
        <v>0</v>
      </c>
      <c r="F31" s="150">
        <f>$F9*L9</f>
        <v>0</v>
      </c>
      <c r="G31" s="150">
        <f>$F9*M9</f>
        <v>0</v>
      </c>
      <c r="H31" s="150">
        <f>$F9*N9</f>
        <v>0</v>
      </c>
      <c r="I31" s="150">
        <f>$F9*O9</f>
        <v>0</v>
      </c>
      <c r="J31" s="150">
        <f t="shared" si="2"/>
        <v>5691680.8014792707</v>
      </c>
    </row>
    <row r="32" spans="2:15" x14ac:dyDescent="0.35">
      <c r="B32" s="147" t="str">
        <f t="shared" si="1"/>
        <v>Foothills Pipe Lines Ltd.</v>
      </c>
      <c r="C32" s="150">
        <f>$F10*SUM(G10,I10:J10)</f>
        <v>15418508.439828174</v>
      </c>
      <c r="D32" s="150">
        <f>$F10*H10</f>
        <v>47376871.387835659</v>
      </c>
      <c r="E32" s="150">
        <f>$F10*K10</f>
        <v>34761728.118885338</v>
      </c>
      <c r="F32" s="150">
        <f>$F10*L10</f>
        <v>0</v>
      </c>
      <c r="G32" s="150">
        <f>$F10*M10</f>
        <v>0</v>
      </c>
      <c r="H32" s="150">
        <f>$F10*N10</f>
        <v>0</v>
      </c>
      <c r="I32" s="150">
        <f>$F10*O10</f>
        <v>0</v>
      </c>
      <c r="J32" s="150">
        <f t="shared" si="2"/>
        <v>97557107.946549177</v>
      </c>
    </row>
    <row r="33" spans="2:14" x14ac:dyDescent="0.35">
      <c r="B33" s="147" t="str">
        <f t="shared" si="1"/>
        <v>Trans Québec &amp; Maritimes Pipeline Inc. (http://www.gazoductqm.com/enggaz.html)</v>
      </c>
      <c r="C33" s="150">
        <f>$F11*SUM(G11,I11:J11)</f>
        <v>0</v>
      </c>
      <c r="D33" s="150">
        <f>$F11*H11</f>
        <v>0</v>
      </c>
      <c r="E33" s="150">
        <f>$F11*K11</f>
        <v>0</v>
      </c>
      <c r="F33" s="150">
        <f>$F11*L11</f>
        <v>0</v>
      </c>
      <c r="G33" s="150">
        <f>$F11*M11</f>
        <v>0</v>
      </c>
      <c r="H33" s="150">
        <f>$F11*N11</f>
        <v>8098610.4936471218</v>
      </c>
      <c r="I33" s="150">
        <f>$F11*O11</f>
        <v>0</v>
      </c>
      <c r="J33" s="150">
        <f t="shared" si="2"/>
        <v>8098610.4936471218</v>
      </c>
    </row>
    <row r="34" spans="2:14" x14ac:dyDescent="0.35">
      <c r="B34" s="147" t="str">
        <f t="shared" si="1"/>
        <v>Alliance Pipeline (http://www.alliance-pipeline.com/inside.jsp?cid1=2&amp;cid2=25&amp;cid3=0)</v>
      </c>
      <c r="C34" s="150">
        <f>$F12*SUM(G12,I12:J12)</f>
        <v>2222020.8581695445</v>
      </c>
      <c r="D34" s="150">
        <f>$F12*H12</f>
        <v>5272591.866842987</v>
      </c>
      <c r="E34" s="150">
        <f>$F12*K12</f>
        <v>5272591.866842987</v>
      </c>
      <c r="F34" s="150">
        <f>$F12*L12</f>
        <v>0</v>
      </c>
      <c r="G34" s="150">
        <f>$F12*M12</f>
        <v>0</v>
      </c>
      <c r="H34" s="150">
        <f>$F12*N12</f>
        <v>0</v>
      </c>
      <c r="I34" s="150">
        <f>$F12*O12</f>
        <v>0</v>
      </c>
      <c r="J34" s="150">
        <f t="shared" si="2"/>
        <v>12767204.591855519</v>
      </c>
    </row>
    <row r="35" spans="2:14" x14ac:dyDescent="0.35">
      <c r="B35" s="147" t="str">
        <f t="shared" si="1"/>
        <v>Duke Energy - Westcoast system (http://www.westcoastenergy.com/about/transmission_field.html)</v>
      </c>
      <c r="C35" s="150">
        <f>$F13*SUM(G13,I13:J13)</f>
        <v>290530572.25461352</v>
      </c>
      <c r="D35" s="150">
        <f>$F13*H13</f>
        <v>0</v>
      </c>
      <c r="E35" s="150">
        <f>$F13*K13</f>
        <v>0</v>
      </c>
      <c r="F35" s="150">
        <f>$F13*L13</f>
        <v>0</v>
      </c>
      <c r="G35" s="150">
        <f>$F13*M13</f>
        <v>0</v>
      </c>
      <c r="H35" s="150">
        <f>$F13*N13</f>
        <v>0</v>
      </c>
      <c r="I35" s="150">
        <f>$F13*O13</f>
        <v>0</v>
      </c>
      <c r="J35" s="150">
        <f t="shared" si="2"/>
        <v>290530572.25461352</v>
      </c>
    </row>
    <row r="36" spans="2:14" x14ac:dyDescent="0.35">
      <c r="B36" s="147" t="str">
        <f t="shared" si="1"/>
        <v>Duke Energy - Maritimes &amp; Northeast Pipeline (http://www.emera.com/aboutus/companies_northpipeline.shtml)</v>
      </c>
      <c r="C36" s="150">
        <f>$F14*SUM(G14,I14:J14)</f>
        <v>0</v>
      </c>
      <c r="D36" s="150">
        <f>$F14*H14</f>
        <v>0</v>
      </c>
      <c r="E36" s="150">
        <f>$F14*K14</f>
        <v>0</v>
      </c>
      <c r="F36" s="150">
        <f>$F14*L14</f>
        <v>0</v>
      </c>
      <c r="G36" s="150">
        <f>$F14*M14</f>
        <v>0</v>
      </c>
      <c r="H36" s="150">
        <f>$F14*N14</f>
        <v>0</v>
      </c>
      <c r="I36" s="150">
        <f>$F14*O14</f>
        <v>22087119.528128512</v>
      </c>
      <c r="J36" s="150">
        <f t="shared" si="2"/>
        <v>22087119.528128512</v>
      </c>
    </row>
    <row r="37" spans="2:14" x14ac:dyDescent="0.35">
      <c r="B37" s="147" t="str">
        <f t="shared" si="1"/>
        <v>Union gas main transmission system (http://www.uniongas.com/aboutus/overview/ataglance.asp)</v>
      </c>
      <c r="C37" s="150">
        <f>$F15*SUM(G15,I15:J15)</f>
        <v>0</v>
      </c>
      <c r="D37" s="150">
        <f>$F15*H15</f>
        <v>0</v>
      </c>
      <c r="E37" s="150">
        <f>$F15*K15</f>
        <v>0</v>
      </c>
      <c r="F37" s="150">
        <f>$F15*L15</f>
        <v>0</v>
      </c>
      <c r="G37" s="150">
        <f>$F15*M15</f>
        <v>32238699.465095274</v>
      </c>
      <c r="H37" s="150">
        <f>$F15*N15</f>
        <v>0</v>
      </c>
      <c r="I37" s="150">
        <f>$F15*O15</f>
        <v>0</v>
      </c>
      <c r="J37" s="150">
        <f t="shared" si="2"/>
        <v>32238699.465095274</v>
      </c>
    </row>
    <row r="38" spans="2:14" x14ac:dyDescent="0.35">
      <c r="B38" s="145" t="str">
        <f t="shared" si="1"/>
        <v>Proposed/planned pipeline projects:</v>
      </c>
      <c r="C38" s="145"/>
      <c r="D38" s="149"/>
      <c r="E38" s="145"/>
      <c r="F38" s="149"/>
      <c r="G38" s="149"/>
      <c r="H38" s="149"/>
      <c r="I38" s="149"/>
      <c r="J38" s="149"/>
      <c r="K38" s="143"/>
      <c r="L38" s="143"/>
      <c r="M38" s="143"/>
      <c r="N38" s="143"/>
    </row>
    <row r="39" spans="2:14" x14ac:dyDescent="0.35">
      <c r="B39" s="147" t="str">
        <f t="shared" si="1"/>
        <v>Proposed Mackenzie Valley Pipeline</v>
      </c>
      <c r="C39" s="150">
        <f>$F17*SUM(G17,I17:J17)</f>
        <v>41455824.34510275</v>
      </c>
      <c r="D39" s="150">
        <f>$F17*H17</f>
        <v>0</v>
      </c>
      <c r="E39" s="150">
        <f>$F17*K17</f>
        <v>0</v>
      </c>
      <c r="F39" s="150">
        <f>$F17*L17</f>
        <v>0</v>
      </c>
      <c r="G39" s="150">
        <f>$F17*M17</f>
        <v>0</v>
      </c>
      <c r="H39" s="150">
        <f>$F17*N17</f>
        <v>0</v>
      </c>
      <c r="I39" s="150">
        <f>$F17*O17</f>
        <v>0</v>
      </c>
      <c r="J39" s="150">
        <f t="shared" ref="J39:J44" si="3">SUM(C39:I39)</f>
        <v>41455824.34510275</v>
      </c>
    </row>
    <row r="40" spans="2:14" x14ac:dyDescent="0.35">
      <c r="B40" s="147" t="str">
        <f t="shared" si="1"/>
        <v>Proposed Alaska Highway Pipeline (http://www.emr.gov.yk.ca/pipeline/ahpp.html)</v>
      </c>
      <c r="C40" s="150">
        <f>$F18*SUM(G18,I18:J18)</f>
        <v>242618512.97051933</v>
      </c>
      <c r="D40" s="150">
        <f>$F18*H18</f>
        <v>0</v>
      </c>
      <c r="E40" s="150">
        <f>$F18*K18</f>
        <v>0</v>
      </c>
      <c r="F40" s="150">
        <f>$F18*L18</f>
        <v>0</v>
      </c>
      <c r="G40" s="150">
        <f>$F18*M18</f>
        <v>0</v>
      </c>
      <c r="H40" s="150">
        <f>$F18*N18</f>
        <v>0</v>
      </c>
      <c r="I40" s="150">
        <f>$F18*O18</f>
        <v>0</v>
      </c>
      <c r="J40" s="150">
        <f t="shared" si="3"/>
        <v>242618512.97051933</v>
      </c>
    </row>
    <row r="41" spans="2:14" x14ac:dyDescent="0.35">
      <c r="B41" s="147" t="str">
        <f t="shared" si="1"/>
        <v>Blue Atlantic Pipeline</v>
      </c>
      <c r="C41" s="150">
        <f>$F19*SUM(G19,I19:J19)</f>
        <v>0</v>
      </c>
      <c r="D41" s="150">
        <f>$F19*H19</f>
        <v>0</v>
      </c>
      <c r="E41" s="150">
        <f>$F19*K19</f>
        <v>0</v>
      </c>
      <c r="F41" s="150">
        <f>$F19*L19</f>
        <v>0</v>
      </c>
      <c r="G41" s="150">
        <f>$F19*M19</f>
        <v>0</v>
      </c>
      <c r="H41" s="150">
        <f>$F19*N19</f>
        <v>0</v>
      </c>
      <c r="I41" s="150">
        <f>$F19*O19</f>
        <v>33980183.889428481</v>
      </c>
      <c r="J41" s="150">
        <f t="shared" si="3"/>
        <v>33980183.889428481</v>
      </c>
    </row>
    <row r="42" spans="2:14" x14ac:dyDescent="0.35">
      <c r="B42" s="147" t="str">
        <f t="shared" si="1"/>
        <v>Cartier Pipeline and Northwestern New Brunswick Pipeline</v>
      </c>
      <c r="C42" s="150">
        <f>$F20*SUM(G20,I20:J20)</f>
        <v>0</v>
      </c>
      <c r="D42" s="150">
        <f>$F20*H20</f>
        <v>0</v>
      </c>
      <c r="E42" s="150">
        <f>$F20*K20</f>
        <v>0</v>
      </c>
      <c r="F42" s="150">
        <f>$F20*L20</f>
        <v>0</v>
      </c>
      <c r="G42" s="150">
        <f>$F20*M20</f>
        <v>0</v>
      </c>
      <c r="H42" s="150">
        <f>$F20*N20</f>
        <v>0</v>
      </c>
      <c r="I42" s="150">
        <f>$F20*O20</f>
        <v>2293662.4125364223</v>
      </c>
      <c r="J42" s="150">
        <f t="shared" si="3"/>
        <v>2293662.4125364223</v>
      </c>
    </row>
    <row r="43" spans="2:14" x14ac:dyDescent="0.35">
      <c r="B43" s="147" t="str">
        <f t="shared" si="1"/>
        <v>Georgia Strait Crossing Pipeline</v>
      </c>
      <c r="C43" s="150">
        <f>$F21*SUM(G21,I21:J21)</f>
        <v>169900.91944714243</v>
      </c>
      <c r="D43" s="150">
        <f>$F21*H21</f>
        <v>0</v>
      </c>
      <c r="E43" s="150">
        <f>$F21*K21</f>
        <v>0</v>
      </c>
      <c r="F43" s="150">
        <f>$F21*L21</f>
        <v>0</v>
      </c>
      <c r="G43" s="150">
        <f>$F21*M21</f>
        <v>0</v>
      </c>
      <c r="H43" s="150">
        <f>$F21*N21</f>
        <v>0</v>
      </c>
      <c r="I43" s="150">
        <f>$F21*O21</f>
        <v>0</v>
      </c>
      <c r="J43" s="150">
        <f t="shared" si="3"/>
        <v>169900.91944714243</v>
      </c>
    </row>
    <row r="44" spans="2:14" x14ac:dyDescent="0.35">
      <c r="B44" s="147" t="str">
        <f t="shared" si="1"/>
        <v>Expansion of the Maritimes &amp; Northeast Pipeline</v>
      </c>
      <c r="C44" s="150">
        <f>$F22*SUM(G22,I22:J22)</f>
        <v>0</v>
      </c>
      <c r="D44" s="150">
        <f>$F22*H22</f>
        <v>0</v>
      </c>
      <c r="E44" s="150">
        <f>$F22*K22</f>
        <v>0</v>
      </c>
      <c r="F44" s="150">
        <f>$F22*L22</f>
        <v>0</v>
      </c>
      <c r="G44" s="150">
        <f>$F22*M22</f>
        <v>0</v>
      </c>
      <c r="H44" s="150">
        <f>$F22*N22</f>
        <v>0</v>
      </c>
      <c r="I44" s="150">
        <f>$F22*O22</f>
        <v>14724746.352085676</v>
      </c>
      <c r="J44" s="150">
        <f t="shared" si="3"/>
        <v>14724746.352085676</v>
      </c>
    </row>
    <row r="45" spans="2:14" x14ac:dyDescent="0.35">
      <c r="B45" s="151" t="s">
        <v>155</v>
      </c>
      <c r="C45" s="152"/>
      <c r="D45" s="152"/>
      <c r="E45" s="152"/>
      <c r="F45" s="152"/>
      <c r="G45" s="152"/>
      <c r="H45" s="152"/>
      <c r="I45" s="152"/>
      <c r="J45" s="152"/>
    </row>
    <row r="46" spans="2:14" x14ac:dyDescent="0.35">
      <c r="B46" t="s">
        <v>156</v>
      </c>
    </row>
    <row r="47" spans="2:14" x14ac:dyDescent="0.35">
      <c r="B47" t="s">
        <v>157</v>
      </c>
    </row>
    <row r="50" spans="2:10" x14ac:dyDescent="0.35">
      <c r="B50" t="s">
        <v>158</v>
      </c>
    </row>
    <row r="52" spans="2:10" x14ac:dyDescent="0.35">
      <c r="B52" s="147"/>
      <c r="C52" s="147" t="s">
        <v>152</v>
      </c>
      <c r="D52" s="147" t="s">
        <v>28</v>
      </c>
      <c r="E52" s="147" t="s">
        <v>67</v>
      </c>
      <c r="F52" s="147" t="s">
        <v>69</v>
      </c>
      <c r="G52" s="147" t="s">
        <v>70</v>
      </c>
      <c r="H52" s="147" t="s">
        <v>93</v>
      </c>
      <c r="I52" s="147" t="s">
        <v>72</v>
      </c>
      <c r="J52" s="147" t="s">
        <v>94</v>
      </c>
    </row>
    <row r="53" spans="2:10" x14ac:dyDescent="0.35">
      <c r="B53" s="147" t="s">
        <v>172</v>
      </c>
      <c r="C53" s="153">
        <f>SUM(C28:C37)/SUM($J28:$J37)</f>
        <v>8.4531258028182704E-2</v>
      </c>
      <c r="D53" s="153">
        <f t="shared" ref="D53:H53" si="4">SUM(D28:D37)/SUM($J28:$J37)</f>
        <v>0.21957634881310559</v>
      </c>
      <c r="E53" s="153">
        <f t="shared" si="4"/>
        <v>0.18236837273913814</v>
      </c>
      <c r="F53" s="153">
        <f t="shared" si="4"/>
        <v>0.12420986939759161</v>
      </c>
      <c r="G53" s="153">
        <f t="shared" si="4"/>
        <v>0.38124623419007686</v>
      </c>
      <c r="H53" s="153">
        <f t="shared" si="4"/>
        <v>2.1645630524623361E-3</v>
      </c>
      <c r="I53" s="153">
        <f>SUM(I28:I37)/SUM($J28:$J37)</f>
        <v>5.9033537794427335E-3</v>
      </c>
      <c r="J53" s="153">
        <f>SUM(C53:I53)</f>
        <v>1</v>
      </c>
    </row>
    <row r="54" spans="2:10" x14ac:dyDescent="0.35">
      <c r="B54" s="147" t="s">
        <v>159</v>
      </c>
      <c r="C54" s="153">
        <f>SUM(C28:C37,C39)/SUM($J28:$J37,$J39)</f>
        <v>9.456362072266758E-2</v>
      </c>
      <c r="D54" s="153">
        <f>SUM(D28:D37,D39)/SUM($J28:$J37,$J39)</f>
        <v>0.2171700737876153</v>
      </c>
      <c r="E54" s="153">
        <f t="shared" ref="E54:I54" si="5">SUM(E28:E37,E39)/SUM($J28:$J37,$J39)</f>
        <v>0.18036984938662987</v>
      </c>
      <c r="F54" s="153">
        <f t="shared" si="5"/>
        <v>0.12284868861347523</v>
      </c>
      <c r="G54" s="153">
        <f t="shared" si="5"/>
        <v>0.37706826467353916</v>
      </c>
      <c r="H54" s="153">
        <f t="shared" si="5"/>
        <v>2.140842218946371E-3</v>
      </c>
      <c r="I54" s="153">
        <f t="shared" si="5"/>
        <v>5.8386605971264653E-3</v>
      </c>
      <c r="J54" s="153">
        <f>SUM(C54:I54)</f>
        <v>1</v>
      </c>
    </row>
    <row r="55" spans="2:10" x14ac:dyDescent="0.35">
      <c r="B55" s="147" t="s">
        <v>160</v>
      </c>
      <c r="C55" s="153">
        <f>SUM(C28:C37,C39:C40)/SUM($J28:$J37,$J39:$J40)</f>
        <v>0.14913426959183207</v>
      </c>
      <c r="D55" s="153">
        <f>SUM(D28:D37,D39:D40)/SUM($J28:$J37,$J39:$J40)</f>
        <v>0.20408123385055268</v>
      </c>
      <c r="E55" s="153">
        <f t="shared" ref="E55:I55" si="6">SUM(E28:E37,E39:E40)/SUM($J28:$J37,$J39:$J40)</f>
        <v>0.16949895890471892</v>
      </c>
      <c r="F55" s="153">
        <f t="shared" si="6"/>
        <v>0.11544459838273589</v>
      </c>
      <c r="G55" s="153">
        <f t="shared" si="6"/>
        <v>0.35434236107374323</v>
      </c>
      <c r="H55" s="153">
        <f t="shared" si="6"/>
        <v>2.0118136624533677E-3</v>
      </c>
      <c r="I55" s="153">
        <f t="shared" si="6"/>
        <v>5.4867645339637299E-3</v>
      </c>
      <c r="J55" s="153">
        <f>SUM(C55:I55)</f>
        <v>0.99999999999999989</v>
      </c>
    </row>
    <row r="56" spans="2:10" x14ac:dyDescent="0.35">
      <c r="B56" s="147" t="s">
        <v>161</v>
      </c>
      <c r="C56" s="153">
        <f>SUM(C28:C44)/SUM($J28:$J44)</f>
        <v>0.14730409248981366</v>
      </c>
      <c r="D56" s="153">
        <f>SUM(D28:D44)/SUM($J28:$J44)</f>
        <v>0.20151971583499326</v>
      </c>
      <c r="E56" s="153">
        <f t="shared" ref="E56:I56" si="7">SUM(E28:E44)/SUM($J28:$J44)</f>
        <v>0.16737149902680112</v>
      </c>
      <c r="F56" s="153">
        <f t="shared" si="7"/>
        <v>0.1139955998002746</v>
      </c>
      <c r="G56" s="153">
        <f t="shared" si="7"/>
        <v>0.34989484610903593</v>
      </c>
      <c r="H56" s="153">
        <f t="shared" si="7"/>
        <v>1.9865624581015917E-3</v>
      </c>
      <c r="I56" s="153">
        <f t="shared" si="7"/>
        <v>1.7927684280979746E-2</v>
      </c>
      <c r="J56" s="153">
        <f>SUM(C56:I56)</f>
        <v>1</v>
      </c>
    </row>
    <row r="58" spans="2:10" x14ac:dyDescent="0.35">
      <c r="B58" t="s">
        <v>171</v>
      </c>
      <c r="C58" s="122">
        <f>C53*$L$28</f>
        <v>316269712.04625833</v>
      </c>
      <c r="D58" s="122">
        <f t="shared" ref="D58:J58" si="8">D53*$L$28</f>
        <v>821534545.10444665</v>
      </c>
      <c r="E58" s="122">
        <f t="shared" si="8"/>
        <v>682322658.83612227</v>
      </c>
      <c r="F58" s="122">
        <f t="shared" si="8"/>
        <v>464725363.65875965</v>
      </c>
      <c r="G58" s="122">
        <f t="shared" si="8"/>
        <v>1426414790.4413743</v>
      </c>
      <c r="H58" s="122">
        <f t="shared" si="8"/>
        <v>8098610.4936471228</v>
      </c>
      <c r="I58" s="122">
        <f t="shared" si="8"/>
        <v>22087119.528128512</v>
      </c>
      <c r="J58" s="122">
        <f>J53*$L$28</f>
        <v>3741452800.108737</v>
      </c>
    </row>
    <row r="60" spans="2:10" x14ac:dyDescent="0.35">
      <c r="B60" t="s">
        <v>91</v>
      </c>
    </row>
    <row r="61" spans="2:10" x14ac:dyDescent="0.35">
      <c r="B61" s="147"/>
      <c r="C61" s="154" t="s">
        <v>92</v>
      </c>
      <c r="D61" s="147" t="s">
        <v>28</v>
      </c>
      <c r="E61" s="147" t="s">
        <v>67</v>
      </c>
      <c r="F61" s="147" t="s">
        <v>69</v>
      </c>
      <c r="G61" s="147" t="s">
        <v>70</v>
      </c>
      <c r="H61" s="147" t="s">
        <v>93</v>
      </c>
      <c r="I61" s="147" t="s">
        <v>72</v>
      </c>
      <c r="J61" s="147" t="s">
        <v>94</v>
      </c>
    </row>
    <row r="62" spans="2:10" x14ac:dyDescent="0.35">
      <c r="B62" s="147">
        <v>2000</v>
      </c>
      <c r="C62" s="155">
        <f>C53</f>
        <v>8.4531258028182704E-2</v>
      </c>
      <c r="D62" s="155">
        <f t="shared" ref="D62:J62" si="9">D53</f>
        <v>0.21957634881310559</v>
      </c>
      <c r="E62" s="155">
        <f t="shared" si="9"/>
        <v>0.18236837273913814</v>
      </c>
      <c r="F62" s="155">
        <f t="shared" si="9"/>
        <v>0.12420986939759161</v>
      </c>
      <c r="G62" s="155">
        <f t="shared" si="9"/>
        <v>0.38124623419007686</v>
      </c>
      <c r="H62" s="155">
        <f t="shared" si="9"/>
        <v>2.1645630524623361E-3</v>
      </c>
      <c r="I62" s="155">
        <f>I53</f>
        <v>5.9033537794427335E-3</v>
      </c>
      <c r="J62" s="155">
        <f t="shared" si="9"/>
        <v>1</v>
      </c>
    </row>
    <row r="63" spans="2:10" x14ac:dyDescent="0.35">
      <c r="B63" s="147">
        <v>2005</v>
      </c>
      <c r="C63" s="155">
        <f>C53</f>
        <v>8.4531258028182704E-2</v>
      </c>
      <c r="D63" s="155">
        <f t="shared" ref="D63:J64" si="10">D53</f>
        <v>0.21957634881310559</v>
      </c>
      <c r="E63" s="155">
        <f t="shared" si="10"/>
        <v>0.18236837273913814</v>
      </c>
      <c r="F63" s="155">
        <f t="shared" si="10"/>
        <v>0.12420986939759161</v>
      </c>
      <c r="G63" s="155">
        <f t="shared" si="10"/>
        <v>0.38124623419007686</v>
      </c>
      <c r="H63" s="155">
        <f t="shared" si="10"/>
        <v>2.1645630524623361E-3</v>
      </c>
      <c r="I63" s="155">
        <f t="shared" si="10"/>
        <v>5.9033537794427335E-3</v>
      </c>
      <c r="J63" s="155">
        <f t="shared" si="10"/>
        <v>1</v>
      </c>
    </row>
    <row r="64" spans="2:10" x14ac:dyDescent="0.35">
      <c r="B64" s="147">
        <v>2010</v>
      </c>
      <c r="C64" s="155">
        <f>C54</f>
        <v>9.456362072266758E-2</v>
      </c>
      <c r="D64" s="155">
        <f t="shared" si="10"/>
        <v>0.2171700737876153</v>
      </c>
      <c r="E64" s="155">
        <f t="shared" si="10"/>
        <v>0.18036984938662987</v>
      </c>
      <c r="F64" s="155">
        <f t="shared" si="10"/>
        <v>0.12284868861347523</v>
      </c>
      <c r="G64" s="155">
        <f t="shared" si="10"/>
        <v>0.37706826467353916</v>
      </c>
      <c r="H64" s="155">
        <f t="shared" si="10"/>
        <v>2.140842218946371E-3</v>
      </c>
      <c r="I64" s="155">
        <f t="shared" si="10"/>
        <v>5.8386605971264653E-3</v>
      </c>
      <c r="J64" s="155">
        <f t="shared" si="10"/>
        <v>1</v>
      </c>
    </row>
    <row r="65" spans="2:10" x14ac:dyDescent="0.35">
      <c r="B65" s="147">
        <v>2015</v>
      </c>
      <c r="C65" s="155">
        <f t="shared" ref="C65:I65" si="11">C56</f>
        <v>0.14730409248981366</v>
      </c>
      <c r="D65" s="155">
        <f t="shared" si="11"/>
        <v>0.20151971583499326</v>
      </c>
      <c r="E65" s="155">
        <f t="shared" si="11"/>
        <v>0.16737149902680112</v>
      </c>
      <c r="F65" s="155">
        <f t="shared" si="11"/>
        <v>0.1139955998002746</v>
      </c>
      <c r="G65" s="155">
        <f t="shared" si="11"/>
        <v>0.34989484610903593</v>
      </c>
      <c r="H65" s="155">
        <f t="shared" si="11"/>
        <v>1.9865624581015917E-3</v>
      </c>
      <c r="I65" s="155">
        <f t="shared" si="11"/>
        <v>1.7927684280979746E-2</v>
      </c>
      <c r="J65" s="155">
        <f>J55</f>
        <v>0.99999999999999989</v>
      </c>
    </row>
    <row r="66" spans="2:10" x14ac:dyDescent="0.35">
      <c r="B66" s="147">
        <v>2020</v>
      </c>
      <c r="C66" s="155">
        <f>C56</f>
        <v>0.14730409248981366</v>
      </c>
      <c r="D66" s="155">
        <f t="shared" ref="D66:I66" si="12">D56</f>
        <v>0.20151971583499326</v>
      </c>
      <c r="E66" s="155">
        <f t="shared" si="12"/>
        <v>0.16737149902680112</v>
      </c>
      <c r="F66" s="155">
        <f t="shared" si="12"/>
        <v>0.1139955998002746</v>
      </c>
      <c r="G66" s="155">
        <f t="shared" si="12"/>
        <v>0.34989484610903593</v>
      </c>
      <c r="H66" s="155">
        <f t="shared" si="12"/>
        <v>1.9865624581015917E-3</v>
      </c>
      <c r="I66" s="155">
        <f t="shared" si="12"/>
        <v>1.7927684280979746E-2</v>
      </c>
      <c r="J66" s="155">
        <f>J55</f>
        <v>0.99999999999999989</v>
      </c>
    </row>
    <row r="67" spans="2:10" x14ac:dyDescent="0.35">
      <c r="B67" s="147">
        <v>2025</v>
      </c>
      <c r="C67" s="155">
        <f>C56</f>
        <v>0.14730409248981366</v>
      </c>
      <c r="D67" s="155">
        <f t="shared" ref="D67:I67" si="13">D56</f>
        <v>0.20151971583499326</v>
      </c>
      <c r="E67" s="155">
        <f t="shared" si="13"/>
        <v>0.16737149902680112</v>
      </c>
      <c r="F67" s="155">
        <f t="shared" si="13"/>
        <v>0.1139955998002746</v>
      </c>
      <c r="G67" s="155">
        <f t="shared" si="13"/>
        <v>0.34989484610903593</v>
      </c>
      <c r="H67" s="155">
        <f t="shared" si="13"/>
        <v>1.9865624581015917E-3</v>
      </c>
      <c r="I67" s="155">
        <f t="shared" si="13"/>
        <v>1.7927684280979746E-2</v>
      </c>
      <c r="J67" s="155">
        <f>J55</f>
        <v>0.99999999999999989</v>
      </c>
    </row>
    <row r="68" spans="2:10" x14ac:dyDescent="0.35">
      <c r="B68" s="147">
        <v>2030</v>
      </c>
      <c r="C68" s="155">
        <f>C56</f>
        <v>0.14730409248981366</v>
      </c>
      <c r="D68" s="155">
        <f t="shared" ref="D68:I68" si="14">D56</f>
        <v>0.20151971583499326</v>
      </c>
      <c r="E68" s="155">
        <f t="shared" si="14"/>
        <v>0.16737149902680112</v>
      </c>
      <c r="F68" s="155">
        <f t="shared" si="14"/>
        <v>0.1139955998002746</v>
      </c>
      <c r="G68" s="155">
        <f t="shared" si="14"/>
        <v>0.34989484610903593</v>
      </c>
      <c r="H68" s="155">
        <f t="shared" si="14"/>
        <v>1.9865624581015917E-3</v>
      </c>
      <c r="I68" s="155">
        <f t="shared" si="14"/>
        <v>1.7927684280979746E-2</v>
      </c>
      <c r="J68" s="155">
        <f>J55</f>
        <v>0.99999999999999989</v>
      </c>
    </row>
    <row r="69" spans="2:10" x14ac:dyDescent="0.35">
      <c r="B69" s="147">
        <v>2035</v>
      </c>
      <c r="C69" s="155">
        <f>C56</f>
        <v>0.14730409248981366</v>
      </c>
      <c r="D69" s="155">
        <f t="shared" ref="D69:I69" si="15">D56</f>
        <v>0.20151971583499326</v>
      </c>
      <c r="E69" s="155">
        <f t="shared" si="15"/>
        <v>0.16737149902680112</v>
      </c>
      <c r="F69" s="155">
        <f t="shared" si="15"/>
        <v>0.1139955998002746</v>
      </c>
      <c r="G69" s="155">
        <f t="shared" si="15"/>
        <v>0.34989484610903593</v>
      </c>
      <c r="H69" s="155">
        <f t="shared" si="15"/>
        <v>1.9865624581015917E-3</v>
      </c>
      <c r="I69" s="155">
        <f t="shared" si="15"/>
        <v>1.7927684280979746E-2</v>
      </c>
      <c r="J69" s="155">
        <f>J55</f>
        <v>0.99999999999999989</v>
      </c>
    </row>
    <row r="70" spans="2:10" x14ac:dyDescent="0.35">
      <c r="B70" s="151" t="s">
        <v>162</v>
      </c>
      <c r="C70" s="156"/>
      <c r="D70" s="156"/>
      <c r="E70" s="156"/>
      <c r="F70" s="156"/>
      <c r="G70" s="156"/>
      <c r="H70" s="156"/>
      <c r="I70" s="156"/>
      <c r="J70" s="156"/>
    </row>
    <row r="71" spans="2:10" x14ac:dyDescent="0.35">
      <c r="C71" s="156"/>
      <c r="D71" s="156"/>
      <c r="E71" s="156"/>
      <c r="F71" s="156"/>
      <c r="G71" s="156"/>
      <c r="H71" s="156"/>
      <c r="I71" s="156"/>
      <c r="J71" s="1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LengthAllocation_2022</vt:lpstr>
      <vt:lpstr>capacityAllocation+2022</vt:lpstr>
      <vt:lpstr>JCIMS Transmission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Starke</dc:creator>
  <cp:lastModifiedBy>Emma Starke</cp:lastModifiedBy>
  <dcterms:created xsi:type="dcterms:W3CDTF">2023-09-25T23:04:47Z</dcterms:created>
  <dcterms:modified xsi:type="dcterms:W3CDTF">2024-09-04T03:42:09Z</dcterms:modified>
</cp:coreProperties>
</file>