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pera.ALLARIA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0" i="1" l="1"/>
  <c r="C531" i="1"/>
  <c r="C532" i="1"/>
  <c r="C533" i="1"/>
  <c r="C536" i="1"/>
  <c r="C537" i="1"/>
  <c r="C538" i="1"/>
  <c r="C529" i="1"/>
  <c r="C528" i="1"/>
  <c r="C527" i="1"/>
  <c r="C526" i="1"/>
  <c r="C525" i="1"/>
  <c r="C524" i="1"/>
  <c r="C523" i="1"/>
  <c r="C522" i="1"/>
  <c r="F562" i="1"/>
  <c r="G562" i="1" s="1"/>
  <c r="D562" i="1"/>
  <c r="H562" i="1" s="1"/>
  <c r="I562" i="1" s="1"/>
  <c r="F561" i="1"/>
  <c r="G561" i="1" s="1"/>
  <c r="D561" i="1"/>
  <c r="H561" i="1" s="1"/>
  <c r="I561" i="1" s="1"/>
  <c r="F560" i="1"/>
  <c r="G560" i="1" s="1"/>
  <c r="D560" i="1"/>
  <c r="H560" i="1" s="1"/>
  <c r="I560" i="1" s="1"/>
  <c r="F559" i="1"/>
  <c r="G559" i="1" s="1"/>
  <c r="D559" i="1"/>
  <c r="H559" i="1" s="1"/>
  <c r="I559" i="1" s="1"/>
  <c r="H558" i="1"/>
  <c r="I558" i="1" s="1"/>
  <c r="G558" i="1"/>
  <c r="F558" i="1"/>
  <c r="D558" i="1"/>
  <c r="H557" i="1"/>
  <c r="I557" i="1" s="1"/>
  <c r="G557" i="1"/>
  <c r="F557" i="1"/>
  <c r="D557" i="1"/>
  <c r="F556" i="1"/>
  <c r="G556" i="1" s="1"/>
  <c r="D556" i="1"/>
  <c r="H556" i="1" s="1"/>
  <c r="I556" i="1" s="1"/>
  <c r="F555" i="1"/>
  <c r="G555" i="1" s="1"/>
  <c r="D555" i="1"/>
  <c r="H555" i="1" s="1"/>
  <c r="I555" i="1" s="1"/>
  <c r="H554" i="1"/>
  <c r="I554" i="1" s="1"/>
  <c r="G554" i="1"/>
  <c r="F554" i="1"/>
  <c r="D554" i="1"/>
  <c r="H553" i="1"/>
  <c r="I553" i="1" s="1"/>
  <c r="G553" i="1"/>
  <c r="F553" i="1"/>
  <c r="D553" i="1"/>
  <c r="F552" i="1"/>
  <c r="G552" i="1" s="1"/>
  <c r="D552" i="1"/>
  <c r="H552" i="1" s="1"/>
  <c r="I552" i="1" s="1"/>
  <c r="F551" i="1"/>
  <c r="G551" i="1" s="1"/>
  <c r="D551" i="1"/>
  <c r="H551" i="1" s="1"/>
  <c r="I551" i="1" s="1"/>
  <c r="H550" i="1"/>
  <c r="I550" i="1" s="1"/>
  <c r="G550" i="1"/>
  <c r="F550" i="1"/>
  <c r="D550" i="1"/>
  <c r="H549" i="1"/>
  <c r="I549" i="1" s="1"/>
  <c r="G549" i="1"/>
  <c r="F549" i="1"/>
  <c r="D549" i="1"/>
  <c r="F548" i="1"/>
  <c r="G548" i="1" s="1"/>
  <c r="D548" i="1"/>
  <c r="H548" i="1" s="1"/>
  <c r="I548" i="1" s="1"/>
  <c r="F547" i="1"/>
  <c r="G547" i="1" s="1"/>
  <c r="D547" i="1"/>
  <c r="H547" i="1" s="1"/>
  <c r="I547" i="1" s="1"/>
  <c r="H546" i="1"/>
  <c r="I546" i="1" s="1"/>
  <c r="G546" i="1"/>
  <c r="F546" i="1"/>
  <c r="D546" i="1"/>
  <c r="H545" i="1"/>
  <c r="I545" i="1" s="1"/>
  <c r="G545" i="1"/>
  <c r="F545" i="1"/>
  <c r="D545" i="1"/>
  <c r="F544" i="1"/>
  <c r="G544" i="1" s="1"/>
  <c r="D544" i="1"/>
  <c r="H544" i="1" s="1"/>
  <c r="I544" i="1" s="1"/>
  <c r="F543" i="1"/>
  <c r="G543" i="1" s="1"/>
  <c r="D543" i="1"/>
  <c r="H543" i="1" s="1"/>
  <c r="I543" i="1" s="1"/>
  <c r="H542" i="1"/>
  <c r="I542" i="1" s="1"/>
  <c r="G542" i="1"/>
  <c r="F542" i="1"/>
  <c r="D542" i="1"/>
  <c r="H541" i="1"/>
  <c r="I541" i="1" s="1"/>
  <c r="G541" i="1"/>
  <c r="F541" i="1"/>
  <c r="D541" i="1"/>
  <c r="F540" i="1"/>
  <c r="G540" i="1" s="1"/>
  <c r="D540" i="1"/>
  <c r="H540" i="1" s="1"/>
  <c r="I540" i="1" s="1"/>
  <c r="F539" i="1"/>
  <c r="G539" i="1" s="1"/>
  <c r="D539" i="1"/>
  <c r="H539" i="1" s="1"/>
  <c r="I539" i="1" s="1"/>
  <c r="H538" i="1"/>
  <c r="I538" i="1" s="1"/>
  <c r="F538" i="1"/>
  <c r="G538" i="1" s="1"/>
  <c r="D538" i="1"/>
  <c r="F537" i="1"/>
  <c r="G537" i="1" s="1"/>
  <c r="D537" i="1"/>
  <c r="H537" i="1" s="1"/>
  <c r="I537" i="1" s="1"/>
  <c r="F536" i="1"/>
  <c r="G536" i="1" s="1"/>
  <c r="D536" i="1"/>
  <c r="F535" i="1"/>
  <c r="G535" i="1" s="1"/>
  <c r="D535" i="1"/>
  <c r="H535" i="1" s="1"/>
  <c r="I535" i="1" s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H536" i="1" l="1"/>
  <c r="I536" i="1" s="1"/>
  <c r="C512" i="1"/>
  <c r="F512" i="1" s="1"/>
  <c r="G512" i="1" s="1"/>
  <c r="C507" i="1"/>
  <c r="C501" i="1"/>
  <c r="G501" i="1" s="1"/>
  <c r="C500" i="1"/>
  <c r="C499" i="1"/>
  <c r="F534" i="1"/>
  <c r="G534" i="1" s="1"/>
  <c r="D534" i="1"/>
  <c r="H534" i="1" s="1"/>
  <c r="I534" i="1" s="1"/>
  <c r="F533" i="1"/>
  <c r="G533" i="1" s="1"/>
  <c r="D533" i="1"/>
  <c r="H533" i="1" s="1"/>
  <c r="I533" i="1" s="1"/>
  <c r="F532" i="1"/>
  <c r="G532" i="1" s="1"/>
  <c r="D532" i="1"/>
  <c r="H532" i="1" s="1"/>
  <c r="I532" i="1" s="1"/>
  <c r="F531" i="1"/>
  <c r="G531" i="1" s="1"/>
  <c r="D531" i="1"/>
  <c r="H531" i="1" s="1"/>
  <c r="I531" i="1" s="1"/>
  <c r="F530" i="1"/>
  <c r="G530" i="1" s="1"/>
  <c r="D530" i="1"/>
  <c r="H530" i="1" s="1"/>
  <c r="I530" i="1" s="1"/>
  <c r="F529" i="1"/>
  <c r="G529" i="1" s="1"/>
  <c r="D529" i="1"/>
  <c r="H529" i="1" s="1"/>
  <c r="I529" i="1" s="1"/>
  <c r="F528" i="1"/>
  <c r="G528" i="1" s="1"/>
  <c r="D528" i="1"/>
  <c r="H528" i="1" s="1"/>
  <c r="I528" i="1" s="1"/>
  <c r="F527" i="1"/>
  <c r="G527" i="1" s="1"/>
  <c r="D527" i="1"/>
  <c r="H527" i="1" s="1"/>
  <c r="I527" i="1" s="1"/>
  <c r="H526" i="1"/>
  <c r="I526" i="1" s="1"/>
  <c r="F526" i="1"/>
  <c r="G526" i="1" s="1"/>
  <c r="D526" i="1"/>
  <c r="H525" i="1"/>
  <c r="I525" i="1" s="1"/>
  <c r="F525" i="1"/>
  <c r="G525" i="1" s="1"/>
  <c r="D525" i="1"/>
  <c r="F524" i="1"/>
  <c r="G524" i="1" s="1"/>
  <c r="D524" i="1"/>
  <c r="H524" i="1" s="1"/>
  <c r="I524" i="1" s="1"/>
  <c r="F523" i="1"/>
  <c r="G523" i="1" s="1"/>
  <c r="D523" i="1"/>
  <c r="H523" i="1" s="1"/>
  <c r="I523" i="1" s="1"/>
  <c r="F522" i="1"/>
  <c r="G522" i="1" s="1"/>
  <c r="D522" i="1"/>
  <c r="H522" i="1" s="1"/>
  <c r="I522" i="1" s="1"/>
  <c r="F520" i="1"/>
  <c r="G520" i="1" s="1"/>
  <c r="D520" i="1"/>
  <c r="H520" i="1" s="1"/>
  <c r="F519" i="1"/>
  <c r="G519" i="1" s="1"/>
  <c r="D519" i="1"/>
  <c r="H519" i="1" s="1"/>
  <c r="I519" i="1" s="1"/>
  <c r="F518" i="1"/>
  <c r="G518" i="1" s="1"/>
  <c r="D518" i="1"/>
  <c r="H518" i="1" s="1"/>
  <c r="F517" i="1"/>
  <c r="G517" i="1" s="1"/>
  <c r="D517" i="1"/>
  <c r="H517" i="1" s="1"/>
  <c r="I517" i="1" s="1"/>
  <c r="F516" i="1"/>
  <c r="G516" i="1" s="1"/>
  <c r="D516" i="1"/>
  <c r="H516" i="1" s="1"/>
  <c r="I516" i="1" s="1"/>
  <c r="F515" i="1"/>
  <c r="G515" i="1" s="1"/>
  <c r="D515" i="1"/>
  <c r="H515" i="1" s="1"/>
  <c r="F514" i="1"/>
  <c r="G514" i="1" s="1"/>
  <c r="D514" i="1"/>
  <c r="H514" i="1" s="1"/>
  <c r="F513" i="1"/>
  <c r="G513" i="1" s="1"/>
  <c r="D513" i="1"/>
  <c r="H513" i="1" s="1"/>
  <c r="I513" i="1" s="1"/>
  <c r="D512" i="1"/>
  <c r="H512" i="1" s="1"/>
  <c r="F511" i="1"/>
  <c r="G511" i="1" s="1"/>
  <c r="D511" i="1"/>
  <c r="H511" i="1" s="1"/>
  <c r="I511" i="1" s="1"/>
  <c r="F510" i="1"/>
  <c r="G510" i="1" s="1"/>
  <c r="D510" i="1"/>
  <c r="H510" i="1" s="1"/>
  <c r="I510" i="1" s="1"/>
  <c r="F509" i="1"/>
  <c r="G509" i="1" s="1"/>
  <c r="D509" i="1"/>
  <c r="H509" i="1" s="1"/>
  <c r="I509" i="1" s="1"/>
  <c r="F508" i="1"/>
  <c r="G508" i="1" s="1"/>
  <c r="D508" i="1"/>
  <c r="H508" i="1" s="1"/>
  <c r="F507" i="1"/>
  <c r="G507" i="1" s="1"/>
  <c r="D507" i="1"/>
  <c r="F506" i="1"/>
  <c r="G506" i="1" s="1"/>
  <c r="D506" i="1"/>
  <c r="H506" i="1" s="1"/>
  <c r="G505" i="1"/>
  <c r="F505" i="1"/>
  <c r="D505" i="1"/>
  <c r="H505" i="1" s="1"/>
  <c r="I505" i="1" s="1"/>
  <c r="F504" i="1"/>
  <c r="G504" i="1" s="1"/>
  <c r="D504" i="1"/>
  <c r="H504" i="1" s="1"/>
  <c r="F503" i="1"/>
  <c r="G503" i="1" s="1"/>
  <c r="D503" i="1"/>
  <c r="H503" i="1" s="1"/>
  <c r="I503" i="1" s="1"/>
  <c r="F502" i="1"/>
  <c r="G502" i="1" s="1"/>
  <c r="D502" i="1"/>
  <c r="H502" i="1" s="1"/>
  <c r="I502" i="1" s="1"/>
  <c r="F501" i="1"/>
  <c r="D501" i="1"/>
  <c r="H501" i="1" s="1"/>
  <c r="I501" i="1" s="1"/>
  <c r="D500" i="1"/>
  <c r="A532" i="1"/>
  <c r="A531" i="1"/>
  <c r="A530" i="1"/>
  <c r="A529" i="1"/>
  <c r="A528" i="1"/>
  <c r="A527" i="1"/>
  <c r="A526" i="1"/>
  <c r="A525" i="1"/>
  <c r="A524" i="1"/>
  <c r="A523" i="1"/>
  <c r="A522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H507" i="1" l="1"/>
  <c r="F500" i="1"/>
  <c r="G500" i="1" s="1"/>
  <c r="H500" i="1"/>
  <c r="I500" i="1" s="1"/>
  <c r="C494" i="1"/>
  <c r="C493" i="1"/>
  <c r="C492" i="1"/>
  <c r="C491" i="1"/>
  <c r="K491" i="1"/>
  <c r="F499" i="1" l="1"/>
  <c r="G499" i="1" s="1"/>
  <c r="D499" i="1"/>
  <c r="H499" i="1" s="1"/>
  <c r="I499" i="1" s="1"/>
  <c r="A499" i="1"/>
  <c r="H498" i="1"/>
  <c r="I498" i="1" s="1"/>
  <c r="F498" i="1"/>
  <c r="G498" i="1" s="1"/>
  <c r="D498" i="1"/>
  <c r="A498" i="1"/>
  <c r="H496" i="1"/>
  <c r="I496" i="1" s="1"/>
  <c r="F496" i="1"/>
  <c r="G496" i="1" s="1"/>
  <c r="D496" i="1"/>
  <c r="A496" i="1"/>
  <c r="H494" i="1"/>
  <c r="F494" i="1"/>
  <c r="G494" i="1" s="1"/>
  <c r="D494" i="1"/>
  <c r="A494" i="1"/>
  <c r="H493" i="1"/>
  <c r="F493" i="1"/>
  <c r="G493" i="1" s="1"/>
  <c r="D493" i="1"/>
  <c r="A493" i="1"/>
  <c r="H492" i="1"/>
  <c r="F492" i="1"/>
  <c r="G492" i="1" s="1"/>
  <c r="D492" i="1"/>
  <c r="A492" i="1"/>
  <c r="H491" i="1"/>
  <c r="F491" i="1"/>
  <c r="G491" i="1" s="1"/>
  <c r="D491" i="1"/>
  <c r="A491" i="1"/>
  <c r="H490" i="1"/>
  <c r="I490" i="1" s="1"/>
  <c r="F490" i="1"/>
  <c r="G490" i="1" s="1"/>
  <c r="D490" i="1"/>
  <c r="A490" i="1"/>
  <c r="C481" i="1"/>
  <c r="C464" i="1"/>
  <c r="C477" i="1"/>
  <c r="C470" i="1"/>
  <c r="C469" i="1"/>
  <c r="C475" i="1" l="1"/>
  <c r="C460" i="1" l="1"/>
  <c r="C457" i="1"/>
  <c r="C453" i="1"/>
  <c r="C461" i="1"/>
  <c r="C450" i="1"/>
  <c r="C448" i="1"/>
  <c r="C451" i="1"/>
  <c r="C433" i="1" l="1"/>
  <c r="C439" i="1" l="1"/>
  <c r="C437" i="1"/>
  <c r="C436" i="1"/>
  <c r="C435" i="1"/>
  <c r="C425" i="1"/>
  <c r="C431" i="1"/>
  <c r="C430" i="1"/>
  <c r="C429" i="1"/>
  <c r="C441" i="1"/>
  <c r="C411" i="1" l="1"/>
  <c r="C408" i="1"/>
  <c r="C407" i="1"/>
  <c r="C406" i="1"/>
  <c r="C404" i="1"/>
  <c r="C401" i="1"/>
  <c r="C399" i="1"/>
  <c r="C397" i="1"/>
  <c r="F489" i="1"/>
  <c r="G489" i="1" s="1"/>
  <c r="D489" i="1"/>
  <c r="H489" i="1" s="1"/>
  <c r="I489" i="1" s="1"/>
  <c r="F488" i="1"/>
  <c r="G488" i="1" s="1"/>
  <c r="D488" i="1"/>
  <c r="H488" i="1" s="1"/>
  <c r="I488" i="1" s="1"/>
  <c r="F487" i="1"/>
  <c r="G487" i="1" s="1"/>
  <c r="D487" i="1"/>
  <c r="H487" i="1" s="1"/>
  <c r="I487" i="1" s="1"/>
  <c r="F486" i="1"/>
  <c r="G486" i="1" s="1"/>
  <c r="D486" i="1"/>
  <c r="H486" i="1" s="1"/>
  <c r="F485" i="1"/>
  <c r="G485" i="1" s="1"/>
  <c r="D485" i="1"/>
  <c r="H485" i="1" s="1"/>
  <c r="F484" i="1"/>
  <c r="G484" i="1" s="1"/>
  <c r="D484" i="1"/>
  <c r="H484" i="1" s="1"/>
  <c r="F483" i="1"/>
  <c r="G483" i="1" s="1"/>
  <c r="D483" i="1"/>
  <c r="H483" i="1" s="1"/>
  <c r="F482" i="1"/>
  <c r="G482" i="1" s="1"/>
  <c r="D482" i="1"/>
  <c r="H482" i="1" s="1"/>
  <c r="F481" i="1"/>
  <c r="G481" i="1" s="1"/>
  <c r="D481" i="1"/>
  <c r="H481" i="1" s="1"/>
  <c r="F480" i="1"/>
  <c r="G480" i="1" s="1"/>
  <c r="D480" i="1"/>
  <c r="H480" i="1" s="1"/>
  <c r="F479" i="1"/>
  <c r="G479" i="1" s="1"/>
  <c r="D479" i="1"/>
  <c r="H479" i="1" s="1"/>
  <c r="F478" i="1"/>
  <c r="G478" i="1" s="1"/>
  <c r="D478" i="1"/>
  <c r="H478" i="1" s="1"/>
  <c r="F477" i="1"/>
  <c r="G477" i="1" s="1"/>
  <c r="D477" i="1"/>
  <c r="H477" i="1" s="1"/>
  <c r="F476" i="1"/>
  <c r="G476" i="1" s="1"/>
  <c r="D476" i="1"/>
  <c r="H476" i="1" s="1"/>
  <c r="F475" i="1"/>
  <c r="G475" i="1" s="1"/>
  <c r="D475" i="1"/>
  <c r="H475" i="1" s="1"/>
  <c r="F474" i="1"/>
  <c r="G474" i="1" s="1"/>
  <c r="D474" i="1"/>
  <c r="H474" i="1" s="1"/>
  <c r="F473" i="1"/>
  <c r="G473" i="1" s="1"/>
  <c r="D473" i="1"/>
  <c r="H473" i="1" s="1"/>
  <c r="F472" i="1"/>
  <c r="G472" i="1" s="1"/>
  <c r="D472" i="1"/>
  <c r="H472" i="1" s="1"/>
  <c r="F471" i="1"/>
  <c r="G471" i="1" s="1"/>
  <c r="D471" i="1"/>
  <c r="H471" i="1" s="1"/>
  <c r="F470" i="1"/>
  <c r="G470" i="1" s="1"/>
  <c r="D470" i="1"/>
  <c r="H470" i="1" s="1"/>
  <c r="F469" i="1"/>
  <c r="G469" i="1" s="1"/>
  <c r="D469" i="1"/>
  <c r="H469" i="1" s="1"/>
  <c r="F468" i="1"/>
  <c r="G468" i="1" s="1"/>
  <c r="D468" i="1"/>
  <c r="H468" i="1" s="1"/>
  <c r="F467" i="1"/>
  <c r="G467" i="1" s="1"/>
  <c r="D467" i="1"/>
  <c r="H467" i="1" s="1"/>
  <c r="F466" i="1"/>
  <c r="G466" i="1" s="1"/>
  <c r="D466" i="1"/>
  <c r="H466" i="1" s="1"/>
  <c r="F465" i="1"/>
  <c r="G465" i="1" s="1"/>
  <c r="D465" i="1"/>
  <c r="H465" i="1" s="1"/>
  <c r="F464" i="1"/>
  <c r="G464" i="1" s="1"/>
  <c r="D464" i="1"/>
  <c r="H464" i="1" s="1"/>
  <c r="F462" i="1"/>
  <c r="G462" i="1" s="1"/>
  <c r="D462" i="1"/>
  <c r="H462" i="1" s="1"/>
  <c r="F461" i="1"/>
  <c r="G461" i="1" s="1"/>
  <c r="D461" i="1"/>
  <c r="H461" i="1" s="1"/>
  <c r="I461" i="1" s="1"/>
  <c r="F460" i="1"/>
  <c r="G460" i="1" s="1"/>
  <c r="D460" i="1"/>
  <c r="H460" i="1" s="1"/>
  <c r="I460" i="1" s="1"/>
  <c r="F459" i="1"/>
  <c r="G459" i="1" s="1"/>
  <c r="D459" i="1"/>
  <c r="H459" i="1" s="1"/>
  <c r="I459" i="1" s="1"/>
  <c r="F458" i="1"/>
  <c r="G458" i="1" s="1"/>
  <c r="D458" i="1"/>
  <c r="H458" i="1" s="1"/>
  <c r="I458" i="1" s="1"/>
  <c r="F457" i="1"/>
  <c r="G457" i="1" s="1"/>
  <c r="D457" i="1"/>
  <c r="H457" i="1" s="1"/>
  <c r="I457" i="1" s="1"/>
  <c r="F456" i="1"/>
  <c r="G456" i="1" s="1"/>
  <c r="D456" i="1"/>
  <c r="H456" i="1" s="1"/>
  <c r="I456" i="1" s="1"/>
  <c r="F455" i="1"/>
  <c r="G455" i="1" s="1"/>
  <c r="D455" i="1"/>
  <c r="H455" i="1" s="1"/>
  <c r="I455" i="1" s="1"/>
  <c r="F454" i="1"/>
  <c r="G454" i="1" s="1"/>
  <c r="D454" i="1"/>
  <c r="H454" i="1" s="1"/>
  <c r="I454" i="1" s="1"/>
  <c r="F453" i="1"/>
  <c r="G453" i="1" s="1"/>
  <c r="D453" i="1"/>
  <c r="H453" i="1" s="1"/>
  <c r="I453" i="1" s="1"/>
  <c r="F452" i="1"/>
  <c r="G452" i="1" s="1"/>
  <c r="D452" i="1"/>
  <c r="H452" i="1" s="1"/>
  <c r="I452" i="1" s="1"/>
  <c r="F451" i="1"/>
  <c r="G451" i="1" s="1"/>
  <c r="D451" i="1"/>
  <c r="H451" i="1" s="1"/>
  <c r="I451" i="1" s="1"/>
  <c r="F450" i="1"/>
  <c r="G450" i="1" s="1"/>
  <c r="D450" i="1"/>
  <c r="H450" i="1" s="1"/>
  <c r="I450" i="1" s="1"/>
  <c r="F449" i="1"/>
  <c r="G449" i="1" s="1"/>
  <c r="D449" i="1"/>
  <c r="H449" i="1" s="1"/>
  <c r="I449" i="1" s="1"/>
  <c r="F448" i="1"/>
  <c r="G448" i="1" s="1"/>
  <c r="D448" i="1"/>
  <c r="H448" i="1" s="1"/>
  <c r="I448" i="1" s="1"/>
  <c r="F447" i="1"/>
  <c r="G447" i="1" s="1"/>
  <c r="D447" i="1"/>
  <c r="H447" i="1" s="1"/>
  <c r="I447" i="1" s="1"/>
  <c r="F446" i="1"/>
  <c r="G446" i="1" s="1"/>
  <c r="D446" i="1"/>
  <c r="H446" i="1" s="1"/>
  <c r="I446" i="1" s="1"/>
  <c r="F445" i="1"/>
  <c r="G445" i="1" s="1"/>
  <c r="D445" i="1"/>
  <c r="H445" i="1" s="1"/>
  <c r="I445" i="1" s="1"/>
  <c r="F443" i="1"/>
  <c r="G443" i="1" s="1"/>
  <c r="D443" i="1"/>
  <c r="H443" i="1" s="1"/>
  <c r="I443" i="1" s="1"/>
  <c r="F442" i="1"/>
  <c r="G442" i="1" s="1"/>
  <c r="D442" i="1"/>
  <c r="H442" i="1" s="1"/>
  <c r="I442" i="1" s="1"/>
  <c r="F441" i="1"/>
  <c r="G441" i="1" s="1"/>
  <c r="D441" i="1"/>
  <c r="H441" i="1" s="1"/>
  <c r="F440" i="1"/>
  <c r="G440" i="1" s="1"/>
  <c r="D440" i="1"/>
  <c r="H440" i="1" s="1"/>
  <c r="I440" i="1" s="1"/>
  <c r="F439" i="1"/>
  <c r="G439" i="1" s="1"/>
  <c r="D439" i="1"/>
  <c r="H439" i="1" s="1"/>
  <c r="I439" i="1" s="1"/>
  <c r="F438" i="1"/>
  <c r="G438" i="1" s="1"/>
  <c r="D438" i="1"/>
  <c r="H438" i="1" s="1"/>
  <c r="I438" i="1" s="1"/>
  <c r="F437" i="1"/>
  <c r="G437" i="1" s="1"/>
  <c r="D437" i="1"/>
  <c r="H437" i="1" s="1"/>
  <c r="I437" i="1" s="1"/>
  <c r="F436" i="1"/>
  <c r="G436" i="1" s="1"/>
  <c r="D436" i="1"/>
  <c r="H436" i="1" s="1"/>
  <c r="I436" i="1" s="1"/>
  <c r="F435" i="1"/>
  <c r="G435" i="1" s="1"/>
  <c r="D435" i="1"/>
  <c r="H435" i="1" s="1"/>
  <c r="I435" i="1" s="1"/>
  <c r="F434" i="1"/>
  <c r="G434" i="1" s="1"/>
  <c r="D434" i="1"/>
  <c r="H434" i="1" s="1"/>
  <c r="I434" i="1" s="1"/>
  <c r="F433" i="1"/>
  <c r="G433" i="1" s="1"/>
  <c r="D433" i="1"/>
  <c r="H433" i="1" s="1"/>
  <c r="I433" i="1" s="1"/>
  <c r="F432" i="1"/>
  <c r="G432" i="1" s="1"/>
  <c r="D432" i="1"/>
  <c r="H432" i="1" s="1"/>
  <c r="F431" i="1"/>
  <c r="G431" i="1" s="1"/>
  <c r="D431" i="1"/>
  <c r="H431" i="1" s="1"/>
  <c r="F430" i="1"/>
  <c r="G430" i="1" s="1"/>
  <c r="D430" i="1"/>
  <c r="H430" i="1" s="1"/>
  <c r="F429" i="1"/>
  <c r="G429" i="1" s="1"/>
  <c r="D429" i="1"/>
  <c r="H429" i="1" s="1"/>
  <c r="F428" i="1"/>
  <c r="G428" i="1" s="1"/>
  <c r="D428" i="1"/>
  <c r="H428" i="1" s="1"/>
  <c r="F427" i="1"/>
  <c r="G427" i="1" s="1"/>
  <c r="D427" i="1"/>
  <c r="H427" i="1" s="1"/>
  <c r="F426" i="1"/>
  <c r="G426" i="1" s="1"/>
  <c r="D426" i="1"/>
  <c r="H426" i="1" s="1"/>
  <c r="F425" i="1"/>
  <c r="G425" i="1" s="1"/>
  <c r="D425" i="1"/>
  <c r="H425" i="1" s="1"/>
  <c r="F424" i="1"/>
  <c r="G424" i="1" s="1"/>
  <c r="D424" i="1"/>
  <c r="H424" i="1" s="1"/>
  <c r="F423" i="1"/>
  <c r="G423" i="1" s="1"/>
  <c r="D423" i="1"/>
  <c r="H423" i="1" s="1"/>
  <c r="F422" i="1"/>
  <c r="G422" i="1" s="1"/>
  <c r="D422" i="1"/>
  <c r="H422" i="1" s="1"/>
  <c r="F420" i="1"/>
  <c r="G420" i="1" s="1"/>
  <c r="D420" i="1"/>
  <c r="H420" i="1" s="1"/>
  <c r="F419" i="1"/>
  <c r="G419" i="1" s="1"/>
  <c r="D419" i="1"/>
  <c r="H419" i="1" s="1"/>
  <c r="F418" i="1"/>
  <c r="G418" i="1" s="1"/>
  <c r="D418" i="1"/>
  <c r="H418" i="1" s="1"/>
  <c r="F417" i="1"/>
  <c r="G417" i="1" s="1"/>
  <c r="D417" i="1"/>
  <c r="H417" i="1" s="1"/>
  <c r="F416" i="1"/>
  <c r="G416" i="1" s="1"/>
  <c r="D416" i="1"/>
  <c r="H416" i="1" s="1"/>
  <c r="F415" i="1"/>
  <c r="G415" i="1" s="1"/>
  <c r="D415" i="1"/>
  <c r="H415" i="1" s="1"/>
  <c r="F414" i="1"/>
  <c r="G414" i="1" s="1"/>
  <c r="D414" i="1"/>
  <c r="H414" i="1" s="1"/>
  <c r="F413" i="1"/>
  <c r="G413" i="1" s="1"/>
  <c r="D413" i="1"/>
  <c r="H413" i="1" s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0" i="1"/>
  <c r="A419" i="1"/>
  <c r="A418" i="1"/>
  <c r="A417" i="1"/>
  <c r="A416" i="1"/>
  <c r="A415" i="1"/>
  <c r="A414" i="1"/>
  <c r="A413" i="1"/>
  <c r="I413" i="1" l="1"/>
  <c r="D412" i="1"/>
  <c r="H412" i="1" s="1"/>
  <c r="I412" i="1" s="1"/>
  <c r="D411" i="1"/>
  <c r="H411" i="1" s="1"/>
  <c r="I411" i="1" s="1"/>
  <c r="D410" i="1"/>
  <c r="H410" i="1" s="1"/>
  <c r="I410" i="1" s="1"/>
  <c r="D409" i="1"/>
  <c r="H409" i="1" s="1"/>
  <c r="I409" i="1" s="1"/>
  <c r="D408" i="1"/>
  <c r="H408" i="1" s="1"/>
  <c r="I408" i="1" s="1"/>
  <c r="D407" i="1"/>
  <c r="H407" i="1" s="1"/>
  <c r="I407" i="1" s="1"/>
  <c r="D406" i="1"/>
  <c r="H406" i="1" s="1"/>
  <c r="I406" i="1" s="1"/>
  <c r="D405" i="1"/>
  <c r="H405" i="1" s="1"/>
  <c r="I405" i="1" s="1"/>
  <c r="D404" i="1"/>
  <c r="H404" i="1" s="1"/>
  <c r="I404" i="1" s="1"/>
  <c r="D403" i="1"/>
  <c r="H403" i="1" s="1"/>
  <c r="I403" i="1" s="1"/>
  <c r="D402" i="1"/>
  <c r="H402" i="1" s="1"/>
  <c r="I402" i="1" s="1"/>
  <c r="D401" i="1"/>
  <c r="H401" i="1" s="1"/>
  <c r="I401" i="1" s="1"/>
  <c r="D400" i="1"/>
  <c r="H400" i="1" s="1"/>
  <c r="I400" i="1" s="1"/>
  <c r="D399" i="1"/>
  <c r="H399" i="1" s="1"/>
  <c r="I399" i="1" s="1"/>
  <c r="D398" i="1"/>
  <c r="H398" i="1" s="1"/>
  <c r="I398" i="1" s="1"/>
  <c r="D397" i="1"/>
  <c r="H397" i="1" s="1"/>
  <c r="I397" i="1" s="1"/>
  <c r="D395" i="1"/>
  <c r="H395" i="1" s="1"/>
  <c r="I395" i="1" s="1"/>
  <c r="I432" i="1"/>
  <c r="I431" i="1"/>
  <c r="I430" i="1"/>
  <c r="I429" i="1"/>
  <c r="I428" i="1"/>
  <c r="I427" i="1"/>
  <c r="I426" i="1"/>
  <c r="I425" i="1"/>
  <c r="I424" i="1"/>
  <c r="I423" i="1"/>
  <c r="I422" i="1"/>
  <c r="I420" i="1"/>
  <c r="I419" i="1"/>
  <c r="I418" i="1"/>
  <c r="I417" i="1"/>
  <c r="I416" i="1"/>
  <c r="I415" i="1"/>
  <c r="I414" i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5" i="1"/>
  <c r="G395" i="1" s="1"/>
  <c r="F394" i="1"/>
  <c r="G394" i="1" s="1"/>
  <c r="D394" i="1"/>
  <c r="H394" i="1" s="1"/>
  <c r="F393" i="1"/>
  <c r="G393" i="1" s="1"/>
  <c r="D393" i="1"/>
  <c r="H393" i="1" s="1"/>
  <c r="F392" i="1"/>
  <c r="G392" i="1" s="1"/>
  <c r="D392" i="1"/>
  <c r="H392" i="1" s="1"/>
  <c r="F391" i="1"/>
  <c r="G391" i="1" s="1"/>
  <c r="D391" i="1"/>
  <c r="H391" i="1" s="1"/>
  <c r="C388" i="1" l="1"/>
  <c r="F388" i="1" s="1"/>
  <c r="G388" i="1" s="1"/>
  <c r="C387" i="1"/>
  <c r="C386" i="1"/>
  <c r="F386" i="1" s="1"/>
  <c r="G386" i="1" s="1"/>
  <c r="C385" i="1"/>
  <c r="C383" i="1"/>
  <c r="C378" i="1"/>
  <c r="F378" i="1" s="1"/>
  <c r="G378" i="1" s="1"/>
  <c r="C377" i="1"/>
  <c r="F377" i="1" s="1"/>
  <c r="G377" i="1" s="1"/>
  <c r="C375" i="1"/>
  <c r="C374" i="1"/>
  <c r="C373" i="1"/>
  <c r="F373" i="1" s="1"/>
  <c r="G373" i="1" s="1"/>
  <c r="C372" i="1"/>
  <c r="F372" i="1" s="1"/>
  <c r="G372" i="1" s="1"/>
  <c r="C371" i="1"/>
  <c r="F371" i="1" s="1"/>
  <c r="G371" i="1" s="1"/>
  <c r="F390" i="1"/>
  <c r="G390" i="1" s="1"/>
  <c r="F389" i="1"/>
  <c r="G389" i="1" s="1"/>
  <c r="F387" i="1"/>
  <c r="G387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6" i="1"/>
  <c r="G376" i="1" s="1"/>
  <c r="F375" i="1"/>
  <c r="G375" i="1" s="1"/>
  <c r="F374" i="1"/>
  <c r="G374" i="1" s="1"/>
  <c r="D390" i="1" l="1"/>
  <c r="H390" i="1" s="1"/>
  <c r="D389" i="1"/>
  <c r="H389" i="1" s="1"/>
  <c r="I389" i="1" s="1"/>
  <c r="D388" i="1"/>
  <c r="H388" i="1" s="1"/>
  <c r="I388" i="1" s="1"/>
  <c r="D387" i="1"/>
  <c r="H387" i="1" s="1"/>
  <c r="D386" i="1"/>
  <c r="H386" i="1" s="1"/>
  <c r="D385" i="1"/>
  <c r="H385" i="1" s="1"/>
  <c r="D384" i="1"/>
  <c r="H384" i="1" s="1"/>
  <c r="D383" i="1"/>
  <c r="H383" i="1" s="1"/>
  <c r="D382" i="1"/>
  <c r="H382" i="1" s="1"/>
  <c r="D381" i="1"/>
  <c r="H381" i="1" s="1"/>
  <c r="I381" i="1" s="1"/>
  <c r="D380" i="1"/>
  <c r="H380" i="1" s="1"/>
  <c r="I380" i="1" s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C367" i="1" l="1"/>
  <c r="C365" i="1"/>
  <c r="C364" i="1"/>
  <c r="C363" i="1"/>
  <c r="C362" i="1"/>
  <c r="C361" i="1"/>
  <c r="C366" i="1"/>
  <c r="C360" i="1"/>
  <c r="C359" i="1"/>
  <c r="C358" i="1"/>
  <c r="C355" i="1"/>
  <c r="C342" i="1" l="1"/>
  <c r="C340" i="1"/>
  <c r="C339" i="1"/>
  <c r="C337" i="1"/>
  <c r="C334" i="1"/>
  <c r="C332" i="1"/>
  <c r="C331" i="1"/>
  <c r="D379" i="1" l="1"/>
  <c r="H379" i="1" s="1"/>
  <c r="D378" i="1"/>
  <c r="H378" i="1" s="1"/>
  <c r="D377" i="1"/>
  <c r="H377" i="1" s="1"/>
  <c r="D376" i="1"/>
  <c r="H376" i="1" s="1"/>
  <c r="D375" i="1"/>
  <c r="H375" i="1" s="1"/>
  <c r="D374" i="1"/>
  <c r="H374" i="1" s="1"/>
  <c r="D373" i="1"/>
  <c r="H373" i="1" s="1"/>
  <c r="D372" i="1"/>
  <c r="H372" i="1" s="1"/>
  <c r="D371" i="1"/>
  <c r="H371" i="1" s="1"/>
  <c r="F369" i="1"/>
  <c r="G369" i="1" s="1"/>
  <c r="D369" i="1"/>
  <c r="H369" i="1" s="1"/>
  <c r="I369" i="1" s="1"/>
  <c r="F368" i="1"/>
  <c r="G368" i="1" s="1"/>
  <c r="D368" i="1"/>
  <c r="H368" i="1" s="1"/>
  <c r="I368" i="1" s="1"/>
  <c r="F367" i="1"/>
  <c r="G367" i="1" s="1"/>
  <c r="D367" i="1"/>
  <c r="H367" i="1" s="1"/>
  <c r="I367" i="1" s="1"/>
  <c r="F366" i="1"/>
  <c r="G366" i="1" s="1"/>
  <c r="D366" i="1"/>
  <c r="H366" i="1" s="1"/>
  <c r="I366" i="1" s="1"/>
  <c r="F365" i="1"/>
  <c r="G365" i="1" s="1"/>
  <c r="D365" i="1"/>
  <c r="H365" i="1" s="1"/>
  <c r="I365" i="1" s="1"/>
  <c r="F364" i="1"/>
  <c r="G364" i="1" s="1"/>
  <c r="D364" i="1"/>
  <c r="H364" i="1" s="1"/>
  <c r="I364" i="1" s="1"/>
  <c r="F363" i="1"/>
  <c r="G363" i="1" s="1"/>
  <c r="D363" i="1"/>
  <c r="H363" i="1" s="1"/>
  <c r="I363" i="1" s="1"/>
  <c r="F362" i="1"/>
  <c r="G362" i="1" s="1"/>
  <c r="D362" i="1"/>
  <c r="H362" i="1" s="1"/>
  <c r="I362" i="1" s="1"/>
  <c r="F361" i="1"/>
  <c r="G361" i="1" s="1"/>
  <c r="D361" i="1"/>
  <c r="H361" i="1" s="1"/>
  <c r="I361" i="1" s="1"/>
  <c r="F360" i="1"/>
  <c r="G360" i="1" s="1"/>
  <c r="D360" i="1"/>
  <c r="H360" i="1" s="1"/>
  <c r="I360" i="1" s="1"/>
  <c r="F359" i="1"/>
  <c r="G359" i="1" s="1"/>
  <c r="D359" i="1"/>
  <c r="H359" i="1" s="1"/>
  <c r="I359" i="1" s="1"/>
  <c r="F358" i="1"/>
  <c r="G358" i="1" s="1"/>
  <c r="D358" i="1"/>
  <c r="H358" i="1" s="1"/>
  <c r="I358" i="1" s="1"/>
  <c r="F357" i="1"/>
  <c r="G357" i="1" s="1"/>
  <c r="D357" i="1"/>
  <c r="H357" i="1" s="1"/>
  <c r="I357" i="1" s="1"/>
  <c r="F356" i="1"/>
  <c r="G356" i="1" s="1"/>
  <c r="D356" i="1"/>
  <c r="H356" i="1" s="1"/>
  <c r="I356" i="1" s="1"/>
  <c r="F355" i="1"/>
  <c r="G355" i="1" s="1"/>
  <c r="D355" i="1"/>
  <c r="H355" i="1" s="1"/>
  <c r="I355" i="1" s="1"/>
  <c r="F354" i="1"/>
  <c r="G354" i="1" s="1"/>
  <c r="D354" i="1"/>
  <c r="H354" i="1" s="1"/>
  <c r="I354" i="1" s="1"/>
  <c r="F353" i="1"/>
  <c r="G353" i="1" s="1"/>
  <c r="D353" i="1"/>
  <c r="H353" i="1" s="1"/>
  <c r="I353" i="1" s="1"/>
  <c r="F352" i="1"/>
  <c r="G352" i="1" s="1"/>
  <c r="D352" i="1"/>
  <c r="H352" i="1" s="1"/>
  <c r="I352" i="1" s="1"/>
  <c r="F350" i="1"/>
  <c r="G350" i="1" s="1"/>
  <c r="D350" i="1"/>
  <c r="H350" i="1" s="1"/>
  <c r="I350" i="1" s="1"/>
  <c r="F349" i="1"/>
  <c r="G349" i="1" s="1"/>
  <c r="D349" i="1"/>
  <c r="H349" i="1" s="1"/>
  <c r="I349" i="1" s="1"/>
  <c r="F348" i="1"/>
  <c r="G348" i="1" s="1"/>
  <c r="D348" i="1"/>
  <c r="H348" i="1" s="1"/>
  <c r="I348" i="1" s="1"/>
  <c r="F347" i="1"/>
  <c r="G347" i="1" s="1"/>
  <c r="D347" i="1"/>
  <c r="H347" i="1" s="1"/>
  <c r="I347" i="1" s="1"/>
  <c r="F346" i="1"/>
  <c r="G346" i="1" s="1"/>
  <c r="D346" i="1"/>
  <c r="H346" i="1" s="1"/>
  <c r="I346" i="1" s="1"/>
  <c r="F345" i="1"/>
  <c r="G345" i="1" s="1"/>
  <c r="D345" i="1"/>
  <c r="H345" i="1" s="1"/>
  <c r="I345" i="1" s="1"/>
  <c r="A374" i="1"/>
  <c r="A373" i="1"/>
  <c r="A372" i="1"/>
  <c r="A371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0" i="1"/>
  <c r="A349" i="1"/>
  <c r="A348" i="1"/>
  <c r="A347" i="1"/>
  <c r="A346" i="1"/>
  <c r="A345" i="1"/>
  <c r="C329" i="1" l="1"/>
  <c r="C326" i="1" l="1"/>
  <c r="C328" i="1"/>
  <c r="F328" i="1" s="1"/>
  <c r="G328" i="1" s="1"/>
  <c r="C327" i="1"/>
  <c r="C324" i="1"/>
  <c r="C322" i="1"/>
  <c r="C320" i="1"/>
  <c r="C318" i="1"/>
  <c r="F344" i="1"/>
  <c r="G344" i="1" s="1"/>
  <c r="D344" i="1"/>
  <c r="H344" i="1" s="1"/>
  <c r="I344" i="1" s="1"/>
  <c r="A344" i="1"/>
  <c r="F343" i="1"/>
  <c r="G343" i="1" s="1"/>
  <c r="D343" i="1"/>
  <c r="H343" i="1" s="1"/>
  <c r="I343" i="1" s="1"/>
  <c r="A343" i="1"/>
  <c r="F342" i="1"/>
  <c r="G342" i="1" s="1"/>
  <c r="D342" i="1"/>
  <c r="H342" i="1" s="1"/>
  <c r="I342" i="1" s="1"/>
  <c r="A342" i="1"/>
  <c r="F341" i="1"/>
  <c r="G341" i="1" s="1"/>
  <c r="D341" i="1"/>
  <c r="H341" i="1" s="1"/>
  <c r="I341" i="1" s="1"/>
  <c r="A341" i="1"/>
  <c r="F340" i="1"/>
  <c r="G340" i="1" s="1"/>
  <c r="D340" i="1"/>
  <c r="H340" i="1" s="1"/>
  <c r="I340" i="1" s="1"/>
  <c r="A340" i="1"/>
  <c r="F339" i="1"/>
  <c r="G339" i="1" s="1"/>
  <c r="D339" i="1"/>
  <c r="H339" i="1" s="1"/>
  <c r="I339" i="1" s="1"/>
  <c r="A339" i="1"/>
  <c r="F338" i="1"/>
  <c r="G338" i="1" s="1"/>
  <c r="D338" i="1"/>
  <c r="H338" i="1" s="1"/>
  <c r="I338" i="1" s="1"/>
  <c r="A338" i="1"/>
  <c r="F337" i="1"/>
  <c r="G337" i="1" s="1"/>
  <c r="D337" i="1"/>
  <c r="H337" i="1" s="1"/>
  <c r="I337" i="1" s="1"/>
  <c r="A337" i="1"/>
  <c r="F336" i="1"/>
  <c r="G336" i="1" s="1"/>
  <c r="D336" i="1"/>
  <c r="H336" i="1" s="1"/>
  <c r="I336" i="1" s="1"/>
  <c r="A336" i="1"/>
  <c r="F335" i="1"/>
  <c r="G335" i="1" s="1"/>
  <c r="D335" i="1"/>
  <c r="H335" i="1" s="1"/>
  <c r="I335" i="1" s="1"/>
  <c r="A335" i="1"/>
  <c r="F334" i="1"/>
  <c r="G334" i="1" s="1"/>
  <c r="D334" i="1"/>
  <c r="H334" i="1" s="1"/>
  <c r="I334" i="1" s="1"/>
  <c r="A334" i="1"/>
  <c r="F333" i="1"/>
  <c r="G333" i="1" s="1"/>
  <c r="D333" i="1"/>
  <c r="H333" i="1" s="1"/>
  <c r="I333" i="1" s="1"/>
  <c r="A333" i="1"/>
  <c r="F332" i="1"/>
  <c r="G332" i="1" s="1"/>
  <c r="D332" i="1"/>
  <c r="H332" i="1" s="1"/>
  <c r="I332" i="1" s="1"/>
  <c r="A332" i="1"/>
  <c r="F331" i="1"/>
  <c r="G331" i="1" s="1"/>
  <c r="D331" i="1"/>
  <c r="H331" i="1" s="1"/>
  <c r="I331" i="1" s="1"/>
  <c r="A331" i="1"/>
  <c r="F329" i="1"/>
  <c r="G329" i="1" s="1"/>
  <c r="D329" i="1"/>
  <c r="H329" i="1" s="1"/>
  <c r="I329" i="1" s="1"/>
  <c r="A329" i="1"/>
  <c r="D328" i="1"/>
  <c r="H328" i="1" s="1"/>
  <c r="I328" i="1" s="1"/>
  <c r="A328" i="1"/>
  <c r="F327" i="1"/>
  <c r="G327" i="1" s="1"/>
  <c r="D327" i="1"/>
  <c r="A327" i="1"/>
  <c r="H327" i="1" l="1"/>
  <c r="I327" i="1" s="1"/>
  <c r="F321" i="1"/>
  <c r="G321" i="1" s="1"/>
  <c r="F320" i="1"/>
  <c r="G320" i="1" s="1"/>
  <c r="F319" i="1"/>
  <c r="G319" i="1" s="1"/>
  <c r="F318" i="1"/>
  <c r="G318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D313" i="1"/>
  <c r="H313" i="1" s="1"/>
  <c r="I313" i="1" s="1"/>
  <c r="A313" i="1"/>
  <c r="D311" i="1"/>
  <c r="H311" i="1" s="1"/>
  <c r="I311" i="1" s="1"/>
  <c r="A311" i="1"/>
  <c r="D307" i="1"/>
  <c r="H307" i="1" s="1"/>
  <c r="I307" i="1" s="1"/>
  <c r="A307" i="1"/>
  <c r="D306" i="1"/>
  <c r="H306" i="1" s="1"/>
  <c r="I306" i="1" s="1"/>
  <c r="A306" i="1"/>
  <c r="D305" i="1"/>
  <c r="H305" i="1" s="1"/>
  <c r="I305" i="1" s="1"/>
  <c r="A305" i="1"/>
  <c r="D302" i="1"/>
  <c r="H302" i="1" s="1"/>
  <c r="I302" i="1" s="1"/>
  <c r="A302" i="1"/>
  <c r="D301" i="1"/>
  <c r="H301" i="1" s="1"/>
  <c r="I301" i="1" s="1"/>
  <c r="A301" i="1"/>
  <c r="F326" i="1"/>
  <c r="G326" i="1" s="1"/>
  <c r="D326" i="1"/>
  <c r="H326" i="1" s="1"/>
  <c r="I326" i="1" s="1"/>
  <c r="F325" i="1"/>
  <c r="G325" i="1" s="1"/>
  <c r="D325" i="1"/>
  <c r="H325" i="1" s="1"/>
  <c r="I325" i="1" s="1"/>
  <c r="F324" i="1"/>
  <c r="G324" i="1" s="1"/>
  <c r="D324" i="1"/>
  <c r="H324" i="1" s="1"/>
  <c r="I324" i="1" s="1"/>
  <c r="F323" i="1"/>
  <c r="G323" i="1" s="1"/>
  <c r="D323" i="1"/>
  <c r="H323" i="1" s="1"/>
  <c r="I323" i="1" s="1"/>
  <c r="F322" i="1"/>
  <c r="G322" i="1" s="1"/>
  <c r="D322" i="1"/>
  <c r="H322" i="1" s="1"/>
  <c r="I322" i="1" s="1"/>
  <c r="D321" i="1"/>
  <c r="H321" i="1" s="1"/>
  <c r="I321" i="1" s="1"/>
  <c r="D320" i="1"/>
  <c r="H320" i="1" s="1"/>
  <c r="I320" i="1" s="1"/>
  <c r="D319" i="1"/>
  <c r="H319" i="1" s="1"/>
  <c r="I319" i="1" s="1"/>
  <c r="D318" i="1"/>
  <c r="H318" i="1" s="1"/>
  <c r="I318" i="1" s="1"/>
  <c r="D316" i="1"/>
  <c r="H316" i="1" s="1"/>
  <c r="I316" i="1" s="1"/>
  <c r="D315" i="1"/>
  <c r="H315" i="1" s="1"/>
  <c r="I315" i="1" s="1"/>
  <c r="D314" i="1"/>
  <c r="H314" i="1" s="1"/>
  <c r="I314" i="1" s="1"/>
  <c r="D312" i="1"/>
  <c r="H312" i="1" s="1"/>
  <c r="I312" i="1" s="1"/>
  <c r="D310" i="1"/>
  <c r="H310" i="1" s="1"/>
  <c r="I310" i="1" s="1"/>
  <c r="A310" i="1"/>
  <c r="A312" i="1"/>
  <c r="A314" i="1"/>
  <c r="A315" i="1"/>
  <c r="A316" i="1"/>
  <c r="A318" i="1"/>
  <c r="A319" i="1"/>
  <c r="A320" i="1"/>
  <c r="A321" i="1"/>
  <c r="A322" i="1"/>
  <c r="A323" i="1"/>
  <c r="A324" i="1"/>
  <c r="A325" i="1"/>
  <c r="A326" i="1"/>
  <c r="F295" i="1" l="1"/>
  <c r="G295" i="1" s="1"/>
  <c r="F296" i="1"/>
  <c r="G296" i="1" s="1"/>
  <c r="D296" i="1"/>
  <c r="A296" i="1"/>
  <c r="F293" i="1"/>
  <c r="G293" i="1" s="1"/>
  <c r="F294" i="1"/>
  <c r="D294" i="1"/>
  <c r="H294" i="1" s="1"/>
  <c r="A294" i="1"/>
  <c r="F291" i="1"/>
  <c r="G291" i="1" s="1"/>
  <c r="D291" i="1"/>
  <c r="A291" i="1"/>
  <c r="F289" i="1"/>
  <c r="G289" i="1" s="1"/>
  <c r="D289" i="1"/>
  <c r="A289" i="1"/>
  <c r="F288" i="1"/>
  <c r="D288" i="1"/>
  <c r="H288" i="1" s="1"/>
  <c r="I288" i="1" s="1"/>
  <c r="A288" i="1"/>
  <c r="H296" i="1" l="1"/>
  <c r="G294" i="1"/>
  <c r="H291" i="1"/>
  <c r="I291" i="1" s="1"/>
  <c r="H289" i="1"/>
  <c r="G288" i="1"/>
  <c r="C297" i="1"/>
  <c r="F297" i="1" s="1"/>
  <c r="F298" i="1"/>
  <c r="G298" i="1" s="1"/>
  <c r="F292" i="1"/>
  <c r="G292" i="1" s="1"/>
  <c r="F290" i="1"/>
  <c r="G290" i="1" s="1"/>
  <c r="F287" i="1"/>
  <c r="G287" i="1" s="1"/>
  <c r="D309" i="1"/>
  <c r="H309" i="1" s="1"/>
  <c r="I309" i="1" s="1"/>
  <c r="A309" i="1"/>
  <c r="D308" i="1"/>
  <c r="H308" i="1" s="1"/>
  <c r="I308" i="1" s="1"/>
  <c r="A308" i="1"/>
  <c r="D304" i="1"/>
  <c r="H304" i="1" s="1"/>
  <c r="I304" i="1" s="1"/>
  <c r="A304" i="1"/>
  <c r="D303" i="1"/>
  <c r="H303" i="1" s="1"/>
  <c r="I303" i="1" s="1"/>
  <c r="A303" i="1"/>
  <c r="F300" i="1"/>
  <c r="G300" i="1" s="1"/>
  <c r="D300" i="1"/>
  <c r="H300" i="1" s="1"/>
  <c r="I300" i="1" s="1"/>
  <c r="A300" i="1"/>
  <c r="D298" i="1"/>
  <c r="H298" i="1" s="1"/>
  <c r="A298" i="1"/>
  <c r="D297" i="1"/>
  <c r="H297" i="1" s="1"/>
  <c r="I297" i="1" s="1"/>
  <c r="A297" i="1"/>
  <c r="D295" i="1"/>
  <c r="H295" i="1" s="1"/>
  <c r="A295" i="1"/>
  <c r="D293" i="1"/>
  <c r="H293" i="1" s="1"/>
  <c r="I293" i="1" s="1"/>
  <c r="A293" i="1"/>
  <c r="D292" i="1"/>
  <c r="H292" i="1" s="1"/>
  <c r="I292" i="1" s="1"/>
  <c r="A292" i="1"/>
  <c r="D290" i="1"/>
  <c r="H290" i="1" s="1"/>
  <c r="I290" i="1" s="1"/>
  <c r="A290" i="1"/>
  <c r="G297" i="1" l="1"/>
  <c r="C285" i="1"/>
  <c r="C269" i="1" l="1"/>
  <c r="C266" i="1"/>
  <c r="C264" i="1"/>
  <c r="A272" i="1" l="1"/>
  <c r="D272" i="1"/>
  <c r="H272" i="1" s="1"/>
  <c r="I272" i="1" s="1"/>
  <c r="F272" i="1"/>
  <c r="G272" i="1" s="1"/>
  <c r="A273" i="1"/>
  <c r="D273" i="1"/>
  <c r="H273" i="1" s="1"/>
  <c r="I273" i="1" s="1"/>
  <c r="F273" i="1"/>
  <c r="G273" i="1" s="1"/>
  <c r="A274" i="1"/>
  <c r="D274" i="1"/>
  <c r="H274" i="1" s="1"/>
  <c r="I274" i="1" s="1"/>
  <c r="F274" i="1"/>
  <c r="G274" i="1" s="1"/>
  <c r="A275" i="1"/>
  <c r="D275" i="1"/>
  <c r="H275" i="1" s="1"/>
  <c r="I275" i="1" s="1"/>
  <c r="F275" i="1"/>
  <c r="G275" i="1" s="1"/>
  <c r="A276" i="1"/>
  <c r="D276" i="1"/>
  <c r="H276" i="1" s="1"/>
  <c r="I276" i="1" s="1"/>
  <c r="F276" i="1"/>
  <c r="G276" i="1" s="1"/>
  <c r="A278" i="1"/>
  <c r="D278" i="1"/>
  <c r="H278" i="1" s="1"/>
  <c r="I278" i="1" s="1"/>
  <c r="F278" i="1"/>
  <c r="G278" i="1" s="1"/>
  <c r="A279" i="1"/>
  <c r="D279" i="1"/>
  <c r="H279" i="1" s="1"/>
  <c r="I279" i="1" s="1"/>
  <c r="F279" i="1"/>
  <c r="G279" i="1" s="1"/>
  <c r="A281" i="1"/>
  <c r="D281" i="1"/>
  <c r="H281" i="1" s="1"/>
  <c r="F281" i="1"/>
  <c r="G281" i="1" s="1"/>
  <c r="A282" i="1"/>
  <c r="D282" i="1"/>
  <c r="H282" i="1" s="1"/>
  <c r="I282" i="1" s="1"/>
  <c r="F282" i="1"/>
  <c r="G282" i="1" s="1"/>
  <c r="A283" i="1"/>
  <c r="D283" i="1"/>
  <c r="H283" i="1" s="1"/>
  <c r="I283" i="1" s="1"/>
  <c r="F283" i="1"/>
  <c r="G283" i="1" s="1"/>
  <c r="A284" i="1"/>
  <c r="D284" i="1"/>
  <c r="H284" i="1" s="1"/>
  <c r="I284" i="1" s="1"/>
  <c r="F284" i="1"/>
  <c r="G284" i="1" s="1"/>
  <c r="A285" i="1"/>
  <c r="D285" i="1"/>
  <c r="H285" i="1" s="1"/>
  <c r="I285" i="1" s="1"/>
  <c r="F285" i="1"/>
  <c r="G285" i="1" s="1"/>
  <c r="A287" i="1"/>
  <c r="D287" i="1"/>
  <c r="H287" i="1" l="1"/>
  <c r="I287" i="1" s="1"/>
  <c r="C261" i="1"/>
  <c r="C262" i="1"/>
  <c r="C257" i="1"/>
  <c r="A271" i="1" l="1"/>
  <c r="A269" i="1"/>
  <c r="A268" i="1"/>
  <c r="A267" i="1"/>
  <c r="A266" i="1"/>
  <c r="A265" i="1"/>
  <c r="A264" i="1"/>
  <c r="A262" i="1"/>
  <c r="A261" i="1"/>
  <c r="F271" i="1"/>
  <c r="G271" i="1" s="1"/>
  <c r="D271" i="1"/>
  <c r="H271" i="1" s="1"/>
  <c r="F269" i="1"/>
  <c r="G269" i="1" s="1"/>
  <c r="D269" i="1"/>
  <c r="H269" i="1" s="1"/>
  <c r="I269" i="1" s="1"/>
  <c r="F268" i="1"/>
  <c r="G268" i="1" s="1"/>
  <c r="D268" i="1"/>
  <c r="H268" i="1" s="1"/>
  <c r="I268" i="1" s="1"/>
  <c r="F267" i="1"/>
  <c r="G267" i="1" s="1"/>
  <c r="D267" i="1"/>
  <c r="H267" i="1" s="1"/>
  <c r="I267" i="1" s="1"/>
  <c r="F266" i="1"/>
  <c r="G266" i="1" s="1"/>
  <c r="D266" i="1"/>
  <c r="H266" i="1" s="1"/>
  <c r="I266" i="1" s="1"/>
  <c r="F265" i="1"/>
  <c r="G265" i="1" s="1"/>
  <c r="D265" i="1"/>
  <c r="H265" i="1" s="1"/>
  <c r="I265" i="1" s="1"/>
  <c r="F264" i="1"/>
  <c r="G264" i="1" s="1"/>
  <c r="D264" i="1"/>
  <c r="H264" i="1" s="1"/>
  <c r="I264" i="1" s="1"/>
  <c r="F262" i="1"/>
  <c r="G262" i="1" s="1"/>
  <c r="D262" i="1"/>
  <c r="H262" i="1" s="1"/>
  <c r="F261" i="1"/>
  <c r="G261" i="1" s="1"/>
  <c r="D261" i="1"/>
  <c r="H261" i="1" s="1"/>
  <c r="F260" i="1"/>
  <c r="G260" i="1" s="1"/>
  <c r="D260" i="1"/>
  <c r="H260" i="1" s="1"/>
  <c r="F259" i="1"/>
  <c r="G259" i="1" s="1"/>
  <c r="D259" i="1"/>
  <c r="H259" i="1" s="1"/>
  <c r="F257" i="1"/>
  <c r="G257" i="1" s="1"/>
  <c r="D257" i="1"/>
  <c r="H257" i="1" s="1"/>
  <c r="A260" i="1"/>
  <c r="A259" i="1"/>
  <c r="C255" i="1" l="1"/>
  <c r="F252" i="1" l="1"/>
  <c r="G252" i="1" s="1"/>
  <c r="F251" i="1"/>
  <c r="G251" i="1" s="1"/>
  <c r="F250" i="1"/>
  <c r="G250" i="1" s="1"/>
  <c r="F249" i="1"/>
  <c r="G249" i="1" s="1"/>
  <c r="F247" i="1" l="1"/>
  <c r="G247" i="1" s="1"/>
  <c r="C246" i="1"/>
  <c r="F246" i="1" s="1"/>
  <c r="G246" i="1" s="1"/>
  <c r="F245" i="1"/>
  <c r="G245" i="1" s="1"/>
  <c r="F237" i="1" l="1"/>
  <c r="G237" i="1" s="1"/>
  <c r="D237" i="1"/>
  <c r="H237" i="1" s="1"/>
  <c r="A237" i="1"/>
  <c r="C243" i="1"/>
  <c r="C241" i="1"/>
  <c r="C238" i="1"/>
  <c r="C235" i="1"/>
  <c r="C234" i="1"/>
  <c r="C239" i="1"/>
  <c r="F243" i="1" l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6" i="1"/>
  <c r="G236" i="1" s="1"/>
  <c r="F235" i="1"/>
  <c r="G235" i="1" s="1"/>
  <c r="F234" i="1"/>
  <c r="G234" i="1" s="1"/>
  <c r="F258" i="1"/>
  <c r="G258" i="1" s="1"/>
  <c r="D258" i="1"/>
  <c r="H258" i="1" s="1"/>
  <c r="A258" i="1"/>
  <c r="A257" i="1"/>
  <c r="F255" i="1"/>
  <c r="G255" i="1" s="1"/>
  <c r="D255" i="1"/>
  <c r="H255" i="1" s="1"/>
  <c r="I255" i="1" s="1"/>
  <c r="A255" i="1"/>
  <c r="F254" i="1"/>
  <c r="G254" i="1" s="1"/>
  <c r="D254" i="1"/>
  <c r="H254" i="1" s="1"/>
  <c r="I254" i="1" s="1"/>
  <c r="A254" i="1"/>
  <c r="F253" i="1"/>
  <c r="G253" i="1" s="1"/>
  <c r="D253" i="1"/>
  <c r="H253" i="1" s="1"/>
  <c r="I253" i="1" s="1"/>
  <c r="A253" i="1"/>
  <c r="D252" i="1"/>
  <c r="H252" i="1" s="1"/>
  <c r="I252" i="1" s="1"/>
  <c r="A252" i="1"/>
  <c r="D251" i="1"/>
  <c r="H251" i="1" s="1"/>
  <c r="I251" i="1" s="1"/>
  <c r="A251" i="1"/>
  <c r="D250" i="1"/>
  <c r="H250" i="1" s="1"/>
  <c r="I250" i="1" s="1"/>
  <c r="A250" i="1"/>
  <c r="D249" i="1"/>
  <c r="H249" i="1" s="1"/>
  <c r="I249" i="1" s="1"/>
  <c r="A249" i="1"/>
  <c r="D247" i="1"/>
  <c r="H247" i="1" s="1"/>
  <c r="I247" i="1" s="1"/>
  <c r="A247" i="1"/>
  <c r="D246" i="1"/>
  <c r="H246" i="1" s="1"/>
  <c r="I246" i="1" s="1"/>
  <c r="A246" i="1"/>
  <c r="D245" i="1"/>
  <c r="H245" i="1" s="1"/>
  <c r="I245" i="1" s="1"/>
  <c r="A245" i="1"/>
  <c r="D243" i="1"/>
  <c r="H243" i="1" s="1"/>
  <c r="A243" i="1"/>
  <c r="D242" i="1"/>
  <c r="H242" i="1" s="1"/>
  <c r="D241" i="1"/>
  <c r="H241" i="1" s="1"/>
  <c r="D240" i="1"/>
  <c r="H240" i="1" s="1"/>
  <c r="F232" i="1" l="1"/>
  <c r="G232" i="1" s="1"/>
  <c r="C229" i="1" l="1"/>
  <c r="C228" i="1"/>
  <c r="C227" i="1"/>
  <c r="A242" i="1" l="1"/>
  <c r="A241" i="1"/>
  <c r="A240" i="1"/>
  <c r="A239" i="1"/>
  <c r="A238" i="1"/>
  <c r="A236" i="1"/>
  <c r="A235" i="1"/>
  <c r="A234" i="1"/>
  <c r="A232" i="1"/>
  <c r="D239" i="1"/>
  <c r="H239" i="1" s="1"/>
  <c r="D238" i="1"/>
  <c r="H238" i="1" s="1"/>
  <c r="D236" i="1"/>
  <c r="H236" i="1" s="1"/>
  <c r="D235" i="1"/>
  <c r="H235" i="1" s="1"/>
  <c r="D234" i="1"/>
  <c r="H234" i="1" s="1"/>
  <c r="D232" i="1"/>
  <c r="F231" i="1"/>
  <c r="G231" i="1" s="1"/>
  <c r="F230" i="1"/>
  <c r="G230" i="1" s="1"/>
  <c r="F229" i="1"/>
  <c r="G229" i="1" s="1"/>
  <c r="F228" i="1"/>
  <c r="G228" i="1" s="1"/>
  <c r="F227" i="1"/>
  <c r="G227" i="1" s="1"/>
  <c r="H232" i="1" l="1"/>
  <c r="I232" i="1" s="1"/>
  <c r="C224" i="1"/>
  <c r="F224" i="1" s="1"/>
  <c r="G224" i="1" s="1"/>
  <c r="F223" i="1"/>
  <c r="G223" i="1" s="1"/>
  <c r="F222" i="1"/>
  <c r="G222" i="1" s="1"/>
  <c r="F221" i="1"/>
  <c r="G221" i="1" s="1"/>
  <c r="F220" i="1"/>
  <c r="G220" i="1" s="1"/>
  <c r="F218" i="1"/>
  <c r="F225" i="1" l="1"/>
  <c r="G225" i="1" s="1"/>
  <c r="G218" i="1"/>
  <c r="C215" i="1"/>
  <c r="F215" i="1" s="1"/>
  <c r="G215" i="1" s="1"/>
  <c r="C214" i="1"/>
  <c r="F214" i="1" s="1"/>
  <c r="G214" i="1" s="1"/>
  <c r="C213" i="1"/>
  <c r="F217" i="1"/>
  <c r="G217" i="1" s="1"/>
  <c r="F216" i="1"/>
  <c r="G216" i="1" s="1"/>
  <c r="F213" i="1" l="1"/>
  <c r="G213" i="1" s="1"/>
  <c r="F207" i="1"/>
  <c r="G207" i="1" s="1"/>
  <c r="D207" i="1"/>
  <c r="H207" i="1" s="1"/>
  <c r="A207" i="1"/>
  <c r="C211" i="1"/>
  <c r="F211" i="1" s="1"/>
  <c r="G211" i="1" s="1"/>
  <c r="C210" i="1"/>
  <c r="C209" i="1"/>
  <c r="C208" i="1"/>
  <c r="F208" i="1" s="1"/>
  <c r="G208" i="1" s="1"/>
  <c r="F205" i="1"/>
  <c r="G205" i="1" s="1"/>
  <c r="F204" i="1"/>
  <c r="G204" i="1" s="1"/>
  <c r="F210" i="1" l="1"/>
  <c r="G210" i="1" s="1"/>
  <c r="F209" i="1"/>
  <c r="G209" i="1" s="1"/>
  <c r="F206" i="1"/>
  <c r="G206" i="1" s="1"/>
  <c r="C202" i="1"/>
  <c r="F202" i="1" s="1"/>
  <c r="G202" i="1" s="1"/>
  <c r="C200" i="1"/>
  <c r="C199" i="1"/>
  <c r="F199" i="1" s="1"/>
  <c r="G199" i="1" s="1"/>
  <c r="C198" i="1"/>
  <c r="C197" i="1"/>
  <c r="D231" i="1"/>
  <c r="H231" i="1" s="1"/>
  <c r="I231" i="1" s="1"/>
  <c r="A231" i="1"/>
  <c r="D230" i="1"/>
  <c r="H230" i="1" s="1"/>
  <c r="I230" i="1" s="1"/>
  <c r="A230" i="1"/>
  <c r="D229" i="1"/>
  <c r="H229" i="1" s="1"/>
  <c r="I229" i="1" s="1"/>
  <c r="A229" i="1"/>
  <c r="D228" i="1"/>
  <c r="H228" i="1" s="1"/>
  <c r="I228" i="1" s="1"/>
  <c r="A228" i="1"/>
  <c r="D227" i="1"/>
  <c r="H227" i="1" s="1"/>
  <c r="A227" i="1"/>
  <c r="D225" i="1"/>
  <c r="H225" i="1" s="1"/>
  <c r="I225" i="1" s="1"/>
  <c r="A225" i="1"/>
  <c r="D224" i="1"/>
  <c r="H224" i="1" s="1"/>
  <c r="I224" i="1" s="1"/>
  <c r="A224" i="1"/>
  <c r="D223" i="1"/>
  <c r="H223" i="1" s="1"/>
  <c r="I223" i="1" s="1"/>
  <c r="A223" i="1"/>
  <c r="D222" i="1"/>
  <c r="H222" i="1" s="1"/>
  <c r="I222" i="1" s="1"/>
  <c r="A222" i="1"/>
  <c r="D221" i="1"/>
  <c r="H221" i="1" s="1"/>
  <c r="I221" i="1" s="1"/>
  <c r="A221" i="1"/>
  <c r="D220" i="1"/>
  <c r="H220" i="1" s="1"/>
  <c r="I220" i="1" s="1"/>
  <c r="A220" i="1"/>
  <c r="D218" i="1"/>
  <c r="A218" i="1"/>
  <c r="D217" i="1"/>
  <c r="A217" i="1"/>
  <c r="D216" i="1"/>
  <c r="A216" i="1"/>
  <c r="D215" i="1"/>
  <c r="H215" i="1" s="1"/>
  <c r="A215" i="1"/>
  <c r="D214" i="1"/>
  <c r="A214" i="1"/>
  <c r="D213" i="1"/>
  <c r="H213" i="1" s="1"/>
  <c r="A213" i="1"/>
  <c r="D211" i="1"/>
  <c r="H211" i="1" s="1"/>
  <c r="A211" i="1"/>
  <c r="D210" i="1"/>
  <c r="H210" i="1" s="1"/>
  <c r="A210" i="1"/>
  <c r="D209" i="1"/>
  <c r="H209" i="1" s="1"/>
  <c r="A209" i="1"/>
  <c r="D208" i="1"/>
  <c r="H208" i="1" s="1"/>
  <c r="A208" i="1"/>
  <c r="D206" i="1"/>
  <c r="H206" i="1" s="1"/>
  <c r="A206" i="1"/>
  <c r="D205" i="1"/>
  <c r="H205" i="1" s="1"/>
  <c r="A205" i="1"/>
  <c r="D204" i="1"/>
  <c r="H204" i="1" s="1"/>
  <c r="A204" i="1"/>
  <c r="D202" i="1"/>
  <c r="A202" i="1"/>
  <c r="F201" i="1"/>
  <c r="G201" i="1" s="1"/>
  <c r="D201" i="1"/>
  <c r="H201" i="1" s="1"/>
  <c r="I201" i="1" s="1"/>
  <c r="A201" i="1"/>
  <c r="F200" i="1"/>
  <c r="G200" i="1" s="1"/>
  <c r="D200" i="1"/>
  <c r="A200" i="1"/>
  <c r="D199" i="1"/>
  <c r="A199" i="1"/>
  <c r="F198" i="1"/>
  <c r="G198" i="1" s="1"/>
  <c r="D198" i="1"/>
  <c r="A198" i="1"/>
  <c r="H199" i="1" l="1"/>
  <c r="H198" i="1"/>
  <c r="H217" i="1"/>
  <c r="I217" i="1" s="1"/>
  <c r="H214" i="1"/>
  <c r="I214" i="1" s="1"/>
  <c r="H216" i="1"/>
  <c r="I216" i="1" s="1"/>
  <c r="H218" i="1"/>
  <c r="I218" i="1" s="1"/>
  <c r="H202" i="1"/>
  <c r="I202" i="1" s="1"/>
  <c r="H200" i="1"/>
  <c r="F192" i="1"/>
  <c r="G192" i="1" s="1"/>
  <c r="D192" i="1"/>
  <c r="H192" i="1" s="1"/>
  <c r="A192" i="1"/>
  <c r="C194" i="1"/>
  <c r="C190" i="1"/>
  <c r="C189" i="1"/>
  <c r="A197" i="1" l="1"/>
  <c r="A195" i="1"/>
  <c r="A194" i="1"/>
  <c r="A193" i="1"/>
  <c r="A191" i="1"/>
  <c r="A190" i="1"/>
  <c r="A189" i="1"/>
  <c r="F197" i="1"/>
  <c r="G197" i="1" s="1"/>
  <c r="D197" i="1"/>
  <c r="H197" i="1" s="1"/>
  <c r="F195" i="1"/>
  <c r="G195" i="1" s="1"/>
  <c r="D195" i="1"/>
  <c r="H195" i="1" s="1"/>
  <c r="F194" i="1"/>
  <c r="G194" i="1" s="1"/>
  <c r="D194" i="1"/>
  <c r="H194" i="1" s="1"/>
  <c r="F193" i="1"/>
  <c r="G193" i="1" s="1"/>
  <c r="D193" i="1"/>
  <c r="H193" i="1" s="1"/>
  <c r="C186" i="1" l="1"/>
  <c r="C184" i="1"/>
  <c r="C182" i="1"/>
  <c r="C185" i="1"/>
  <c r="C187" i="1"/>
  <c r="F187" i="1" l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C177" i="1" l="1"/>
  <c r="C176" i="1"/>
  <c r="F176" i="1" s="1"/>
  <c r="C178" i="1"/>
  <c r="F178" i="1" s="1"/>
  <c r="G178" i="1" s="1"/>
  <c r="F179" i="1"/>
  <c r="G179" i="1" s="1"/>
  <c r="F180" i="1"/>
  <c r="G180" i="1" s="1"/>
  <c r="F177" i="1" l="1"/>
  <c r="G177" i="1" s="1"/>
  <c r="G176" i="1"/>
  <c r="C171" i="1"/>
  <c r="F171" i="1" s="1"/>
  <c r="G171" i="1" s="1"/>
  <c r="C174" i="1"/>
  <c r="F174" i="1" s="1"/>
  <c r="G174" i="1" s="1"/>
  <c r="F170" i="1"/>
  <c r="G170" i="1" s="1"/>
  <c r="D170" i="1"/>
  <c r="H170" i="1" s="1"/>
  <c r="F173" i="1"/>
  <c r="G173" i="1" s="1"/>
  <c r="F172" i="1"/>
  <c r="G172" i="1" s="1"/>
  <c r="F169" i="1"/>
  <c r="G169" i="1" s="1"/>
  <c r="F168" i="1"/>
  <c r="G168" i="1" s="1"/>
  <c r="F167" i="1"/>
  <c r="G167" i="1" s="1"/>
  <c r="C162" i="1" l="1"/>
  <c r="C158" i="1"/>
  <c r="C161" i="1"/>
  <c r="C157" i="1"/>
  <c r="C160" i="1"/>
  <c r="F155" i="1" l="1"/>
  <c r="G155" i="1" s="1"/>
  <c r="F154" i="1"/>
  <c r="G154" i="1" s="1"/>
  <c r="F147" i="1" l="1"/>
  <c r="G147" i="1" s="1"/>
  <c r="D147" i="1"/>
  <c r="H147" i="1" s="1"/>
  <c r="C125" i="1" l="1"/>
  <c r="C123" i="1"/>
  <c r="C115" i="1" l="1"/>
  <c r="F118" i="1"/>
  <c r="G118" i="1" s="1"/>
  <c r="F117" i="1"/>
  <c r="G117" i="1" s="1"/>
  <c r="F116" i="1"/>
  <c r="G116" i="1" s="1"/>
  <c r="F114" i="1"/>
  <c r="G114" i="1" s="1"/>
  <c r="F113" i="1"/>
  <c r="G113" i="1" s="1"/>
  <c r="F112" i="1"/>
  <c r="G112" i="1" s="1"/>
  <c r="F111" i="1"/>
  <c r="G111" i="1" s="1"/>
  <c r="F115" i="1" l="1"/>
  <c r="G115" i="1" s="1"/>
  <c r="C102" i="1"/>
  <c r="F103" i="1" l="1"/>
  <c r="G103" i="1" s="1"/>
  <c r="C101" i="1"/>
  <c r="C106" i="1"/>
  <c r="F106" i="1" s="1"/>
  <c r="G106" i="1" s="1"/>
  <c r="F191" i="1"/>
  <c r="G191" i="1" s="1"/>
  <c r="D191" i="1"/>
  <c r="H191" i="1" s="1"/>
  <c r="F190" i="1"/>
  <c r="G190" i="1" s="1"/>
  <c r="D190" i="1"/>
  <c r="H190" i="1" s="1"/>
  <c r="F189" i="1"/>
  <c r="G189" i="1" s="1"/>
  <c r="D189" i="1"/>
  <c r="H189" i="1" s="1"/>
  <c r="D187" i="1"/>
  <c r="H187" i="1" s="1"/>
  <c r="I187" i="1" s="1"/>
  <c r="D186" i="1"/>
  <c r="H186" i="1" s="1"/>
  <c r="I186" i="1" s="1"/>
  <c r="D185" i="1"/>
  <c r="H185" i="1" s="1"/>
  <c r="D184" i="1"/>
  <c r="H184" i="1" s="1"/>
  <c r="D183" i="1"/>
  <c r="H183" i="1" s="1"/>
  <c r="D182" i="1"/>
  <c r="H182" i="1" s="1"/>
  <c r="D180" i="1"/>
  <c r="H180" i="1" s="1"/>
  <c r="I180" i="1" s="1"/>
  <c r="D179" i="1"/>
  <c r="H179" i="1" s="1"/>
  <c r="I179" i="1" s="1"/>
  <c r="D178" i="1"/>
  <c r="H178" i="1" s="1"/>
  <c r="I178" i="1" s="1"/>
  <c r="D177" i="1"/>
  <c r="H177" i="1" s="1"/>
  <c r="I177" i="1" s="1"/>
  <c r="D176" i="1"/>
  <c r="H176" i="1" s="1"/>
  <c r="I176" i="1" s="1"/>
  <c r="D174" i="1"/>
  <c r="H174" i="1" s="1"/>
  <c r="D173" i="1"/>
  <c r="H173" i="1" s="1"/>
  <c r="D172" i="1"/>
  <c r="H172" i="1" s="1"/>
  <c r="D171" i="1"/>
  <c r="H171" i="1" s="1"/>
  <c r="D169" i="1"/>
  <c r="H169" i="1" s="1"/>
  <c r="D168" i="1"/>
  <c r="H168" i="1" s="1"/>
  <c r="D167" i="1"/>
  <c r="H167" i="1" s="1"/>
  <c r="F165" i="1"/>
  <c r="G165" i="1" s="1"/>
  <c r="D165" i="1"/>
  <c r="H165" i="1" s="1"/>
  <c r="F164" i="1"/>
  <c r="G164" i="1" s="1"/>
  <c r="D164" i="1"/>
  <c r="H164" i="1" s="1"/>
  <c r="F163" i="1"/>
  <c r="G163" i="1" s="1"/>
  <c r="D163" i="1"/>
  <c r="H163" i="1" s="1"/>
  <c r="F162" i="1"/>
  <c r="G162" i="1" s="1"/>
  <c r="D162" i="1"/>
  <c r="H162" i="1" s="1"/>
  <c r="F161" i="1"/>
  <c r="G161" i="1" s="1"/>
  <c r="D161" i="1"/>
  <c r="H161" i="1" s="1"/>
  <c r="I161" i="1" s="1"/>
  <c r="F160" i="1"/>
  <c r="G160" i="1" s="1"/>
  <c r="D160" i="1"/>
  <c r="H160" i="1" s="1"/>
  <c r="F159" i="1"/>
  <c r="G159" i="1" s="1"/>
  <c r="D159" i="1"/>
  <c r="H159" i="1" s="1"/>
  <c r="F158" i="1"/>
  <c r="G158" i="1" s="1"/>
  <c r="D158" i="1"/>
  <c r="H158" i="1" s="1"/>
  <c r="F157" i="1"/>
  <c r="G157" i="1" s="1"/>
  <c r="D157" i="1"/>
  <c r="H157" i="1" s="1"/>
  <c r="D155" i="1"/>
  <c r="H155" i="1" s="1"/>
  <c r="I155" i="1" s="1"/>
  <c r="D154" i="1"/>
  <c r="H154" i="1" s="1"/>
  <c r="I154" i="1" s="1"/>
  <c r="F153" i="1"/>
  <c r="G153" i="1" s="1"/>
  <c r="D153" i="1"/>
  <c r="H153" i="1" s="1"/>
  <c r="I153" i="1" s="1"/>
  <c r="F152" i="1"/>
  <c r="G152" i="1" s="1"/>
  <c r="D152" i="1"/>
  <c r="H152" i="1" s="1"/>
  <c r="I152" i="1" s="1"/>
  <c r="F151" i="1"/>
  <c r="G151" i="1" s="1"/>
  <c r="D151" i="1"/>
  <c r="H151" i="1" s="1"/>
  <c r="F149" i="1"/>
  <c r="G149" i="1" s="1"/>
  <c r="D149" i="1"/>
  <c r="H149" i="1" s="1"/>
  <c r="I149" i="1" s="1"/>
  <c r="F148" i="1"/>
  <c r="G148" i="1" s="1"/>
  <c r="D148" i="1"/>
  <c r="H148" i="1" s="1"/>
  <c r="F146" i="1"/>
  <c r="G146" i="1" s="1"/>
  <c r="D146" i="1"/>
  <c r="H146" i="1" s="1"/>
  <c r="F145" i="1"/>
  <c r="G145" i="1" s="1"/>
  <c r="D145" i="1"/>
  <c r="H145" i="1" s="1"/>
  <c r="F144" i="1"/>
  <c r="G144" i="1" s="1"/>
  <c r="D144" i="1"/>
  <c r="H144" i="1" s="1"/>
  <c r="F143" i="1"/>
  <c r="G143" i="1" s="1"/>
  <c r="D143" i="1"/>
  <c r="H143" i="1" s="1"/>
  <c r="F141" i="1"/>
  <c r="G141" i="1" s="1"/>
  <c r="D141" i="1"/>
  <c r="H141" i="1" s="1"/>
  <c r="I141" i="1" s="1"/>
  <c r="F140" i="1"/>
  <c r="G140" i="1" s="1"/>
  <c r="D140" i="1"/>
  <c r="H140" i="1" s="1"/>
  <c r="F139" i="1"/>
  <c r="G139" i="1" s="1"/>
  <c r="D139" i="1"/>
  <c r="H139" i="1" s="1"/>
  <c r="F138" i="1"/>
  <c r="G138" i="1" s="1"/>
  <c r="D138" i="1"/>
  <c r="H138" i="1" s="1"/>
  <c r="F136" i="1"/>
  <c r="G136" i="1" s="1"/>
  <c r="D136" i="1"/>
  <c r="H136" i="1" s="1"/>
  <c r="F135" i="1"/>
  <c r="G135" i="1" s="1"/>
  <c r="D135" i="1"/>
  <c r="H135" i="1" s="1"/>
  <c r="F134" i="1"/>
  <c r="G134" i="1" s="1"/>
  <c r="D134" i="1"/>
  <c r="H134" i="1" s="1"/>
  <c r="F133" i="1"/>
  <c r="G133" i="1" s="1"/>
  <c r="D133" i="1"/>
  <c r="H133" i="1" s="1"/>
  <c r="F132" i="1"/>
  <c r="G132" i="1" s="1"/>
  <c r="D132" i="1"/>
  <c r="H132" i="1" s="1"/>
  <c r="F131" i="1"/>
  <c r="G131" i="1" s="1"/>
  <c r="D131" i="1"/>
  <c r="H131" i="1" s="1"/>
  <c r="F130" i="1"/>
  <c r="G130" i="1" s="1"/>
  <c r="D130" i="1"/>
  <c r="H130" i="1" s="1"/>
  <c r="F129" i="1"/>
  <c r="G129" i="1" s="1"/>
  <c r="D129" i="1"/>
  <c r="H129" i="1" s="1"/>
  <c r="F127" i="1"/>
  <c r="G127" i="1" s="1"/>
  <c r="D127" i="1"/>
  <c r="H127" i="1" s="1"/>
  <c r="I127" i="1" s="1"/>
  <c r="F126" i="1"/>
  <c r="G126" i="1" s="1"/>
  <c r="D126" i="1"/>
  <c r="H126" i="1" s="1"/>
  <c r="I126" i="1" s="1"/>
  <c r="F125" i="1"/>
  <c r="G125" i="1" s="1"/>
  <c r="D125" i="1"/>
  <c r="H125" i="1" s="1"/>
  <c r="F124" i="1"/>
  <c r="G124" i="1" s="1"/>
  <c r="D124" i="1"/>
  <c r="H124" i="1" s="1"/>
  <c r="F123" i="1"/>
  <c r="G123" i="1" s="1"/>
  <c r="D123" i="1"/>
  <c r="H123" i="1" s="1"/>
  <c r="F122" i="1"/>
  <c r="G122" i="1" s="1"/>
  <c r="D122" i="1"/>
  <c r="H122" i="1" s="1"/>
  <c r="F121" i="1"/>
  <c r="G121" i="1" s="1"/>
  <c r="D121" i="1"/>
  <c r="H121" i="1" s="1"/>
  <c r="I121" i="1" s="1"/>
  <c r="F119" i="1"/>
  <c r="G119" i="1" s="1"/>
  <c r="D119" i="1"/>
  <c r="H119" i="1" s="1"/>
  <c r="I119" i="1" s="1"/>
  <c r="D118" i="1"/>
  <c r="H118" i="1" s="1"/>
  <c r="D117" i="1"/>
  <c r="H117" i="1" s="1"/>
  <c r="D116" i="1"/>
  <c r="H116" i="1" s="1"/>
  <c r="D115" i="1"/>
  <c r="H115" i="1" s="1"/>
  <c r="D114" i="1"/>
  <c r="H114" i="1" s="1"/>
  <c r="D113" i="1"/>
  <c r="H113" i="1" s="1"/>
  <c r="D112" i="1"/>
  <c r="H112" i="1" s="1"/>
  <c r="D111" i="1"/>
  <c r="H111" i="1" s="1"/>
  <c r="F109" i="1"/>
  <c r="G109" i="1" s="1"/>
  <c r="D109" i="1"/>
  <c r="H109" i="1" s="1"/>
  <c r="F108" i="1"/>
  <c r="G108" i="1" s="1"/>
  <c r="D108" i="1"/>
  <c r="H108" i="1" s="1"/>
  <c r="F107" i="1"/>
  <c r="G107" i="1" s="1"/>
  <c r="D107" i="1"/>
  <c r="H107" i="1" s="1"/>
  <c r="D106" i="1"/>
  <c r="F105" i="1"/>
  <c r="G105" i="1" s="1"/>
  <c r="D105" i="1"/>
  <c r="H105" i="1" s="1"/>
  <c r="F104" i="1"/>
  <c r="G104" i="1" s="1"/>
  <c r="D104" i="1"/>
  <c r="H104" i="1" s="1"/>
  <c r="D103" i="1"/>
  <c r="H103" i="1" s="1"/>
  <c r="F102" i="1"/>
  <c r="G102" i="1" s="1"/>
  <c r="D102" i="1"/>
  <c r="H102" i="1" s="1"/>
  <c r="F101" i="1"/>
  <c r="G101" i="1" s="1"/>
  <c r="D101" i="1"/>
  <c r="H101" i="1" s="1"/>
  <c r="F100" i="1"/>
  <c r="G100" i="1" s="1"/>
  <c r="D100" i="1"/>
  <c r="H100" i="1" s="1"/>
  <c r="H106" i="1" l="1"/>
  <c r="C90" i="1"/>
  <c r="C89" i="1"/>
  <c r="C88" i="1"/>
  <c r="D88" i="1" l="1"/>
  <c r="H88" i="1" s="1"/>
  <c r="I88" i="1" s="1"/>
  <c r="F88" i="1"/>
  <c r="G88" i="1" s="1"/>
  <c r="D89" i="1"/>
  <c r="H89" i="1" s="1"/>
  <c r="I89" i="1" s="1"/>
  <c r="F89" i="1"/>
  <c r="G89" i="1" s="1"/>
  <c r="D90" i="1"/>
  <c r="H90" i="1" s="1"/>
  <c r="I90" i="1" s="1"/>
  <c r="F90" i="1"/>
  <c r="G90" i="1" s="1"/>
  <c r="D91" i="1"/>
  <c r="H91" i="1" s="1"/>
  <c r="I91" i="1" s="1"/>
  <c r="F91" i="1"/>
  <c r="G91" i="1" s="1"/>
  <c r="D92" i="1"/>
  <c r="H92" i="1" s="1"/>
  <c r="I92" i="1" s="1"/>
  <c r="F92" i="1"/>
  <c r="G92" i="1" s="1"/>
  <c r="D93" i="1"/>
  <c r="H93" i="1" s="1"/>
  <c r="I93" i="1" s="1"/>
  <c r="F93" i="1"/>
  <c r="G93" i="1" s="1"/>
  <c r="D94" i="1"/>
  <c r="H94" i="1" s="1"/>
  <c r="I94" i="1" s="1"/>
  <c r="F94" i="1"/>
  <c r="G94" i="1" s="1"/>
  <c r="D95" i="1"/>
  <c r="H95" i="1" s="1"/>
  <c r="I95" i="1" s="1"/>
  <c r="F95" i="1"/>
  <c r="G95" i="1" s="1"/>
  <c r="D96" i="1"/>
  <c r="H96" i="1" s="1"/>
  <c r="I96" i="1" s="1"/>
  <c r="F96" i="1"/>
  <c r="G96" i="1" s="1"/>
  <c r="D98" i="1"/>
  <c r="H98" i="1" s="1"/>
  <c r="F98" i="1"/>
  <c r="G98" i="1" s="1"/>
  <c r="D99" i="1"/>
  <c r="H99" i="1" s="1"/>
  <c r="F99" i="1"/>
  <c r="G99" i="1" s="1"/>
  <c r="F86" i="1" l="1"/>
  <c r="G86" i="1" s="1"/>
  <c r="D86" i="1"/>
  <c r="H86" i="1" s="1"/>
  <c r="F85" i="1"/>
  <c r="G85" i="1" s="1"/>
  <c r="D85" i="1"/>
  <c r="H85" i="1" s="1"/>
  <c r="I85" i="1" s="1"/>
  <c r="F84" i="1"/>
  <c r="G84" i="1" s="1"/>
  <c r="D84" i="1"/>
  <c r="H84" i="1" s="1"/>
  <c r="I84" i="1" s="1"/>
  <c r="F83" i="1"/>
  <c r="G83" i="1" s="1"/>
  <c r="D83" i="1"/>
  <c r="H83" i="1" s="1"/>
  <c r="F82" i="1"/>
  <c r="G82" i="1" s="1"/>
  <c r="D82" i="1"/>
  <c r="H82" i="1" s="1"/>
  <c r="I82" i="1" s="1"/>
  <c r="F81" i="1"/>
  <c r="G81" i="1" s="1"/>
  <c r="D81" i="1"/>
  <c r="H81" i="1" s="1"/>
  <c r="I81" i="1" s="1"/>
  <c r="F80" i="1" l="1"/>
  <c r="G80" i="1" s="1"/>
  <c r="D80" i="1"/>
  <c r="H80" i="1" s="1"/>
  <c r="I80" i="1" s="1"/>
  <c r="C64" i="1" l="1"/>
  <c r="C66" i="1"/>
  <c r="C68" i="1"/>
  <c r="C61" i="1" l="1"/>
  <c r="F79" i="1"/>
  <c r="G79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1" i="1"/>
  <c r="G61" i="1" s="1"/>
  <c r="F60" i="1"/>
  <c r="G60" i="1" s="1"/>
  <c r="F59" i="1"/>
  <c r="G59" i="1" s="1"/>
  <c r="F58" i="1"/>
  <c r="G58" i="1" s="1"/>
  <c r="C48" i="1" l="1"/>
  <c r="C57" i="1"/>
  <c r="C56" i="1"/>
  <c r="C55" i="1"/>
  <c r="C52" i="1"/>
  <c r="F50" i="1"/>
  <c r="G50" i="1" s="1"/>
  <c r="D50" i="1"/>
  <c r="H50" i="1" s="1"/>
  <c r="D77" i="1" l="1"/>
  <c r="H77" i="1" s="1"/>
  <c r="I77" i="1" s="1"/>
  <c r="D74" i="1"/>
  <c r="H74" i="1" s="1"/>
  <c r="I74" i="1" s="1"/>
  <c r="D68" i="1"/>
  <c r="H68" i="1" s="1"/>
  <c r="D65" i="1"/>
  <c r="H65" i="1" s="1"/>
  <c r="D59" i="1"/>
  <c r="H59" i="1" s="1"/>
  <c r="D70" i="1"/>
  <c r="H70" i="1" s="1"/>
  <c r="D67" i="1"/>
  <c r="H67" i="1" s="1"/>
  <c r="D75" i="1"/>
  <c r="H75" i="1" s="1"/>
  <c r="I75" i="1" s="1"/>
  <c r="D72" i="1"/>
  <c r="H72" i="1" s="1"/>
  <c r="I72" i="1" s="1"/>
  <c r="D66" i="1"/>
  <c r="H66" i="1" s="1"/>
  <c r="D63" i="1"/>
  <c r="H63" i="1" s="1"/>
  <c r="D79" i="1"/>
  <c r="H79" i="1" s="1"/>
  <c r="I79" i="1" s="1"/>
  <c r="D73" i="1"/>
  <c r="H73" i="1" s="1"/>
  <c r="I73" i="1" s="1"/>
  <c r="D69" i="1"/>
  <c r="H69" i="1" s="1"/>
  <c r="D64" i="1"/>
  <c r="H64" i="1" s="1"/>
  <c r="D60" i="1"/>
  <c r="H60" i="1" s="1"/>
  <c r="I60" i="1" s="1"/>
  <c r="D76" i="1"/>
  <c r="H76" i="1" s="1"/>
  <c r="I76" i="1" s="1"/>
  <c r="D61" i="1"/>
  <c r="H61" i="1" s="1"/>
  <c r="I61" i="1" s="1"/>
  <c r="D58" i="1"/>
  <c r="H58" i="1" s="1"/>
  <c r="C37" i="1"/>
  <c r="D39" i="1"/>
  <c r="H39" i="1" s="1"/>
  <c r="I39" i="1" s="1"/>
  <c r="F39" i="1"/>
  <c r="G39" i="1" s="1"/>
  <c r="D40" i="1"/>
  <c r="H40" i="1" s="1"/>
  <c r="I40" i="1" s="1"/>
  <c r="F40" i="1"/>
  <c r="G40" i="1" s="1"/>
  <c r="D41" i="1"/>
  <c r="H41" i="1" s="1"/>
  <c r="I41" i="1" s="1"/>
  <c r="F41" i="1"/>
  <c r="G41" i="1" s="1"/>
  <c r="D42" i="1"/>
  <c r="H42" i="1" s="1"/>
  <c r="I42" i="1" s="1"/>
  <c r="F42" i="1"/>
  <c r="G42" i="1" s="1"/>
  <c r="D43" i="1"/>
  <c r="H43" i="1" s="1"/>
  <c r="I43" i="1" s="1"/>
  <c r="F43" i="1"/>
  <c r="G43" i="1" s="1"/>
  <c r="D44" i="1"/>
  <c r="H44" i="1" s="1"/>
  <c r="I44" i="1" s="1"/>
  <c r="F44" i="1"/>
  <c r="G44" i="1" s="1"/>
  <c r="D45" i="1"/>
  <c r="H45" i="1" s="1"/>
  <c r="I45" i="1" s="1"/>
  <c r="F45" i="1"/>
  <c r="G45" i="1" s="1"/>
  <c r="D46" i="1"/>
  <c r="H46" i="1" s="1"/>
  <c r="I46" i="1" s="1"/>
  <c r="F46" i="1"/>
  <c r="G46" i="1" s="1"/>
  <c r="D48" i="1"/>
  <c r="H48" i="1" s="1"/>
  <c r="I48" i="1" s="1"/>
  <c r="F48" i="1"/>
  <c r="G48" i="1" s="1"/>
  <c r="D49" i="1"/>
  <c r="H49" i="1" s="1"/>
  <c r="F49" i="1"/>
  <c r="G49" i="1" s="1"/>
  <c r="D51" i="1"/>
  <c r="H51" i="1" s="1"/>
  <c r="I51" i="1" s="1"/>
  <c r="F51" i="1"/>
  <c r="G51" i="1" s="1"/>
  <c r="D52" i="1"/>
  <c r="H52" i="1" s="1"/>
  <c r="I52" i="1" s="1"/>
  <c r="F52" i="1"/>
  <c r="G52" i="1" s="1"/>
  <c r="D53" i="1"/>
  <c r="H53" i="1" s="1"/>
  <c r="I53" i="1" s="1"/>
  <c r="F53" i="1"/>
  <c r="G53" i="1" s="1"/>
  <c r="D54" i="1"/>
  <c r="H54" i="1" s="1"/>
  <c r="I54" i="1" s="1"/>
  <c r="F54" i="1"/>
  <c r="G54" i="1" s="1"/>
  <c r="D55" i="1"/>
  <c r="H55" i="1" s="1"/>
  <c r="I55" i="1" s="1"/>
  <c r="F55" i="1"/>
  <c r="G55" i="1" s="1"/>
  <c r="D56" i="1"/>
  <c r="H56" i="1" s="1"/>
  <c r="I56" i="1" s="1"/>
  <c r="F56" i="1"/>
  <c r="G56" i="1" s="1"/>
  <c r="D57" i="1"/>
  <c r="H57" i="1" s="1"/>
  <c r="I57" i="1" s="1"/>
  <c r="F57" i="1"/>
  <c r="G57" i="1" s="1"/>
  <c r="C24" i="1" l="1"/>
  <c r="F28" i="1" l="1"/>
  <c r="C23" i="1"/>
  <c r="F23" i="1" s="1"/>
  <c r="D23" i="1"/>
  <c r="D21" i="1"/>
  <c r="C21" i="1"/>
  <c r="F21" i="1" s="1"/>
  <c r="D19" i="1"/>
  <c r="C19" i="1"/>
  <c r="F19" i="1" s="1"/>
  <c r="G19" i="1" s="1"/>
  <c r="C26" i="1"/>
  <c r="F26" i="1" s="1"/>
  <c r="G26" i="1" s="1"/>
  <c r="F25" i="1"/>
  <c r="G25" i="1" s="1"/>
  <c r="D25" i="1"/>
  <c r="H25" i="1" s="1"/>
  <c r="D28" i="1"/>
  <c r="C20" i="1"/>
  <c r="C30" i="1"/>
  <c r="F30" i="1" s="1"/>
  <c r="G30" i="1" s="1"/>
  <c r="F24" i="1"/>
  <c r="G24" i="1" s="1"/>
  <c r="C29" i="1"/>
  <c r="F29" i="1" s="1"/>
  <c r="G29" i="1" s="1"/>
  <c r="C27" i="1"/>
  <c r="F27" i="1" s="1"/>
  <c r="G27" i="1" s="1"/>
  <c r="D24" i="1"/>
  <c r="D26" i="1"/>
  <c r="D27" i="1"/>
  <c r="D29" i="1"/>
  <c r="D30" i="1"/>
  <c r="D31" i="1"/>
  <c r="H31" i="1" s="1"/>
  <c r="I31" i="1" s="1"/>
  <c r="F31" i="1"/>
  <c r="G31" i="1" s="1"/>
  <c r="D32" i="1"/>
  <c r="H32" i="1" s="1"/>
  <c r="I32" i="1" s="1"/>
  <c r="F32" i="1"/>
  <c r="G32" i="1" s="1"/>
  <c r="D33" i="1"/>
  <c r="H33" i="1" s="1"/>
  <c r="I33" i="1" s="1"/>
  <c r="F33" i="1"/>
  <c r="G33" i="1" s="1"/>
  <c r="D35" i="1"/>
  <c r="H35" i="1" s="1"/>
  <c r="F35" i="1"/>
  <c r="G35" i="1" s="1"/>
  <c r="D36" i="1"/>
  <c r="H36" i="1" s="1"/>
  <c r="I36" i="1" s="1"/>
  <c r="F36" i="1"/>
  <c r="G36" i="1" s="1"/>
  <c r="D37" i="1"/>
  <c r="H37" i="1" s="1"/>
  <c r="I37" i="1" s="1"/>
  <c r="F37" i="1"/>
  <c r="G37" i="1" s="1"/>
  <c r="D38" i="1"/>
  <c r="H38" i="1" s="1"/>
  <c r="I38" i="1" s="1"/>
  <c r="F38" i="1"/>
  <c r="G38" i="1" s="1"/>
  <c r="H27" i="1" l="1"/>
  <c r="H29" i="1"/>
  <c r="H19" i="1"/>
  <c r="H23" i="1"/>
  <c r="G23" i="1"/>
  <c r="H21" i="1"/>
  <c r="G21" i="1"/>
  <c r="H26" i="1"/>
  <c r="H28" i="1"/>
  <c r="I28" i="1" s="1"/>
  <c r="G28" i="1"/>
  <c r="H30" i="1"/>
  <c r="H24" i="1"/>
  <c r="F22" i="1"/>
  <c r="G22" i="1" s="1"/>
  <c r="F20" i="1"/>
  <c r="G20" i="1" s="1"/>
  <c r="F18" i="1"/>
  <c r="G18" i="1" s="1"/>
  <c r="D22" i="1" l="1"/>
  <c r="H22" i="1" s="1"/>
  <c r="D20" i="1"/>
  <c r="H20" i="1" s="1"/>
  <c r="D18" i="1"/>
  <c r="H18" i="1" s="1"/>
</calcChain>
</file>

<file path=xl/sharedStrings.xml><?xml version="1.0" encoding="utf-8"?>
<sst xmlns="http://schemas.openxmlformats.org/spreadsheetml/2006/main" count="383" uniqueCount="70">
  <si>
    <t>Tasa</t>
  </si>
  <si>
    <t xml:space="preserve">Arancel </t>
  </si>
  <si>
    <t>Licitar</t>
  </si>
  <si>
    <t>Plazo</t>
  </si>
  <si>
    <t>Precio</t>
  </si>
  <si>
    <t>Redondeo</t>
  </si>
  <si>
    <t>Comitente</t>
  </si>
  <si>
    <t>Arancel</t>
  </si>
  <si>
    <t>Neto</t>
  </si>
  <si>
    <t>Bruto</t>
  </si>
  <si>
    <t>Fecha</t>
  </si>
  <si>
    <t>ABERG COBO MARTIN ANTONIO</t>
  </si>
  <si>
    <t>SILVESTRI ALEJANDRO</t>
  </si>
  <si>
    <t>SARLENGA FERNANDO MANUEL</t>
  </si>
  <si>
    <t>RIOS ALBERTO ANGEL</t>
  </si>
  <si>
    <t>LOHIDOY ALEJANDRO</t>
  </si>
  <si>
    <t>ROUSSEAUX LUCAS PATRICIO</t>
  </si>
  <si>
    <t>MARZIALETTI PATRICIO NICOLAS</t>
  </si>
  <si>
    <t>VAZQUEZ JOSE LUIS</t>
  </si>
  <si>
    <t>BOGGINO FERNANDO DANIEL</t>
  </si>
  <si>
    <t>YVORRA EDUARDO OSCAR</t>
  </si>
  <si>
    <t>GIUFFRE EDGAR</t>
  </si>
  <si>
    <t>Giuffre</t>
  </si>
  <si>
    <t>Gorrochategui</t>
  </si>
  <si>
    <t>GIUFFRE EDGAR OBDULIO</t>
  </si>
  <si>
    <t>POLITI NICOLAS</t>
  </si>
  <si>
    <t>NIGRO PABLO MARTIN</t>
  </si>
  <si>
    <t>POLITI ANDRES JOSE</t>
  </si>
  <si>
    <t>VALEIRAS FERNANDO</t>
  </si>
  <si>
    <t>COOPERADORA DE ACCION SOCIAL COAS</t>
  </si>
  <si>
    <t>LAULHE SERGIO</t>
  </si>
  <si>
    <t>Montiel</t>
  </si>
  <si>
    <t>ALBRECHT PAULINA  GABRIELA</t>
  </si>
  <si>
    <t>GORROCHATEGUI MARIA ELENA</t>
  </si>
  <si>
    <t>LLISTOSELLA JORGE MANUEL</t>
  </si>
  <si>
    <t>MONTIEL DANIEL ALBERTO</t>
  </si>
  <si>
    <t>GONZALEZ GUERRICO MAGDALENA</t>
  </si>
  <si>
    <t>LINCE JORGE CESAR</t>
  </si>
  <si>
    <t>SIBEMHART JORGE LUIS</t>
  </si>
  <si>
    <t>SIBEMHART  FEDERICO</t>
  </si>
  <si>
    <t>COAS</t>
  </si>
  <si>
    <t>COas</t>
  </si>
  <si>
    <t>coas</t>
  </si>
  <si>
    <t>BOGGINO FERNANDO</t>
  </si>
  <si>
    <t>SLAVSKY GABRIEL LAZARO</t>
  </si>
  <si>
    <t>LONGO SALVADOR ANGEL</t>
  </si>
  <si>
    <t>Roark</t>
  </si>
  <si>
    <t>LLISTOSELLA FERNANDO</t>
  </si>
  <si>
    <t>BATLLE JAVIER AGUSTIN</t>
  </si>
  <si>
    <t>MARQUEZ ALICIA ENRIQUETA</t>
  </si>
  <si>
    <t>YAKIN GABRIEL  OSVALDO</t>
  </si>
  <si>
    <t>CESAR VIVIANA BEATRIZ</t>
  </si>
  <si>
    <t>Spera</t>
  </si>
  <si>
    <t>Boggino</t>
  </si>
  <si>
    <t>negro</t>
  </si>
  <si>
    <t>POLITI PIA INES</t>
  </si>
  <si>
    <t>POLITI TOMAS</t>
  </si>
  <si>
    <t>ver saldo</t>
  </si>
  <si>
    <t>OJO</t>
  </si>
  <si>
    <t>CAFFERATTA GUILLERMO</t>
  </si>
  <si>
    <t>PARDO EDUARDO ALBERTO</t>
  </si>
  <si>
    <t>BLACK ELISA INES</t>
  </si>
  <si>
    <t>DI SALVO MAXIMILIANO JAVIER</t>
  </si>
  <si>
    <t>HARDOY FLORENCIA</t>
  </si>
  <si>
    <t>NUÑEZ IGNACIO ADOLFO</t>
  </si>
  <si>
    <t>PEREZ WALDO ALEJANDRO</t>
  </si>
  <si>
    <t>TAMAME GABRIELA ALEJANDRA</t>
  </si>
  <si>
    <t>I21F8</t>
  </si>
  <si>
    <t>Palmieri</t>
  </si>
  <si>
    <t>Casal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</si>
</sst>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0%"/>
    <numFmt numFmtId="165" formatCode="0.0000%"/>
    <numFmt numFmtId="166" formatCode="_-* #,##0\ _€_-;\-* #,##0\ _€_-;_-* &quot;-&quot;??\ _€_-;_-@_-"/>
    <numFmt numFmtId="167" formatCode="_-* #,##0.000\ _€_-;\-* #,##0.000\ _€_-;_-* &quot;-&quot;??\ _€_-;_-@_-"/>
    <numFmt numFmtId="168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93">
    <xf numFmtId="0" fontId="0" fillId="0" borderId="0" xfId="0"/>
    <xf numFmtId="10" fontId="0" fillId="0" borderId="0" xfId="1" applyNumberFormat="1" applyFont="1"/>
    <xf numFmtId="10" fontId="2" fillId="2" borderId="0" xfId="1" applyNumberFormat="1" applyFont="1" applyFill="1"/>
    <xf numFmtId="0" fontId="0" fillId="0" borderId="0" xfId="0" applyAlignment="1">
      <alignment horizontal="center"/>
    </xf>
    <xf numFmtId="10" fontId="2" fillId="0" borderId="0" xfId="1" applyNumberFormat="1" applyFont="1" applyFill="1"/>
    <xf numFmtId="10" fontId="2" fillId="0" borderId="0" xfId="1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0" fontId="3" fillId="0" borderId="0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 applyProtection="1">
      <alignment horizontal="center"/>
      <protection locked="0"/>
    </xf>
    <xf numFmtId="3" fontId="2" fillId="2" borderId="0" xfId="0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4" fontId="0" fillId="3" borderId="0" xfId="0" applyNumberFormat="1" applyFill="1" applyAlignment="1">
      <alignment horizontal="center"/>
    </xf>
    <xf numFmtId="3" fontId="0" fillId="3" borderId="0" xfId="0" applyNumberFormat="1" applyFill="1" applyBorder="1" applyAlignment="1">
      <alignment horizontal="center"/>
    </xf>
    <xf numFmtId="165" fontId="3" fillId="3" borderId="0" xfId="1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/>
    </xf>
    <xf numFmtId="4" fontId="0" fillId="3" borderId="0" xfId="0" applyNumberFormat="1" applyFill="1" applyBorder="1" applyAlignment="1">
      <alignment horizontal="center"/>
    </xf>
    <xf numFmtId="3" fontId="5" fillId="0" borderId="0" xfId="0" applyNumberFormat="1" applyFont="1" applyBorder="1" applyProtection="1">
      <protection locked="0"/>
    </xf>
    <xf numFmtId="3" fontId="6" fillId="0" borderId="0" xfId="0" applyNumberFormat="1" applyFont="1" applyBorder="1" applyProtection="1">
      <protection locked="0"/>
    </xf>
    <xf numFmtId="0" fontId="5" fillId="0" borderId="0" xfId="0" applyNumberFormat="1" applyFont="1" applyBorder="1" applyAlignment="1" applyProtection="1">
      <alignment horizontal="left"/>
      <protection locked="0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6" fillId="0" borderId="0" xfId="0" applyNumberFormat="1" applyFont="1" applyBorder="1" applyAlignment="1" applyProtection="1">
      <alignment horizontal="left"/>
      <protection locked="0"/>
    </xf>
    <xf numFmtId="0" fontId="0" fillId="0" borderId="0" xfId="0" applyFill="1" applyBorder="1"/>
    <xf numFmtId="0" fontId="0" fillId="0" borderId="0" xfId="0" applyFont="1" applyBorder="1"/>
    <xf numFmtId="3" fontId="0" fillId="0" borderId="0" xfId="0" applyNumberFormat="1" applyFont="1" applyBorder="1"/>
    <xf numFmtId="166" fontId="0" fillId="0" borderId="0" xfId="2" applyNumberFormat="1" applyFont="1"/>
    <xf numFmtId="3" fontId="2" fillId="4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 applyProtection="1">
      <alignment horizontal="center"/>
      <protection locked="0"/>
    </xf>
    <xf numFmtId="14" fontId="0" fillId="5" borderId="0" xfId="0" applyNumberFormat="1" applyFill="1" applyAlignment="1">
      <alignment horizontal="center"/>
    </xf>
    <xf numFmtId="3" fontId="0" fillId="5" borderId="0" xfId="0" applyNumberFormat="1" applyFill="1" applyBorder="1" applyAlignment="1">
      <alignment horizontal="center"/>
    </xf>
    <xf numFmtId="165" fontId="3" fillId="5" borderId="0" xfId="1" applyNumberFormat="1" applyFont="1" applyFill="1" applyBorder="1" applyAlignment="1">
      <alignment horizontal="center" vertical="center" wrapText="1"/>
    </xf>
    <xf numFmtId="3" fontId="2" fillId="5" borderId="0" xfId="0" applyNumberFormat="1" applyFont="1" applyFill="1" applyBorder="1" applyAlignment="1">
      <alignment horizontal="center"/>
    </xf>
    <xf numFmtId="4" fontId="0" fillId="5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6" fontId="0" fillId="0" borderId="0" xfId="2" applyNumberFormat="1" applyFont="1" applyBorder="1" applyAlignment="1">
      <alignment horizontal="right"/>
    </xf>
    <xf numFmtId="166" fontId="0" fillId="0" borderId="0" xfId="2" applyNumberFormat="1" applyFont="1" applyFill="1" applyBorder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5" borderId="0" xfId="2" applyNumberFormat="1" applyFont="1" applyFill="1" applyAlignment="1">
      <alignment horizontal="right"/>
    </xf>
    <xf numFmtId="3" fontId="7" fillId="0" borderId="0" xfId="0" applyNumberFormat="1" applyFont="1" applyBorder="1" applyAlignment="1" applyProtection="1">
      <alignment horizontal="center"/>
      <protection locked="0"/>
    </xf>
    <xf numFmtId="10" fontId="1" fillId="0" borderId="0" xfId="1" applyNumberFormat="1" applyFont="1" applyAlignment="1">
      <alignment horizontal="center"/>
    </xf>
    <xf numFmtId="3" fontId="7" fillId="5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3" fontId="7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5" fillId="0" borderId="0" xfId="0" applyNumberFormat="1" applyFont="1" applyFill="1" applyBorder="1" applyAlignment="1" applyProtection="1">
      <alignment horizontal="left"/>
      <protection locked="0"/>
    </xf>
    <xf numFmtId="10" fontId="1" fillId="0" borderId="0" xfId="1" applyNumberFormat="1" applyFont="1" applyBorder="1" applyAlignment="1">
      <alignment horizontal="center"/>
    </xf>
    <xf numFmtId="3" fontId="7" fillId="3" borderId="0" xfId="0" applyNumberFormat="1" applyFont="1" applyFill="1" applyBorder="1" applyAlignment="1" applyProtection="1">
      <alignment horizontal="center"/>
      <protection locked="0"/>
    </xf>
    <xf numFmtId="166" fontId="0" fillId="0" borderId="0" xfId="2" applyNumberFormat="1" applyFont="1" applyBorder="1"/>
    <xf numFmtId="166" fontId="0" fillId="0" borderId="1" xfId="2" applyNumberFormat="1" applyFont="1" applyFill="1" applyBorder="1"/>
    <xf numFmtId="10" fontId="1" fillId="0" borderId="1" xfId="1" applyNumberFormat="1" applyFont="1" applyFill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166" fontId="0" fillId="0" borderId="1" xfId="2" applyNumberFormat="1" applyFont="1" applyBorder="1"/>
    <xf numFmtId="10" fontId="1" fillId="0" borderId="1" xfId="1" applyNumberFormat="1" applyFont="1" applyFill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wrapText="1"/>
    </xf>
    <xf numFmtId="3" fontId="9" fillId="0" borderId="0" xfId="0" applyNumberFormat="1" applyFont="1" applyBorder="1" applyProtection="1">
      <protection locked="0"/>
    </xf>
    <xf numFmtId="3" fontId="8" fillId="0" borderId="0" xfId="0" applyNumberFormat="1" applyFont="1" applyBorder="1" applyProtection="1">
      <protection locked="0"/>
    </xf>
    <xf numFmtId="14" fontId="0" fillId="0" borderId="0" xfId="0" applyNumberFormat="1" applyBorder="1" applyAlignment="1">
      <alignment horizontal="center"/>
    </xf>
    <xf numFmtId="3" fontId="0" fillId="0" borderId="0" xfId="0" applyNumberFormat="1" applyFont="1" applyBorder="1" applyAlignment="1" applyProtection="1">
      <alignment horizontal="center"/>
      <protection locked="0"/>
    </xf>
    <xf numFmtId="14" fontId="0" fillId="5" borderId="0" xfId="0" applyNumberFormat="1" applyFill="1" applyBorder="1" applyAlignment="1">
      <alignment horizontal="center"/>
    </xf>
    <xf numFmtId="3" fontId="0" fillId="5" borderId="0" xfId="0" applyNumberFormat="1" applyFont="1" applyFill="1" applyBorder="1" applyAlignment="1" applyProtection="1">
      <alignment horizontal="center"/>
      <protection locked="0"/>
    </xf>
    <xf numFmtId="166" fontId="7" fillId="0" borderId="0" xfId="2" applyNumberFormat="1" applyFont="1" applyBorder="1" applyAlignment="1" applyProtection="1">
      <alignment horizontal="center"/>
      <protection locked="0"/>
    </xf>
    <xf numFmtId="166" fontId="7" fillId="0" borderId="0" xfId="2" applyNumberFormat="1" applyFont="1" applyAlignment="1">
      <alignment horizontal="center"/>
    </xf>
    <xf numFmtId="166" fontId="7" fillId="5" borderId="0" xfId="2" applyNumberFormat="1" applyFont="1" applyFill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3" fontId="10" fillId="0" borderId="0" xfId="0" applyNumberFormat="1" applyFont="1" applyBorder="1" applyProtection="1">
      <protection locked="0"/>
    </xf>
    <xf numFmtId="0" fontId="10" fillId="0" borderId="0" xfId="0" applyNumberFormat="1" applyFont="1" applyBorder="1" applyAlignment="1" applyProtection="1">
      <alignment horizontal="left"/>
      <protection locked="0"/>
    </xf>
    <xf numFmtId="14" fontId="0" fillId="3" borderId="0" xfId="0" applyNumberFormat="1" applyFill="1" applyBorder="1" applyAlignment="1">
      <alignment horizontal="center"/>
    </xf>
    <xf numFmtId="0" fontId="0" fillId="3" borderId="0" xfId="0" applyFill="1"/>
    <xf numFmtId="3" fontId="0" fillId="3" borderId="0" xfId="0" applyNumberFormat="1" applyFont="1" applyFill="1" applyBorder="1" applyAlignment="1" applyProtection="1">
      <alignment horizontal="center"/>
      <protection locked="0"/>
    </xf>
    <xf numFmtId="1" fontId="1" fillId="0" borderId="0" xfId="1" applyNumberFormat="1" applyFont="1" applyBorder="1" applyAlignment="1">
      <alignment horizontal="center"/>
    </xf>
    <xf numFmtId="1" fontId="1" fillId="0" borderId="0" xfId="1" applyNumberFormat="1" applyFont="1" applyAlignment="1">
      <alignment horizontal="center"/>
    </xf>
    <xf numFmtId="14" fontId="0" fillId="6" borderId="0" xfId="0" applyNumberFormat="1" applyFill="1" applyBorder="1" applyAlignment="1">
      <alignment horizontal="center"/>
    </xf>
    <xf numFmtId="3" fontId="0" fillId="6" borderId="0" xfId="0" applyNumberFormat="1" applyFont="1" applyFill="1" applyBorder="1" applyAlignment="1" applyProtection="1">
      <alignment horizontal="center"/>
      <protection locked="0"/>
    </xf>
    <xf numFmtId="165" fontId="3" fillId="6" borderId="0" xfId="1" applyNumberFormat="1" applyFont="1" applyFill="1" applyBorder="1" applyAlignment="1">
      <alignment horizontal="center" vertical="center" wrapText="1"/>
    </xf>
    <xf numFmtId="3" fontId="2" fillId="6" borderId="0" xfId="0" applyNumberFormat="1" applyFont="1" applyFill="1" applyBorder="1" applyAlignment="1">
      <alignment horizontal="center"/>
    </xf>
    <xf numFmtId="4" fontId="0" fillId="6" borderId="0" xfId="0" applyNumberForma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5" fillId="3" borderId="0" xfId="0" applyNumberFormat="1" applyFont="1" applyFill="1" applyBorder="1" applyProtection="1">
      <protection locked="0"/>
    </xf>
    <xf numFmtId="0" fontId="0" fillId="5" borderId="0" xfId="0" applyFill="1"/>
    <xf numFmtId="3" fontId="8" fillId="3" borderId="0" xfId="0" applyNumberFormat="1" applyFont="1" applyFill="1" applyBorder="1" applyProtection="1">
      <protection locked="0"/>
    </xf>
    <xf numFmtId="3" fontId="8" fillId="6" borderId="0" xfId="0" applyNumberFormat="1" applyFont="1" applyFill="1" applyBorder="1" applyProtection="1">
      <protection locked="0"/>
    </xf>
    <xf numFmtId="0" fontId="0" fillId="6" borderId="0" xfId="0" applyFont="1" applyFill="1" applyBorder="1"/>
    <xf numFmtId="0" fontId="5" fillId="5" borderId="0" xfId="0" applyNumberFormat="1" applyFont="1" applyFill="1" applyBorder="1" applyAlignment="1" applyProtection="1">
      <alignment horizontal="left"/>
      <protection locked="0"/>
    </xf>
    <xf numFmtId="3" fontId="4" fillId="0" borderId="0" xfId="0" applyNumberFormat="1" applyFont="1" applyBorder="1" applyProtection="1">
      <protection locked="0"/>
    </xf>
    <xf numFmtId="0" fontId="4" fillId="0" borderId="0" xfId="0" applyNumberFormat="1" applyFont="1" applyBorder="1" applyAlignment="1" applyProtection="1">
      <alignment horizontal="left"/>
      <protection locked="0"/>
    </xf>
    <xf numFmtId="0" fontId="0" fillId="3" borderId="0" xfId="0" applyFill="1" applyAlignment="1">
      <alignment horizontal="center"/>
    </xf>
    <xf numFmtId="0" fontId="5" fillId="3" borderId="0" xfId="0" applyNumberFormat="1" applyFont="1" applyFill="1" applyBorder="1" applyAlignment="1" applyProtection="1">
      <alignment horizontal="left"/>
      <protection locked="0"/>
    </xf>
    <xf numFmtId="3" fontId="0" fillId="0" borderId="0" xfId="0" applyNumberFormat="1"/>
    <xf numFmtId="166" fontId="0" fillId="2" borderId="0" xfId="2" applyNumberFormat="1" applyFont="1" applyFill="1"/>
    <xf numFmtId="3" fontId="4" fillId="3" borderId="0" xfId="0" applyNumberFormat="1" applyFont="1" applyFill="1" applyBorder="1" applyProtection="1">
      <protection locked="0"/>
    </xf>
    <xf numFmtId="166" fontId="0" fillId="3" borderId="0" xfId="2" applyNumberFormat="1" applyFont="1" applyFill="1"/>
    <xf numFmtId="0" fontId="4" fillId="3" borderId="0" xfId="0" applyNumberFormat="1" applyFont="1" applyFill="1" applyBorder="1" applyAlignment="1" applyProtection="1">
      <alignment horizontal="left"/>
      <protection locked="0"/>
    </xf>
    <xf numFmtId="3" fontId="4" fillId="0" borderId="0" xfId="0" applyNumberFormat="1" applyFont="1" applyFill="1" applyBorder="1" applyProtection="1">
      <protection locked="0"/>
    </xf>
    <xf numFmtId="0" fontId="0" fillId="3" borderId="0" xfId="0" applyFont="1" applyFill="1" applyBorder="1"/>
    <xf numFmtId="3" fontId="0" fillId="0" borderId="0" xfId="0" applyNumberFormat="1" applyBorder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 applyProtection="1">
      <alignment horizontal="left"/>
      <protection locked="0"/>
    </xf>
    <xf numFmtId="3" fontId="0" fillId="0" borderId="0" xfId="0" applyNumberFormat="1" applyFill="1" applyBorder="1" applyProtection="1">
      <protection locked="0"/>
    </xf>
    <xf numFmtId="166" fontId="0" fillId="2" borderId="0" xfId="2" applyNumberFormat="1" applyFont="1" applyFill="1" applyBorder="1"/>
    <xf numFmtId="0" fontId="0" fillId="0" borderId="0" xfId="0" applyNumberFormat="1" applyAlignment="1" applyProtection="1">
      <alignment horizontal="left"/>
      <protection locked="0"/>
    </xf>
    <xf numFmtId="3" fontId="0" fillId="0" borderId="0" xfId="0" applyNumberFormat="1" applyProtection="1">
      <protection locked="0"/>
    </xf>
    <xf numFmtId="3" fontId="0" fillId="3" borderId="0" xfId="0" applyNumberFormat="1" applyFill="1" applyBorder="1" applyProtection="1">
      <protection locked="0"/>
    </xf>
    <xf numFmtId="3" fontId="0" fillId="3" borderId="0" xfId="0" applyNumberFormat="1" applyFill="1"/>
    <xf numFmtId="166" fontId="0" fillId="0" borderId="0" xfId="2" applyNumberFormat="1" applyFont="1" applyAlignment="1" applyProtection="1">
      <alignment horizontal="center"/>
      <protection locked="0"/>
    </xf>
    <xf numFmtId="166" fontId="0" fillId="0" borderId="0" xfId="2" applyNumberFormat="1" applyFont="1" applyAlignment="1">
      <alignment horizontal="center"/>
    </xf>
    <xf numFmtId="167" fontId="0" fillId="0" borderId="0" xfId="2" applyNumberFormat="1" applyFont="1" applyBorder="1"/>
    <xf numFmtId="167" fontId="0" fillId="0" borderId="0" xfId="2" applyNumberFormat="1" applyFont="1"/>
    <xf numFmtId="167" fontId="0" fillId="3" borderId="0" xfId="2" applyNumberFormat="1" applyFont="1" applyFill="1"/>
    <xf numFmtId="166" fontId="0" fillId="3" borderId="0" xfId="2" applyNumberFormat="1" applyFont="1" applyFill="1" applyAlignment="1">
      <alignment horizontal="center"/>
    </xf>
    <xf numFmtId="3" fontId="0" fillId="3" borderId="0" xfId="0" applyNumberFormat="1" applyFill="1" applyProtection="1">
      <protection locked="0"/>
    </xf>
    <xf numFmtId="0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6" fontId="0" fillId="3" borderId="0" xfId="2" applyNumberFormat="1" applyFont="1" applyFill="1" applyBorder="1"/>
    <xf numFmtId="166" fontId="0" fillId="7" borderId="0" xfId="2" applyNumberFormat="1" applyFont="1" applyFill="1" applyBorder="1"/>
    <xf numFmtId="166" fontId="0" fillId="7" borderId="0" xfId="2" applyNumberFormat="1" applyFont="1" applyFill="1"/>
    <xf numFmtId="166" fontId="0" fillId="3" borderId="0" xfId="2" applyNumberFormat="1" applyFont="1" applyFill="1" applyBorder="1" applyAlignment="1">
      <alignment horizontal="center"/>
    </xf>
    <xf numFmtId="166" fontId="0" fillId="0" borderId="0" xfId="2" applyNumberFormat="1" applyFont="1" applyFill="1"/>
    <xf numFmtId="10" fontId="1" fillId="0" borderId="0" xfId="1" applyNumberFormat="1" applyFont="1" applyFill="1" applyAlignment="1">
      <alignment horizontal="center"/>
    </xf>
    <xf numFmtId="166" fontId="0" fillId="0" borderId="0" xfId="2" applyNumberFormat="1" applyFont="1" applyFill="1" applyBorder="1"/>
    <xf numFmtId="10" fontId="1" fillId="0" borderId="0" xfId="1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wrapText="1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0" fillId="3" borderId="0" xfId="0" applyNumberFormat="1" applyFont="1" applyFill="1" applyBorder="1" applyAlignment="1" applyProtection="1">
      <alignment horizontal="left"/>
      <protection locked="0"/>
    </xf>
    <xf numFmtId="3" fontId="0" fillId="0" borderId="0" xfId="0" applyNumberFormat="1" applyBorder="1"/>
    <xf numFmtId="3" fontId="0" fillId="8" borderId="0" xfId="0" applyNumberFormat="1" applyFill="1" applyBorder="1" applyProtection="1">
      <protection locked="0"/>
    </xf>
    <xf numFmtId="166" fontId="0" fillId="8" borderId="0" xfId="2" applyNumberFormat="1" applyFont="1" applyFill="1" applyBorder="1"/>
    <xf numFmtId="3" fontId="0" fillId="3" borderId="0" xfId="0" applyNumberFormat="1" applyFill="1" applyBorder="1"/>
    <xf numFmtId="0" fontId="0" fillId="3" borderId="0" xfId="0" applyNumberFormat="1" applyFill="1" applyBorder="1" applyAlignment="1" applyProtection="1">
      <alignment horizontal="left"/>
      <protection locked="0"/>
    </xf>
    <xf numFmtId="3" fontId="1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horizontal="left"/>
      <protection locked="0"/>
    </xf>
    <xf numFmtId="3" fontId="0" fillId="0" borderId="0" xfId="0" applyNumberFormat="1" applyFill="1" applyBorder="1"/>
    <xf numFmtId="3" fontId="0" fillId="5" borderId="0" xfId="0" applyNumberForma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66" fontId="0" fillId="5" borderId="0" xfId="2" applyNumberFormat="1" applyFont="1" applyFill="1" applyBorder="1"/>
    <xf numFmtId="3" fontId="1" fillId="0" borderId="0" xfId="0" applyNumberFormat="1" applyFont="1" applyFill="1" applyBorder="1" applyProtection="1"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Fill="1" applyBorder="1" applyAlignment="1" applyProtection="1">
      <alignment horizontal="center"/>
      <protection locked="0"/>
    </xf>
    <xf numFmtId="0" fontId="0" fillId="2" borderId="0" xfId="0" applyFill="1" applyBorder="1" applyAlignment="1">
      <alignment horizontal="center"/>
    </xf>
    <xf numFmtId="3" fontId="0" fillId="2" borderId="0" xfId="0" applyNumberFormat="1" applyFill="1" applyBorder="1" applyProtection="1">
      <protection locked="0"/>
    </xf>
    <xf numFmtId="0" fontId="0" fillId="0" borderId="0" xfId="0" applyNumberFormat="1" applyFill="1" applyBorder="1" applyAlignment="1" applyProtection="1">
      <alignment horizontal="left"/>
      <protection locked="0"/>
    </xf>
    <xf numFmtId="3" fontId="0" fillId="3" borderId="0" xfId="0" applyNumberFormat="1" applyFill="1" applyBorder="1" applyAlignment="1" applyProtection="1">
      <alignment horizontal="center"/>
      <protection locked="0"/>
    </xf>
    <xf numFmtId="3" fontId="13" fillId="0" borderId="0" xfId="0" applyNumberFormat="1" applyFont="1" applyBorder="1" applyProtection="1">
      <protection locked="0"/>
    </xf>
    <xf numFmtId="3" fontId="0" fillId="5" borderId="0" xfId="0" applyNumberFormat="1" applyFill="1" applyBorder="1" applyProtection="1">
      <protection locked="0"/>
    </xf>
    <xf numFmtId="4" fontId="0" fillId="0" borderId="0" xfId="0" applyNumberFormat="1" applyFill="1" applyBorder="1" applyAlignment="1">
      <alignment horizontal="center"/>
    </xf>
    <xf numFmtId="14" fontId="0" fillId="0" borderId="0" xfId="2" applyNumberFormat="1" applyFont="1"/>
    <xf numFmtId="14" fontId="1" fillId="0" borderId="0" xfId="1" applyNumberFormat="1" applyFont="1" applyAlignment="1">
      <alignment horizontal="center"/>
    </xf>
    <xf numFmtId="3" fontId="14" fillId="2" borderId="0" xfId="0" applyNumberFormat="1" applyFont="1" applyFill="1" applyBorder="1" applyAlignment="1">
      <alignment horizontal="center"/>
    </xf>
    <xf numFmtId="0" fontId="0" fillId="5" borderId="0" xfId="0" applyFont="1" applyFill="1" applyBorder="1"/>
    <xf numFmtId="3" fontId="2" fillId="9" borderId="0" xfId="0" applyNumberFormat="1" applyFont="1" applyFill="1" applyBorder="1" applyAlignment="1">
      <alignment horizontal="center"/>
    </xf>
    <xf numFmtId="165" fontId="3" fillId="8" borderId="0" xfId="1" applyNumberFormat="1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0" fillId="0" borderId="0" xfId="0"/>
    <xf numFmtId="165" fontId="3" fillId="8" borderId="0" xfId="1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16" fontId="0" fillId="0" borderId="0" xfId="0" applyNumberFormat="1" applyFont="1" applyBorder="1"/>
    <xf numFmtId="14" fontId="0" fillId="0" borderId="0" xfId="2" applyNumberFormat="1" applyFont="1" applyBorder="1"/>
    <xf numFmtId="14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4" fontId="0" fillId="2" borderId="0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0" fillId="2" borderId="0" xfId="0" applyFont="1" applyFill="1" applyBorder="1"/>
    <xf numFmtId="3" fontId="0" fillId="0" borderId="1" xfId="0" applyNumberFormat="1" applyBorder="1" applyProtection="1">
      <protection locked="0"/>
    </xf>
    <xf numFmtId="0" fontId="0" fillId="0" borderId="1" xfId="0" applyNumberFormat="1" applyBorder="1" applyAlignment="1" applyProtection="1">
      <alignment horizontal="left"/>
      <protection locked="0"/>
    </xf>
    <xf numFmtId="0" fontId="0" fillId="9" borderId="0" xfId="0" applyFont="1" applyFill="1" applyBorder="1" applyAlignment="1">
      <alignment horizontal="center" vertical="center" wrapText="1"/>
    </xf>
    <xf numFmtId="165" fontId="3" fillId="2" borderId="0" xfId="1" applyNumberFormat="1" applyFont="1" applyFill="1" applyBorder="1" applyAlignment="1">
      <alignment horizontal="center"/>
    </xf>
    <xf numFmtId="165" fontId="3" fillId="8" borderId="0" xfId="1" applyNumberFormat="1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0" fontId="1" fillId="0" borderId="0" xfId="1" applyNumberFormat="1" applyFont="1" applyAlignment="1">
      <alignment horizontal="center"/>
    </xf>
    <xf numFmtId="3" fontId="0" fillId="0" borderId="2" xfId="0" applyNumberFormat="1" applyBorder="1" applyProtection="1">
      <protection locked="0"/>
    </xf>
    <xf numFmtId="0" fontId="0" fillId="0" borderId="2" xfId="0" applyNumberFormat="1" applyBorder="1" applyAlignment="1" applyProtection="1">
      <alignment horizontal="left"/>
      <protection locked="0"/>
    </xf>
  </cellXfs>
  <cellStyles count="4">
    <cellStyle name="Millares" xfId="2" builtinId="3"/>
    <cellStyle name="Millares 2" xf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2"/>
  <sheetViews>
    <sheetView tabSelected="1" topLeftCell="A528" zoomScaleNormal="100" workbookViewId="0">
      <selection activeCell="C541" sqref="C541"/>
    </sheetView>
  </sheetViews>
  <sheetFormatPr baseColWidth="10" defaultRowHeight="15" x14ac:dyDescent="0.25"/>
  <cols>
    <col min="1" max="1" width="12.5703125" customWidth="1"/>
    <col min="2" max="3" width="12.7109375" customWidth="1"/>
    <col min="4" max="4" width="12.7109375" style="3" customWidth="1"/>
    <col min="6" max="6" width="12.140625" bestFit="1" customWidth="1"/>
    <col min="8" max="8" width="14" bestFit="1" customWidth="1"/>
    <col min="9" max="9" width="15.5703125" bestFit="1" customWidth="1"/>
    <col min="10" max="10" width="39.85546875" style="36" customWidth="1"/>
    <col min="11" max="11" width="16.140625" style="38" customWidth="1"/>
    <col min="12" max="12" width="16.85546875" style="52" customWidth="1"/>
    <col min="13" max="13" width="21.42578125" customWidth="1"/>
    <col min="14" max="14" width="30.42578125" customWidth="1"/>
  </cols>
  <sheetData>
    <row r="1" spans="1:25" x14ac:dyDescent="0.25">
      <c r="A1" t="s">
        <v>0</v>
      </c>
      <c r="B1" s="2">
        <v>0.26769999999999999</v>
      </c>
      <c r="C1" s="4"/>
      <c r="D1" s="5"/>
      <c r="K1" s="63">
        <v>28</v>
      </c>
      <c r="L1" s="64">
        <v>0.255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5" x14ac:dyDescent="0.25">
      <c r="A2" t="s">
        <v>1</v>
      </c>
      <c r="B2" s="2">
        <v>1E-3</v>
      </c>
      <c r="C2" s="1"/>
      <c r="D2" s="6"/>
      <c r="K2" s="63">
        <v>63</v>
      </c>
      <c r="L2" s="64">
        <v>0.22</v>
      </c>
      <c r="M2" s="10"/>
      <c r="N2" s="10"/>
      <c r="O2" s="10"/>
      <c r="P2" s="10"/>
      <c r="Q2" s="10"/>
      <c r="R2" s="8"/>
      <c r="S2" s="8"/>
      <c r="T2" s="8"/>
      <c r="U2" s="7"/>
      <c r="V2" s="7"/>
      <c r="W2" s="7"/>
      <c r="X2" s="7"/>
    </row>
    <row r="3" spans="1:25" x14ac:dyDescent="0.25">
      <c r="K3" s="63">
        <v>91</v>
      </c>
      <c r="L3" s="65">
        <v>0.2175</v>
      </c>
      <c r="M3" s="9"/>
      <c r="N3" s="9"/>
      <c r="O3" s="9"/>
      <c r="P3" s="9"/>
      <c r="Q3" s="9"/>
      <c r="R3" s="9"/>
      <c r="S3" s="9"/>
      <c r="T3" s="9"/>
      <c r="U3" s="7"/>
      <c r="V3" s="7"/>
      <c r="W3" s="7"/>
      <c r="X3" s="7"/>
    </row>
    <row r="4" spans="1:25" x14ac:dyDescent="0.25">
      <c r="A4" s="23" t="s">
        <v>10</v>
      </c>
      <c r="B4" s="16" t="s">
        <v>6</v>
      </c>
      <c r="C4" s="16" t="s">
        <v>9</v>
      </c>
      <c r="D4" s="16" t="s">
        <v>4</v>
      </c>
      <c r="E4" s="16" t="s">
        <v>3</v>
      </c>
      <c r="F4" s="16" t="s">
        <v>7</v>
      </c>
      <c r="G4" s="16" t="s">
        <v>8</v>
      </c>
      <c r="H4" s="16" t="s">
        <v>2</v>
      </c>
      <c r="I4" s="16" t="s">
        <v>5</v>
      </c>
      <c r="K4" s="66">
        <v>154</v>
      </c>
      <c r="L4" s="67">
        <v>0.21249999999999999</v>
      </c>
      <c r="M4" s="10"/>
      <c r="N4" s="11"/>
      <c r="O4" s="11"/>
      <c r="P4" s="11"/>
      <c r="Q4" s="9"/>
      <c r="R4" s="12"/>
      <c r="S4" s="13"/>
      <c r="T4" s="14"/>
      <c r="U4" s="15"/>
      <c r="V4" s="7"/>
      <c r="W4" s="7"/>
      <c r="X4" s="7"/>
      <c r="Y4" s="7"/>
    </row>
    <row r="5" spans="1:25" hidden="1" x14ac:dyDescent="0.25">
      <c r="A5" s="22">
        <v>42494</v>
      </c>
      <c r="B5" s="19">
        <v>12890</v>
      </c>
      <c r="C5" s="19">
        <v>82429</v>
      </c>
      <c r="D5" s="12">
        <v>0.96484271742003702</v>
      </c>
      <c r="E5" s="20">
        <v>35</v>
      </c>
      <c r="F5" s="21">
        <v>82.429000000000002</v>
      </c>
      <c r="G5" s="17">
        <v>82346.570999999996</v>
      </c>
      <c r="H5" s="17">
        <v>85347.144683013699</v>
      </c>
      <c r="I5" s="20">
        <v>85000</v>
      </c>
      <c r="K5" s="66"/>
      <c r="L5" s="64">
        <v>0.30349999999999999</v>
      </c>
      <c r="M5" s="10"/>
      <c r="N5" s="11"/>
      <c r="O5" s="11"/>
      <c r="P5" s="11"/>
      <c r="Q5" s="9"/>
      <c r="R5" s="12"/>
      <c r="S5" s="13"/>
      <c r="T5" s="14"/>
      <c r="U5" s="15"/>
      <c r="V5" s="7"/>
      <c r="W5" s="7"/>
      <c r="X5" s="7"/>
      <c r="Y5" s="7"/>
    </row>
    <row r="6" spans="1:25" hidden="1" x14ac:dyDescent="0.25">
      <c r="A6" s="22">
        <v>42494</v>
      </c>
      <c r="B6" s="19">
        <v>20067</v>
      </c>
      <c r="C6" s="19">
        <v>348000</v>
      </c>
      <c r="D6" s="12">
        <v>0.96484271742003702</v>
      </c>
      <c r="E6" s="20">
        <v>35</v>
      </c>
      <c r="F6" s="21">
        <v>348</v>
      </c>
      <c r="G6" s="17">
        <v>347652</v>
      </c>
      <c r="H6" s="17">
        <v>360319.86739726027</v>
      </c>
      <c r="I6" s="20">
        <v>360000</v>
      </c>
      <c r="K6" s="66"/>
      <c r="L6" s="64"/>
      <c r="M6" s="10"/>
      <c r="N6" s="11"/>
      <c r="O6" s="11"/>
      <c r="P6" s="11"/>
      <c r="Q6" s="9"/>
      <c r="R6" s="12"/>
      <c r="S6" s="13"/>
      <c r="T6" s="14"/>
      <c r="U6" s="15"/>
      <c r="V6" s="7"/>
      <c r="W6" s="7"/>
      <c r="X6" s="7"/>
      <c r="Y6" s="7"/>
    </row>
    <row r="7" spans="1:25" hidden="1" x14ac:dyDescent="0.25">
      <c r="A7" s="22">
        <v>42494</v>
      </c>
      <c r="B7" s="19">
        <v>33393</v>
      </c>
      <c r="C7" s="19">
        <v>929550</v>
      </c>
      <c r="D7" s="12">
        <v>0.96484271742003702</v>
      </c>
      <c r="E7" s="20">
        <v>35</v>
      </c>
      <c r="F7" s="21">
        <v>929.55000000000007</v>
      </c>
      <c r="G7" s="17">
        <v>928620.45</v>
      </c>
      <c r="H7" s="17">
        <v>962457.85269863007</v>
      </c>
      <c r="I7" s="18">
        <v>962000</v>
      </c>
      <c r="K7" s="66"/>
      <c r="L7" s="64"/>
      <c r="M7" s="10"/>
      <c r="N7" s="11"/>
      <c r="O7" s="11"/>
      <c r="P7" s="11"/>
      <c r="Q7" s="9"/>
      <c r="R7" s="12"/>
      <c r="S7" s="13"/>
      <c r="T7" s="14"/>
      <c r="U7" s="15"/>
      <c r="V7" s="7"/>
      <c r="W7" s="7"/>
      <c r="X7" s="7"/>
      <c r="Y7" s="7"/>
    </row>
    <row r="8" spans="1:25" hidden="1" x14ac:dyDescent="0.25">
      <c r="A8" s="22">
        <v>42494</v>
      </c>
      <c r="B8" s="19">
        <v>200074</v>
      </c>
      <c r="C8" s="19">
        <v>74198</v>
      </c>
      <c r="D8" s="12">
        <v>0.93844808967964211</v>
      </c>
      <c r="E8" s="20">
        <v>63</v>
      </c>
      <c r="F8" s="21">
        <v>74.198000000000008</v>
      </c>
      <c r="G8" s="17">
        <v>74123.801999999996</v>
      </c>
      <c r="H8" s="17">
        <v>78985.51109556164</v>
      </c>
      <c r="I8" s="20">
        <v>79000</v>
      </c>
      <c r="K8" s="66"/>
      <c r="L8" s="64"/>
      <c r="M8" s="29"/>
      <c r="N8" s="31"/>
      <c r="O8" s="29"/>
      <c r="P8" s="32"/>
      <c r="Q8" s="33"/>
      <c r="R8" s="12"/>
      <c r="S8" s="13"/>
      <c r="T8" s="14"/>
      <c r="U8" s="15"/>
      <c r="V8" s="7"/>
      <c r="W8" s="7"/>
      <c r="X8" s="7"/>
      <c r="Y8" s="7"/>
    </row>
    <row r="9" spans="1:25" hidden="1" x14ac:dyDescent="0.25">
      <c r="A9" s="22">
        <v>42494</v>
      </c>
      <c r="B9" s="19">
        <v>19620</v>
      </c>
      <c r="C9" s="19">
        <v>7398</v>
      </c>
      <c r="D9" s="12">
        <v>0.96484271742003702</v>
      </c>
      <c r="E9" s="20">
        <v>35</v>
      </c>
      <c r="F9" s="21">
        <v>7.3980000000000006</v>
      </c>
      <c r="G9" s="17">
        <v>7390.6019999999999</v>
      </c>
      <c r="H9" s="17">
        <v>7659.9033879452054</v>
      </c>
      <c r="I9" s="20">
        <v>8000</v>
      </c>
      <c r="K9" s="66"/>
      <c r="L9" s="68"/>
      <c r="M9" s="29"/>
      <c r="N9" s="31"/>
      <c r="O9" s="29"/>
      <c r="P9" s="32"/>
      <c r="Q9" s="32"/>
      <c r="R9" s="12"/>
      <c r="S9" s="13"/>
      <c r="T9" s="14"/>
      <c r="U9" s="15"/>
      <c r="V9" s="7"/>
      <c r="W9" s="7"/>
      <c r="X9" s="7"/>
      <c r="Y9" s="7"/>
    </row>
    <row r="10" spans="1:25" hidden="1" x14ac:dyDescent="0.25">
      <c r="A10" s="22">
        <v>42494</v>
      </c>
      <c r="B10" s="19">
        <v>27137</v>
      </c>
      <c r="C10" s="19">
        <v>51000</v>
      </c>
      <c r="D10" s="12">
        <v>0.96484271742003702</v>
      </c>
      <c r="E10" s="20">
        <v>35</v>
      </c>
      <c r="F10" s="21">
        <v>51</v>
      </c>
      <c r="G10" s="17">
        <v>50949</v>
      </c>
      <c r="H10" s="17">
        <v>52805.497808219174</v>
      </c>
      <c r="I10" s="20">
        <v>53000</v>
      </c>
      <c r="J10" s="37"/>
      <c r="K10" s="66"/>
      <c r="L10" s="69"/>
      <c r="M10" s="29"/>
      <c r="N10" s="31"/>
      <c r="O10" s="29"/>
      <c r="P10" s="32"/>
      <c r="Q10" s="32"/>
      <c r="R10" s="12"/>
      <c r="S10" s="13"/>
      <c r="T10" s="14"/>
      <c r="U10" s="15"/>
      <c r="V10" s="7"/>
      <c r="W10" s="7"/>
      <c r="X10" s="7"/>
      <c r="Y10" s="7"/>
    </row>
    <row r="11" spans="1:25" hidden="1" x14ac:dyDescent="0.25">
      <c r="A11" s="22">
        <v>42494</v>
      </c>
      <c r="B11" s="19">
        <v>4444</v>
      </c>
      <c r="C11" s="19">
        <v>50000</v>
      </c>
      <c r="D11" s="12">
        <v>0.96484271742003702</v>
      </c>
      <c r="E11" s="20">
        <v>35</v>
      </c>
      <c r="F11" s="21">
        <v>50</v>
      </c>
      <c r="G11" s="17">
        <v>49950</v>
      </c>
      <c r="H11" s="17">
        <v>51770.095890410958</v>
      </c>
      <c r="I11" s="20">
        <v>52000</v>
      </c>
      <c r="J11" s="37"/>
      <c r="K11" s="66"/>
      <c r="L11" s="69"/>
      <c r="M11" s="30"/>
      <c r="N11" s="34"/>
      <c r="O11" s="30"/>
      <c r="P11" s="32"/>
      <c r="Q11" s="33"/>
      <c r="R11" s="7"/>
      <c r="S11" s="7"/>
      <c r="T11" s="7"/>
      <c r="U11" s="7"/>
      <c r="V11" s="7"/>
      <c r="W11" s="7"/>
      <c r="X11" s="7"/>
      <c r="Y11" s="7"/>
    </row>
    <row r="12" spans="1:25" hidden="1" x14ac:dyDescent="0.25">
      <c r="A12" s="22">
        <v>42494</v>
      </c>
      <c r="B12" s="17">
        <v>14168</v>
      </c>
      <c r="C12" s="17">
        <v>430000</v>
      </c>
      <c r="D12" s="12">
        <v>0.96484271742003702</v>
      </c>
      <c r="E12" s="20">
        <v>35</v>
      </c>
      <c r="F12" s="21">
        <v>430</v>
      </c>
      <c r="G12" s="17">
        <v>429570</v>
      </c>
      <c r="H12" s="17">
        <v>445222.82465753425</v>
      </c>
      <c r="I12" s="20">
        <v>445000</v>
      </c>
      <c r="K12" s="66"/>
      <c r="L12" s="69"/>
      <c r="M12" s="29"/>
      <c r="N12" s="31"/>
      <c r="O12" s="29"/>
      <c r="P12" s="35"/>
      <c r="Q12" s="35"/>
      <c r="R12" s="7"/>
      <c r="S12" s="7"/>
      <c r="T12" s="7"/>
      <c r="U12" s="7"/>
      <c r="V12" s="7"/>
      <c r="W12" s="7"/>
      <c r="X12" s="7"/>
      <c r="Y12" s="7"/>
    </row>
    <row r="13" spans="1:25" hidden="1" x14ac:dyDescent="0.25">
      <c r="A13" s="22">
        <v>42494</v>
      </c>
      <c r="B13" s="17">
        <v>19631</v>
      </c>
      <c r="C13" s="17">
        <v>70000</v>
      </c>
      <c r="D13" s="12">
        <v>0.96484271742003702</v>
      </c>
      <c r="E13" s="20">
        <v>35</v>
      </c>
      <c r="F13" s="21">
        <v>70</v>
      </c>
      <c r="G13" s="17">
        <v>69930</v>
      </c>
      <c r="H13" s="17">
        <v>72550.684931506854</v>
      </c>
      <c r="I13" s="20">
        <v>73000</v>
      </c>
      <c r="K13" s="66"/>
      <c r="L13" s="64"/>
      <c r="M13" s="29"/>
      <c r="N13" s="31"/>
      <c r="O13" s="29"/>
      <c r="P13" s="35"/>
      <c r="Q13" s="35"/>
      <c r="R13" s="7"/>
      <c r="S13" s="7"/>
      <c r="T13" s="7"/>
      <c r="U13" s="7"/>
      <c r="V13" s="7"/>
      <c r="W13" s="7"/>
      <c r="X13" s="7"/>
      <c r="Y13" s="7"/>
    </row>
    <row r="14" spans="1:25" hidden="1" x14ac:dyDescent="0.25">
      <c r="A14" s="22">
        <v>42494</v>
      </c>
      <c r="B14" s="17">
        <v>21181</v>
      </c>
      <c r="C14" s="17">
        <v>50000</v>
      </c>
      <c r="D14" s="12">
        <v>0.96484271742003702</v>
      </c>
      <c r="E14" s="20">
        <v>35</v>
      </c>
      <c r="F14" s="21">
        <v>50</v>
      </c>
      <c r="G14" s="17">
        <v>49950</v>
      </c>
      <c r="H14" s="17">
        <v>51821.917808219179</v>
      </c>
      <c r="I14" s="20">
        <v>52000</v>
      </c>
      <c r="K14" s="66"/>
      <c r="L14" s="64"/>
      <c r="M14" s="29"/>
      <c r="N14" s="31"/>
      <c r="O14" s="29"/>
      <c r="P14" s="35"/>
      <c r="Q14" s="35"/>
      <c r="R14" s="7"/>
      <c r="S14" s="7"/>
      <c r="T14" s="7"/>
      <c r="U14" s="7"/>
      <c r="V14" s="7"/>
      <c r="W14" s="7"/>
      <c r="X14" s="7"/>
      <c r="Y14" s="7"/>
    </row>
    <row r="15" spans="1:25" hidden="1" x14ac:dyDescent="0.25">
      <c r="A15" s="22">
        <v>42494</v>
      </c>
      <c r="B15" s="17">
        <v>26032</v>
      </c>
      <c r="C15" s="17">
        <v>400000</v>
      </c>
      <c r="D15" s="12">
        <v>0.96484271742003702</v>
      </c>
      <c r="E15" s="20">
        <v>35</v>
      </c>
      <c r="F15" s="21">
        <v>400</v>
      </c>
      <c r="G15" s="17">
        <v>399600</v>
      </c>
      <c r="H15" s="17">
        <v>414575.34246575343</v>
      </c>
      <c r="I15" s="20">
        <v>415000</v>
      </c>
      <c r="K15" s="66"/>
      <c r="L15" s="64"/>
      <c r="M15" s="29"/>
      <c r="N15" s="31"/>
      <c r="O15" s="29"/>
      <c r="P15" s="35"/>
      <c r="Q15" s="35"/>
      <c r="R15" s="7"/>
      <c r="S15" s="7"/>
      <c r="T15" s="7"/>
      <c r="U15" s="7"/>
      <c r="V15" s="7"/>
      <c r="W15" s="7"/>
      <c r="X15" s="7"/>
      <c r="Y15" s="7"/>
    </row>
    <row r="16" spans="1:25" hidden="1" x14ac:dyDescent="0.25">
      <c r="A16" s="22">
        <v>42494</v>
      </c>
      <c r="B16" s="17">
        <v>20664</v>
      </c>
      <c r="C16" s="17">
        <v>50595</v>
      </c>
      <c r="D16" s="12">
        <v>0.96484271742003702</v>
      </c>
      <c r="E16" s="20">
        <v>35</v>
      </c>
      <c r="F16" s="21">
        <v>50.594999999999999</v>
      </c>
      <c r="G16" s="17">
        <v>50544.404999999999</v>
      </c>
      <c r="H16" s="17">
        <v>52438.598630136985</v>
      </c>
      <c r="I16" s="20">
        <v>52000</v>
      </c>
      <c r="K16" s="66"/>
      <c r="L16" s="64"/>
      <c r="M16" s="29"/>
      <c r="N16" s="31"/>
      <c r="O16" s="29"/>
      <c r="P16" s="35"/>
      <c r="Q16" s="35"/>
      <c r="R16" s="7"/>
      <c r="S16" s="7"/>
      <c r="T16" s="7"/>
      <c r="U16" s="7"/>
      <c r="V16" s="7"/>
      <c r="W16" s="7"/>
      <c r="X16" s="7"/>
      <c r="Y16" s="7"/>
    </row>
    <row r="17" spans="1:17" ht="9" hidden="1" customHeight="1" x14ac:dyDescent="0.25">
      <c r="A17" s="24"/>
      <c r="B17" s="25"/>
      <c r="C17" s="25"/>
      <c r="D17" s="26"/>
      <c r="E17" s="27"/>
      <c r="F17" s="28"/>
      <c r="G17" s="25"/>
      <c r="H17" s="25"/>
      <c r="I17" s="27"/>
      <c r="K17" s="66"/>
      <c r="L17" s="64"/>
      <c r="M17" s="30"/>
      <c r="N17" s="34"/>
      <c r="O17" s="30"/>
      <c r="P17" s="33"/>
      <c r="Q17" s="33"/>
    </row>
    <row r="18" spans="1:17" hidden="1" x14ac:dyDescent="0.25">
      <c r="A18" s="22">
        <v>42501</v>
      </c>
      <c r="B18" s="40">
        <v>1043</v>
      </c>
      <c r="C18" s="19">
        <v>555500</v>
      </c>
      <c r="D18" s="12">
        <f t="shared" ref="D18:D22" si="0">(1/(1+($B$1*E18/365)))</f>
        <v>0.97497258724335178</v>
      </c>
      <c r="E18" s="39">
        <v>35</v>
      </c>
      <c r="F18" s="21">
        <f t="shared" ref="F18:F22" si="1">C18*$B$2</f>
        <v>555.5</v>
      </c>
      <c r="G18" s="17">
        <f t="shared" ref="G18:G22" si="2">+C18-F18</f>
        <v>554944.5</v>
      </c>
      <c r="H18" s="17">
        <f t="shared" ref="H18:H22" si="3">+C18/D18</f>
        <v>569759.60890410957</v>
      </c>
      <c r="I18" s="39">
        <v>575000</v>
      </c>
      <c r="J18" s="31" t="s">
        <v>11</v>
      </c>
      <c r="K18" s="66"/>
      <c r="L18" s="65"/>
      <c r="M18" s="29"/>
      <c r="N18" s="31"/>
      <c r="O18" s="29"/>
      <c r="P18" s="33"/>
      <c r="Q18" s="33"/>
    </row>
    <row r="19" spans="1:17" hidden="1" x14ac:dyDescent="0.25">
      <c r="A19" s="22">
        <v>42501</v>
      </c>
      <c r="B19" s="40">
        <v>1043</v>
      </c>
      <c r="C19" s="19">
        <f>1111000/2</f>
        <v>555500</v>
      </c>
      <c r="D19" s="12">
        <f t="shared" si="0"/>
        <v>0.95583492704622652</v>
      </c>
      <c r="E19" s="39">
        <v>63</v>
      </c>
      <c r="F19" s="21">
        <f t="shared" ref="F19" si="4">C19*$B$2</f>
        <v>555.5</v>
      </c>
      <c r="G19" s="17">
        <f t="shared" ref="G19" si="5">+C19-F19</f>
        <v>554944.5</v>
      </c>
      <c r="H19" s="17">
        <f t="shared" ref="H19" si="6">+C19/D19</f>
        <v>581167.29602739727</v>
      </c>
      <c r="I19" s="39">
        <v>589000</v>
      </c>
      <c r="J19" s="31" t="s">
        <v>11</v>
      </c>
      <c r="K19" s="66"/>
      <c r="L19" s="65"/>
      <c r="M19" s="29"/>
      <c r="N19" s="31"/>
      <c r="O19" s="29"/>
      <c r="P19" s="33"/>
      <c r="Q19" s="33"/>
    </row>
    <row r="20" spans="1:17" hidden="1" x14ac:dyDescent="0.25">
      <c r="A20" s="22">
        <v>42501</v>
      </c>
      <c r="B20" s="40">
        <v>20067</v>
      </c>
      <c r="C20" s="19">
        <f>84000+356000-200000</f>
        <v>240000</v>
      </c>
      <c r="D20" s="12">
        <f t="shared" si="0"/>
        <v>0.97497258724335178</v>
      </c>
      <c r="E20" s="39">
        <v>35</v>
      </c>
      <c r="F20" s="21">
        <f t="shared" si="1"/>
        <v>240</v>
      </c>
      <c r="G20" s="17">
        <f t="shared" si="2"/>
        <v>239760</v>
      </c>
      <c r="H20" s="17">
        <f t="shared" si="3"/>
        <v>246160.76712328769</v>
      </c>
      <c r="I20" s="39">
        <v>248000</v>
      </c>
      <c r="J20" s="31" t="s">
        <v>12</v>
      </c>
      <c r="K20" s="66"/>
      <c r="L20" s="65"/>
      <c r="M20" s="30"/>
      <c r="N20" s="34"/>
      <c r="O20" s="30"/>
      <c r="P20" s="33"/>
      <c r="Q20" s="33"/>
    </row>
    <row r="21" spans="1:17" hidden="1" x14ac:dyDescent="0.25">
      <c r="A21" s="22">
        <v>42501</v>
      </c>
      <c r="B21" s="40">
        <v>20067</v>
      </c>
      <c r="C21" s="19">
        <f>84000+356000-200000</f>
        <v>240000</v>
      </c>
      <c r="D21" s="12">
        <f t="shared" ref="D21" si="7">(1/(1+($B$1*E21/365)))</f>
        <v>0.95583492704622652</v>
      </c>
      <c r="E21" s="39">
        <v>63</v>
      </c>
      <c r="F21" s="21">
        <f t="shared" ref="F21" si="8">C21*$B$2</f>
        <v>240</v>
      </c>
      <c r="G21" s="17">
        <f t="shared" ref="G21" si="9">+C21-F21</f>
        <v>239760</v>
      </c>
      <c r="H21" s="17">
        <f t="shared" ref="H21" si="10">+C21/D21</f>
        <v>251089.38082191782</v>
      </c>
      <c r="I21" s="39">
        <v>255000</v>
      </c>
      <c r="J21" s="31" t="s">
        <v>12</v>
      </c>
      <c r="K21" s="66"/>
      <c r="L21" s="65"/>
      <c r="M21" s="30"/>
      <c r="N21" s="34"/>
      <c r="O21" s="30"/>
      <c r="P21" s="33"/>
      <c r="Q21" s="33"/>
    </row>
    <row r="22" spans="1:17" hidden="1" x14ac:dyDescent="0.25">
      <c r="A22" s="22">
        <v>42501</v>
      </c>
      <c r="B22" s="40">
        <v>20191</v>
      </c>
      <c r="C22" s="19">
        <v>202200</v>
      </c>
      <c r="D22" s="12">
        <f t="shared" si="0"/>
        <v>0.97497258724335178</v>
      </c>
      <c r="E22" s="39">
        <v>35</v>
      </c>
      <c r="F22" s="21">
        <f t="shared" si="1"/>
        <v>202.20000000000002</v>
      </c>
      <c r="G22" s="17">
        <f t="shared" si="2"/>
        <v>201997.8</v>
      </c>
      <c r="H22" s="17">
        <f t="shared" si="3"/>
        <v>207390.44630136987</v>
      </c>
      <c r="I22" s="39">
        <v>209000</v>
      </c>
      <c r="J22" s="31" t="s">
        <v>13</v>
      </c>
      <c r="K22" s="66"/>
      <c r="L22" s="65"/>
      <c r="M22" s="33"/>
      <c r="N22" s="33"/>
      <c r="O22" s="33"/>
      <c r="P22" s="33"/>
      <c r="Q22" s="33"/>
    </row>
    <row r="23" spans="1:17" hidden="1" x14ac:dyDescent="0.25">
      <c r="A23" s="22">
        <v>42501</v>
      </c>
      <c r="B23" s="40">
        <v>20191</v>
      </c>
      <c r="C23" s="19">
        <f>404400/2</f>
        <v>202200</v>
      </c>
      <c r="D23" s="12">
        <f t="shared" ref="D23" si="11">(1/(1+($B$1*E23/365)))</f>
        <v>0.95583492704622652</v>
      </c>
      <c r="E23" s="39">
        <v>63</v>
      </c>
      <c r="F23" s="21">
        <f t="shared" ref="F23" si="12">C23*$B$2</f>
        <v>202.20000000000002</v>
      </c>
      <c r="G23" s="17">
        <f t="shared" ref="G23" si="13">+C23-F23</f>
        <v>201997.8</v>
      </c>
      <c r="H23" s="17">
        <f t="shared" ref="H23" si="14">+C23/D23</f>
        <v>211542.80334246575</v>
      </c>
      <c r="I23" s="39">
        <v>214000</v>
      </c>
      <c r="J23" s="31" t="s">
        <v>13</v>
      </c>
      <c r="K23" s="66"/>
      <c r="L23" s="65"/>
      <c r="M23" s="33"/>
      <c r="N23" s="33"/>
      <c r="O23" s="33"/>
      <c r="P23" s="33"/>
      <c r="Q23" s="33"/>
    </row>
    <row r="24" spans="1:17" hidden="1" x14ac:dyDescent="0.25">
      <c r="A24" s="22">
        <v>42501</v>
      </c>
      <c r="B24" s="40">
        <v>33393</v>
      </c>
      <c r="C24" s="19">
        <f>3900+105000-5000</f>
        <v>103900</v>
      </c>
      <c r="D24" s="12">
        <f t="shared" ref="D24:D38" si="15">(1/(1+($B$1*E24/365)))</f>
        <v>0.97497258724335178</v>
      </c>
      <c r="E24" s="39">
        <v>35</v>
      </c>
      <c r="F24" s="21">
        <f t="shared" ref="F24:F38" si="16">C24*$B$2</f>
        <v>103.9</v>
      </c>
      <c r="G24" s="17">
        <f t="shared" ref="G24:G38" si="17">+C24-F24</f>
        <v>103796.1</v>
      </c>
      <c r="H24" s="17">
        <f t="shared" ref="H24:H38" si="18">+C24/D24</f>
        <v>106567.09876712329</v>
      </c>
      <c r="I24" s="39">
        <v>107000</v>
      </c>
      <c r="J24" s="31" t="s">
        <v>14</v>
      </c>
      <c r="K24" s="66"/>
      <c r="L24" s="65"/>
      <c r="M24" s="33"/>
      <c r="N24" s="33"/>
      <c r="O24" s="33"/>
      <c r="P24" s="33"/>
      <c r="Q24" s="33"/>
    </row>
    <row r="25" spans="1:17" hidden="1" x14ac:dyDescent="0.25">
      <c r="A25" s="22">
        <v>42501</v>
      </c>
      <c r="B25" s="40">
        <v>7026</v>
      </c>
      <c r="C25" s="19">
        <v>70000</v>
      </c>
      <c r="D25" s="12">
        <f t="shared" ref="D25" si="19">(1/(1+($B$1*E25/365)))</f>
        <v>0.97497258724335178</v>
      </c>
      <c r="E25" s="39">
        <v>35</v>
      </c>
      <c r="F25" s="21">
        <f t="shared" ref="F25" si="20">C25*$B$2</f>
        <v>70</v>
      </c>
      <c r="G25" s="17">
        <f t="shared" ref="G25" si="21">+C25-F25</f>
        <v>69930</v>
      </c>
      <c r="H25" s="17">
        <f t="shared" ref="H25" si="22">+C25/D25</f>
        <v>71796.890410958906</v>
      </c>
      <c r="I25" s="39">
        <v>72000</v>
      </c>
      <c r="J25" s="31" t="s">
        <v>21</v>
      </c>
      <c r="K25" s="66"/>
      <c r="L25" s="65"/>
      <c r="M25" s="33"/>
      <c r="N25" s="33"/>
      <c r="O25" s="33"/>
      <c r="P25" s="33"/>
      <c r="Q25" s="33"/>
    </row>
    <row r="26" spans="1:17" hidden="1" x14ac:dyDescent="0.25">
      <c r="A26" s="22">
        <v>42501</v>
      </c>
      <c r="B26" s="40">
        <v>12842</v>
      </c>
      <c r="C26" s="19">
        <f>464177+12068</f>
        <v>476245</v>
      </c>
      <c r="D26" s="12">
        <f t="shared" si="15"/>
        <v>0.97497258724335178</v>
      </c>
      <c r="E26" s="39">
        <v>35</v>
      </c>
      <c r="F26" s="21">
        <f t="shared" si="16"/>
        <v>476.245</v>
      </c>
      <c r="G26" s="17">
        <f t="shared" si="17"/>
        <v>475768.755</v>
      </c>
      <c r="H26" s="17">
        <f t="shared" si="18"/>
        <v>488470.1439109589</v>
      </c>
      <c r="I26" s="39">
        <v>493000</v>
      </c>
      <c r="J26" s="31" t="s">
        <v>15</v>
      </c>
      <c r="K26" s="66"/>
      <c r="L26" s="65"/>
      <c r="M26" s="33"/>
      <c r="N26" s="33"/>
      <c r="O26" s="33"/>
      <c r="P26" s="33"/>
      <c r="Q26" s="33"/>
    </row>
    <row r="27" spans="1:17" hidden="1" x14ac:dyDescent="0.25">
      <c r="A27" s="22">
        <v>42501</v>
      </c>
      <c r="B27" s="40">
        <v>19620</v>
      </c>
      <c r="C27" s="19">
        <f>104000-281</f>
        <v>103719</v>
      </c>
      <c r="D27" s="12">
        <f t="shared" si="15"/>
        <v>0.97497258724335178</v>
      </c>
      <c r="E27" s="39">
        <v>35</v>
      </c>
      <c r="F27" s="21">
        <f t="shared" si="16"/>
        <v>103.71900000000001</v>
      </c>
      <c r="G27" s="17">
        <f t="shared" si="17"/>
        <v>103615.281</v>
      </c>
      <c r="H27" s="17">
        <f t="shared" si="18"/>
        <v>106381.45252191782</v>
      </c>
      <c r="I27" s="39">
        <v>107000</v>
      </c>
      <c r="J27" s="31" t="s">
        <v>16</v>
      </c>
      <c r="K27" s="66"/>
      <c r="L27" s="65"/>
    </row>
    <row r="28" spans="1:17" hidden="1" x14ac:dyDescent="0.25">
      <c r="A28" s="22">
        <v>42501</v>
      </c>
      <c r="B28" s="40">
        <v>20664</v>
      </c>
      <c r="C28" s="19">
        <v>1286814</v>
      </c>
      <c r="D28" s="12">
        <f t="shared" ref="D28" si="23">(1/(1+($B$1*E28/365)))</f>
        <v>0.95583492704622652</v>
      </c>
      <c r="E28" s="39">
        <v>63</v>
      </c>
      <c r="F28" s="21">
        <f t="shared" ref="F28" si="24">C28*$B$2</f>
        <v>1286.8140000000001</v>
      </c>
      <c r="G28" s="17">
        <f t="shared" ref="G28" si="25">+C28-F28</f>
        <v>1285527.186</v>
      </c>
      <c r="H28" s="17">
        <f t="shared" ref="H28" si="26">+C28/D28</f>
        <v>1346272.2103873973</v>
      </c>
      <c r="I28" s="39">
        <f t="shared" ref="I28:I38" si="27">MROUND(H28,1000)</f>
        <v>1346000</v>
      </c>
      <c r="J28" s="31" t="s">
        <v>17</v>
      </c>
      <c r="K28" s="66"/>
      <c r="L28" s="65"/>
    </row>
    <row r="29" spans="1:17" hidden="1" x14ac:dyDescent="0.25">
      <c r="A29" s="22">
        <v>42501</v>
      </c>
      <c r="B29" s="40">
        <v>23445</v>
      </c>
      <c r="C29" s="19">
        <f>1018000-545</f>
        <v>1017455</v>
      </c>
      <c r="D29" s="12">
        <f t="shared" si="15"/>
        <v>0.97497258724335178</v>
      </c>
      <c r="E29" s="39">
        <v>35</v>
      </c>
      <c r="F29" s="21">
        <f t="shared" si="16"/>
        <v>1017.455</v>
      </c>
      <c r="G29" s="17">
        <f t="shared" si="17"/>
        <v>1016437.545</v>
      </c>
      <c r="H29" s="17">
        <f t="shared" si="18"/>
        <v>1043572.9304726028</v>
      </c>
      <c r="I29" s="39">
        <v>1054000</v>
      </c>
      <c r="J29" s="31" t="s">
        <v>18</v>
      </c>
      <c r="K29" s="66"/>
      <c r="L29" s="65"/>
    </row>
    <row r="30" spans="1:17" hidden="1" x14ac:dyDescent="0.25">
      <c r="A30" s="22">
        <v>42501</v>
      </c>
      <c r="B30" s="40">
        <v>200074</v>
      </c>
      <c r="C30" s="19">
        <f>2538+555000</f>
        <v>557538</v>
      </c>
      <c r="D30" s="12">
        <f t="shared" si="15"/>
        <v>0.95583492704622652</v>
      </c>
      <c r="E30" s="39">
        <v>63</v>
      </c>
      <c r="F30" s="21">
        <f t="shared" si="16"/>
        <v>557.53800000000001</v>
      </c>
      <c r="G30" s="17">
        <f t="shared" si="17"/>
        <v>556980.46200000006</v>
      </c>
      <c r="H30" s="17">
        <f t="shared" si="18"/>
        <v>583299.46335287672</v>
      </c>
      <c r="I30" s="39">
        <v>591000</v>
      </c>
      <c r="J30" s="31" t="s">
        <v>19</v>
      </c>
      <c r="K30" s="66"/>
      <c r="L30" s="65"/>
    </row>
    <row r="31" spans="1:17" hidden="1" x14ac:dyDescent="0.25">
      <c r="A31" s="22">
        <v>42501</v>
      </c>
      <c r="B31" s="19">
        <v>26032</v>
      </c>
      <c r="C31" s="19">
        <v>200000</v>
      </c>
      <c r="D31" s="12">
        <f t="shared" si="15"/>
        <v>0.97497258724335178</v>
      </c>
      <c r="E31" s="20">
        <v>35</v>
      </c>
      <c r="F31" s="21">
        <f t="shared" si="16"/>
        <v>200</v>
      </c>
      <c r="G31" s="17">
        <f t="shared" si="17"/>
        <v>199800</v>
      </c>
      <c r="H31" s="17">
        <f t="shared" si="18"/>
        <v>205133.97260273973</v>
      </c>
      <c r="I31" s="18">
        <f t="shared" si="27"/>
        <v>205000</v>
      </c>
      <c r="J31" s="31" t="s">
        <v>20</v>
      </c>
      <c r="K31" s="66"/>
      <c r="L31" s="65"/>
    </row>
    <row r="32" spans="1:17" hidden="1" x14ac:dyDescent="0.25">
      <c r="A32" s="22">
        <v>42501</v>
      </c>
      <c r="B32" s="17">
        <v>6365</v>
      </c>
      <c r="C32" s="17">
        <v>50000</v>
      </c>
      <c r="D32" s="12">
        <f t="shared" si="15"/>
        <v>0.97497258724335178</v>
      </c>
      <c r="E32" s="20">
        <v>35</v>
      </c>
      <c r="F32" s="21">
        <f t="shared" si="16"/>
        <v>50</v>
      </c>
      <c r="G32" s="17">
        <f t="shared" si="17"/>
        <v>49950</v>
      </c>
      <c r="H32" s="17">
        <f t="shared" si="18"/>
        <v>51283.493150684932</v>
      </c>
      <c r="I32" s="18">
        <f t="shared" si="27"/>
        <v>51000</v>
      </c>
      <c r="K32" s="66"/>
      <c r="L32" s="65"/>
    </row>
    <row r="33" spans="1:12" hidden="1" x14ac:dyDescent="0.25">
      <c r="A33" s="22">
        <v>42501</v>
      </c>
      <c r="B33" s="17">
        <v>4876</v>
      </c>
      <c r="C33" s="17">
        <v>45000</v>
      </c>
      <c r="D33" s="12">
        <f t="shared" si="15"/>
        <v>0.97497258724335178</v>
      </c>
      <c r="E33" s="20">
        <v>35</v>
      </c>
      <c r="F33" s="21">
        <f t="shared" si="16"/>
        <v>45</v>
      </c>
      <c r="G33" s="17">
        <f t="shared" si="17"/>
        <v>44955</v>
      </c>
      <c r="H33" s="17">
        <f t="shared" si="18"/>
        <v>46155.143835616444</v>
      </c>
      <c r="I33" s="18">
        <f t="shared" si="27"/>
        <v>46000</v>
      </c>
      <c r="K33" s="66"/>
      <c r="L33" s="65"/>
    </row>
    <row r="34" spans="1:12" ht="8.25" hidden="1" customHeight="1" x14ac:dyDescent="0.25">
      <c r="A34" s="41"/>
      <c r="B34" s="42"/>
      <c r="C34" s="42"/>
      <c r="D34" s="43"/>
      <c r="E34" s="44"/>
      <c r="F34" s="45"/>
      <c r="G34" s="42"/>
      <c r="H34" s="42"/>
      <c r="I34" s="44"/>
      <c r="K34" s="66"/>
      <c r="L34" s="65"/>
    </row>
    <row r="35" spans="1:12" hidden="1" x14ac:dyDescent="0.25">
      <c r="A35" s="22">
        <v>42507</v>
      </c>
      <c r="B35" s="17">
        <v>7026</v>
      </c>
      <c r="C35" s="47">
        <v>80000</v>
      </c>
      <c r="D35" s="12">
        <f t="shared" si="15"/>
        <v>0.97497258724335178</v>
      </c>
      <c r="E35" s="20">
        <v>35</v>
      </c>
      <c r="F35" s="21">
        <f t="shared" si="16"/>
        <v>80</v>
      </c>
      <c r="G35" s="17">
        <f t="shared" si="17"/>
        <v>79920</v>
      </c>
      <c r="H35" s="17">
        <f t="shared" si="18"/>
        <v>82053.589041095896</v>
      </c>
      <c r="I35" s="20">
        <v>82000</v>
      </c>
      <c r="K35" s="66"/>
      <c r="L35" s="65"/>
    </row>
    <row r="36" spans="1:12" hidden="1" x14ac:dyDescent="0.25">
      <c r="A36" s="22">
        <v>42507</v>
      </c>
      <c r="B36" s="17">
        <v>12695</v>
      </c>
      <c r="C36" s="47">
        <v>30769</v>
      </c>
      <c r="D36" s="12">
        <f t="shared" si="15"/>
        <v>0.97497258724335178</v>
      </c>
      <c r="E36" s="20">
        <v>35</v>
      </c>
      <c r="F36" s="21">
        <f t="shared" si="16"/>
        <v>30.769000000000002</v>
      </c>
      <c r="G36" s="17">
        <f t="shared" si="17"/>
        <v>30738.231</v>
      </c>
      <c r="H36" s="17">
        <f t="shared" si="18"/>
        <v>31558.836015068493</v>
      </c>
      <c r="I36" s="20">
        <f t="shared" si="27"/>
        <v>32000</v>
      </c>
      <c r="K36" s="66"/>
      <c r="L36" s="65"/>
    </row>
    <row r="37" spans="1:12" hidden="1" x14ac:dyDescent="0.25">
      <c r="A37" s="22">
        <v>42507</v>
      </c>
      <c r="B37" s="17">
        <v>130456</v>
      </c>
      <c r="C37" s="47">
        <f>857000-100000</f>
        <v>757000</v>
      </c>
      <c r="D37" s="12">
        <f t="shared" si="15"/>
        <v>0.97497258724335178</v>
      </c>
      <c r="E37" s="20">
        <v>35</v>
      </c>
      <c r="F37" s="21">
        <f t="shared" si="16"/>
        <v>757</v>
      </c>
      <c r="G37" s="17">
        <f t="shared" si="17"/>
        <v>756243</v>
      </c>
      <c r="H37" s="17">
        <f t="shared" si="18"/>
        <v>776432.08630136994</v>
      </c>
      <c r="I37" s="20">
        <f t="shared" si="27"/>
        <v>776000</v>
      </c>
      <c r="K37" s="66"/>
      <c r="L37" s="65"/>
    </row>
    <row r="38" spans="1:12" hidden="1" x14ac:dyDescent="0.25">
      <c r="A38" s="22">
        <v>42507</v>
      </c>
      <c r="B38" s="17">
        <v>12842</v>
      </c>
      <c r="C38" s="47">
        <v>29000</v>
      </c>
      <c r="D38" s="12">
        <f t="shared" si="15"/>
        <v>0.97497258724335178</v>
      </c>
      <c r="E38" s="20">
        <v>35</v>
      </c>
      <c r="F38" s="21">
        <f t="shared" si="16"/>
        <v>29</v>
      </c>
      <c r="G38" s="17">
        <f t="shared" si="17"/>
        <v>28971</v>
      </c>
      <c r="H38" s="17">
        <f t="shared" si="18"/>
        <v>29744.426027397261</v>
      </c>
      <c r="I38" s="20">
        <f t="shared" si="27"/>
        <v>30000</v>
      </c>
      <c r="K38" s="66"/>
      <c r="L38" s="65"/>
    </row>
    <row r="39" spans="1:12" hidden="1" x14ac:dyDescent="0.25">
      <c r="A39" s="22">
        <v>42507</v>
      </c>
      <c r="B39" s="46">
        <v>200074</v>
      </c>
      <c r="C39" s="48">
        <v>268000</v>
      </c>
      <c r="D39" s="12">
        <f t="shared" ref="D39:D57" si="28">(1/(1+($B$1*E39/365)))</f>
        <v>0.97497258724335178</v>
      </c>
      <c r="E39" s="20">
        <v>35</v>
      </c>
      <c r="F39" s="21">
        <f t="shared" ref="F39:F57" si="29">C39*$B$2</f>
        <v>268</v>
      </c>
      <c r="G39" s="17">
        <f t="shared" ref="G39:G57" si="30">+C39-F39</f>
        <v>267732</v>
      </c>
      <c r="H39" s="17">
        <f t="shared" ref="H39:H57" si="31">+C39/D39</f>
        <v>274879.52328767127</v>
      </c>
      <c r="I39" s="20">
        <f t="shared" ref="I39:I57" si="32">MROUND(H39,1000)</f>
        <v>275000</v>
      </c>
      <c r="K39" s="66"/>
      <c r="L39" s="65"/>
    </row>
    <row r="40" spans="1:12" hidden="1" x14ac:dyDescent="0.25">
      <c r="A40" s="22">
        <v>42507</v>
      </c>
      <c r="B40" s="46">
        <v>26032</v>
      </c>
      <c r="C40" s="48">
        <v>75000</v>
      </c>
      <c r="D40" s="12">
        <f t="shared" si="28"/>
        <v>0.97497258724335178</v>
      </c>
      <c r="E40" s="20">
        <v>35</v>
      </c>
      <c r="F40" s="21">
        <f t="shared" si="29"/>
        <v>75</v>
      </c>
      <c r="G40" s="17">
        <f t="shared" si="30"/>
        <v>74925</v>
      </c>
      <c r="H40" s="17">
        <f t="shared" si="31"/>
        <v>76925.239726027401</v>
      </c>
      <c r="I40" s="20">
        <f t="shared" si="32"/>
        <v>77000</v>
      </c>
      <c r="K40" s="66"/>
      <c r="L40" s="65"/>
    </row>
    <row r="41" spans="1:12" hidden="1" x14ac:dyDescent="0.25">
      <c r="A41" s="22">
        <v>42507</v>
      </c>
      <c r="B41" s="46">
        <v>20684</v>
      </c>
      <c r="C41" s="49">
        <v>27000</v>
      </c>
      <c r="D41" s="12">
        <f t="shared" si="28"/>
        <v>0.97497258724335178</v>
      </c>
      <c r="E41" s="20">
        <v>35</v>
      </c>
      <c r="F41" s="21">
        <f t="shared" si="29"/>
        <v>27</v>
      </c>
      <c r="G41" s="17">
        <f t="shared" si="30"/>
        <v>26973</v>
      </c>
      <c r="H41" s="17">
        <f t="shared" si="31"/>
        <v>27693.086301369865</v>
      </c>
      <c r="I41" s="20">
        <f t="shared" si="32"/>
        <v>28000</v>
      </c>
      <c r="K41" s="66"/>
      <c r="L41" s="65"/>
    </row>
    <row r="42" spans="1:12" hidden="1" x14ac:dyDescent="0.25">
      <c r="A42" s="22">
        <v>42507</v>
      </c>
      <c r="B42" s="46">
        <v>14268</v>
      </c>
      <c r="C42" s="49">
        <v>258800</v>
      </c>
      <c r="D42" s="12">
        <f t="shared" si="28"/>
        <v>0.97497258724335178</v>
      </c>
      <c r="E42" s="20">
        <v>35</v>
      </c>
      <c r="F42" s="21">
        <f t="shared" si="29"/>
        <v>258.8</v>
      </c>
      <c r="G42" s="17">
        <f t="shared" si="30"/>
        <v>258541.2</v>
      </c>
      <c r="H42" s="17">
        <f t="shared" si="31"/>
        <v>265443.36054794519</v>
      </c>
      <c r="I42" s="20">
        <f t="shared" si="32"/>
        <v>265000</v>
      </c>
      <c r="K42" s="66"/>
      <c r="L42" s="65"/>
    </row>
    <row r="43" spans="1:12" hidden="1" x14ac:dyDescent="0.25">
      <c r="A43" s="22">
        <v>42507</v>
      </c>
      <c r="B43" s="46">
        <v>17282</v>
      </c>
      <c r="C43" s="49">
        <v>366800</v>
      </c>
      <c r="D43" s="12">
        <f t="shared" si="28"/>
        <v>0.97497258724335178</v>
      </c>
      <c r="E43" s="20">
        <v>35</v>
      </c>
      <c r="F43" s="21">
        <f t="shared" si="29"/>
        <v>366.8</v>
      </c>
      <c r="G43" s="17">
        <f t="shared" si="30"/>
        <v>366433.2</v>
      </c>
      <c r="H43" s="17">
        <f t="shared" si="31"/>
        <v>376215.70575342467</v>
      </c>
      <c r="I43" s="20">
        <f t="shared" si="32"/>
        <v>376000</v>
      </c>
      <c r="K43" s="66"/>
      <c r="L43" s="65"/>
    </row>
    <row r="44" spans="1:12" hidden="1" x14ac:dyDescent="0.25">
      <c r="A44" s="22">
        <v>42507</v>
      </c>
      <c r="B44" s="46">
        <v>23201</v>
      </c>
      <c r="C44" s="49">
        <v>155200</v>
      </c>
      <c r="D44" s="12">
        <f t="shared" si="28"/>
        <v>0.97497258724335178</v>
      </c>
      <c r="E44" s="20">
        <v>35</v>
      </c>
      <c r="F44" s="21">
        <f t="shared" si="29"/>
        <v>155.20000000000002</v>
      </c>
      <c r="G44" s="17">
        <f t="shared" si="30"/>
        <v>155044.79999999999</v>
      </c>
      <c r="H44" s="17">
        <f t="shared" si="31"/>
        <v>159183.96273972603</v>
      </c>
      <c r="I44" s="20">
        <f t="shared" si="32"/>
        <v>159000</v>
      </c>
      <c r="K44" s="66"/>
      <c r="L44" s="65"/>
    </row>
    <row r="45" spans="1:12" hidden="1" x14ac:dyDescent="0.25">
      <c r="A45" s="22">
        <v>42507</v>
      </c>
      <c r="B45" s="46">
        <v>300527</v>
      </c>
      <c r="C45" s="49">
        <v>1845946</v>
      </c>
      <c r="D45" s="12">
        <f t="shared" si="28"/>
        <v>0.97497258724335178</v>
      </c>
      <c r="E45" s="20">
        <v>35</v>
      </c>
      <c r="F45" s="21">
        <f t="shared" si="29"/>
        <v>1845.9460000000001</v>
      </c>
      <c r="G45" s="17">
        <f t="shared" si="30"/>
        <v>1844100.054</v>
      </c>
      <c r="H45" s="17">
        <f t="shared" si="31"/>
        <v>1893331.1809506849</v>
      </c>
      <c r="I45" s="20">
        <f t="shared" si="32"/>
        <v>1893000</v>
      </c>
      <c r="J45" s="37"/>
      <c r="K45" s="66"/>
      <c r="L45" s="65"/>
    </row>
    <row r="46" spans="1:12" hidden="1" x14ac:dyDescent="0.25">
      <c r="A46" s="22">
        <v>42507</v>
      </c>
      <c r="B46" s="46">
        <v>19620</v>
      </c>
      <c r="C46" s="49">
        <v>107329</v>
      </c>
      <c r="D46" s="12">
        <f t="shared" si="28"/>
        <v>0.97497258724335178</v>
      </c>
      <c r="E46" s="20">
        <v>35</v>
      </c>
      <c r="F46" s="21">
        <f t="shared" si="29"/>
        <v>107.32900000000001</v>
      </c>
      <c r="G46" s="17">
        <f t="shared" si="30"/>
        <v>107221.671</v>
      </c>
      <c r="H46" s="17">
        <f t="shared" si="31"/>
        <v>110084.12072739727</v>
      </c>
      <c r="I46" s="20">
        <f t="shared" si="32"/>
        <v>110000</v>
      </c>
      <c r="K46" s="66"/>
      <c r="L46" s="65"/>
    </row>
    <row r="47" spans="1:12" ht="14.25" hidden="1" customHeight="1" x14ac:dyDescent="0.25">
      <c r="A47" s="41"/>
      <c r="B47" s="42"/>
      <c r="C47" s="50"/>
      <c r="D47" s="43"/>
      <c r="E47" s="44"/>
      <c r="F47" s="45"/>
      <c r="G47" s="42"/>
      <c r="H47" s="42"/>
      <c r="I47" s="44"/>
      <c r="K47" s="66">
        <v>217</v>
      </c>
      <c r="L47" s="65">
        <v>0.2079</v>
      </c>
    </row>
    <row r="48" spans="1:12" hidden="1" x14ac:dyDescent="0.25">
      <c r="A48" s="22">
        <v>42507</v>
      </c>
      <c r="B48" s="51">
        <v>7026</v>
      </c>
      <c r="C48" s="51">
        <f>1122.8+207000</f>
        <v>208122.8</v>
      </c>
      <c r="D48" s="12">
        <f t="shared" si="28"/>
        <v>0.97497258724335178</v>
      </c>
      <c r="E48" s="20">
        <v>35</v>
      </c>
      <c r="F48" s="21">
        <f t="shared" si="29"/>
        <v>208.12279999999998</v>
      </c>
      <c r="G48" s="17">
        <f t="shared" si="30"/>
        <v>207914.67719999998</v>
      </c>
      <c r="H48" s="17">
        <f t="shared" si="31"/>
        <v>213465.28376602739</v>
      </c>
      <c r="I48" s="20">
        <f t="shared" si="32"/>
        <v>213000</v>
      </c>
      <c r="J48" s="36" t="s">
        <v>22</v>
      </c>
      <c r="K48" s="66">
        <v>203</v>
      </c>
      <c r="L48" s="65">
        <v>0.27750000000000002</v>
      </c>
    </row>
    <row r="49" spans="1:12" hidden="1" x14ac:dyDescent="0.25">
      <c r="A49" s="22">
        <v>42507</v>
      </c>
      <c r="B49" s="51">
        <v>7378</v>
      </c>
      <c r="C49" s="51">
        <v>653724</v>
      </c>
      <c r="D49" s="12">
        <f t="shared" si="28"/>
        <v>0.97497258724335178</v>
      </c>
      <c r="E49" s="20">
        <v>35</v>
      </c>
      <c r="F49" s="21">
        <f t="shared" si="29"/>
        <v>653.72400000000005</v>
      </c>
      <c r="G49" s="17">
        <f t="shared" si="30"/>
        <v>653070.27599999995</v>
      </c>
      <c r="H49" s="17">
        <f t="shared" si="31"/>
        <v>670505.00552876713</v>
      </c>
      <c r="I49" s="20">
        <v>676000</v>
      </c>
      <c r="J49" s="36" t="s">
        <v>23</v>
      </c>
      <c r="K49" s="66">
        <v>252</v>
      </c>
      <c r="L49" s="65">
        <v>0.27500000000000002</v>
      </c>
    </row>
    <row r="50" spans="1:12" hidden="1" x14ac:dyDescent="0.25">
      <c r="A50" s="22">
        <v>42507</v>
      </c>
      <c r="B50" s="51">
        <v>7378</v>
      </c>
      <c r="C50" s="51">
        <v>900000</v>
      </c>
      <c r="D50" s="12">
        <f t="shared" ref="D50" si="33">(1/(1+($B$1*E50/365)))</f>
        <v>0.97497258724335178</v>
      </c>
      <c r="E50" s="20">
        <v>35</v>
      </c>
      <c r="F50" s="21">
        <f t="shared" ref="F50" si="34">C50*$B$2</f>
        <v>900</v>
      </c>
      <c r="G50" s="17">
        <f t="shared" ref="G50" si="35">+C50-F50</f>
        <v>899100</v>
      </c>
      <c r="H50" s="17">
        <f t="shared" ref="H50" si="36">+C50/D50</f>
        <v>923102.87671232875</v>
      </c>
      <c r="I50" s="20">
        <v>931000</v>
      </c>
    </row>
    <row r="51" spans="1:12" hidden="1" x14ac:dyDescent="0.25">
      <c r="A51" s="22">
        <v>42507</v>
      </c>
      <c r="B51" s="51">
        <v>12890</v>
      </c>
      <c r="C51" s="51">
        <v>114000</v>
      </c>
      <c r="D51" s="12">
        <f t="shared" si="28"/>
        <v>0.97497258724335178</v>
      </c>
      <c r="E51" s="20">
        <v>35</v>
      </c>
      <c r="F51" s="21">
        <f t="shared" si="29"/>
        <v>114</v>
      </c>
      <c r="G51" s="17">
        <f t="shared" si="30"/>
        <v>113886</v>
      </c>
      <c r="H51" s="17">
        <f t="shared" si="31"/>
        <v>116926.36438356165</v>
      </c>
      <c r="I51" s="20">
        <f t="shared" si="32"/>
        <v>117000</v>
      </c>
    </row>
    <row r="52" spans="1:12" hidden="1" x14ac:dyDescent="0.25">
      <c r="A52" s="22">
        <v>42507</v>
      </c>
      <c r="B52" s="51">
        <v>17282</v>
      </c>
      <c r="C52" s="51">
        <f>8611+798000</f>
        <v>806611</v>
      </c>
      <c r="D52" s="12">
        <f t="shared" si="28"/>
        <v>0.97497258724335178</v>
      </c>
      <c r="E52" s="20">
        <v>35</v>
      </c>
      <c r="F52" s="21">
        <f t="shared" si="29"/>
        <v>806.61099999999999</v>
      </c>
      <c r="G52" s="17">
        <f t="shared" si="30"/>
        <v>805804.38899999997</v>
      </c>
      <c r="H52" s="17">
        <f t="shared" si="31"/>
        <v>827316.59387534251</v>
      </c>
      <c r="I52" s="20">
        <f t="shared" si="32"/>
        <v>827000</v>
      </c>
    </row>
    <row r="53" spans="1:12" hidden="1" x14ac:dyDescent="0.25">
      <c r="A53" s="22">
        <v>42507</v>
      </c>
      <c r="B53" s="51">
        <v>1904</v>
      </c>
      <c r="C53" s="51">
        <v>20322</v>
      </c>
      <c r="D53" s="12">
        <f t="shared" si="28"/>
        <v>0.97497258724335178</v>
      </c>
      <c r="E53" s="20">
        <v>35</v>
      </c>
      <c r="F53" s="21">
        <f t="shared" si="29"/>
        <v>20.321999999999999</v>
      </c>
      <c r="G53" s="17">
        <f t="shared" si="30"/>
        <v>20301.678</v>
      </c>
      <c r="H53" s="17">
        <f t="shared" si="31"/>
        <v>20843.662956164386</v>
      </c>
      <c r="I53" s="20">
        <f t="shared" si="32"/>
        <v>21000</v>
      </c>
    </row>
    <row r="54" spans="1:12" hidden="1" x14ac:dyDescent="0.25">
      <c r="A54" s="22">
        <v>42507</v>
      </c>
      <c r="B54" s="51">
        <v>130456</v>
      </c>
      <c r="C54" s="51">
        <v>135000</v>
      </c>
      <c r="D54" s="12">
        <f t="shared" si="28"/>
        <v>0.97497258724335178</v>
      </c>
      <c r="E54" s="20">
        <v>35</v>
      </c>
      <c r="F54" s="21">
        <f t="shared" si="29"/>
        <v>135</v>
      </c>
      <c r="G54" s="17">
        <f t="shared" si="30"/>
        <v>134865</v>
      </c>
      <c r="H54" s="17">
        <f t="shared" si="31"/>
        <v>138465.43150684933</v>
      </c>
      <c r="I54" s="20">
        <f t="shared" si="32"/>
        <v>138000</v>
      </c>
    </row>
    <row r="55" spans="1:12" hidden="1" x14ac:dyDescent="0.25">
      <c r="A55" s="22">
        <v>42507</v>
      </c>
      <c r="B55" s="51">
        <v>700197</v>
      </c>
      <c r="C55" s="51">
        <f>-3121+441000</f>
        <v>437879</v>
      </c>
      <c r="D55" s="12">
        <f t="shared" si="28"/>
        <v>0.97497258724335178</v>
      </c>
      <c r="E55" s="20">
        <v>35</v>
      </c>
      <c r="F55" s="21">
        <f t="shared" si="29"/>
        <v>437.87900000000002</v>
      </c>
      <c r="G55" s="17">
        <f t="shared" si="30"/>
        <v>437441.12099999998</v>
      </c>
      <c r="H55" s="17">
        <f t="shared" si="31"/>
        <v>449119.29394657537</v>
      </c>
      <c r="I55" s="20">
        <f t="shared" si="32"/>
        <v>449000</v>
      </c>
    </row>
    <row r="56" spans="1:12" hidden="1" x14ac:dyDescent="0.25">
      <c r="A56" s="22">
        <v>42507</v>
      </c>
      <c r="B56" s="51">
        <v>12842</v>
      </c>
      <c r="C56" s="51">
        <f>-226+178000</f>
        <v>177774</v>
      </c>
      <c r="D56" s="12">
        <f t="shared" si="28"/>
        <v>0.97497258724335178</v>
      </c>
      <c r="E56" s="20">
        <v>35</v>
      </c>
      <c r="F56" s="21">
        <f t="shared" si="29"/>
        <v>177.774</v>
      </c>
      <c r="G56" s="17">
        <f t="shared" si="30"/>
        <v>177596.226</v>
      </c>
      <c r="H56" s="17">
        <f t="shared" si="31"/>
        <v>182337.43422739726</v>
      </c>
      <c r="I56" s="20">
        <f t="shared" si="32"/>
        <v>182000</v>
      </c>
    </row>
    <row r="57" spans="1:12" hidden="1" x14ac:dyDescent="0.25">
      <c r="A57" s="22">
        <v>42507</v>
      </c>
      <c r="B57" s="51">
        <v>20664</v>
      </c>
      <c r="C57" s="51">
        <f>227+117000</f>
        <v>117227</v>
      </c>
      <c r="D57" s="12">
        <f t="shared" si="28"/>
        <v>0.97497258724335178</v>
      </c>
      <c r="E57" s="20">
        <v>35</v>
      </c>
      <c r="F57" s="21">
        <f t="shared" si="29"/>
        <v>117.227</v>
      </c>
      <c r="G57" s="17">
        <f t="shared" si="30"/>
        <v>117109.773</v>
      </c>
      <c r="H57" s="17">
        <f t="shared" si="31"/>
        <v>120236.20103150685</v>
      </c>
      <c r="I57" s="20">
        <f t="shared" si="32"/>
        <v>120000</v>
      </c>
      <c r="K57" s="36"/>
    </row>
    <row r="58" spans="1:12" hidden="1" x14ac:dyDescent="0.25">
      <c r="A58" s="22">
        <v>42507</v>
      </c>
      <c r="B58" s="51">
        <v>14168</v>
      </c>
      <c r="C58" s="51">
        <v>705000</v>
      </c>
      <c r="D58" s="12">
        <f t="shared" ref="D58:D79" si="37">(1/(1+($B$1*E58/365)))</f>
        <v>0.97497258724335178</v>
      </c>
      <c r="E58" s="20">
        <v>35</v>
      </c>
      <c r="F58" s="21">
        <f t="shared" ref="F58:F79" si="38">C58*$B$2</f>
        <v>705</v>
      </c>
      <c r="G58" s="17">
        <f t="shared" ref="G58:G79" si="39">+C58-F58</f>
        <v>704295</v>
      </c>
      <c r="H58" s="17">
        <f t="shared" ref="H58:H79" si="40">+C58/D58</f>
        <v>723097.25342465751</v>
      </c>
      <c r="I58" s="20">
        <v>729000</v>
      </c>
      <c r="J58" s="37"/>
    </row>
    <row r="59" spans="1:12" hidden="1" x14ac:dyDescent="0.25">
      <c r="A59" s="22">
        <v>42507</v>
      </c>
      <c r="B59" s="51">
        <v>21466</v>
      </c>
      <c r="C59" s="51">
        <v>52000</v>
      </c>
      <c r="D59" s="12">
        <f t="shared" si="37"/>
        <v>0.97497258724335178</v>
      </c>
      <c r="E59" s="20">
        <v>35</v>
      </c>
      <c r="F59" s="21">
        <f t="shared" si="38"/>
        <v>52</v>
      </c>
      <c r="G59" s="17">
        <f t="shared" si="39"/>
        <v>51948</v>
      </c>
      <c r="H59" s="17">
        <f t="shared" si="40"/>
        <v>53334.832876712331</v>
      </c>
      <c r="I59" s="20">
        <v>53000</v>
      </c>
      <c r="J59" s="37"/>
    </row>
    <row r="60" spans="1:12" hidden="1" x14ac:dyDescent="0.25">
      <c r="A60" s="22">
        <v>42507</v>
      </c>
      <c r="B60" s="51">
        <v>26032</v>
      </c>
      <c r="C60" s="51">
        <v>49000</v>
      </c>
      <c r="D60" s="12">
        <f t="shared" si="37"/>
        <v>0.97497258724335178</v>
      </c>
      <c r="E60" s="20">
        <v>35</v>
      </c>
      <c r="F60" s="21">
        <f t="shared" si="38"/>
        <v>49</v>
      </c>
      <c r="G60" s="17">
        <f t="shared" si="39"/>
        <v>48951</v>
      </c>
      <c r="H60" s="17">
        <f t="shared" si="40"/>
        <v>50257.823287671235</v>
      </c>
      <c r="I60" s="20">
        <f t="shared" ref="I60:I79" si="41">MROUND(H60,1000)</f>
        <v>50000</v>
      </c>
      <c r="J60" s="37"/>
    </row>
    <row r="61" spans="1:12" hidden="1" x14ac:dyDescent="0.25">
      <c r="A61" s="22">
        <v>42507</v>
      </c>
      <c r="B61" s="51">
        <v>2449</v>
      </c>
      <c r="C61" s="51">
        <f>17821+400</f>
        <v>18221</v>
      </c>
      <c r="D61" s="12">
        <f t="shared" si="37"/>
        <v>0.97497258724335178</v>
      </c>
      <c r="E61" s="20">
        <v>35</v>
      </c>
      <c r="F61" s="21">
        <f t="shared" si="38"/>
        <v>18.221</v>
      </c>
      <c r="G61" s="17">
        <f t="shared" si="39"/>
        <v>18202.778999999999</v>
      </c>
      <c r="H61" s="17">
        <f t="shared" si="40"/>
        <v>18688.730573972603</v>
      </c>
      <c r="I61" s="20">
        <f t="shared" si="41"/>
        <v>19000</v>
      </c>
    </row>
    <row r="62" spans="1:12" hidden="1" x14ac:dyDescent="0.25">
      <c r="A62" s="41"/>
      <c r="B62" s="53"/>
      <c r="C62" s="53"/>
      <c r="D62" s="43"/>
      <c r="E62" s="44"/>
      <c r="F62" s="45"/>
      <c r="G62" s="42"/>
      <c r="H62" s="42"/>
      <c r="I62" s="44"/>
    </row>
    <row r="63" spans="1:12" hidden="1" x14ac:dyDescent="0.25">
      <c r="A63" s="22">
        <v>42522</v>
      </c>
      <c r="B63" s="51">
        <v>1904</v>
      </c>
      <c r="C63" s="51">
        <v>41000</v>
      </c>
      <c r="D63" s="12">
        <f t="shared" si="37"/>
        <v>0.97497258724335178</v>
      </c>
      <c r="E63" s="20">
        <v>35</v>
      </c>
      <c r="F63" s="21">
        <f t="shared" si="38"/>
        <v>41</v>
      </c>
      <c r="G63" s="17">
        <f t="shared" si="39"/>
        <v>40959</v>
      </c>
      <c r="H63" s="17">
        <f t="shared" si="40"/>
        <v>42052.464383561644</v>
      </c>
      <c r="I63" s="20">
        <v>42000</v>
      </c>
      <c r="J63" s="54"/>
    </row>
    <row r="64" spans="1:12" hidden="1" x14ac:dyDescent="0.25">
      <c r="A64" s="22">
        <v>42522</v>
      </c>
      <c r="B64" s="51">
        <v>7026</v>
      </c>
      <c r="C64" s="51">
        <f>78000-250</f>
        <v>77750</v>
      </c>
      <c r="D64" s="12">
        <f t="shared" si="37"/>
        <v>0.97497258724335178</v>
      </c>
      <c r="E64" s="20">
        <v>35</v>
      </c>
      <c r="F64" s="21">
        <f t="shared" si="38"/>
        <v>77.75</v>
      </c>
      <c r="G64" s="17">
        <f t="shared" si="39"/>
        <v>77672.25</v>
      </c>
      <c r="H64" s="17">
        <f t="shared" si="40"/>
        <v>79745.831849315073</v>
      </c>
      <c r="I64" s="20">
        <v>80000</v>
      </c>
      <c r="J64" s="54"/>
    </row>
    <row r="65" spans="1:18" hidden="1" x14ac:dyDescent="0.25">
      <c r="A65" s="22">
        <v>42522</v>
      </c>
      <c r="B65" s="51">
        <v>12033</v>
      </c>
      <c r="C65" s="51">
        <v>343226</v>
      </c>
      <c r="D65" s="12">
        <f t="shared" si="37"/>
        <v>0.97497258724335178</v>
      </c>
      <c r="E65" s="20">
        <v>35</v>
      </c>
      <c r="F65" s="21">
        <f t="shared" si="38"/>
        <v>343.226</v>
      </c>
      <c r="G65" s="17">
        <f t="shared" si="39"/>
        <v>342882.77399999998</v>
      </c>
      <c r="H65" s="17">
        <f t="shared" si="40"/>
        <v>352036.56440273975</v>
      </c>
      <c r="I65" s="20">
        <v>354000</v>
      </c>
      <c r="J65" s="54"/>
    </row>
    <row r="66" spans="1:18" hidden="1" x14ac:dyDescent="0.25">
      <c r="A66" s="22">
        <v>42522</v>
      </c>
      <c r="B66" s="51">
        <v>20067</v>
      </c>
      <c r="C66" s="51">
        <f>259000-9154</f>
        <v>249846</v>
      </c>
      <c r="D66" s="12">
        <f t="shared" si="37"/>
        <v>0.97497258724335178</v>
      </c>
      <c r="E66" s="20">
        <v>35</v>
      </c>
      <c r="F66" s="21">
        <f t="shared" si="38"/>
        <v>249.846</v>
      </c>
      <c r="G66" s="17">
        <f t="shared" si="39"/>
        <v>249596.15400000001</v>
      </c>
      <c r="H66" s="17">
        <f t="shared" si="40"/>
        <v>256259.51259452055</v>
      </c>
      <c r="I66" s="20">
        <v>258000</v>
      </c>
      <c r="J66" s="54"/>
    </row>
    <row r="67" spans="1:18" hidden="1" x14ac:dyDescent="0.25">
      <c r="A67" s="22">
        <v>42522</v>
      </c>
      <c r="B67" s="51">
        <v>33393</v>
      </c>
      <c r="C67" s="51">
        <v>46500</v>
      </c>
      <c r="D67" s="12">
        <f t="shared" si="37"/>
        <v>0.97497258724335178</v>
      </c>
      <c r="E67" s="20">
        <v>35</v>
      </c>
      <c r="F67" s="21">
        <f t="shared" si="38"/>
        <v>46.5</v>
      </c>
      <c r="G67" s="17">
        <f t="shared" si="39"/>
        <v>46453.5</v>
      </c>
      <c r="H67" s="17">
        <f t="shared" si="40"/>
        <v>47693.648630136988</v>
      </c>
      <c r="I67" s="20">
        <v>48000</v>
      </c>
      <c r="J67" s="54"/>
    </row>
    <row r="68" spans="1:18" hidden="1" x14ac:dyDescent="0.25">
      <c r="A68" s="22">
        <v>42522</v>
      </c>
      <c r="B68" s="51">
        <v>2000265</v>
      </c>
      <c r="C68" s="51">
        <f>257000+1787</f>
        <v>258787</v>
      </c>
      <c r="D68" s="12">
        <f t="shared" si="37"/>
        <v>0.97497258724335178</v>
      </c>
      <c r="E68" s="20">
        <v>35</v>
      </c>
      <c r="F68" s="21">
        <f t="shared" si="38"/>
        <v>258.78699999999998</v>
      </c>
      <c r="G68" s="17">
        <f t="shared" si="39"/>
        <v>258528.21299999999</v>
      </c>
      <c r="H68" s="17">
        <f t="shared" si="40"/>
        <v>265430.02683972602</v>
      </c>
      <c r="I68" s="20">
        <v>267000</v>
      </c>
      <c r="J68" s="54"/>
    </row>
    <row r="69" spans="1:18" hidden="1" x14ac:dyDescent="0.25">
      <c r="A69" s="22">
        <v>42522</v>
      </c>
      <c r="B69" s="51">
        <v>20186</v>
      </c>
      <c r="C69" s="51">
        <v>149015</v>
      </c>
      <c r="D69" s="12">
        <f t="shared" si="37"/>
        <v>0.97497258724335178</v>
      </c>
      <c r="E69" s="20">
        <v>35</v>
      </c>
      <c r="F69" s="21">
        <f t="shared" si="38"/>
        <v>149.01500000000001</v>
      </c>
      <c r="G69" s="17">
        <f t="shared" si="39"/>
        <v>148865.98499999999</v>
      </c>
      <c r="H69" s="17">
        <f t="shared" si="40"/>
        <v>152840.1946369863</v>
      </c>
      <c r="I69" s="20">
        <v>154000</v>
      </c>
      <c r="J69" s="55"/>
    </row>
    <row r="70" spans="1:18" hidden="1" x14ac:dyDescent="0.25">
      <c r="A70" s="22">
        <v>42522</v>
      </c>
      <c r="B70" s="51">
        <v>20664</v>
      </c>
      <c r="C70" s="51">
        <v>70000</v>
      </c>
      <c r="D70" s="12">
        <f t="shared" si="37"/>
        <v>0.97497258724335178</v>
      </c>
      <c r="E70" s="20">
        <v>35</v>
      </c>
      <c r="F70" s="21">
        <f t="shared" si="38"/>
        <v>70</v>
      </c>
      <c r="G70" s="17">
        <f t="shared" si="39"/>
        <v>69930</v>
      </c>
      <c r="H70" s="17">
        <f t="shared" si="40"/>
        <v>71796.890410958906</v>
      </c>
      <c r="I70" s="20">
        <v>72000</v>
      </c>
      <c r="K70" s="62"/>
      <c r="L70" s="60"/>
      <c r="M70" s="33"/>
      <c r="N70" s="33"/>
      <c r="O70" s="33"/>
      <c r="P70" s="33"/>
      <c r="Q70" s="33"/>
      <c r="R70" s="33"/>
    </row>
    <row r="71" spans="1:18" hidden="1" x14ac:dyDescent="0.25">
      <c r="A71" s="41"/>
      <c r="B71" s="53"/>
      <c r="C71" s="53"/>
      <c r="D71" s="43"/>
      <c r="E71" s="44"/>
      <c r="F71" s="45"/>
      <c r="G71" s="42"/>
      <c r="H71" s="42"/>
      <c r="I71" s="44"/>
      <c r="J71" s="58"/>
      <c r="K71" s="62"/>
      <c r="L71" s="60"/>
      <c r="M71" s="33"/>
      <c r="N71" s="33"/>
      <c r="O71" s="33"/>
      <c r="P71" s="33"/>
      <c r="Q71" s="33"/>
      <c r="R71" s="33"/>
    </row>
    <row r="72" spans="1:18" hidden="1" x14ac:dyDescent="0.25">
      <c r="A72" s="22">
        <v>42529</v>
      </c>
      <c r="B72" s="51">
        <v>12890</v>
      </c>
      <c r="C72" s="51">
        <v>85000</v>
      </c>
      <c r="D72" s="12">
        <f t="shared" si="37"/>
        <v>0.97497258724335178</v>
      </c>
      <c r="E72" s="20">
        <v>35</v>
      </c>
      <c r="F72" s="21">
        <f t="shared" si="38"/>
        <v>85</v>
      </c>
      <c r="G72" s="17">
        <f t="shared" si="39"/>
        <v>84915</v>
      </c>
      <c r="H72" s="17">
        <f t="shared" si="40"/>
        <v>87181.938356164392</v>
      </c>
      <c r="I72" s="20">
        <f t="shared" si="41"/>
        <v>87000</v>
      </c>
      <c r="J72" s="59"/>
      <c r="K72" s="62"/>
      <c r="L72" s="29"/>
      <c r="M72" s="31"/>
      <c r="N72" s="29"/>
      <c r="O72" s="31"/>
      <c r="P72" s="33"/>
      <c r="Q72" s="33"/>
      <c r="R72" s="33"/>
    </row>
    <row r="73" spans="1:18" hidden="1" x14ac:dyDescent="0.25">
      <c r="A73" s="22">
        <v>42529</v>
      </c>
      <c r="B73" s="56">
        <v>20067</v>
      </c>
      <c r="C73" s="56">
        <v>260000</v>
      </c>
      <c r="D73" s="12">
        <f t="shared" si="37"/>
        <v>0.97497258724335178</v>
      </c>
      <c r="E73" s="20">
        <v>35</v>
      </c>
      <c r="F73" s="21">
        <f t="shared" si="38"/>
        <v>260</v>
      </c>
      <c r="G73" s="17">
        <f t="shared" si="39"/>
        <v>259740</v>
      </c>
      <c r="H73" s="17">
        <f t="shared" si="40"/>
        <v>266674.16438356164</v>
      </c>
      <c r="I73" s="20">
        <f t="shared" si="41"/>
        <v>267000</v>
      </c>
      <c r="J73" s="59"/>
      <c r="K73" s="62"/>
      <c r="L73" s="29"/>
      <c r="M73" s="31"/>
      <c r="N73" s="29"/>
      <c r="O73" s="31"/>
      <c r="P73" s="33"/>
      <c r="Q73" s="33"/>
      <c r="R73" s="33"/>
    </row>
    <row r="74" spans="1:18" hidden="1" x14ac:dyDescent="0.25">
      <c r="A74" s="22">
        <v>42529</v>
      </c>
      <c r="B74" s="56">
        <v>33393</v>
      </c>
      <c r="C74" s="56">
        <v>958000</v>
      </c>
      <c r="D74" s="12">
        <f t="shared" si="37"/>
        <v>0.97497258724335178</v>
      </c>
      <c r="E74" s="20">
        <v>35</v>
      </c>
      <c r="F74" s="21">
        <f t="shared" si="38"/>
        <v>958</v>
      </c>
      <c r="G74" s="17">
        <f t="shared" si="39"/>
        <v>957042</v>
      </c>
      <c r="H74" s="17">
        <f t="shared" si="40"/>
        <v>982591.72876712331</v>
      </c>
      <c r="I74" s="20">
        <f t="shared" si="41"/>
        <v>983000</v>
      </c>
      <c r="J74" s="59"/>
      <c r="K74" s="62"/>
      <c r="L74" s="29"/>
      <c r="M74" s="31"/>
      <c r="N74" s="29"/>
      <c r="O74" s="31"/>
      <c r="P74" s="33"/>
      <c r="Q74" s="33"/>
      <c r="R74" s="33"/>
    </row>
    <row r="75" spans="1:18" hidden="1" x14ac:dyDescent="0.25">
      <c r="A75" s="22">
        <v>42529</v>
      </c>
      <c r="B75" s="56">
        <v>19620</v>
      </c>
      <c r="C75" s="56">
        <v>8000</v>
      </c>
      <c r="D75" s="12">
        <f t="shared" si="37"/>
        <v>0.97497258724335178</v>
      </c>
      <c r="E75" s="20">
        <v>35</v>
      </c>
      <c r="F75" s="21">
        <f t="shared" si="38"/>
        <v>8</v>
      </c>
      <c r="G75" s="17">
        <f t="shared" si="39"/>
        <v>7992</v>
      </c>
      <c r="H75" s="17">
        <f t="shared" si="40"/>
        <v>8205.3589041095893</v>
      </c>
      <c r="I75" s="20">
        <f t="shared" si="41"/>
        <v>8000</v>
      </c>
      <c r="J75" s="59"/>
      <c r="K75" s="62"/>
      <c r="L75" s="29"/>
      <c r="M75" s="31"/>
      <c r="N75" s="29"/>
      <c r="O75" s="31"/>
      <c r="P75" s="33"/>
      <c r="Q75" s="33"/>
      <c r="R75" s="33"/>
    </row>
    <row r="76" spans="1:18" hidden="1" x14ac:dyDescent="0.25">
      <c r="A76" s="22">
        <v>42529</v>
      </c>
      <c r="B76" s="56">
        <v>14168</v>
      </c>
      <c r="C76" s="56">
        <v>455000</v>
      </c>
      <c r="D76" s="12">
        <f t="shared" si="37"/>
        <v>0.97497258724335178</v>
      </c>
      <c r="E76" s="20">
        <v>35</v>
      </c>
      <c r="F76" s="21">
        <f t="shared" si="38"/>
        <v>455</v>
      </c>
      <c r="G76" s="17">
        <f t="shared" si="39"/>
        <v>454545</v>
      </c>
      <c r="H76" s="17">
        <f t="shared" si="40"/>
        <v>466679.78767123289</v>
      </c>
      <c r="I76" s="20">
        <f t="shared" si="41"/>
        <v>467000</v>
      </c>
      <c r="J76" s="59"/>
      <c r="K76" s="62"/>
      <c r="L76" s="29"/>
      <c r="M76" s="31"/>
      <c r="N76" s="29"/>
      <c r="O76" s="31"/>
      <c r="P76" s="33"/>
      <c r="Q76" s="33"/>
      <c r="R76" s="33"/>
    </row>
    <row r="77" spans="1:18" hidden="1" x14ac:dyDescent="0.25">
      <c r="A77" s="22">
        <v>42529</v>
      </c>
      <c r="B77" s="56">
        <v>26032</v>
      </c>
      <c r="C77" s="56">
        <v>425000</v>
      </c>
      <c r="D77" s="12">
        <f t="shared" si="37"/>
        <v>0.97497258724335178</v>
      </c>
      <c r="E77" s="20">
        <v>35</v>
      </c>
      <c r="F77" s="21">
        <f t="shared" si="38"/>
        <v>425</v>
      </c>
      <c r="G77" s="17">
        <f t="shared" si="39"/>
        <v>424575</v>
      </c>
      <c r="H77" s="17">
        <f t="shared" si="40"/>
        <v>435909.69178082194</v>
      </c>
      <c r="I77" s="20">
        <f t="shared" si="41"/>
        <v>436000</v>
      </c>
      <c r="K77" s="62"/>
      <c r="L77" s="29"/>
      <c r="M77" s="31"/>
      <c r="N77" s="29"/>
      <c r="O77" s="31"/>
      <c r="P77" s="33"/>
      <c r="Q77" s="33"/>
      <c r="R77" s="33"/>
    </row>
    <row r="78" spans="1:18" hidden="1" x14ac:dyDescent="0.25">
      <c r="A78" s="24"/>
      <c r="B78" s="61"/>
      <c r="C78" s="61"/>
      <c r="D78" s="26"/>
      <c r="E78" s="27"/>
      <c r="F78" s="28"/>
      <c r="G78" s="25"/>
      <c r="H78" s="25"/>
      <c r="I78" s="27"/>
      <c r="K78" s="62"/>
      <c r="L78" s="29"/>
      <c r="M78" s="31"/>
      <c r="N78" s="29"/>
      <c r="O78" s="31"/>
      <c r="P78" s="33"/>
      <c r="Q78" s="33"/>
      <c r="R78" s="33"/>
    </row>
    <row r="79" spans="1:18" hidden="1" x14ac:dyDescent="0.25">
      <c r="A79" s="22">
        <v>42536</v>
      </c>
      <c r="B79" s="29">
        <v>1043</v>
      </c>
      <c r="C79" s="29">
        <v>575000</v>
      </c>
      <c r="D79" s="12">
        <f t="shared" si="37"/>
        <v>0.97497258724335178</v>
      </c>
      <c r="E79" s="20">
        <v>35</v>
      </c>
      <c r="F79" s="21">
        <f t="shared" si="38"/>
        <v>575</v>
      </c>
      <c r="G79" s="17">
        <f t="shared" si="39"/>
        <v>574425</v>
      </c>
      <c r="H79" s="17">
        <f t="shared" si="40"/>
        <v>589760.17123287672</v>
      </c>
      <c r="I79" s="20">
        <f t="shared" si="41"/>
        <v>590000</v>
      </c>
      <c r="J79" s="31" t="s">
        <v>11</v>
      </c>
      <c r="K79" s="62"/>
      <c r="L79" s="29"/>
      <c r="M79" s="31"/>
      <c r="N79" s="29"/>
      <c r="O79" s="31"/>
      <c r="P79" s="33"/>
      <c r="Q79" s="33"/>
      <c r="R79" s="33"/>
    </row>
    <row r="80" spans="1:18" hidden="1" x14ac:dyDescent="0.25">
      <c r="A80" s="22">
        <v>42536</v>
      </c>
      <c r="B80" s="29">
        <v>7026</v>
      </c>
      <c r="C80" s="29">
        <v>72000</v>
      </c>
      <c r="D80" s="12">
        <f t="shared" ref="D80" si="42">(1/(1+($B$1*E80/365)))</f>
        <v>0.97497258724335178</v>
      </c>
      <c r="E80" s="20">
        <v>35</v>
      </c>
      <c r="F80" s="21">
        <f t="shared" ref="F80" si="43">C80*$B$2</f>
        <v>72</v>
      </c>
      <c r="G80" s="17">
        <f t="shared" ref="G80" si="44">+C80-F80</f>
        <v>71928</v>
      </c>
      <c r="H80" s="17">
        <f t="shared" ref="H80" si="45">+C80/D80</f>
        <v>73848.230136986298</v>
      </c>
      <c r="I80" s="20">
        <f t="shared" ref="I80" si="46">MROUND(H80,1000)</f>
        <v>74000</v>
      </c>
      <c r="J80" s="31" t="s">
        <v>24</v>
      </c>
      <c r="K80" s="62"/>
      <c r="L80" s="29"/>
      <c r="M80" s="31"/>
      <c r="N80" s="29"/>
      <c r="O80" s="31"/>
      <c r="P80" s="33"/>
      <c r="Q80" s="33"/>
      <c r="R80" s="33"/>
    </row>
    <row r="81" spans="1:18" hidden="1" x14ac:dyDescent="0.25">
      <c r="A81" s="22">
        <v>42536</v>
      </c>
      <c r="B81" s="29">
        <v>17645</v>
      </c>
      <c r="C81" s="29">
        <v>30000</v>
      </c>
      <c r="D81" s="12">
        <f t="shared" ref="D81:D99" si="47">(1/(1+($B$1*E81/365)))</f>
        <v>0.97497258724335178</v>
      </c>
      <c r="E81" s="20">
        <v>35</v>
      </c>
      <c r="F81" s="21">
        <f t="shared" ref="F81:F99" si="48">C81*$B$2</f>
        <v>30</v>
      </c>
      <c r="G81" s="17">
        <f t="shared" ref="G81:G99" si="49">+C81-F81</f>
        <v>29970</v>
      </c>
      <c r="H81" s="17">
        <f t="shared" ref="H81:H99" si="50">+C81/D81</f>
        <v>30770.095890410961</v>
      </c>
      <c r="I81" s="20">
        <f t="shared" ref="I81:I96" si="51">MROUND(H81,1000)</f>
        <v>31000</v>
      </c>
      <c r="J81" s="31" t="s">
        <v>25</v>
      </c>
      <c r="K81" s="62"/>
      <c r="L81" s="29"/>
      <c r="M81" s="31"/>
      <c r="N81" s="29"/>
      <c r="O81" s="31"/>
      <c r="P81" s="33"/>
      <c r="Q81" s="33"/>
      <c r="R81" s="33"/>
    </row>
    <row r="82" spans="1:18" hidden="1" x14ac:dyDescent="0.25">
      <c r="A82" s="22">
        <v>42536</v>
      </c>
      <c r="B82" s="29">
        <v>20067</v>
      </c>
      <c r="C82" s="29">
        <v>130000</v>
      </c>
      <c r="D82" s="12">
        <f t="shared" si="47"/>
        <v>0.97497258724335178</v>
      </c>
      <c r="E82" s="20">
        <v>35</v>
      </c>
      <c r="F82" s="21">
        <f t="shared" si="48"/>
        <v>130</v>
      </c>
      <c r="G82" s="17">
        <f t="shared" si="49"/>
        <v>129870</v>
      </c>
      <c r="H82" s="17">
        <f t="shared" si="50"/>
        <v>133337.08219178082</v>
      </c>
      <c r="I82" s="20">
        <f t="shared" si="51"/>
        <v>133000</v>
      </c>
      <c r="J82" s="31" t="s">
        <v>12</v>
      </c>
      <c r="K82" s="62"/>
      <c r="L82" s="71"/>
      <c r="M82" s="54"/>
      <c r="N82" s="71"/>
      <c r="O82" s="54"/>
      <c r="P82" s="33"/>
      <c r="Q82" s="33"/>
      <c r="R82" s="33"/>
    </row>
    <row r="83" spans="1:18" hidden="1" x14ac:dyDescent="0.25">
      <c r="A83" s="22">
        <v>42536</v>
      </c>
      <c r="B83" s="29">
        <v>20191</v>
      </c>
      <c r="C83" s="29">
        <v>209000</v>
      </c>
      <c r="D83" s="12">
        <f t="shared" si="47"/>
        <v>0.97497258724335178</v>
      </c>
      <c r="E83" s="20">
        <v>35</v>
      </c>
      <c r="F83" s="21">
        <f t="shared" si="48"/>
        <v>209</v>
      </c>
      <c r="G83" s="17">
        <f t="shared" si="49"/>
        <v>208791</v>
      </c>
      <c r="H83" s="17">
        <f t="shared" si="50"/>
        <v>214365.00136986302</v>
      </c>
      <c r="I83" s="20">
        <v>215000</v>
      </c>
      <c r="J83" s="31" t="s">
        <v>13</v>
      </c>
      <c r="K83" s="62"/>
      <c r="L83" s="71"/>
      <c r="M83" s="54"/>
      <c r="N83" s="71"/>
      <c r="O83" s="54"/>
      <c r="P83" s="33"/>
      <c r="Q83" s="33"/>
      <c r="R83" s="33"/>
    </row>
    <row r="84" spans="1:18" hidden="1" x14ac:dyDescent="0.25">
      <c r="A84" s="22">
        <v>42536</v>
      </c>
      <c r="B84" s="29">
        <v>33393</v>
      </c>
      <c r="C84" s="70">
        <v>107000</v>
      </c>
      <c r="D84" s="12">
        <f t="shared" si="47"/>
        <v>0.97497258724335178</v>
      </c>
      <c r="E84" s="20">
        <v>35</v>
      </c>
      <c r="F84" s="21">
        <f t="shared" si="48"/>
        <v>107</v>
      </c>
      <c r="G84" s="17">
        <f t="shared" si="49"/>
        <v>106893</v>
      </c>
      <c r="H84" s="17">
        <f t="shared" si="50"/>
        <v>109746.67534246575</v>
      </c>
      <c r="I84" s="20">
        <f t="shared" si="51"/>
        <v>110000</v>
      </c>
      <c r="J84" s="31" t="s">
        <v>14</v>
      </c>
      <c r="K84" s="62"/>
      <c r="L84" s="71"/>
      <c r="M84" s="54"/>
      <c r="N84" s="71"/>
      <c r="O84" s="54"/>
      <c r="P84" s="33"/>
      <c r="Q84" s="33"/>
      <c r="R84" s="33"/>
    </row>
    <row r="85" spans="1:18" hidden="1" x14ac:dyDescent="0.25">
      <c r="A85" s="22">
        <v>42536</v>
      </c>
      <c r="B85" s="29">
        <v>12842</v>
      </c>
      <c r="C85" s="29">
        <v>493000</v>
      </c>
      <c r="D85" s="12">
        <f t="shared" si="47"/>
        <v>0.97497258724335178</v>
      </c>
      <c r="E85" s="20">
        <v>35</v>
      </c>
      <c r="F85" s="21">
        <f t="shared" si="48"/>
        <v>493</v>
      </c>
      <c r="G85" s="17">
        <f t="shared" si="49"/>
        <v>492507</v>
      </c>
      <c r="H85" s="17">
        <f t="shared" si="50"/>
        <v>505655.24246575346</v>
      </c>
      <c r="I85" s="20">
        <f t="shared" si="51"/>
        <v>506000</v>
      </c>
      <c r="J85" s="31" t="s">
        <v>15</v>
      </c>
      <c r="K85" s="62"/>
      <c r="L85" s="71"/>
      <c r="M85" s="54"/>
      <c r="N85" s="71"/>
      <c r="O85" s="54"/>
      <c r="P85" s="33"/>
      <c r="Q85" s="33"/>
      <c r="R85" s="33"/>
    </row>
    <row r="86" spans="1:18" hidden="1" x14ac:dyDescent="0.25">
      <c r="A86" s="22">
        <v>42536</v>
      </c>
      <c r="B86" s="29">
        <v>23445</v>
      </c>
      <c r="C86" s="29">
        <v>1054000</v>
      </c>
      <c r="D86" s="12">
        <f t="shared" si="47"/>
        <v>0.97497258724335178</v>
      </c>
      <c r="E86" s="20">
        <v>35</v>
      </c>
      <c r="F86" s="21">
        <f t="shared" si="48"/>
        <v>1054</v>
      </c>
      <c r="G86" s="17">
        <f t="shared" si="49"/>
        <v>1052946</v>
      </c>
      <c r="H86" s="17">
        <f t="shared" si="50"/>
        <v>1081056.0356164384</v>
      </c>
      <c r="I86" s="20">
        <v>1087000</v>
      </c>
      <c r="J86" s="31" t="s">
        <v>18</v>
      </c>
      <c r="K86" s="62"/>
      <c r="L86" s="71"/>
      <c r="M86" s="54"/>
      <c r="N86" s="71"/>
      <c r="O86" s="54"/>
      <c r="P86" s="33"/>
      <c r="Q86" s="33"/>
      <c r="R86" s="33"/>
    </row>
    <row r="87" spans="1:18" hidden="1" x14ac:dyDescent="0.25">
      <c r="A87" s="24"/>
      <c r="B87" s="61"/>
      <c r="C87" s="61"/>
      <c r="D87" s="26"/>
      <c r="E87" s="27"/>
      <c r="F87" s="28"/>
      <c r="G87" s="25"/>
      <c r="H87" s="25"/>
      <c r="I87" s="27"/>
      <c r="K87" s="62"/>
      <c r="L87" s="71"/>
      <c r="M87" s="54"/>
      <c r="N87" s="71"/>
      <c r="O87" s="54"/>
      <c r="P87" s="33"/>
      <c r="Q87" s="33"/>
      <c r="R87" s="33"/>
    </row>
    <row r="88" spans="1:18" hidden="1" x14ac:dyDescent="0.25">
      <c r="A88" s="72">
        <v>42543</v>
      </c>
      <c r="B88" s="73">
        <v>7026</v>
      </c>
      <c r="C88" s="73">
        <f>364+82000</f>
        <v>82364</v>
      </c>
      <c r="D88" s="12">
        <f t="shared" si="47"/>
        <v>0.97497258724335178</v>
      </c>
      <c r="E88" s="20">
        <v>35</v>
      </c>
      <c r="F88" s="21">
        <f t="shared" si="48"/>
        <v>82.364000000000004</v>
      </c>
      <c r="G88" s="17">
        <f t="shared" si="49"/>
        <v>82281.635999999999</v>
      </c>
      <c r="H88" s="17">
        <f t="shared" si="50"/>
        <v>84478.272597260278</v>
      </c>
      <c r="I88" s="20">
        <f t="shared" si="51"/>
        <v>84000</v>
      </c>
      <c r="J88" s="54" t="s">
        <v>24</v>
      </c>
      <c r="K88" s="62"/>
      <c r="L88" s="71"/>
      <c r="M88" s="54"/>
      <c r="N88" s="71"/>
      <c r="O88" s="54"/>
      <c r="P88" s="33"/>
      <c r="Q88" s="33"/>
      <c r="R88" s="33"/>
    </row>
    <row r="89" spans="1:18" hidden="1" x14ac:dyDescent="0.25">
      <c r="A89" s="72">
        <v>42543</v>
      </c>
      <c r="B89" s="73">
        <v>14268</v>
      </c>
      <c r="C89" s="73">
        <f>-326+268000</f>
        <v>267674</v>
      </c>
      <c r="D89" s="12">
        <f t="shared" si="47"/>
        <v>0.97497258724335178</v>
      </c>
      <c r="E89" s="20">
        <v>35</v>
      </c>
      <c r="F89" s="21">
        <f t="shared" si="48"/>
        <v>267.67399999999998</v>
      </c>
      <c r="G89" s="17">
        <f t="shared" si="49"/>
        <v>267406.326</v>
      </c>
      <c r="H89" s="17">
        <f t="shared" si="50"/>
        <v>274545.15491232876</v>
      </c>
      <c r="I89" s="20">
        <f t="shared" si="51"/>
        <v>275000</v>
      </c>
      <c r="J89" s="54" t="s">
        <v>26</v>
      </c>
      <c r="K89" s="62"/>
      <c r="L89" s="71"/>
      <c r="M89" s="54"/>
      <c r="N89" s="71"/>
      <c r="O89" s="54"/>
      <c r="P89" s="33"/>
      <c r="Q89" s="33"/>
      <c r="R89" s="33"/>
    </row>
    <row r="90" spans="1:18" hidden="1" x14ac:dyDescent="0.25">
      <c r="A90" s="72">
        <v>42543</v>
      </c>
      <c r="B90" s="73">
        <v>17282</v>
      </c>
      <c r="C90" s="73">
        <f>-2200+380000</f>
        <v>377800</v>
      </c>
      <c r="D90" s="12">
        <f t="shared" si="47"/>
        <v>0.97497258724335178</v>
      </c>
      <c r="E90" s="20">
        <v>35</v>
      </c>
      <c r="F90" s="21">
        <f t="shared" si="48"/>
        <v>377.8</v>
      </c>
      <c r="G90" s="17">
        <f t="shared" si="49"/>
        <v>377422.2</v>
      </c>
      <c r="H90" s="17">
        <f t="shared" si="50"/>
        <v>387498.07424657536</v>
      </c>
      <c r="I90" s="20">
        <f t="shared" si="51"/>
        <v>387000</v>
      </c>
      <c r="J90" s="54" t="s">
        <v>27</v>
      </c>
      <c r="K90" s="62"/>
      <c r="L90" s="71"/>
      <c r="M90" s="54"/>
      <c r="N90" s="71"/>
      <c r="O90" s="54"/>
      <c r="P90" s="33"/>
    </row>
    <row r="91" spans="1:18" hidden="1" x14ac:dyDescent="0.25">
      <c r="A91" s="72">
        <v>42543</v>
      </c>
      <c r="B91" s="73">
        <v>23201</v>
      </c>
      <c r="C91" s="73">
        <v>161000</v>
      </c>
      <c r="D91" s="12">
        <f t="shared" si="47"/>
        <v>0.97497258724335178</v>
      </c>
      <c r="E91" s="20">
        <v>35</v>
      </c>
      <c r="F91" s="21">
        <f t="shared" si="48"/>
        <v>161</v>
      </c>
      <c r="G91" s="17">
        <f t="shared" si="49"/>
        <v>160839</v>
      </c>
      <c r="H91" s="17">
        <f t="shared" si="50"/>
        <v>165132.84794520549</v>
      </c>
      <c r="I91" s="20">
        <f t="shared" si="51"/>
        <v>165000</v>
      </c>
      <c r="J91" s="54" t="s">
        <v>28</v>
      </c>
      <c r="K91" s="62"/>
      <c r="L91" s="71"/>
      <c r="M91" s="54"/>
      <c r="N91" s="71"/>
      <c r="O91" s="54"/>
      <c r="P91" s="33"/>
    </row>
    <row r="92" spans="1:18" hidden="1" x14ac:dyDescent="0.25">
      <c r="A92" s="72">
        <v>42543</v>
      </c>
      <c r="B92" s="73">
        <v>300527</v>
      </c>
      <c r="C92" s="73">
        <v>1912000</v>
      </c>
      <c r="D92" s="12">
        <f t="shared" si="47"/>
        <v>0.97497258724335178</v>
      </c>
      <c r="E92" s="20">
        <v>35</v>
      </c>
      <c r="F92" s="21">
        <f t="shared" si="48"/>
        <v>1912</v>
      </c>
      <c r="G92" s="17">
        <f t="shared" si="49"/>
        <v>1910088</v>
      </c>
      <c r="H92" s="17">
        <f t="shared" si="50"/>
        <v>1961080.7780821919</v>
      </c>
      <c r="I92" s="20">
        <f t="shared" si="51"/>
        <v>1961000</v>
      </c>
      <c r="J92" s="54" t="s">
        <v>29</v>
      </c>
      <c r="K92" s="62"/>
      <c r="L92" s="71"/>
      <c r="M92" s="54"/>
      <c r="N92" s="71"/>
      <c r="O92" s="54"/>
      <c r="P92" s="33"/>
    </row>
    <row r="93" spans="1:18" hidden="1" x14ac:dyDescent="0.25">
      <c r="A93" s="72">
        <v>42543</v>
      </c>
      <c r="B93" s="73">
        <v>12695</v>
      </c>
      <c r="C93" s="73">
        <v>32000</v>
      </c>
      <c r="D93" s="12">
        <f t="shared" si="47"/>
        <v>0.97497258724335178</v>
      </c>
      <c r="E93" s="20">
        <v>35</v>
      </c>
      <c r="F93" s="21">
        <f t="shared" si="48"/>
        <v>32</v>
      </c>
      <c r="G93" s="17">
        <f t="shared" si="49"/>
        <v>31968</v>
      </c>
      <c r="H93" s="17">
        <f t="shared" si="50"/>
        <v>32821.435616438357</v>
      </c>
      <c r="I93" s="20">
        <f t="shared" si="51"/>
        <v>33000</v>
      </c>
      <c r="J93" s="54" t="s">
        <v>30</v>
      </c>
      <c r="K93" s="62"/>
      <c r="L93" s="60"/>
      <c r="M93" s="33"/>
      <c r="N93" s="33"/>
      <c r="O93" s="33"/>
      <c r="P93" s="33"/>
    </row>
    <row r="94" spans="1:18" hidden="1" x14ac:dyDescent="0.25">
      <c r="A94" s="72">
        <v>42543</v>
      </c>
      <c r="B94" s="73">
        <v>12842</v>
      </c>
      <c r="C94" s="73">
        <v>30000</v>
      </c>
      <c r="D94" s="12">
        <f t="shared" si="47"/>
        <v>0.97497258724335178</v>
      </c>
      <c r="E94" s="20">
        <v>35</v>
      </c>
      <c r="F94" s="21">
        <f t="shared" si="48"/>
        <v>30</v>
      </c>
      <c r="G94" s="17">
        <f t="shared" si="49"/>
        <v>29970</v>
      </c>
      <c r="H94" s="17">
        <f t="shared" si="50"/>
        <v>30770.095890410961</v>
      </c>
      <c r="I94" s="20">
        <f t="shared" si="51"/>
        <v>31000</v>
      </c>
      <c r="J94" s="54" t="s">
        <v>15</v>
      </c>
      <c r="K94" s="62"/>
      <c r="L94" s="60"/>
      <c r="M94" s="33"/>
      <c r="N94" s="33"/>
      <c r="O94" s="33"/>
      <c r="P94" s="33"/>
    </row>
    <row r="95" spans="1:18" hidden="1" x14ac:dyDescent="0.25">
      <c r="A95" s="72">
        <v>42543</v>
      </c>
      <c r="B95" s="73">
        <v>200074</v>
      </c>
      <c r="C95" s="73">
        <v>277000</v>
      </c>
      <c r="D95" s="12">
        <f t="shared" si="47"/>
        <v>0.97497258724335178</v>
      </c>
      <c r="E95" s="20">
        <v>35</v>
      </c>
      <c r="F95" s="21">
        <f t="shared" si="48"/>
        <v>277</v>
      </c>
      <c r="G95" s="17">
        <f t="shared" si="49"/>
        <v>276723</v>
      </c>
      <c r="H95" s="17">
        <f t="shared" si="50"/>
        <v>284110.55205479451</v>
      </c>
      <c r="I95" s="57">
        <f t="shared" si="51"/>
        <v>284000</v>
      </c>
      <c r="J95" s="54" t="s">
        <v>19</v>
      </c>
      <c r="K95" s="62"/>
      <c r="L95" s="60"/>
      <c r="M95" s="33"/>
      <c r="N95" s="33"/>
      <c r="O95" s="33"/>
      <c r="P95" s="33"/>
    </row>
    <row r="96" spans="1:18" hidden="1" x14ac:dyDescent="0.25">
      <c r="A96" s="72">
        <v>42543</v>
      </c>
      <c r="B96" s="73">
        <v>130456</v>
      </c>
      <c r="C96" s="73">
        <v>783000</v>
      </c>
      <c r="D96" s="12">
        <f t="shared" si="47"/>
        <v>0.97497258724335178</v>
      </c>
      <c r="E96" s="20">
        <v>35</v>
      </c>
      <c r="F96" s="21">
        <f t="shared" si="48"/>
        <v>783</v>
      </c>
      <c r="G96" s="17">
        <f t="shared" si="49"/>
        <v>782217</v>
      </c>
      <c r="H96" s="17">
        <f t="shared" si="50"/>
        <v>803099.5027397261</v>
      </c>
      <c r="I96" s="57">
        <f t="shared" si="51"/>
        <v>803000</v>
      </c>
      <c r="J96" s="55" t="s">
        <v>31</v>
      </c>
      <c r="K96" s="62"/>
      <c r="L96" s="60"/>
      <c r="M96" s="33"/>
      <c r="N96" s="33"/>
      <c r="O96" s="33"/>
      <c r="P96" s="33"/>
    </row>
    <row r="97" spans="1:16" hidden="1" x14ac:dyDescent="0.25">
      <c r="A97" s="74"/>
      <c r="B97" s="75"/>
      <c r="C97" s="75"/>
      <c r="D97" s="43"/>
      <c r="E97" s="44"/>
      <c r="F97" s="45"/>
      <c r="G97" s="42"/>
      <c r="H97" s="42"/>
      <c r="I97" s="44"/>
      <c r="J97" s="55"/>
      <c r="K97" s="62"/>
      <c r="L97" s="60"/>
      <c r="M97" s="33"/>
      <c r="N97" s="33"/>
      <c r="O97" s="33"/>
      <c r="P97" s="33"/>
    </row>
    <row r="98" spans="1:16" hidden="1" x14ac:dyDescent="0.25">
      <c r="A98" s="72">
        <v>42550</v>
      </c>
      <c r="B98" s="76">
        <v>1904</v>
      </c>
      <c r="C98" s="76">
        <v>21000</v>
      </c>
      <c r="D98" s="12">
        <f t="shared" si="47"/>
        <v>0.97497258724335178</v>
      </c>
      <c r="E98" s="20">
        <v>35</v>
      </c>
      <c r="F98" s="21">
        <f t="shared" si="48"/>
        <v>21</v>
      </c>
      <c r="G98" s="17">
        <f t="shared" si="49"/>
        <v>20979</v>
      </c>
      <c r="H98" s="17">
        <f t="shared" si="50"/>
        <v>21539.06712328767</v>
      </c>
      <c r="I98" s="20">
        <v>22000</v>
      </c>
      <c r="J98" s="54" t="s">
        <v>32</v>
      </c>
      <c r="K98" s="62"/>
      <c r="L98" s="60"/>
      <c r="M98" s="33"/>
      <c r="N98" s="33"/>
    </row>
    <row r="99" spans="1:16" hidden="1" x14ac:dyDescent="0.25">
      <c r="A99" s="72">
        <v>42550</v>
      </c>
      <c r="B99" s="76">
        <v>7026</v>
      </c>
      <c r="C99" s="76">
        <v>215000</v>
      </c>
      <c r="D99" s="12">
        <f t="shared" si="47"/>
        <v>0.97497258724335178</v>
      </c>
      <c r="E99" s="20">
        <v>35</v>
      </c>
      <c r="F99" s="21">
        <f t="shared" si="48"/>
        <v>215</v>
      </c>
      <c r="G99" s="17">
        <f t="shared" si="49"/>
        <v>214785</v>
      </c>
      <c r="H99" s="17">
        <f t="shared" si="50"/>
        <v>220519.02054794523</v>
      </c>
      <c r="I99" s="20">
        <v>221000</v>
      </c>
      <c r="J99" s="54" t="s">
        <v>24</v>
      </c>
      <c r="K99" s="62"/>
      <c r="L99" s="60"/>
      <c r="M99" s="33"/>
      <c r="N99" s="33"/>
    </row>
    <row r="100" spans="1:16" hidden="1" x14ac:dyDescent="0.25">
      <c r="A100" s="72">
        <v>42550</v>
      </c>
      <c r="B100" s="76">
        <v>7378</v>
      </c>
      <c r="C100" s="76">
        <v>900000</v>
      </c>
      <c r="D100" s="12">
        <f t="shared" ref="D100:D160" si="52">(1/(1+($B$1*E100/365)))</f>
        <v>0.97497258724335178</v>
      </c>
      <c r="E100" s="20">
        <v>35</v>
      </c>
      <c r="F100" s="21">
        <f t="shared" ref="F100:F160" si="53">C100*$B$2</f>
        <v>900</v>
      </c>
      <c r="G100" s="17">
        <f t="shared" ref="G100:G160" si="54">+C100-F100</f>
        <v>899100</v>
      </c>
      <c r="H100" s="17">
        <f t="shared" ref="H100:H160" si="55">+C100/D100</f>
        <v>923102.87671232875</v>
      </c>
      <c r="I100" s="20">
        <v>927000</v>
      </c>
      <c r="J100" s="54" t="s">
        <v>33</v>
      </c>
      <c r="K100" s="71"/>
      <c r="L100" s="54"/>
      <c r="M100" s="71"/>
      <c r="N100" s="54"/>
    </row>
    <row r="101" spans="1:16" hidden="1" x14ac:dyDescent="0.25">
      <c r="A101" s="72">
        <v>42550</v>
      </c>
      <c r="B101" s="76">
        <v>7378</v>
      </c>
      <c r="C101" s="77">
        <f>1609500-900000</f>
        <v>709500</v>
      </c>
      <c r="D101" s="12">
        <f t="shared" si="52"/>
        <v>0.97497258724335178</v>
      </c>
      <c r="E101" s="20">
        <v>35</v>
      </c>
      <c r="F101" s="21">
        <f>C102*$B$2</f>
        <v>109</v>
      </c>
      <c r="G101" s="17">
        <f>+C102-F101</f>
        <v>108891</v>
      </c>
      <c r="H101" s="17">
        <f>+C102/D101</f>
        <v>111798.01506849316</v>
      </c>
      <c r="I101" s="20">
        <v>112000</v>
      </c>
      <c r="J101" s="54" t="s">
        <v>33</v>
      </c>
      <c r="K101" s="71"/>
      <c r="L101" s="54"/>
      <c r="M101" s="71"/>
      <c r="N101" s="54"/>
    </row>
    <row r="102" spans="1:16" hidden="1" x14ac:dyDescent="0.25">
      <c r="A102" s="72">
        <v>42550</v>
      </c>
      <c r="B102" s="76">
        <v>12890</v>
      </c>
      <c r="C102" s="76">
        <f>-9000+118000</f>
        <v>109000</v>
      </c>
      <c r="D102" s="12">
        <f t="shared" si="52"/>
        <v>0.97497258724335178</v>
      </c>
      <c r="E102" s="20">
        <v>35</v>
      </c>
      <c r="F102" s="21">
        <f>C103*$B$2</f>
        <v>835</v>
      </c>
      <c r="G102" s="17">
        <f>+C103-F102</f>
        <v>834165</v>
      </c>
      <c r="H102" s="17">
        <f>+C103/D102</f>
        <v>856434.33561643842</v>
      </c>
      <c r="I102" s="20">
        <v>860000</v>
      </c>
      <c r="J102" s="54" t="s">
        <v>34</v>
      </c>
      <c r="K102" s="71"/>
      <c r="L102" s="54"/>
      <c r="M102" s="71"/>
      <c r="N102" s="54"/>
    </row>
    <row r="103" spans="1:16" hidden="1" x14ac:dyDescent="0.25">
      <c r="A103" s="72">
        <v>42550</v>
      </c>
      <c r="B103" s="76">
        <v>17282</v>
      </c>
      <c r="C103" s="76">
        <v>835000</v>
      </c>
      <c r="D103" s="12">
        <f t="shared" si="52"/>
        <v>0.97497258724335178</v>
      </c>
      <c r="E103" s="20">
        <v>35</v>
      </c>
      <c r="F103" s="21">
        <f>C104*$B$2</f>
        <v>37</v>
      </c>
      <c r="G103" s="17">
        <f>+C104-F103</f>
        <v>36963</v>
      </c>
      <c r="H103" s="17">
        <f>+C104/D103</f>
        <v>37949.784931506852</v>
      </c>
      <c r="I103" s="20">
        <v>38000</v>
      </c>
      <c r="J103" s="54" t="s">
        <v>27</v>
      </c>
      <c r="K103" s="71"/>
      <c r="L103" s="54"/>
      <c r="M103" s="71"/>
      <c r="N103" s="54"/>
    </row>
    <row r="104" spans="1:16" hidden="1" x14ac:dyDescent="0.25">
      <c r="A104" s="72">
        <v>42550</v>
      </c>
      <c r="B104" s="76">
        <v>130456</v>
      </c>
      <c r="C104" s="76">
        <v>37000</v>
      </c>
      <c r="D104" s="12">
        <f t="shared" si="52"/>
        <v>0.97497258724335178</v>
      </c>
      <c r="E104" s="20">
        <v>35</v>
      </c>
      <c r="F104" s="21">
        <f t="shared" si="53"/>
        <v>37</v>
      </c>
      <c r="G104" s="17">
        <f t="shared" si="54"/>
        <v>36963</v>
      </c>
      <c r="H104" s="17">
        <f t="shared" si="55"/>
        <v>37949.784931506852</v>
      </c>
      <c r="I104" s="20">
        <v>38000</v>
      </c>
      <c r="J104" s="54" t="s">
        <v>35</v>
      </c>
      <c r="K104" s="71"/>
      <c r="L104" s="54"/>
      <c r="M104" s="71"/>
      <c r="N104" s="54"/>
    </row>
    <row r="105" spans="1:16" hidden="1" x14ac:dyDescent="0.25">
      <c r="A105" s="72">
        <v>42550</v>
      </c>
      <c r="B105" s="76">
        <v>700197</v>
      </c>
      <c r="C105" s="76">
        <v>453000</v>
      </c>
      <c r="D105" s="12">
        <f t="shared" si="52"/>
        <v>0.97497258724335178</v>
      </c>
      <c r="E105" s="20">
        <v>35</v>
      </c>
      <c r="F105" s="21">
        <f t="shared" si="53"/>
        <v>453</v>
      </c>
      <c r="G105" s="17">
        <f t="shared" si="54"/>
        <v>452547</v>
      </c>
      <c r="H105" s="17">
        <f t="shared" si="55"/>
        <v>464628.44794520549</v>
      </c>
      <c r="I105" s="20">
        <v>466000</v>
      </c>
      <c r="J105" s="54" t="s">
        <v>36</v>
      </c>
      <c r="K105" s="71"/>
      <c r="L105" s="54"/>
      <c r="M105" s="71"/>
      <c r="N105" s="54"/>
    </row>
    <row r="106" spans="1:16" hidden="1" x14ac:dyDescent="0.25">
      <c r="A106" s="72">
        <v>42550</v>
      </c>
      <c r="B106" s="76">
        <v>12842</v>
      </c>
      <c r="C106" s="76">
        <f>-1000+184000</f>
        <v>183000</v>
      </c>
      <c r="D106" s="12">
        <f t="shared" si="52"/>
        <v>0.97497258724335178</v>
      </c>
      <c r="E106" s="20">
        <v>35</v>
      </c>
      <c r="F106" s="21">
        <f t="shared" si="53"/>
        <v>183</v>
      </c>
      <c r="G106" s="17">
        <f t="shared" si="54"/>
        <v>182817</v>
      </c>
      <c r="H106" s="17">
        <f t="shared" si="55"/>
        <v>187697.58493150686</v>
      </c>
      <c r="I106" s="20">
        <v>189000</v>
      </c>
      <c r="J106" s="54" t="s">
        <v>15</v>
      </c>
      <c r="K106" s="71"/>
      <c r="L106" s="54"/>
      <c r="M106" s="71"/>
      <c r="N106" s="54"/>
    </row>
    <row r="107" spans="1:16" hidden="1" x14ac:dyDescent="0.25">
      <c r="A107" s="72">
        <v>42550</v>
      </c>
      <c r="B107" s="76">
        <v>21466</v>
      </c>
      <c r="C107" s="76">
        <v>52000</v>
      </c>
      <c r="D107" s="12">
        <f t="shared" si="52"/>
        <v>0.97497258724335178</v>
      </c>
      <c r="E107" s="20">
        <v>35</v>
      </c>
      <c r="F107" s="21">
        <f t="shared" si="53"/>
        <v>52</v>
      </c>
      <c r="G107" s="17">
        <f t="shared" si="54"/>
        <v>51948</v>
      </c>
      <c r="H107" s="17">
        <f t="shared" si="55"/>
        <v>53334.832876712331</v>
      </c>
      <c r="I107" s="20">
        <v>54000</v>
      </c>
      <c r="J107" s="54"/>
      <c r="K107" s="71"/>
      <c r="L107" s="54"/>
      <c r="M107" s="71"/>
      <c r="N107" s="54"/>
    </row>
    <row r="108" spans="1:16" hidden="1" x14ac:dyDescent="0.25">
      <c r="A108" s="72">
        <v>42550</v>
      </c>
      <c r="B108" s="76">
        <v>14168</v>
      </c>
      <c r="C108" s="76">
        <v>730000</v>
      </c>
      <c r="D108" s="12">
        <f t="shared" si="52"/>
        <v>0.97497258724335178</v>
      </c>
      <c r="E108" s="20">
        <v>35</v>
      </c>
      <c r="F108" s="21">
        <f t="shared" si="53"/>
        <v>730</v>
      </c>
      <c r="G108" s="17">
        <f t="shared" si="54"/>
        <v>729270</v>
      </c>
      <c r="H108" s="17">
        <f t="shared" si="55"/>
        <v>748739</v>
      </c>
      <c r="I108" s="20">
        <v>752000</v>
      </c>
      <c r="K108" s="71"/>
      <c r="L108" s="54"/>
      <c r="M108" s="71"/>
      <c r="N108" s="54"/>
    </row>
    <row r="109" spans="1:16" hidden="1" x14ac:dyDescent="0.25">
      <c r="A109" s="72">
        <v>42550</v>
      </c>
      <c r="B109" s="76">
        <v>7026</v>
      </c>
      <c r="C109" s="76">
        <v>140000</v>
      </c>
      <c r="D109" s="12">
        <f t="shared" si="52"/>
        <v>0.97497258724335178</v>
      </c>
      <c r="E109" s="20">
        <v>35</v>
      </c>
      <c r="F109" s="21">
        <f t="shared" si="53"/>
        <v>140</v>
      </c>
      <c r="G109" s="17">
        <f t="shared" si="54"/>
        <v>139860</v>
      </c>
      <c r="H109" s="17">
        <f t="shared" si="55"/>
        <v>143593.78082191781</v>
      </c>
      <c r="I109" s="20">
        <v>144000</v>
      </c>
      <c r="K109" s="71"/>
      <c r="L109" s="54"/>
      <c r="M109" s="71"/>
      <c r="N109" s="54"/>
      <c r="O109" s="33"/>
    </row>
    <row r="110" spans="1:16" hidden="1" x14ac:dyDescent="0.25">
      <c r="A110" s="74"/>
      <c r="B110" s="78"/>
      <c r="C110" s="78"/>
      <c r="D110" s="43"/>
      <c r="E110" s="44"/>
      <c r="F110" s="45"/>
      <c r="G110" s="42"/>
      <c r="H110" s="42"/>
      <c r="I110" s="44"/>
      <c r="K110" s="71"/>
      <c r="L110" s="54"/>
      <c r="M110" s="71"/>
      <c r="N110" s="54"/>
      <c r="O110" s="33"/>
    </row>
    <row r="111" spans="1:16" hidden="1" x14ac:dyDescent="0.25">
      <c r="A111" s="72">
        <v>42550</v>
      </c>
      <c r="B111" s="51">
        <v>1904</v>
      </c>
      <c r="C111" s="51">
        <v>42000</v>
      </c>
      <c r="D111" s="12">
        <f t="shared" si="52"/>
        <v>0.97497258724335178</v>
      </c>
      <c r="E111" s="20">
        <v>35</v>
      </c>
      <c r="F111" s="21">
        <f t="shared" ref="F111:F118" si="56">C111*$B$2</f>
        <v>42</v>
      </c>
      <c r="G111" s="17">
        <f t="shared" ref="G111:G118" si="57">+C111-F111</f>
        <v>41958</v>
      </c>
      <c r="H111" s="17">
        <f t="shared" ref="H111:H118" si="58">+C111/D111</f>
        <v>43078.134246575341</v>
      </c>
      <c r="I111" s="20">
        <v>43000</v>
      </c>
      <c r="J111" s="31" t="s">
        <v>32</v>
      </c>
      <c r="K111" s="29"/>
      <c r="L111" s="60"/>
      <c r="M111" s="33"/>
      <c r="N111" s="79"/>
      <c r="O111" s="31"/>
    </row>
    <row r="112" spans="1:16" hidden="1" x14ac:dyDescent="0.25">
      <c r="A112" s="72">
        <v>42550</v>
      </c>
      <c r="B112" s="51">
        <v>7026</v>
      </c>
      <c r="C112" s="51">
        <v>80000</v>
      </c>
      <c r="D112" s="12">
        <f t="shared" si="52"/>
        <v>0.97497258724335178</v>
      </c>
      <c r="E112" s="20">
        <v>35</v>
      </c>
      <c r="F112" s="21">
        <f t="shared" si="56"/>
        <v>80</v>
      </c>
      <c r="G112" s="17">
        <f t="shared" si="57"/>
        <v>79920</v>
      </c>
      <c r="H112" s="17">
        <f t="shared" si="58"/>
        <v>82053.589041095896</v>
      </c>
      <c r="I112" s="20">
        <v>82000</v>
      </c>
      <c r="J112" s="31" t="s">
        <v>24</v>
      </c>
      <c r="K112" s="29"/>
      <c r="L112" s="60"/>
      <c r="M112" s="33"/>
      <c r="N112" s="79"/>
      <c r="O112" s="31"/>
    </row>
    <row r="113" spans="1:15" hidden="1" x14ac:dyDescent="0.25">
      <c r="A113" s="72">
        <v>42550</v>
      </c>
      <c r="B113" s="51">
        <v>12033</v>
      </c>
      <c r="C113" s="51">
        <v>354000</v>
      </c>
      <c r="D113" s="12">
        <f t="shared" si="52"/>
        <v>0.97497258724335178</v>
      </c>
      <c r="E113" s="20">
        <v>35</v>
      </c>
      <c r="F113" s="21">
        <f t="shared" si="56"/>
        <v>354</v>
      </c>
      <c r="G113" s="17">
        <f t="shared" si="57"/>
        <v>353646</v>
      </c>
      <c r="H113" s="17">
        <f t="shared" si="58"/>
        <v>363087.13150684931</v>
      </c>
      <c r="I113" s="20">
        <v>364000</v>
      </c>
      <c r="J113" s="31" t="s">
        <v>37</v>
      </c>
      <c r="K113" s="29"/>
      <c r="L113" s="60"/>
      <c r="M113" s="33"/>
      <c r="N113" s="79"/>
      <c r="O113" s="31"/>
    </row>
    <row r="114" spans="1:15" hidden="1" x14ac:dyDescent="0.25">
      <c r="A114" s="72">
        <v>42550</v>
      </c>
      <c r="B114" s="51">
        <v>20067</v>
      </c>
      <c r="C114" s="51">
        <v>258000</v>
      </c>
      <c r="D114" s="12">
        <f t="shared" si="52"/>
        <v>0.97497258724335178</v>
      </c>
      <c r="E114" s="20">
        <v>35</v>
      </c>
      <c r="F114" s="21">
        <f t="shared" si="56"/>
        <v>258</v>
      </c>
      <c r="G114" s="17">
        <f t="shared" si="57"/>
        <v>257742</v>
      </c>
      <c r="H114" s="17">
        <f t="shared" si="58"/>
        <v>264622.82465753425</v>
      </c>
      <c r="I114" s="20">
        <v>265000</v>
      </c>
      <c r="J114" s="31" t="s">
        <v>12</v>
      </c>
      <c r="K114" s="29"/>
      <c r="L114" s="60"/>
      <c r="M114" s="33"/>
      <c r="N114" s="79"/>
      <c r="O114" s="31"/>
    </row>
    <row r="115" spans="1:15" hidden="1" x14ac:dyDescent="0.25">
      <c r="A115" s="72">
        <v>42550</v>
      </c>
      <c r="B115" s="51">
        <v>20186</v>
      </c>
      <c r="C115" s="51">
        <f>-7100+154000</f>
        <v>146900</v>
      </c>
      <c r="D115" s="12">
        <f t="shared" si="52"/>
        <v>0.97497258724335178</v>
      </c>
      <c r="E115" s="20">
        <v>35</v>
      </c>
      <c r="F115" s="21">
        <f t="shared" si="56"/>
        <v>146.9</v>
      </c>
      <c r="G115" s="17">
        <f t="shared" si="57"/>
        <v>146753.1</v>
      </c>
      <c r="H115" s="17">
        <f t="shared" si="58"/>
        <v>150670.90287671232</v>
      </c>
      <c r="I115" s="20">
        <v>151000</v>
      </c>
      <c r="J115" s="31" t="s">
        <v>38</v>
      </c>
      <c r="K115" s="29"/>
      <c r="L115" s="60"/>
      <c r="M115" s="33"/>
      <c r="N115" s="79"/>
      <c r="O115" s="31"/>
    </row>
    <row r="116" spans="1:15" hidden="1" x14ac:dyDescent="0.25">
      <c r="A116" s="72">
        <v>42550</v>
      </c>
      <c r="B116" s="51">
        <v>2000265</v>
      </c>
      <c r="C116" s="51">
        <v>267000</v>
      </c>
      <c r="D116" s="12">
        <f t="shared" si="52"/>
        <v>0.97497258724335178</v>
      </c>
      <c r="E116" s="20">
        <v>35</v>
      </c>
      <c r="F116" s="21">
        <f t="shared" si="56"/>
        <v>267</v>
      </c>
      <c r="G116" s="17">
        <f t="shared" si="57"/>
        <v>266733</v>
      </c>
      <c r="H116" s="17">
        <f t="shared" si="58"/>
        <v>273853.85342465754</v>
      </c>
      <c r="I116" s="20">
        <v>274000</v>
      </c>
      <c r="J116" s="31" t="s">
        <v>39</v>
      </c>
      <c r="K116" s="29"/>
      <c r="L116" s="60"/>
      <c r="M116" s="33"/>
      <c r="N116" s="79"/>
      <c r="O116" s="31"/>
    </row>
    <row r="117" spans="1:15" hidden="1" x14ac:dyDescent="0.25">
      <c r="A117" s="72">
        <v>42550</v>
      </c>
      <c r="B117" s="51">
        <v>200074</v>
      </c>
      <c r="C117" s="51">
        <v>79000</v>
      </c>
      <c r="D117" s="12">
        <f t="shared" si="52"/>
        <v>0.97497258724335178</v>
      </c>
      <c r="E117" s="20">
        <v>35</v>
      </c>
      <c r="F117" s="21">
        <f t="shared" si="56"/>
        <v>79</v>
      </c>
      <c r="G117" s="17">
        <f t="shared" si="57"/>
        <v>78921</v>
      </c>
      <c r="H117" s="17">
        <f t="shared" si="58"/>
        <v>81027.9191780822</v>
      </c>
      <c r="I117" s="57">
        <v>81000</v>
      </c>
      <c r="J117" s="31" t="s">
        <v>19</v>
      </c>
      <c r="K117" s="29"/>
      <c r="L117" s="60"/>
      <c r="M117" s="33"/>
      <c r="N117" s="79"/>
      <c r="O117" s="31"/>
    </row>
    <row r="118" spans="1:15" hidden="1" x14ac:dyDescent="0.25">
      <c r="A118" s="72">
        <v>42550</v>
      </c>
      <c r="B118" s="51">
        <v>14168</v>
      </c>
      <c r="C118" s="51">
        <v>555000</v>
      </c>
      <c r="D118" s="12">
        <f t="shared" si="52"/>
        <v>0.97497258724335178</v>
      </c>
      <c r="E118" s="20">
        <v>35</v>
      </c>
      <c r="F118" s="21">
        <f t="shared" si="56"/>
        <v>555</v>
      </c>
      <c r="G118" s="17">
        <f t="shared" si="57"/>
        <v>554445</v>
      </c>
      <c r="H118" s="17">
        <f t="shared" si="58"/>
        <v>569246.77397260279</v>
      </c>
      <c r="I118" s="20">
        <v>571000</v>
      </c>
      <c r="J118" s="31"/>
      <c r="K118" s="29"/>
      <c r="L118" s="60"/>
      <c r="M118" s="33"/>
      <c r="N118" s="79"/>
      <c r="O118" s="31"/>
    </row>
    <row r="119" spans="1:15" hidden="1" x14ac:dyDescent="0.25">
      <c r="A119" s="72">
        <v>42550</v>
      </c>
      <c r="B119" s="73">
        <v>21466</v>
      </c>
      <c r="C119" s="73">
        <v>118000</v>
      </c>
      <c r="D119" s="12">
        <f t="shared" si="52"/>
        <v>0.97497258724335178</v>
      </c>
      <c r="E119" s="20">
        <v>35</v>
      </c>
      <c r="F119" s="21">
        <f t="shared" si="53"/>
        <v>118</v>
      </c>
      <c r="G119" s="17">
        <f t="shared" si="54"/>
        <v>117882</v>
      </c>
      <c r="H119" s="17">
        <f t="shared" si="55"/>
        <v>121029.04383561644</v>
      </c>
      <c r="I119" s="20">
        <f t="shared" ref="I119:I153" si="59">MROUND(H119,1000)</f>
        <v>121000</v>
      </c>
      <c r="K119" s="62"/>
      <c r="L119" s="60"/>
      <c r="M119" s="33"/>
      <c r="N119" s="33"/>
      <c r="O119" s="33"/>
    </row>
    <row r="120" spans="1:15" ht="15.75" hidden="1" x14ac:dyDescent="0.25">
      <c r="A120" s="72">
        <v>42550</v>
      </c>
      <c r="B120" s="75"/>
      <c r="C120" s="75"/>
      <c r="D120" s="43"/>
      <c r="E120" s="44"/>
      <c r="F120" s="45"/>
      <c r="G120" s="42"/>
      <c r="H120" s="42"/>
      <c r="I120" s="44"/>
      <c r="J120" s="80"/>
      <c r="K120" s="81"/>
      <c r="L120" s="80"/>
      <c r="M120" s="81"/>
      <c r="N120" s="33"/>
      <c r="O120" s="33"/>
    </row>
    <row r="121" spans="1:15" ht="15.75" hidden="1" x14ac:dyDescent="0.25">
      <c r="A121" s="72">
        <v>42550</v>
      </c>
      <c r="B121" s="80">
        <v>7026</v>
      </c>
      <c r="C121" s="80">
        <v>85000</v>
      </c>
      <c r="D121" s="12">
        <f t="shared" si="52"/>
        <v>0.97497258724335178</v>
      </c>
      <c r="E121" s="20">
        <v>35</v>
      </c>
      <c r="F121" s="21">
        <f t="shared" si="53"/>
        <v>85</v>
      </c>
      <c r="G121" s="17">
        <f t="shared" si="54"/>
        <v>84915</v>
      </c>
      <c r="H121" s="17">
        <f t="shared" si="55"/>
        <v>87181.938356164392</v>
      </c>
      <c r="I121" s="57">
        <f t="shared" si="59"/>
        <v>87000</v>
      </c>
      <c r="J121" s="80"/>
      <c r="K121" s="81"/>
      <c r="L121" s="80"/>
      <c r="M121" s="81"/>
      <c r="N121" s="33"/>
      <c r="O121" s="33"/>
    </row>
    <row r="122" spans="1:15" ht="15.75" hidden="1" x14ac:dyDescent="0.25">
      <c r="A122" s="72">
        <v>42550</v>
      </c>
      <c r="B122" s="80">
        <v>14268</v>
      </c>
      <c r="C122" s="80">
        <v>276000</v>
      </c>
      <c r="D122" s="12">
        <f t="shared" si="52"/>
        <v>0.97497258724335178</v>
      </c>
      <c r="E122" s="20">
        <v>35</v>
      </c>
      <c r="F122" s="21">
        <f t="shared" si="53"/>
        <v>276</v>
      </c>
      <c r="G122" s="17">
        <f t="shared" si="54"/>
        <v>275724</v>
      </c>
      <c r="H122" s="17">
        <f t="shared" si="55"/>
        <v>283084.88219178084</v>
      </c>
      <c r="I122" s="57">
        <v>284000</v>
      </c>
      <c r="J122" s="80"/>
      <c r="K122" s="81"/>
      <c r="L122" s="80"/>
      <c r="M122" s="81"/>
      <c r="N122" s="33"/>
      <c r="O122" s="33"/>
    </row>
    <row r="123" spans="1:15" ht="15.75" hidden="1" x14ac:dyDescent="0.25">
      <c r="A123" s="72">
        <v>42550</v>
      </c>
      <c r="B123" s="80">
        <v>17282</v>
      </c>
      <c r="C123" s="80">
        <f>388000-48200</f>
        <v>339800</v>
      </c>
      <c r="D123" s="12">
        <f t="shared" si="52"/>
        <v>0.97497258724335178</v>
      </c>
      <c r="E123" s="20">
        <v>35</v>
      </c>
      <c r="F123" s="21">
        <f t="shared" si="53"/>
        <v>339.8</v>
      </c>
      <c r="G123" s="17">
        <f t="shared" si="54"/>
        <v>339460.2</v>
      </c>
      <c r="H123" s="17">
        <f t="shared" si="55"/>
        <v>348522.61945205479</v>
      </c>
      <c r="I123" s="57">
        <v>350000</v>
      </c>
      <c r="J123" s="80"/>
      <c r="K123" s="81"/>
      <c r="L123" s="80"/>
      <c r="M123" s="81"/>
      <c r="N123" s="33"/>
      <c r="O123" s="33"/>
    </row>
    <row r="124" spans="1:15" ht="15.75" hidden="1" x14ac:dyDescent="0.25">
      <c r="A124" s="72">
        <v>42550</v>
      </c>
      <c r="B124" s="80">
        <v>130456</v>
      </c>
      <c r="C124" s="80">
        <v>501100</v>
      </c>
      <c r="D124" s="12">
        <f t="shared" si="52"/>
        <v>0.97497258724335178</v>
      </c>
      <c r="E124" s="20">
        <v>35</v>
      </c>
      <c r="F124" s="21">
        <f t="shared" si="53"/>
        <v>501.1</v>
      </c>
      <c r="G124" s="17">
        <f t="shared" si="54"/>
        <v>500598.9</v>
      </c>
      <c r="H124" s="17">
        <f t="shared" si="55"/>
        <v>513963.16835616442</v>
      </c>
      <c r="I124" s="57">
        <v>515000</v>
      </c>
      <c r="J124" s="80"/>
      <c r="K124" s="81"/>
      <c r="L124" s="80"/>
      <c r="M124" s="81"/>
    </row>
    <row r="125" spans="1:15" ht="15.75" hidden="1" x14ac:dyDescent="0.25">
      <c r="A125" s="72">
        <v>42550</v>
      </c>
      <c r="B125" s="80">
        <v>300527</v>
      </c>
      <c r="C125" s="80">
        <f>1969000-4000</f>
        <v>1965000</v>
      </c>
      <c r="D125" s="12">
        <f t="shared" si="52"/>
        <v>0.97497258724335178</v>
      </c>
      <c r="E125" s="20">
        <v>35</v>
      </c>
      <c r="F125" s="21">
        <f t="shared" si="53"/>
        <v>1965</v>
      </c>
      <c r="G125" s="17">
        <f t="shared" si="54"/>
        <v>1963035</v>
      </c>
      <c r="H125" s="17">
        <f t="shared" si="55"/>
        <v>2015441.2808219178</v>
      </c>
      <c r="I125" s="57">
        <v>2021000</v>
      </c>
      <c r="J125" s="80"/>
      <c r="K125" s="81"/>
      <c r="L125" s="80"/>
      <c r="M125" s="81"/>
    </row>
    <row r="126" spans="1:15" ht="15.75" hidden="1" x14ac:dyDescent="0.25">
      <c r="A126" s="72">
        <v>42550</v>
      </c>
      <c r="B126" s="80">
        <v>12842</v>
      </c>
      <c r="C126" s="80">
        <v>31000</v>
      </c>
      <c r="D126" s="12">
        <f t="shared" si="52"/>
        <v>0.97497258724335178</v>
      </c>
      <c r="E126" s="20">
        <v>35</v>
      </c>
      <c r="F126" s="21">
        <f t="shared" si="53"/>
        <v>31</v>
      </c>
      <c r="G126" s="17">
        <f t="shared" si="54"/>
        <v>30969</v>
      </c>
      <c r="H126" s="17">
        <f t="shared" si="55"/>
        <v>31795.765753424657</v>
      </c>
      <c r="I126" s="57">
        <f t="shared" si="59"/>
        <v>32000</v>
      </c>
      <c r="J126" s="80"/>
      <c r="K126" s="81"/>
      <c r="L126" s="80"/>
      <c r="M126" s="81"/>
    </row>
    <row r="127" spans="1:15" ht="15.75" hidden="1" x14ac:dyDescent="0.25">
      <c r="A127" s="72">
        <v>42550</v>
      </c>
      <c r="B127" s="80">
        <v>200074</v>
      </c>
      <c r="C127" s="80">
        <v>285000</v>
      </c>
      <c r="D127" s="12">
        <f t="shared" si="52"/>
        <v>0.97497258724335178</v>
      </c>
      <c r="E127" s="20">
        <v>35</v>
      </c>
      <c r="F127" s="21">
        <f t="shared" si="53"/>
        <v>285</v>
      </c>
      <c r="G127" s="17">
        <f t="shared" si="54"/>
        <v>284715</v>
      </c>
      <c r="H127" s="17">
        <f t="shared" si="55"/>
        <v>292315.91095890413</v>
      </c>
      <c r="I127" s="57">
        <f t="shared" si="59"/>
        <v>292000</v>
      </c>
      <c r="J127" s="80"/>
      <c r="K127" s="81"/>
      <c r="L127" s="80"/>
      <c r="M127" s="81"/>
    </row>
    <row r="128" spans="1:15" hidden="1" x14ac:dyDescent="0.25">
      <c r="A128" s="82"/>
      <c r="B128" s="83"/>
      <c r="C128" s="84"/>
      <c r="D128" s="26"/>
      <c r="E128" s="27"/>
      <c r="F128" s="28"/>
      <c r="G128" s="25"/>
      <c r="H128" s="25"/>
      <c r="I128" s="27"/>
      <c r="K128" s="62"/>
      <c r="L128" s="60"/>
      <c r="M128" s="33"/>
    </row>
    <row r="129" spans="1:14" hidden="1" x14ac:dyDescent="0.25">
      <c r="A129" s="72">
        <v>42550</v>
      </c>
      <c r="B129" s="37">
        <v>1904</v>
      </c>
      <c r="C129" s="85">
        <v>22000</v>
      </c>
      <c r="D129" s="12">
        <f t="shared" si="52"/>
        <v>0.97497258724335178</v>
      </c>
      <c r="E129" s="20">
        <v>35</v>
      </c>
      <c r="F129" s="21">
        <f t="shared" si="53"/>
        <v>22</v>
      </c>
      <c r="G129" s="17">
        <f t="shared" si="54"/>
        <v>21978</v>
      </c>
      <c r="H129" s="17">
        <f t="shared" si="55"/>
        <v>22564.73698630137</v>
      </c>
      <c r="I129" s="20">
        <v>22000</v>
      </c>
      <c r="J129" s="62" t="s">
        <v>32</v>
      </c>
      <c r="L129" s="60"/>
      <c r="M129" s="33"/>
    </row>
    <row r="130" spans="1:14" hidden="1" x14ac:dyDescent="0.25">
      <c r="A130" s="72">
        <v>42550</v>
      </c>
      <c r="B130" s="37">
        <v>7026</v>
      </c>
      <c r="C130" s="86">
        <v>365000</v>
      </c>
      <c r="D130" s="12">
        <f t="shared" si="52"/>
        <v>0.97497258724335178</v>
      </c>
      <c r="E130" s="20">
        <v>35</v>
      </c>
      <c r="F130" s="21">
        <f t="shared" si="53"/>
        <v>365</v>
      </c>
      <c r="G130" s="17">
        <f t="shared" si="54"/>
        <v>364635</v>
      </c>
      <c r="H130" s="17">
        <f t="shared" si="55"/>
        <v>374369.5</v>
      </c>
      <c r="I130" s="20">
        <v>375000</v>
      </c>
      <c r="J130" s="38" t="s">
        <v>24</v>
      </c>
    </row>
    <row r="131" spans="1:14" hidden="1" x14ac:dyDescent="0.25">
      <c r="A131" s="72">
        <v>42550</v>
      </c>
      <c r="B131" s="37">
        <v>7378</v>
      </c>
      <c r="C131" s="86">
        <v>1656000</v>
      </c>
      <c r="D131" s="12">
        <f t="shared" si="52"/>
        <v>0.97497258724335178</v>
      </c>
      <c r="E131" s="20">
        <v>35</v>
      </c>
      <c r="F131" s="21">
        <f t="shared" si="53"/>
        <v>1656</v>
      </c>
      <c r="G131" s="17">
        <f t="shared" si="54"/>
        <v>1654344</v>
      </c>
      <c r="H131" s="17">
        <f t="shared" si="55"/>
        <v>1698509.293150685</v>
      </c>
      <c r="I131" s="20">
        <v>1703000</v>
      </c>
      <c r="J131" s="38" t="s">
        <v>33</v>
      </c>
    </row>
    <row r="132" spans="1:14" hidden="1" x14ac:dyDescent="0.25">
      <c r="A132" s="72">
        <v>42550</v>
      </c>
      <c r="B132" s="37">
        <v>12890</v>
      </c>
      <c r="C132" s="86">
        <v>112000</v>
      </c>
      <c r="D132" s="12">
        <f t="shared" si="52"/>
        <v>0.97497258724335178</v>
      </c>
      <c r="E132" s="20">
        <v>35</v>
      </c>
      <c r="F132" s="21">
        <f t="shared" si="53"/>
        <v>112</v>
      </c>
      <c r="G132" s="17">
        <f t="shared" si="54"/>
        <v>111888</v>
      </c>
      <c r="H132" s="17">
        <f t="shared" si="55"/>
        <v>114875.02465753425</v>
      </c>
      <c r="I132" s="20">
        <v>115000</v>
      </c>
      <c r="J132" s="38" t="s">
        <v>34</v>
      </c>
    </row>
    <row r="133" spans="1:14" hidden="1" x14ac:dyDescent="0.25">
      <c r="A133" s="72">
        <v>42550</v>
      </c>
      <c r="B133" s="37">
        <v>17282</v>
      </c>
      <c r="C133" s="86">
        <v>858000</v>
      </c>
      <c r="D133" s="12">
        <f t="shared" si="52"/>
        <v>0.97497258724335178</v>
      </c>
      <c r="E133" s="20">
        <v>35</v>
      </c>
      <c r="F133" s="21">
        <f t="shared" si="53"/>
        <v>858</v>
      </c>
      <c r="G133" s="17">
        <f t="shared" si="54"/>
        <v>857142</v>
      </c>
      <c r="H133" s="17">
        <f t="shared" si="55"/>
        <v>880024.74246575346</v>
      </c>
      <c r="I133" s="20">
        <v>882000</v>
      </c>
      <c r="J133" s="38" t="s">
        <v>27</v>
      </c>
    </row>
    <row r="134" spans="1:14" hidden="1" x14ac:dyDescent="0.25">
      <c r="A134" s="72">
        <v>42550</v>
      </c>
      <c r="B134" s="37">
        <v>130456</v>
      </c>
      <c r="C134" s="86">
        <v>38000</v>
      </c>
      <c r="D134" s="12">
        <f t="shared" si="52"/>
        <v>0.97497258724335178</v>
      </c>
      <c r="E134" s="20">
        <v>35</v>
      </c>
      <c r="F134" s="21">
        <f t="shared" si="53"/>
        <v>38</v>
      </c>
      <c r="G134" s="17">
        <f t="shared" si="54"/>
        <v>37962</v>
      </c>
      <c r="H134" s="17">
        <f t="shared" si="55"/>
        <v>38975.454794520549</v>
      </c>
      <c r="I134" s="20">
        <v>39000</v>
      </c>
      <c r="J134" s="38" t="s">
        <v>35</v>
      </c>
    </row>
    <row r="135" spans="1:14" hidden="1" x14ac:dyDescent="0.25">
      <c r="A135" s="72">
        <v>42550</v>
      </c>
      <c r="B135" s="37">
        <v>700197</v>
      </c>
      <c r="C135" s="86">
        <v>466000</v>
      </c>
      <c r="D135" s="12">
        <f t="shared" si="52"/>
        <v>0.97497258724335178</v>
      </c>
      <c r="E135" s="20">
        <v>35</v>
      </c>
      <c r="F135" s="21">
        <f t="shared" si="53"/>
        <v>466</v>
      </c>
      <c r="G135" s="17">
        <f t="shared" si="54"/>
        <v>465534</v>
      </c>
      <c r="H135" s="17">
        <f t="shared" si="55"/>
        <v>477962.15616438357</v>
      </c>
      <c r="I135" s="20">
        <v>479000</v>
      </c>
      <c r="J135" s="38" t="s">
        <v>36</v>
      </c>
    </row>
    <row r="136" spans="1:14" hidden="1" x14ac:dyDescent="0.25">
      <c r="A136" s="72">
        <v>42550</v>
      </c>
      <c r="B136" s="37">
        <v>12842</v>
      </c>
      <c r="C136" s="86">
        <v>189000</v>
      </c>
      <c r="D136" s="12">
        <f t="shared" si="52"/>
        <v>0.97497258724335178</v>
      </c>
      <c r="E136" s="20">
        <v>35</v>
      </c>
      <c r="F136" s="21">
        <f t="shared" si="53"/>
        <v>189</v>
      </c>
      <c r="G136" s="17">
        <f t="shared" si="54"/>
        <v>188811</v>
      </c>
      <c r="H136" s="17">
        <f t="shared" si="55"/>
        <v>193851.60410958904</v>
      </c>
      <c r="I136" s="20">
        <v>194000</v>
      </c>
      <c r="J136" s="38" t="s">
        <v>15</v>
      </c>
    </row>
    <row r="137" spans="1:14" hidden="1" x14ac:dyDescent="0.25">
      <c r="A137" s="87"/>
      <c r="B137" s="88"/>
      <c r="C137" s="88"/>
      <c r="D137" s="89"/>
      <c r="E137" s="90"/>
      <c r="F137" s="91"/>
      <c r="G137" s="92"/>
      <c r="H137" s="92"/>
      <c r="I137" s="90"/>
      <c r="K137" s="62"/>
      <c r="L137" s="60"/>
      <c r="M137" s="33"/>
    </row>
    <row r="138" spans="1:14" hidden="1" x14ac:dyDescent="0.25">
      <c r="A138" s="72">
        <v>42550</v>
      </c>
      <c r="B138" s="29">
        <v>1904</v>
      </c>
      <c r="C138" s="29">
        <v>43000</v>
      </c>
      <c r="D138" s="12">
        <f t="shared" si="52"/>
        <v>0.97497258724335178</v>
      </c>
      <c r="E138" s="20">
        <v>35</v>
      </c>
      <c r="F138" s="21">
        <f t="shared" si="53"/>
        <v>43</v>
      </c>
      <c r="G138" s="17">
        <f t="shared" si="54"/>
        <v>42957</v>
      </c>
      <c r="H138" s="17">
        <f t="shared" si="55"/>
        <v>44103.804109589044</v>
      </c>
      <c r="I138" s="20">
        <v>44000</v>
      </c>
      <c r="J138" s="29"/>
      <c r="K138" s="31"/>
      <c r="L138" s="29"/>
      <c r="M138" s="31"/>
    </row>
    <row r="139" spans="1:14" hidden="1" x14ac:dyDescent="0.25">
      <c r="A139" s="72">
        <v>42550</v>
      </c>
      <c r="B139" s="29">
        <v>7026</v>
      </c>
      <c r="C139" s="29">
        <v>82000</v>
      </c>
      <c r="D139" s="12">
        <f t="shared" si="52"/>
        <v>0.97497258724335178</v>
      </c>
      <c r="E139" s="20">
        <v>35</v>
      </c>
      <c r="F139" s="21">
        <f t="shared" si="53"/>
        <v>82</v>
      </c>
      <c r="G139" s="17">
        <f t="shared" si="54"/>
        <v>81918</v>
      </c>
      <c r="H139" s="17">
        <f t="shared" si="55"/>
        <v>84104.928767123289</v>
      </c>
      <c r="I139" s="20">
        <v>84000</v>
      </c>
      <c r="J139" s="29"/>
      <c r="K139" s="31"/>
      <c r="L139" s="29"/>
      <c r="M139" s="31"/>
    </row>
    <row r="140" spans="1:14" hidden="1" x14ac:dyDescent="0.25">
      <c r="A140" s="72">
        <v>42550</v>
      </c>
      <c r="B140" s="29">
        <v>12033</v>
      </c>
      <c r="C140" s="29">
        <v>344000</v>
      </c>
      <c r="D140" s="12">
        <f t="shared" si="52"/>
        <v>0.97497258724335178</v>
      </c>
      <c r="E140" s="20">
        <v>35</v>
      </c>
      <c r="F140" s="21">
        <f t="shared" si="53"/>
        <v>344</v>
      </c>
      <c r="G140" s="17">
        <f t="shared" si="54"/>
        <v>343656</v>
      </c>
      <c r="H140" s="17">
        <f t="shared" si="55"/>
        <v>352830.43287671235</v>
      </c>
      <c r="I140" s="20">
        <v>314000</v>
      </c>
      <c r="J140" s="29"/>
      <c r="K140" s="31"/>
      <c r="L140" s="29"/>
      <c r="M140" s="31"/>
    </row>
    <row r="141" spans="1:14" hidden="1" x14ac:dyDescent="0.25">
      <c r="A141" s="72">
        <v>42550</v>
      </c>
      <c r="B141" s="29">
        <v>200074</v>
      </c>
      <c r="C141" s="29">
        <v>81000</v>
      </c>
      <c r="D141" s="12">
        <f t="shared" si="52"/>
        <v>0.97497258724335178</v>
      </c>
      <c r="E141" s="20">
        <v>35</v>
      </c>
      <c r="F141" s="21">
        <f t="shared" si="53"/>
        <v>81</v>
      </c>
      <c r="G141" s="17">
        <f t="shared" si="54"/>
        <v>80919</v>
      </c>
      <c r="H141" s="17">
        <f t="shared" si="55"/>
        <v>83079.258904109593</v>
      </c>
      <c r="I141" s="20">
        <f t="shared" si="59"/>
        <v>83000</v>
      </c>
      <c r="J141" s="29"/>
      <c r="K141" s="31"/>
      <c r="L141" s="29"/>
      <c r="M141" s="31"/>
      <c r="N141" s="33"/>
    </row>
    <row r="142" spans="1:14" hidden="1" x14ac:dyDescent="0.25">
      <c r="A142" s="82"/>
      <c r="B142" s="93"/>
      <c r="C142" s="93"/>
      <c r="D142" s="26"/>
      <c r="E142" s="27"/>
      <c r="F142" s="28"/>
      <c r="G142" s="25"/>
      <c r="H142" s="25"/>
      <c r="I142" s="27"/>
      <c r="J142" s="29"/>
      <c r="K142" s="31"/>
      <c r="L142" s="29"/>
      <c r="M142" s="31"/>
      <c r="N142" s="33"/>
    </row>
    <row r="143" spans="1:14" hidden="1" x14ac:dyDescent="0.25">
      <c r="A143" s="72">
        <v>42550</v>
      </c>
      <c r="B143" s="29">
        <v>1043</v>
      </c>
      <c r="C143" s="29">
        <v>603000</v>
      </c>
      <c r="D143" s="12">
        <f t="shared" si="52"/>
        <v>0.97497258724335178</v>
      </c>
      <c r="E143" s="20">
        <v>35</v>
      </c>
      <c r="F143" s="21">
        <f>C143*$B$2</f>
        <v>603</v>
      </c>
      <c r="G143" s="17">
        <f>+C143-F143</f>
        <v>602397</v>
      </c>
      <c r="H143" s="17">
        <f>+C143/D143</f>
        <v>618478.92739726033</v>
      </c>
      <c r="I143" s="20">
        <v>620000</v>
      </c>
      <c r="J143" s="31" t="s">
        <v>11</v>
      </c>
      <c r="K143" s="29"/>
      <c r="L143" s="31"/>
      <c r="M143" s="29"/>
      <c r="N143" s="31"/>
    </row>
    <row r="144" spans="1:14" hidden="1" x14ac:dyDescent="0.25">
      <c r="A144" s="72">
        <v>42550</v>
      </c>
      <c r="B144" s="29">
        <v>12890</v>
      </c>
      <c r="C144" s="29">
        <v>90000</v>
      </c>
      <c r="D144" s="12">
        <f t="shared" si="52"/>
        <v>0.97497258724335178</v>
      </c>
      <c r="E144" s="20">
        <v>35</v>
      </c>
      <c r="F144" s="21">
        <f t="shared" si="53"/>
        <v>90</v>
      </c>
      <c r="G144" s="17">
        <f t="shared" si="54"/>
        <v>89910</v>
      </c>
      <c r="H144" s="17">
        <f t="shared" si="55"/>
        <v>92310.287671232887</v>
      </c>
      <c r="I144" s="20">
        <v>92000</v>
      </c>
      <c r="J144" s="31" t="s">
        <v>34</v>
      </c>
      <c r="K144" s="29"/>
      <c r="L144" s="31"/>
      <c r="M144" s="29"/>
      <c r="N144" s="31"/>
    </row>
    <row r="145" spans="1:14" hidden="1" x14ac:dyDescent="0.25">
      <c r="A145" s="72">
        <v>42550</v>
      </c>
      <c r="B145" s="29">
        <v>20191</v>
      </c>
      <c r="C145" s="29">
        <v>220000</v>
      </c>
      <c r="D145" s="12">
        <f t="shared" si="52"/>
        <v>0.97497258724335178</v>
      </c>
      <c r="E145" s="20">
        <v>35</v>
      </c>
      <c r="F145" s="21">
        <f t="shared" si="53"/>
        <v>220</v>
      </c>
      <c r="G145" s="17">
        <f t="shared" si="54"/>
        <v>219780</v>
      </c>
      <c r="H145" s="17">
        <f t="shared" si="55"/>
        <v>225647.36986301371</v>
      </c>
      <c r="I145" s="20">
        <v>226000</v>
      </c>
      <c r="J145" s="31" t="s">
        <v>13</v>
      </c>
      <c r="K145" s="29"/>
      <c r="L145" s="31"/>
      <c r="M145" s="29"/>
      <c r="N145" s="31"/>
    </row>
    <row r="146" spans="1:14" hidden="1" x14ac:dyDescent="0.25">
      <c r="A146" s="72">
        <v>42550</v>
      </c>
      <c r="B146" s="29">
        <v>33393</v>
      </c>
      <c r="C146" s="29">
        <v>142000</v>
      </c>
      <c r="D146" s="12">
        <f t="shared" si="52"/>
        <v>0.97497258724335178</v>
      </c>
      <c r="E146" s="20">
        <v>35</v>
      </c>
      <c r="F146" s="21">
        <f>C146*$B$2</f>
        <v>142</v>
      </c>
      <c r="G146" s="17">
        <f>+C146-F146</f>
        <v>141858</v>
      </c>
      <c r="H146" s="17">
        <f>+C146/D146</f>
        <v>145645.1205479452</v>
      </c>
      <c r="I146" s="20">
        <v>146000</v>
      </c>
      <c r="J146" s="31" t="s">
        <v>14</v>
      </c>
      <c r="K146" s="29"/>
      <c r="L146" s="31"/>
      <c r="M146" s="29"/>
      <c r="N146" s="31"/>
    </row>
    <row r="147" spans="1:14" hidden="1" x14ac:dyDescent="0.25">
      <c r="A147" s="72">
        <v>42550</v>
      </c>
      <c r="B147" s="29">
        <v>33393</v>
      </c>
      <c r="C147" s="29">
        <v>875000</v>
      </c>
      <c r="D147" s="12">
        <f t="shared" ref="D147" si="60">(1/(1+($B$1*E147/365)))</f>
        <v>0.97497258724335178</v>
      </c>
      <c r="E147" s="20">
        <v>35</v>
      </c>
      <c r="F147" s="21">
        <f>C147*$B$2</f>
        <v>875</v>
      </c>
      <c r="G147" s="17">
        <f>+C147-F147</f>
        <v>874125</v>
      </c>
      <c r="H147" s="17">
        <f>+C147/D147</f>
        <v>897461.13013698638</v>
      </c>
      <c r="I147" s="20">
        <v>900000</v>
      </c>
      <c r="J147" s="31"/>
      <c r="K147" s="29"/>
      <c r="L147" s="31"/>
      <c r="M147" s="29"/>
      <c r="N147" s="31"/>
    </row>
    <row r="148" spans="1:14" hidden="1" x14ac:dyDescent="0.25">
      <c r="A148" s="72">
        <v>42550</v>
      </c>
      <c r="B148" s="29">
        <v>2000265</v>
      </c>
      <c r="C148" s="29">
        <v>236000</v>
      </c>
      <c r="D148" s="12">
        <f t="shared" si="52"/>
        <v>0.97497258724335178</v>
      </c>
      <c r="E148" s="20">
        <v>35</v>
      </c>
      <c r="F148" s="21">
        <f t="shared" si="53"/>
        <v>236</v>
      </c>
      <c r="G148" s="17">
        <f t="shared" si="54"/>
        <v>235764</v>
      </c>
      <c r="H148" s="17">
        <f t="shared" si="55"/>
        <v>242058.08767123288</v>
      </c>
      <c r="I148" s="57">
        <v>242000</v>
      </c>
      <c r="J148" s="31" t="s">
        <v>39</v>
      </c>
      <c r="K148" s="29"/>
      <c r="L148" s="31"/>
      <c r="M148" s="29"/>
      <c r="N148" s="31"/>
    </row>
    <row r="149" spans="1:14" hidden="1" x14ac:dyDescent="0.25">
      <c r="A149" s="72">
        <v>42550</v>
      </c>
      <c r="B149" s="29">
        <v>200074</v>
      </c>
      <c r="C149" s="29">
        <v>608000</v>
      </c>
      <c r="D149" s="12">
        <f t="shared" si="52"/>
        <v>0.97497258724335178</v>
      </c>
      <c r="E149" s="20">
        <v>35</v>
      </c>
      <c r="F149" s="21">
        <f t="shared" si="53"/>
        <v>608</v>
      </c>
      <c r="G149" s="17">
        <f t="shared" si="54"/>
        <v>607392</v>
      </c>
      <c r="H149" s="17">
        <f t="shared" si="55"/>
        <v>623607.27671232878</v>
      </c>
      <c r="I149" s="20">
        <f t="shared" si="59"/>
        <v>624000</v>
      </c>
      <c r="J149" s="31" t="s">
        <v>19</v>
      </c>
      <c r="K149" s="29"/>
      <c r="L149" s="31"/>
      <c r="M149" s="29"/>
      <c r="N149" s="31"/>
    </row>
    <row r="150" spans="1:14" hidden="1" x14ac:dyDescent="0.25">
      <c r="A150" s="82"/>
      <c r="B150" s="84"/>
      <c r="C150" s="84"/>
      <c r="D150" s="26"/>
      <c r="E150" s="27"/>
      <c r="F150" s="28"/>
      <c r="G150" s="25"/>
      <c r="H150" s="25"/>
      <c r="I150" s="27"/>
      <c r="K150" s="62"/>
      <c r="L150" s="60"/>
      <c r="M150" s="33"/>
      <c r="N150" s="33"/>
    </row>
    <row r="151" spans="1:14" hidden="1" x14ac:dyDescent="0.25">
      <c r="A151" s="72">
        <v>42550</v>
      </c>
      <c r="B151" s="71">
        <v>1043</v>
      </c>
      <c r="C151" s="71">
        <v>610000</v>
      </c>
      <c r="D151" s="12">
        <f t="shared" si="52"/>
        <v>0.97497258724335178</v>
      </c>
      <c r="E151" s="20">
        <v>35</v>
      </c>
      <c r="F151" s="21">
        <f t="shared" si="53"/>
        <v>610</v>
      </c>
      <c r="G151" s="17">
        <f t="shared" si="54"/>
        <v>609390</v>
      </c>
      <c r="H151" s="17">
        <f t="shared" si="55"/>
        <v>625658.61643835623</v>
      </c>
      <c r="I151" s="20">
        <v>627000</v>
      </c>
      <c r="J151" s="54" t="s">
        <v>11</v>
      </c>
      <c r="K151" s="71"/>
      <c r="L151" s="54"/>
      <c r="M151" s="71"/>
      <c r="N151" s="54"/>
    </row>
    <row r="152" spans="1:14" hidden="1" x14ac:dyDescent="0.25">
      <c r="A152" s="72">
        <v>42550</v>
      </c>
      <c r="B152" s="71">
        <v>7026</v>
      </c>
      <c r="C152" s="71">
        <v>76000</v>
      </c>
      <c r="D152" s="12">
        <f t="shared" si="52"/>
        <v>0.97497258724335178</v>
      </c>
      <c r="E152" s="20">
        <v>35</v>
      </c>
      <c r="F152" s="21">
        <f t="shared" si="53"/>
        <v>76</v>
      </c>
      <c r="G152" s="17">
        <f t="shared" si="54"/>
        <v>75924</v>
      </c>
      <c r="H152" s="17">
        <f t="shared" si="55"/>
        <v>77950.909589041097</v>
      </c>
      <c r="I152" s="20">
        <f t="shared" si="59"/>
        <v>78000</v>
      </c>
      <c r="J152" s="54" t="s">
        <v>24</v>
      </c>
      <c r="K152" s="71"/>
      <c r="L152" s="54"/>
      <c r="M152" s="71"/>
      <c r="N152" s="54"/>
    </row>
    <row r="153" spans="1:14" hidden="1" x14ac:dyDescent="0.25">
      <c r="A153" s="72">
        <v>42550</v>
      </c>
      <c r="B153" s="71">
        <v>7378</v>
      </c>
      <c r="C153" s="71">
        <v>1173000</v>
      </c>
      <c r="D153" s="12">
        <f t="shared" si="52"/>
        <v>0.97497258724335178</v>
      </c>
      <c r="E153" s="20">
        <v>35</v>
      </c>
      <c r="F153" s="21">
        <f t="shared" si="53"/>
        <v>1173</v>
      </c>
      <c r="G153" s="17">
        <f t="shared" si="54"/>
        <v>1171827</v>
      </c>
      <c r="H153" s="17">
        <f t="shared" si="55"/>
        <v>1203110.7493150686</v>
      </c>
      <c r="I153" s="20">
        <f t="shared" si="59"/>
        <v>1203000</v>
      </c>
      <c r="J153" s="54" t="s">
        <v>33</v>
      </c>
      <c r="K153" s="71"/>
      <c r="L153" s="54"/>
      <c r="M153" s="71"/>
      <c r="N153" s="54"/>
    </row>
    <row r="154" spans="1:14" hidden="1" x14ac:dyDescent="0.25">
      <c r="A154" s="72">
        <v>42550</v>
      </c>
      <c r="B154" s="71">
        <v>20191</v>
      </c>
      <c r="C154" s="71">
        <v>221000</v>
      </c>
      <c r="D154" s="12">
        <f t="shared" si="52"/>
        <v>0.97497258724335178</v>
      </c>
      <c r="E154" s="20">
        <v>35</v>
      </c>
      <c r="F154" s="21">
        <f t="shared" ref="F154:F155" si="61">C154*$B$2</f>
        <v>221</v>
      </c>
      <c r="G154" s="17">
        <f t="shared" ref="G154:G155" si="62">+C154-F154</f>
        <v>220779</v>
      </c>
      <c r="H154" s="17">
        <f t="shared" ref="H154:H155" si="63">+C154/D154</f>
        <v>226673.0397260274</v>
      </c>
      <c r="I154" s="20">
        <f t="shared" ref="I154:I155" si="64">MROUND(H154,1000)</f>
        <v>227000</v>
      </c>
      <c r="J154" s="54" t="s">
        <v>13</v>
      </c>
      <c r="K154" s="71"/>
      <c r="L154" s="54"/>
      <c r="M154" s="71"/>
      <c r="N154" s="54"/>
    </row>
    <row r="155" spans="1:14" hidden="1" x14ac:dyDescent="0.25">
      <c r="A155" s="72">
        <v>42550</v>
      </c>
      <c r="B155" s="71">
        <v>33393</v>
      </c>
      <c r="C155" s="71">
        <v>113000</v>
      </c>
      <c r="D155" s="12">
        <f t="shared" si="52"/>
        <v>0.97497258724335178</v>
      </c>
      <c r="E155" s="20">
        <v>35</v>
      </c>
      <c r="F155" s="21">
        <f t="shared" si="61"/>
        <v>113</v>
      </c>
      <c r="G155" s="17">
        <f t="shared" si="62"/>
        <v>112887</v>
      </c>
      <c r="H155" s="17">
        <f t="shared" si="63"/>
        <v>115900.69452054794</v>
      </c>
      <c r="I155" s="57">
        <f t="shared" si="64"/>
        <v>116000</v>
      </c>
      <c r="J155" s="54" t="s">
        <v>14</v>
      </c>
      <c r="K155" s="71"/>
      <c r="L155" s="54"/>
      <c r="M155" s="71"/>
      <c r="N155" s="54"/>
    </row>
    <row r="156" spans="1:14" hidden="1" x14ac:dyDescent="0.25">
      <c r="A156" s="74"/>
      <c r="B156" s="94"/>
      <c r="C156" s="94"/>
      <c r="D156" s="43"/>
      <c r="E156" s="44"/>
      <c r="F156" s="45"/>
      <c r="G156" s="42"/>
      <c r="H156" s="42"/>
      <c r="I156" s="44"/>
      <c r="K156" s="71"/>
      <c r="L156" s="54"/>
      <c r="M156" s="71"/>
      <c r="N156" s="54"/>
    </row>
    <row r="157" spans="1:14" hidden="1" x14ac:dyDescent="0.25">
      <c r="A157" s="72">
        <v>42612</v>
      </c>
      <c r="B157" s="29">
        <v>7026</v>
      </c>
      <c r="C157" s="29">
        <f>928+87000</f>
        <v>87928</v>
      </c>
      <c r="D157" s="12">
        <f t="shared" si="52"/>
        <v>0.97497258724335178</v>
      </c>
      <c r="E157" s="20">
        <v>35</v>
      </c>
      <c r="F157" s="21">
        <f t="shared" si="53"/>
        <v>87.927999999999997</v>
      </c>
      <c r="G157" s="17">
        <f t="shared" si="54"/>
        <v>87840.072</v>
      </c>
      <c r="H157" s="17">
        <f t="shared" si="55"/>
        <v>90185.0997150685</v>
      </c>
      <c r="I157" s="20">
        <v>90000</v>
      </c>
      <c r="J157" s="31" t="s">
        <v>24</v>
      </c>
      <c r="K157" s="71"/>
      <c r="L157" s="54"/>
      <c r="M157" s="71"/>
      <c r="N157" s="54"/>
    </row>
    <row r="158" spans="1:14" hidden="1" x14ac:dyDescent="0.25">
      <c r="A158" s="72">
        <v>42612</v>
      </c>
      <c r="B158" s="29">
        <v>14268</v>
      </c>
      <c r="C158" s="29">
        <f>-772+284000</f>
        <v>283228</v>
      </c>
      <c r="D158" s="12">
        <f t="shared" si="52"/>
        <v>0.97497258724335178</v>
      </c>
      <c r="E158" s="20">
        <v>35</v>
      </c>
      <c r="F158" s="21">
        <f t="shared" si="53"/>
        <v>283.22800000000001</v>
      </c>
      <c r="G158" s="17">
        <f t="shared" si="54"/>
        <v>282944.772</v>
      </c>
      <c r="H158" s="17">
        <f t="shared" si="55"/>
        <v>290498.42396164383</v>
      </c>
      <c r="I158" s="20">
        <v>291000</v>
      </c>
      <c r="J158" s="31" t="s">
        <v>26</v>
      </c>
      <c r="K158" s="29"/>
      <c r="M158" s="29"/>
      <c r="N158" s="31"/>
    </row>
    <row r="159" spans="1:14" hidden="1" x14ac:dyDescent="0.25">
      <c r="A159" s="72">
        <v>42612</v>
      </c>
      <c r="B159" s="29">
        <v>17282</v>
      </c>
      <c r="C159" s="29">
        <v>300000</v>
      </c>
      <c r="D159" s="12">
        <f t="shared" si="52"/>
        <v>0.97497258724335178</v>
      </c>
      <c r="E159" s="20">
        <v>35</v>
      </c>
      <c r="F159" s="21">
        <f t="shared" si="53"/>
        <v>300</v>
      </c>
      <c r="G159" s="17">
        <f t="shared" si="54"/>
        <v>299700</v>
      </c>
      <c r="H159" s="17">
        <f t="shared" si="55"/>
        <v>307700.9589041096</v>
      </c>
      <c r="I159" s="20">
        <v>308000</v>
      </c>
      <c r="J159" s="31" t="s">
        <v>27</v>
      </c>
      <c r="K159" s="29"/>
      <c r="M159" s="29"/>
      <c r="N159" s="31"/>
    </row>
    <row r="160" spans="1:14" hidden="1" x14ac:dyDescent="0.25">
      <c r="A160" s="72">
        <v>42612</v>
      </c>
      <c r="B160" s="29">
        <v>130456</v>
      </c>
      <c r="C160" s="29">
        <f>515000-120000</f>
        <v>395000</v>
      </c>
      <c r="D160" s="12">
        <f t="shared" si="52"/>
        <v>0.97497258724335178</v>
      </c>
      <c r="E160" s="20">
        <v>35</v>
      </c>
      <c r="F160" s="21">
        <f t="shared" si="53"/>
        <v>395</v>
      </c>
      <c r="G160" s="17">
        <f t="shared" si="54"/>
        <v>394605</v>
      </c>
      <c r="H160" s="17">
        <f t="shared" si="55"/>
        <v>405139.595890411</v>
      </c>
      <c r="I160" s="20">
        <v>405000</v>
      </c>
      <c r="J160" s="31" t="s">
        <v>35</v>
      </c>
      <c r="K160" s="29"/>
      <c r="M160" s="29"/>
      <c r="N160" s="31"/>
    </row>
    <row r="161" spans="1:14" hidden="1" x14ac:dyDescent="0.25">
      <c r="A161" s="72">
        <v>42612</v>
      </c>
      <c r="B161" s="29">
        <v>12842</v>
      </c>
      <c r="C161" s="29">
        <f>288+32000</f>
        <v>32288</v>
      </c>
      <c r="D161" s="12">
        <f t="shared" ref="D161:D191" si="65">(1/(1+($B$1*E161/365)))</f>
        <v>0.97497258724335178</v>
      </c>
      <c r="E161" s="20">
        <v>35</v>
      </c>
      <c r="F161" s="21">
        <f t="shared" ref="F161:F191" si="66">C161*$B$2</f>
        <v>32.288000000000004</v>
      </c>
      <c r="G161" s="17">
        <f t="shared" ref="G161:G191" si="67">+C161-F161</f>
        <v>32255.712</v>
      </c>
      <c r="H161" s="17">
        <f t="shared" ref="H161:H192" si="68">+C161/D161</f>
        <v>33116.828536986301</v>
      </c>
      <c r="I161" s="20">
        <f t="shared" ref="I161:I176" si="69">MROUND(H161,1000)</f>
        <v>33000</v>
      </c>
      <c r="J161" s="31" t="s">
        <v>15</v>
      </c>
      <c r="K161" s="29"/>
      <c r="M161" s="29"/>
      <c r="N161" s="31"/>
    </row>
    <row r="162" spans="1:14" hidden="1" x14ac:dyDescent="0.25">
      <c r="A162" s="72">
        <v>42612</v>
      </c>
      <c r="B162" s="29">
        <v>200074</v>
      </c>
      <c r="C162" s="29">
        <f>-382+293000</f>
        <v>292618</v>
      </c>
      <c r="D162" s="12">
        <f t="shared" si="65"/>
        <v>0.97497258724335178</v>
      </c>
      <c r="E162" s="20">
        <v>35</v>
      </c>
      <c r="F162" s="21">
        <f t="shared" si="66"/>
        <v>292.61799999999999</v>
      </c>
      <c r="G162" s="17">
        <f t="shared" si="67"/>
        <v>292325.38199999998</v>
      </c>
      <c r="H162" s="17">
        <f t="shared" si="68"/>
        <v>300129.46397534246</v>
      </c>
      <c r="I162" s="20">
        <v>300000</v>
      </c>
      <c r="J162" s="31" t="s">
        <v>19</v>
      </c>
      <c r="K162" s="29"/>
      <c r="M162" s="29"/>
      <c r="N162" s="31"/>
    </row>
    <row r="163" spans="1:14" hidden="1" x14ac:dyDescent="0.25">
      <c r="A163" s="72">
        <v>42612</v>
      </c>
      <c r="B163" s="73">
        <v>300527</v>
      </c>
      <c r="C163" s="73">
        <v>800000</v>
      </c>
      <c r="D163" s="12">
        <f t="shared" si="65"/>
        <v>0.97497258724335178</v>
      </c>
      <c r="E163" s="20">
        <v>35</v>
      </c>
      <c r="F163" s="21">
        <f t="shared" si="66"/>
        <v>800</v>
      </c>
      <c r="G163" s="17">
        <f t="shared" si="67"/>
        <v>799200</v>
      </c>
      <c r="H163" s="17">
        <f t="shared" si="68"/>
        <v>820535.89041095891</v>
      </c>
      <c r="I163" s="20">
        <v>822000</v>
      </c>
      <c r="J163" s="59" t="s">
        <v>40</v>
      </c>
      <c r="K163" s="29"/>
      <c r="M163" s="29"/>
      <c r="N163" s="31"/>
    </row>
    <row r="164" spans="1:14" hidden="1" x14ac:dyDescent="0.25">
      <c r="A164" s="72">
        <v>42612</v>
      </c>
      <c r="B164" s="73">
        <v>300527</v>
      </c>
      <c r="C164" s="73">
        <v>500000</v>
      </c>
      <c r="D164" s="12">
        <f t="shared" si="65"/>
        <v>0.97497258724335178</v>
      </c>
      <c r="E164" s="20">
        <v>35</v>
      </c>
      <c r="F164" s="21">
        <f t="shared" si="66"/>
        <v>500</v>
      </c>
      <c r="G164" s="17">
        <f t="shared" si="67"/>
        <v>499500</v>
      </c>
      <c r="H164" s="17">
        <f t="shared" si="68"/>
        <v>512834.93150684936</v>
      </c>
      <c r="I164" s="20">
        <v>513000</v>
      </c>
      <c r="J164" s="59" t="s">
        <v>41</v>
      </c>
    </row>
    <row r="165" spans="1:14" hidden="1" x14ac:dyDescent="0.25">
      <c r="A165" s="72">
        <v>42612</v>
      </c>
      <c r="B165" s="73">
        <v>300527</v>
      </c>
      <c r="C165" s="73">
        <v>720010</v>
      </c>
      <c r="D165" s="12">
        <f t="shared" si="65"/>
        <v>0.97497258724335178</v>
      </c>
      <c r="E165" s="20">
        <v>35</v>
      </c>
      <c r="F165" s="21">
        <f t="shared" si="66"/>
        <v>720.01</v>
      </c>
      <c r="G165" s="17">
        <f t="shared" si="67"/>
        <v>719289.99</v>
      </c>
      <c r="H165" s="17">
        <f t="shared" si="68"/>
        <v>738492.55806849315</v>
      </c>
      <c r="I165" s="20">
        <v>740000</v>
      </c>
      <c r="J165" s="59" t="s">
        <v>42</v>
      </c>
    </row>
    <row r="166" spans="1:14" hidden="1" x14ac:dyDescent="0.25">
      <c r="A166" s="74"/>
      <c r="B166" s="75"/>
      <c r="C166" s="75"/>
      <c r="D166" s="43"/>
      <c r="E166" s="44"/>
      <c r="F166" s="45"/>
      <c r="G166" s="42"/>
      <c r="H166" s="42"/>
      <c r="I166" s="44"/>
      <c r="K166" s="62"/>
      <c r="L166" s="60"/>
      <c r="M166" s="33"/>
      <c r="N166" s="33"/>
    </row>
    <row r="167" spans="1:14" hidden="1" x14ac:dyDescent="0.25">
      <c r="A167" s="72">
        <v>42619</v>
      </c>
      <c r="B167" s="29">
        <v>1904</v>
      </c>
      <c r="C167" s="29">
        <v>22000</v>
      </c>
      <c r="D167" s="12">
        <f t="shared" si="65"/>
        <v>0.97497258724335178</v>
      </c>
      <c r="E167" s="20">
        <v>35</v>
      </c>
      <c r="F167" s="21">
        <f t="shared" si="66"/>
        <v>22</v>
      </c>
      <c r="G167" s="17">
        <f t="shared" ref="G167" si="70">+C167-F167</f>
        <v>21978</v>
      </c>
      <c r="H167" s="17">
        <f t="shared" ref="H167" si="71">+C167/D167</f>
        <v>22564.73698630137</v>
      </c>
      <c r="I167" s="20">
        <v>22000</v>
      </c>
      <c r="J167" s="31" t="s">
        <v>32</v>
      </c>
      <c r="K167" s="62"/>
      <c r="L167" s="60"/>
      <c r="M167" s="33"/>
      <c r="N167" s="31"/>
    </row>
    <row r="168" spans="1:14" hidden="1" x14ac:dyDescent="0.25">
      <c r="A168" s="72">
        <v>42619</v>
      </c>
      <c r="B168" s="29">
        <v>7026</v>
      </c>
      <c r="C168" s="29">
        <v>375000</v>
      </c>
      <c r="D168" s="12">
        <f t="shared" si="65"/>
        <v>0.97497258724335178</v>
      </c>
      <c r="E168" s="20">
        <v>35</v>
      </c>
      <c r="F168" s="21">
        <f t="shared" ref="F168:F174" si="72">C168*$B$2</f>
        <v>375</v>
      </c>
      <c r="G168" s="17">
        <f t="shared" ref="G168:G174" si="73">+C168-F168</f>
        <v>374625</v>
      </c>
      <c r="H168" s="17">
        <f t="shared" ref="H168:H174" si="74">+C168/D168</f>
        <v>384626.19863013702</v>
      </c>
      <c r="I168" s="20">
        <v>385000</v>
      </c>
      <c r="J168" s="31" t="s">
        <v>24</v>
      </c>
      <c r="K168" s="62"/>
      <c r="L168" s="60"/>
      <c r="M168" s="33"/>
      <c r="N168" s="31"/>
    </row>
    <row r="169" spans="1:14" hidden="1" x14ac:dyDescent="0.25">
      <c r="A169" s="72">
        <v>42619</v>
      </c>
      <c r="B169" s="29">
        <v>7378</v>
      </c>
      <c r="C169" s="29">
        <v>900000</v>
      </c>
      <c r="D169" s="12">
        <f t="shared" si="65"/>
        <v>0.97497258724335178</v>
      </c>
      <c r="E169" s="20">
        <v>35</v>
      </c>
      <c r="F169" s="21">
        <f t="shared" si="72"/>
        <v>900</v>
      </c>
      <c r="G169" s="17">
        <f t="shared" si="73"/>
        <v>899100</v>
      </c>
      <c r="H169" s="17">
        <f t="shared" si="74"/>
        <v>923102.87671232875</v>
      </c>
      <c r="I169" s="20">
        <v>924000</v>
      </c>
      <c r="J169" s="31" t="s">
        <v>33</v>
      </c>
      <c r="K169" s="62"/>
      <c r="L169" s="60"/>
      <c r="M169" s="33"/>
      <c r="N169" s="31"/>
    </row>
    <row r="170" spans="1:14" hidden="1" x14ac:dyDescent="0.25">
      <c r="A170" s="72">
        <v>42619</v>
      </c>
      <c r="B170" s="29">
        <v>7378</v>
      </c>
      <c r="C170" s="29">
        <v>803000</v>
      </c>
      <c r="D170" s="12">
        <f t="shared" ref="D170" si="75">(1/(1+($B$1*E170/365)))</f>
        <v>0.97497258724335178</v>
      </c>
      <c r="E170" s="20">
        <v>35</v>
      </c>
      <c r="F170" s="21">
        <f t="shared" ref="F170" si="76">C170*$B$2</f>
        <v>803</v>
      </c>
      <c r="G170" s="17">
        <f t="shared" ref="G170" si="77">+C170-F170</f>
        <v>802197</v>
      </c>
      <c r="H170" s="17">
        <f t="shared" ref="H170" si="78">+C170/D170</f>
        <v>823612.9</v>
      </c>
      <c r="I170" s="20">
        <v>824000</v>
      </c>
      <c r="J170" s="31" t="s">
        <v>33</v>
      </c>
      <c r="K170" s="62"/>
      <c r="L170" s="60"/>
      <c r="M170" s="33"/>
      <c r="N170" s="31"/>
    </row>
    <row r="171" spans="1:14" hidden="1" x14ac:dyDescent="0.25">
      <c r="A171" s="72">
        <v>42619</v>
      </c>
      <c r="B171" s="29">
        <v>12890</v>
      </c>
      <c r="C171" s="29">
        <f>600+115000</f>
        <v>115600</v>
      </c>
      <c r="D171" s="12">
        <f t="shared" si="65"/>
        <v>0.97497258724335178</v>
      </c>
      <c r="E171" s="20">
        <v>35</v>
      </c>
      <c r="F171" s="21">
        <f t="shared" si="72"/>
        <v>115.60000000000001</v>
      </c>
      <c r="G171" s="17">
        <f t="shared" si="73"/>
        <v>115484.4</v>
      </c>
      <c r="H171" s="17">
        <f t="shared" si="74"/>
        <v>118567.43616438357</v>
      </c>
      <c r="I171" s="20">
        <v>118000</v>
      </c>
      <c r="J171" s="31" t="s">
        <v>34</v>
      </c>
      <c r="K171" s="62"/>
      <c r="L171" s="60"/>
      <c r="M171" s="33"/>
      <c r="N171" s="31"/>
    </row>
    <row r="172" spans="1:14" hidden="1" x14ac:dyDescent="0.25">
      <c r="A172" s="72">
        <v>42619</v>
      </c>
      <c r="B172" s="29">
        <v>17282</v>
      </c>
      <c r="C172" s="29">
        <v>882000</v>
      </c>
      <c r="D172" s="12">
        <f t="shared" si="65"/>
        <v>0.97497258724335178</v>
      </c>
      <c r="E172" s="20">
        <v>35</v>
      </c>
      <c r="F172" s="21">
        <f t="shared" si="72"/>
        <v>882</v>
      </c>
      <c r="G172" s="17">
        <f t="shared" si="73"/>
        <v>881118</v>
      </c>
      <c r="H172" s="17">
        <f t="shared" si="74"/>
        <v>904640.81917808228</v>
      </c>
      <c r="I172" s="20">
        <v>905000</v>
      </c>
      <c r="J172" s="31" t="s">
        <v>27</v>
      </c>
      <c r="K172" s="62"/>
      <c r="L172" s="60"/>
      <c r="M172" s="33"/>
      <c r="N172" s="31"/>
    </row>
    <row r="173" spans="1:14" hidden="1" x14ac:dyDescent="0.25">
      <c r="A173" s="72">
        <v>42619</v>
      </c>
      <c r="B173" s="29">
        <v>130456</v>
      </c>
      <c r="C173" s="29">
        <v>39000</v>
      </c>
      <c r="D173" s="12">
        <f t="shared" si="65"/>
        <v>0.97497258724335178</v>
      </c>
      <c r="E173" s="20">
        <v>35</v>
      </c>
      <c r="F173" s="21">
        <f t="shared" si="72"/>
        <v>39</v>
      </c>
      <c r="G173" s="17">
        <f t="shared" si="73"/>
        <v>38961</v>
      </c>
      <c r="H173" s="17">
        <f t="shared" si="74"/>
        <v>40001.124657534245</v>
      </c>
      <c r="I173" s="20">
        <v>40000</v>
      </c>
      <c r="J173" s="31" t="s">
        <v>35</v>
      </c>
      <c r="K173" s="62"/>
      <c r="L173" s="60"/>
      <c r="M173" s="33"/>
      <c r="N173" s="31"/>
    </row>
    <row r="174" spans="1:14" hidden="1" x14ac:dyDescent="0.25">
      <c r="A174" s="72">
        <v>42619</v>
      </c>
      <c r="B174" s="29">
        <v>700197</v>
      </c>
      <c r="C174" s="29">
        <f>-1500+479000</f>
        <v>477500</v>
      </c>
      <c r="D174" s="12">
        <f t="shared" si="65"/>
        <v>0.97497258724335178</v>
      </c>
      <c r="E174" s="20">
        <v>35</v>
      </c>
      <c r="F174" s="21">
        <f t="shared" si="72"/>
        <v>477.5</v>
      </c>
      <c r="G174" s="17">
        <f t="shared" si="73"/>
        <v>477022.5</v>
      </c>
      <c r="H174" s="17">
        <f t="shared" si="74"/>
        <v>489757.35958904109</v>
      </c>
      <c r="I174" s="20">
        <v>490000</v>
      </c>
      <c r="J174" s="31" t="s">
        <v>36</v>
      </c>
      <c r="K174" s="62"/>
      <c r="L174" s="60"/>
      <c r="M174" s="33"/>
      <c r="N174" s="31"/>
    </row>
    <row r="175" spans="1:14" hidden="1" x14ac:dyDescent="0.25">
      <c r="A175" s="82"/>
      <c r="B175" s="93"/>
      <c r="C175" s="93"/>
      <c r="D175" s="26"/>
      <c r="E175" s="27"/>
      <c r="F175" s="28"/>
      <c r="G175" s="25"/>
      <c r="H175" s="25"/>
      <c r="I175" s="27"/>
      <c r="K175" s="62"/>
      <c r="L175" s="31"/>
      <c r="M175" s="33"/>
      <c r="N175" s="31"/>
    </row>
    <row r="176" spans="1:14" hidden="1" x14ac:dyDescent="0.25">
      <c r="A176" s="72">
        <v>42619</v>
      </c>
      <c r="B176" s="29">
        <v>1904</v>
      </c>
      <c r="C176" s="29">
        <f>1203+44000</f>
        <v>45203</v>
      </c>
      <c r="D176" s="12">
        <f t="shared" si="65"/>
        <v>0.97497258724335178</v>
      </c>
      <c r="E176" s="20">
        <v>35</v>
      </c>
      <c r="F176" s="21">
        <f t="shared" ref="F176" si="79">C176*$B$2</f>
        <v>45.203000000000003</v>
      </c>
      <c r="G176" s="17">
        <f t="shared" ref="G176" si="80">+C176-F176</f>
        <v>45157.796999999999</v>
      </c>
      <c r="H176" s="17">
        <f t="shared" ref="H176" si="81">+C176/D176</f>
        <v>46363.35481780822</v>
      </c>
      <c r="I176" s="57">
        <f t="shared" si="69"/>
        <v>46000</v>
      </c>
      <c r="J176" s="31" t="s">
        <v>32</v>
      </c>
      <c r="K176" s="62"/>
      <c r="L176" s="60"/>
      <c r="M176" s="33"/>
      <c r="N176" s="33"/>
    </row>
    <row r="177" spans="1:14" hidden="1" x14ac:dyDescent="0.25">
      <c r="A177" s="72">
        <v>42619</v>
      </c>
      <c r="B177" s="29">
        <v>7026</v>
      </c>
      <c r="C177" s="29">
        <f>-181+84000</f>
        <v>83819</v>
      </c>
      <c r="D177" s="12">
        <f t="shared" si="65"/>
        <v>0.97497258724335178</v>
      </c>
      <c r="E177" s="20">
        <v>35</v>
      </c>
      <c r="F177" s="21">
        <f t="shared" ref="F177:F180" si="82">C177*$B$2</f>
        <v>83.819000000000003</v>
      </c>
      <c r="G177" s="17">
        <f t="shared" ref="G177:G180" si="83">+C177-F177</f>
        <v>83735.180999999997</v>
      </c>
      <c r="H177" s="17">
        <f t="shared" ref="H177:H180" si="84">+C177/D177</f>
        <v>85970.622247945212</v>
      </c>
      <c r="I177" s="57">
        <f t="shared" ref="I177:I180" si="85">MROUND(H177,1000)</f>
        <v>86000</v>
      </c>
      <c r="J177" s="31" t="s">
        <v>24</v>
      </c>
      <c r="K177" s="62"/>
      <c r="L177" s="60"/>
      <c r="M177" s="33"/>
      <c r="N177" s="33"/>
    </row>
    <row r="178" spans="1:14" hidden="1" x14ac:dyDescent="0.25">
      <c r="A178" s="72">
        <v>42619</v>
      </c>
      <c r="B178" s="29">
        <v>12033</v>
      </c>
      <c r="C178" s="29">
        <f>-1548+314000</f>
        <v>312452</v>
      </c>
      <c r="D178" s="12">
        <f t="shared" si="65"/>
        <v>0.97497258724335178</v>
      </c>
      <c r="E178" s="20">
        <v>35</v>
      </c>
      <c r="F178" s="21">
        <f t="shared" si="82"/>
        <v>312.452</v>
      </c>
      <c r="G178" s="17">
        <f t="shared" si="83"/>
        <v>312139.54800000001</v>
      </c>
      <c r="H178" s="17">
        <f t="shared" si="84"/>
        <v>320472.60003835615</v>
      </c>
      <c r="I178" s="57">
        <f t="shared" si="85"/>
        <v>320000</v>
      </c>
      <c r="J178" s="31" t="s">
        <v>37</v>
      </c>
    </row>
    <row r="179" spans="1:14" hidden="1" x14ac:dyDescent="0.25">
      <c r="A179" s="72">
        <v>42619</v>
      </c>
      <c r="B179" s="73">
        <v>21466</v>
      </c>
      <c r="C179" s="73">
        <v>124000</v>
      </c>
      <c r="D179" s="12">
        <f t="shared" si="65"/>
        <v>0.97497258724335178</v>
      </c>
      <c r="E179" s="20">
        <v>35</v>
      </c>
      <c r="F179" s="21">
        <f t="shared" si="82"/>
        <v>124</v>
      </c>
      <c r="G179" s="17">
        <f t="shared" si="83"/>
        <v>123876</v>
      </c>
      <c r="H179" s="17">
        <f t="shared" si="84"/>
        <v>127183.06301369863</v>
      </c>
      <c r="I179" s="57">
        <f t="shared" si="85"/>
        <v>127000</v>
      </c>
    </row>
    <row r="180" spans="1:14" hidden="1" x14ac:dyDescent="0.25">
      <c r="A180" s="72">
        <v>42619</v>
      </c>
      <c r="B180" s="73">
        <v>14168</v>
      </c>
      <c r="C180" s="73">
        <v>587000</v>
      </c>
      <c r="D180" s="12">
        <f t="shared" si="65"/>
        <v>0.97497258724335178</v>
      </c>
      <c r="E180" s="20">
        <v>35</v>
      </c>
      <c r="F180" s="21">
        <f t="shared" si="82"/>
        <v>587</v>
      </c>
      <c r="G180" s="17">
        <f t="shared" si="83"/>
        <v>586413</v>
      </c>
      <c r="H180" s="17">
        <f t="shared" si="84"/>
        <v>602068.20958904107</v>
      </c>
      <c r="I180" s="57">
        <f t="shared" si="85"/>
        <v>602000</v>
      </c>
    </row>
    <row r="181" spans="1:14" hidden="1" x14ac:dyDescent="0.25">
      <c r="A181" s="82"/>
      <c r="B181" s="84"/>
      <c r="C181" s="84"/>
      <c r="D181" s="26"/>
      <c r="E181" s="27"/>
      <c r="F181" s="28"/>
      <c r="G181" s="25"/>
      <c r="H181" s="25"/>
      <c r="I181" s="27"/>
      <c r="K181" s="62"/>
      <c r="L181" s="60"/>
      <c r="M181" s="33"/>
      <c r="N181" s="31"/>
    </row>
    <row r="182" spans="1:14" hidden="1" x14ac:dyDescent="0.25">
      <c r="A182" s="72">
        <v>42619</v>
      </c>
      <c r="B182" s="29">
        <v>1043</v>
      </c>
      <c r="C182" s="29">
        <f>1500+620000</f>
        <v>621500</v>
      </c>
      <c r="D182" s="12">
        <f t="shared" si="65"/>
        <v>0.97497258724335178</v>
      </c>
      <c r="E182" s="20">
        <v>35</v>
      </c>
      <c r="F182" s="21">
        <f t="shared" ref="F182:F187" si="86">C182*$B$2</f>
        <v>621.5</v>
      </c>
      <c r="G182" s="17">
        <f t="shared" ref="G182:G187" si="87">+C182-F182</f>
        <v>620878.5</v>
      </c>
      <c r="H182" s="17">
        <f t="shared" ref="H182:H187" si="88">+C182/D182</f>
        <v>637453.81986301369</v>
      </c>
      <c r="I182" s="57">
        <v>637000</v>
      </c>
      <c r="J182" s="31" t="s">
        <v>11</v>
      </c>
      <c r="K182" s="62"/>
      <c r="L182" s="29"/>
      <c r="M182" s="33"/>
      <c r="N182" s="31"/>
    </row>
    <row r="183" spans="1:14" hidden="1" x14ac:dyDescent="0.25">
      <c r="A183" s="72">
        <v>42619</v>
      </c>
      <c r="B183" s="29">
        <v>12890</v>
      </c>
      <c r="C183" s="29">
        <v>92000</v>
      </c>
      <c r="D183" s="12">
        <f t="shared" si="65"/>
        <v>0.97497258724335178</v>
      </c>
      <c r="E183" s="20">
        <v>35</v>
      </c>
      <c r="F183" s="21">
        <f t="shared" si="86"/>
        <v>92</v>
      </c>
      <c r="G183" s="17">
        <f t="shared" si="87"/>
        <v>91908</v>
      </c>
      <c r="H183" s="17">
        <f t="shared" si="88"/>
        <v>94361.627397260279</v>
      </c>
      <c r="I183" s="57">
        <v>94000</v>
      </c>
      <c r="J183" s="31" t="s">
        <v>34</v>
      </c>
      <c r="K183" s="29"/>
      <c r="L183" s="31"/>
      <c r="M183" s="29"/>
      <c r="N183" s="31"/>
    </row>
    <row r="184" spans="1:14" hidden="1" x14ac:dyDescent="0.25">
      <c r="A184" s="72">
        <v>42619</v>
      </c>
      <c r="B184" s="29">
        <v>20191</v>
      </c>
      <c r="C184" s="29">
        <f>6500+226000</f>
        <v>232500</v>
      </c>
      <c r="D184" s="12">
        <f t="shared" si="65"/>
        <v>0.97497258724335178</v>
      </c>
      <c r="E184" s="20">
        <v>35</v>
      </c>
      <c r="F184" s="21">
        <f t="shared" si="86"/>
        <v>232.5</v>
      </c>
      <c r="G184" s="17">
        <f t="shared" si="87"/>
        <v>232267.5</v>
      </c>
      <c r="H184" s="17">
        <f t="shared" si="88"/>
        <v>238468.24315068495</v>
      </c>
      <c r="I184" s="57">
        <v>238000</v>
      </c>
      <c r="J184" s="31" t="s">
        <v>13</v>
      </c>
      <c r="K184" s="29"/>
      <c r="L184" s="31"/>
      <c r="M184" s="29"/>
      <c r="N184" s="31"/>
    </row>
    <row r="185" spans="1:14" hidden="1" x14ac:dyDescent="0.25">
      <c r="A185" s="72">
        <v>42619</v>
      </c>
      <c r="B185" s="29">
        <v>33393</v>
      </c>
      <c r="C185" s="29">
        <f>-2300+1046000</f>
        <v>1043700</v>
      </c>
      <c r="D185" s="12">
        <f t="shared" si="65"/>
        <v>0.97497258724335178</v>
      </c>
      <c r="E185" s="20">
        <v>35</v>
      </c>
      <c r="F185" s="21">
        <f t="shared" si="86"/>
        <v>1043.7</v>
      </c>
      <c r="G185" s="17">
        <f t="shared" si="87"/>
        <v>1042656.3</v>
      </c>
      <c r="H185" s="17">
        <f t="shared" si="88"/>
        <v>1070491.6360273974</v>
      </c>
      <c r="I185" s="57">
        <v>1070000</v>
      </c>
      <c r="J185" s="31" t="s">
        <v>14</v>
      </c>
      <c r="K185" s="29"/>
      <c r="L185" s="31"/>
      <c r="M185" s="29"/>
      <c r="N185" s="31"/>
    </row>
    <row r="186" spans="1:14" hidden="1" x14ac:dyDescent="0.25">
      <c r="A186" s="72">
        <v>42619</v>
      </c>
      <c r="B186" s="29">
        <v>2000265</v>
      </c>
      <c r="C186" s="29">
        <f>1048+242000</f>
        <v>243048</v>
      </c>
      <c r="D186" s="12">
        <f t="shared" si="65"/>
        <v>0.97497258724335178</v>
      </c>
      <c r="E186" s="20">
        <v>35</v>
      </c>
      <c r="F186" s="21">
        <f t="shared" si="86"/>
        <v>243.048</v>
      </c>
      <c r="G186" s="17">
        <f t="shared" si="87"/>
        <v>242804.95199999999</v>
      </c>
      <c r="H186" s="17">
        <f t="shared" si="88"/>
        <v>249287.00886575342</v>
      </c>
      <c r="I186" s="57">
        <f t="shared" ref="I186:I187" si="89">MROUND(H186,1000)</f>
        <v>249000</v>
      </c>
      <c r="J186" s="31" t="s">
        <v>39</v>
      </c>
      <c r="K186" s="29"/>
      <c r="L186" s="31"/>
      <c r="M186" s="29"/>
      <c r="N186" s="31"/>
    </row>
    <row r="187" spans="1:14" hidden="1" x14ac:dyDescent="0.25">
      <c r="A187" s="72">
        <v>42619</v>
      </c>
      <c r="B187" s="29">
        <v>200074</v>
      </c>
      <c r="C187" s="29">
        <f>625000-200000</f>
        <v>425000</v>
      </c>
      <c r="D187" s="12">
        <f t="shared" si="65"/>
        <v>0.97497258724335178</v>
      </c>
      <c r="E187" s="20">
        <v>35</v>
      </c>
      <c r="F187" s="21">
        <f t="shared" si="86"/>
        <v>425</v>
      </c>
      <c r="G187" s="17">
        <f t="shared" si="87"/>
        <v>424575</v>
      </c>
      <c r="H187" s="17">
        <f t="shared" si="88"/>
        <v>435909.69178082194</v>
      </c>
      <c r="I187" s="57">
        <f t="shared" si="89"/>
        <v>436000</v>
      </c>
      <c r="J187" s="31" t="s">
        <v>19</v>
      </c>
      <c r="K187" s="29"/>
      <c r="L187" s="31"/>
      <c r="M187" s="29"/>
      <c r="N187" s="31"/>
    </row>
    <row r="188" spans="1:14" hidden="1" x14ac:dyDescent="0.25">
      <c r="A188" s="82"/>
      <c r="B188" s="84"/>
      <c r="C188" s="84"/>
      <c r="D188" s="26"/>
      <c r="E188" s="27"/>
      <c r="F188" s="28"/>
      <c r="G188" s="25"/>
      <c r="H188" s="25"/>
      <c r="I188" s="27"/>
      <c r="K188" s="62"/>
      <c r="L188" s="60"/>
      <c r="M188" s="33"/>
      <c r="N188" s="33"/>
    </row>
    <row r="189" spans="1:14" hidden="1" x14ac:dyDescent="0.25">
      <c r="A189" s="72">
        <f ca="1">TODAY()</f>
        <v>43151</v>
      </c>
      <c r="B189" s="29">
        <v>1043</v>
      </c>
      <c r="C189" s="29">
        <f>956+627000</f>
        <v>627956</v>
      </c>
      <c r="D189" s="12">
        <f t="shared" si="65"/>
        <v>0.97497258724335178</v>
      </c>
      <c r="E189" s="20">
        <v>35</v>
      </c>
      <c r="F189" s="21">
        <f t="shared" si="66"/>
        <v>627.95600000000002</v>
      </c>
      <c r="G189" s="17">
        <f t="shared" si="67"/>
        <v>627328.04399999999</v>
      </c>
      <c r="H189" s="17">
        <f t="shared" si="68"/>
        <v>644075.54449863022</v>
      </c>
      <c r="I189" s="20">
        <v>644000</v>
      </c>
      <c r="J189" s="31" t="s">
        <v>11</v>
      </c>
      <c r="K189" s="62"/>
      <c r="L189" s="60"/>
      <c r="M189" s="33"/>
      <c r="N189" s="33"/>
    </row>
    <row r="190" spans="1:14" hidden="1" x14ac:dyDescent="0.25">
      <c r="A190" s="72">
        <f t="shared" ref="A190:A259" ca="1" si="90">TODAY()</f>
        <v>43151</v>
      </c>
      <c r="B190" s="29">
        <v>7026</v>
      </c>
      <c r="C190" s="29">
        <f>527+78000</f>
        <v>78527</v>
      </c>
      <c r="D190" s="12">
        <f t="shared" si="65"/>
        <v>0.97497258724335178</v>
      </c>
      <c r="E190" s="20">
        <v>35</v>
      </c>
      <c r="F190" s="21">
        <f t="shared" si="66"/>
        <v>78.527000000000001</v>
      </c>
      <c r="G190" s="17">
        <f t="shared" si="67"/>
        <v>78448.472999999998</v>
      </c>
      <c r="H190" s="17">
        <f t="shared" si="68"/>
        <v>80542.777332876722</v>
      </c>
      <c r="I190" s="20">
        <v>80000</v>
      </c>
      <c r="J190" s="31" t="s">
        <v>24</v>
      </c>
    </row>
    <row r="191" spans="1:14" hidden="1" x14ac:dyDescent="0.25">
      <c r="A191" s="72">
        <f t="shared" ca="1" si="90"/>
        <v>43151</v>
      </c>
      <c r="B191" s="29">
        <v>7378</v>
      </c>
      <c r="C191" s="29">
        <v>900000</v>
      </c>
      <c r="D191" s="12">
        <f t="shared" si="65"/>
        <v>0.97497258724335178</v>
      </c>
      <c r="E191" s="20">
        <v>35</v>
      </c>
      <c r="F191" s="21">
        <f t="shared" si="66"/>
        <v>900</v>
      </c>
      <c r="G191" s="17">
        <f t="shared" si="67"/>
        <v>899100</v>
      </c>
      <c r="H191" s="17">
        <f t="shared" si="68"/>
        <v>923102.87671232875</v>
      </c>
      <c r="I191" s="20">
        <v>923000</v>
      </c>
      <c r="J191" s="31" t="s">
        <v>33</v>
      </c>
    </row>
    <row r="192" spans="1:14" hidden="1" x14ac:dyDescent="0.25">
      <c r="A192" s="72">
        <f t="shared" ca="1" si="90"/>
        <v>43151</v>
      </c>
      <c r="B192" s="29">
        <v>7378</v>
      </c>
      <c r="C192" s="29">
        <v>318495</v>
      </c>
      <c r="D192" s="12">
        <f t="shared" ref="D192" si="91">(1/(1+($B$1*E192/365)))</f>
        <v>0.97497258724335178</v>
      </c>
      <c r="E192" s="20">
        <v>35</v>
      </c>
      <c r="F192" s="21">
        <f t="shared" ref="F192" si="92">C192*$B$2</f>
        <v>318.495</v>
      </c>
      <c r="G192" s="17">
        <f t="shared" ref="G192" si="93">+C192-F192</f>
        <v>318176.505</v>
      </c>
      <c r="H192" s="17">
        <f t="shared" si="68"/>
        <v>326670.72302054794</v>
      </c>
      <c r="I192" s="20">
        <v>326000</v>
      </c>
      <c r="J192" s="31" t="s">
        <v>33</v>
      </c>
    </row>
    <row r="193" spans="1:14" hidden="1" x14ac:dyDescent="0.25">
      <c r="A193" s="72">
        <f t="shared" ca="1" si="90"/>
        <v>43151</v>
      </c>
      <c r="B193" s="29">
        <v>20191</v>
      </c>
      <c r="C193" s="29">
        <v>227000</v>
      </c>
      <c r="D193" s="12">
        <f t="shared" ref="D193:D197" si="94">(1/(1+($B$1*E193/365)))</f>
        <v>0.97497258724335178</v>
      </c>
      <c r="E193" s="20">
        <v>35</v>
      </c>
      <c r="F193" s="21">
        <f t="shared" ref="F193:F197" si="95">C193*$B$2</f>
        <v>227</v>
      </c>
      <c r="G193" s="17">
        <f t="shared" ref="G193:G197" si="96">+C193-F193</f>
        <v>226773</v>
      </c>
      <c r="H193" s="17">
        <f t="shared" ref="H193:H195" si="97">+C193/D193</f>
        <v>232827.05890410961</v>
      </c>
      <c r="I193" s="20">
        <v>232000</v>
      </c>
      <c r="J193" s="31" t="s">
        <v>13</v>
      </c>
    </row>
    <row r="194" spans="1:14" hidden="1" x14ac:dyDescent="0.25">
      <c r="A194" s="72">
        <f t="shared" ca="1" si="90"/>
        <v>43151</v>
      </c>
      <c r="B194" s="29">
        <v>33393</v>
      </c>
      <c r="C194" s="29">
        <f>-700+116000</f>
        <v>115300</v>
      </c>
      <c r="D194" s="12">
        <f t="shared" si="94"/>
        <v>0.97497258724335178</v>
      </c>
      <c r="E194" s="20">
        <v>35</v>
      </c>
      <c r="F194" s="21">
        <f t="shared" si="95"/>
        <v>115.3</v>
      </c>
      <c r="G194" s="17">
        <f t="shared" si="96"/>
        <v>115184.7</v>
      </c>
      <c r="H194" s="17">
        <f t="shared" si="97"/>
        <v>118259.73520547946</v>
      </c>
      <c r="I194" s="20">
        <v>118000</v>
      </c>
      <c r="J194" s="31" t="s">
        <v>14</v>
      </c>
    </row>
    <row r="195" spans="1:14" hidden="1" x14ac:dyDescent="0.25">
      <c r="A195" s="72">
        <f t="shared" ca="1" si="90"/>
        <v>43151</v>
      </c>
      <c r="B195" s="73">
        <v>21317</v>
      </c>
      <c r="C195" s="73">
        <v>382000</v>
      </c>
      <c r="D195" s="12">
        <f t="shared" si="94"/>
        <v>0.93807907107041244</v>
      </c>
      <c r="E195" s="20">
        <v>90</v>
      </c>
      <c r="F195" s="21">
        <f t="shared" si="95"/>
        <v>382</v>
      </c>
      <c r="G195" s="17">
        <f t="shared" si="96"/>
        <v>381618</v>
      </c>
      <c r="H195" s="17">
        <f t="shared" si="97"/>
        <v>407215.13972602744</v>
      </c>
      <c r="I195" s="20">
        <v>407000</v>
      </c>
    </row>
    <row r="196" spans="1:14" hidden="1" x14ac:dyDescent="0.25">
      <c r="A196" s="82"/>
      <c r="B196" s="84"/>
      <c r="C196" s="84"/>
      <c r="D196" s="26"/>
      <c r="E196" s="27"/>
      <c r="F196" s="28"/>
      <c r="G196" s="25"/>
      <c r="H196" s="25"/>
      <c r="I196" s="27"/>
    </row>
    <row r="197" spans="1:14" hidden="1" x14ac:dyDescent="0.25">
      <c r="A197" s="72">
        <f t="shared" ca="1" si="90"/>
        <v>43151</v>
      </c>
      <c r="B197" s="71">
        <v>7026</v>
      </c>
      <c r="C197" s="71">
        <f>100449+90000</f>
        <v>190449</v>
      </c>
      <c r="D197" s="12">
        <f t="shared" si="94"/>
        <v>0.97497258724335178</v>
      </c>
      <c r="E197" s="20">
        <v>35</v>
      </c>
      <c r="F197" s="21">
        <f t="shared" si="95"/>
        <v>190.44900000000001</v>
      </c>
      <c r="G197" s="17">
        <f t="shared" si="96"/>
        <v>190258.55100000001</v>
      </c>
      <c r="H197" s="17">
        <f t="shared" ref="H197" si="98">+C197/D197</f>
        <v>195337.79974109589</v>
      </c>
      <c r="I197" s="20">
        <v>195000</v>
      </c>
      <c r="J197" s="54" t="s">
        <v>24</v>
      </c>
      <c r="K197" s="71"/>
      <c r="L197" s="54"/>
      <c r="M197" s="71"/>
      <c r="N197" s="54"/>
    </row>
    <row r="198" spans="1:14" hidden="1" x14ac:dyDescent="0.25">
      <c r="A198" s="72">
        <f t="shared" ca="1" si="90"/>
        <v>43151</v>
      </c>
      <c r="B198" s="71">
        <v>14268</v>
      </c>
      <c r="C198" s="71">
        <f>-380+291000</f>
        <v>290620</v>
      </c>
      <c r="D198" s="12">
        <f t="shared" ref="D198:D231" si="99">(1/(1+($B$1*E198/365)))</f>
        <v>0.97497258724335178</v>
      </c>
      <c r="E198" s="20">
        <v>35</v>
      </c>
      <c r="F198" s="21">
        <f t="shared" ref="F198:F202" si="100">C198*$B$2</f>
        <v>290.62</v>
      </c>
      <c r="G198" s="17">
        <f t="shared" ref="G198:G202" si="101">+C198-F198</f>
        <v>290329.38</v>
      </c>
      <c r="H198" s="17">
        <f t="shared" ref="H198:H202" si="102">+C198/D198</f>
        <v>298080.17558904109</v>
      </c>
      <c r="I198" s="20">
        <v>298000</v>
      </c>
      <c r="J198" s="54" t="s">
        <v>26</v>
      </c>
      <c r="K198" s="71"/>
      <c r="L198" s="54"/>
      <c r="M198" s="71"/>
      <c r="N198" s="54"/>
    </row>
    <row r="199" spans="1:14" hidden="1" x14ac:dyDescent="0.25">
      <c r="A199" s="72">
        <f t="shared" ca="1" si="90"/>
        <v>43151</v>
      </c>
      <c r="B199" s="71">
        <v>17282</v>
      </c>
      <c r="C199" s="71">
        <f>-756+308000</f>
        <v>307244</v>
      </c>
      <c r="D199" s="12">
        <f t="shared" si="99"/>
        <v>0.97497258724335178</v>
      </c>
      <c r="E199" s="20">
        <v>35</v>
      </c>
      <c r="F199" s="21">
        <f t="shared" si="100"/>
        <v>307.24400000000003</v>
      </c>
      <c r="G199" s="17">
        <f t="shared" si="101"/>
        <v>306936.75599999999</v>
      </c>
      <c r="H199" s="17">
        <f t="shared" si="102"/>
        <v>315130.91139178083</v>
      </c>
      <c r="I199" s="20">
        <v>315000</v>
      </c>
      <c r="J199" s="54" t="s">
        <v>27</v>
      </c>
      <c r="K199" s="71"/>
      <c r="L199" s="54"/>
      <c r="M199" s="71"/>
      <c r="N199" s="54"/>
    </row>
    <row r="200" spans="1:14" hidden="1" x14ac:dyDescent="0.25">
      <c r="A200" s="72">
        <f t="shared" ca="1" si="90"/>
        <v>43151</v>
      </c>
      <c r="B200" s="71">
        <v>130456</v>
      </c>
      <c r="C200" s="71">
        <f>1018+476000</f>
        <v>477018</v>
      </c>
      <c r="D200" s="12">
        <f t="shared" si="99"/>
        <v>0.97497258724335178</v>
      </c>
      <c r="E200" s="20">
        <v>35</v>
      </c>
      <c r="F200" s="21">
        <f t="shared" si="100"/>
        <v>477.01800000000003</v>
      </c>
      <c r="G200" s="17">
        <f t="shared" si="101"/>
        <v>476540.98200000002</v>
      </c>
      <c r="H200" s="17">
        <f t="shared" si="102"/>
        <v>489262.98671506852</v>
      </c>
      <c r="I200" s="57">
        <v>489000</v>
      </c>
      <c r="J200" s="54" t="s">
        <v>35</v>
      </c>
      <c r="K200" s="71"/>
      <c r="L200" s="54"/>
      <c r="M200" s="71"/>
      <c r="N200" s="54"/>
    </row>
    <row r="201" spans="1:14" hidden="1" x14ac:dyDescent="0.25">
      <c r="A201" s="72">
        <f t="shared" ca="1" si="90"/>
        <v>43151</v>
      </c>
      <c r="B201" s="71">
        <v>300527</v>
      </c>
      <c r="C201" s="71">
        <v>0</v>
      </c>
      <c r="D201" s="12">
        <f t="shared" si="99"/>
        <v>0.97497258724335178</v>
      </c>
      <c r="E201" s="20">
        <v>35</v>
      </c>
      <c r="F201" s="21">
        <f t="shared" si="100"/>
        <v>0</v>
      </c>
      <c r="G201" s="17">
        <f t="shared" si="101"/>
        <v>0</v>
      </c>
      <c r="H201" s="17">
        <f t="shared" si="102"/>
        <v>0</v>
      </c>
      <c r="I201" s="57">
        <f t="shared" ref="I201:I218" si="103">MROUND(H201,1000)</f>
        <v>0</v>
      </c>
      <c r="J201" s="54" t="s">
        <v>29</v>
      </c>
      <c r="N201" s="54"/>
    </row>
    <row r="202" spans="1:14" hidden="1" x14ac:dyDescent="0.25">
      <c r="A202" s="72">
        <f t="shared" ca="1" si="90"/>
        <v>43151</v>
      </c>
      <c r="B202" s="71">
        <v>200074</v>
      </c>
      <c r="C202" s="71">
        <f>-371+300000</f>
        <v>299629</v>
      </c>
      <c r="D202" s="12">
        <f t="shared" si="99"/>
        <v>0.97497258724335178</v>
      </c>
      <c r="E202" s="20">
        <v>35</v>
      </c>
      <c r="F202" s="21">
        <f t="shared" si="100"/>
        <v>299.62900000000002</v>
      </c>
      <c r="G202" s="17">
        <f t="shared" si="101"/>
        <v>299329.37099999998</v>
      </c>
      <c r="H202" s="17">
        <f t="shared" si="102"/>
        <v>307320.43538493151</v>
      </c>
      <c r="I202" s="57">
        <f t="shared" si="103"/>
        <v>307000</v>
      </c>
      <c r="J202" s="54" t="s">
        <v>19</v>
      </c>
      <c r="N202" s="54"/>
    </row>
    <row r="203" spans="1:14" hidden="1" x14ac:dyDescent="0.25">
      <c r="A203" s="82"/>
      <c r="B203" s="95"/>
      <c r="C203" s="95"/>
      <c r="D203" s="26"/>
      <c r="E203" s="27"/>
      <c r="F203" s="28"/>
      <c r="G203" s="25"/>
      <c r="H203" s="25"/>
      <c r="I203" s="27"/>
      <c r="J203" s="54"/>
      <c r="N203" s="54"/>
    </row>
    <row r="204" spans="1:14" hidden="1" x14ac:dyDescent="0.25">
      <c r="A204" s="72">
        <f t="shared" ca="1" si="90"/>
        <v>43151</v>
      </c>
      <c r="B204" s="71">
        <v>1904</v>
      </c>
      <c r="C204" s="71">
        <v>22000</v>
      </c>
      <c r="D204" s="12">
        <f t="shared" si="99"/>
        <v>0.97497258724335178</v>
      </c>
      <c r="E204" s="20">
        <v>35</v>
      </c>
      <c r="F204" s="21">
        <f t="shared" ref="F204:F210" si="104">C204*$B$2</f>
        <v>22</v>
      </c>
      <c r="G204" s="17">
        <f t="shared" ref="G204:G210" si="105">+C204-F204</f>
        <v>21978</v>
      </c>
      <c r="H204" s="17">
        <f t="shared" ref="H204:H210" si="106">+C204/D204</f>
        <v>22564.73698630137</v>
      </c>
      <c r="I204" s="20">
        <v>22000</v>
      </c>
      <c r="J204" s="54" t="s">
        <v>32</v>
      </c>
      <c r="N204" s="54"/>
    </row>
    <row r="205" spans="1:14" hidden="1" x14ac:dyDescent="0.25">
      <c r="A205" s="72">
        <f t="shared" ca="1" si="90"/>
        <v>43151</v>
      </c>
      <c r="B205" s="71">
        <v>7026</v>
      </c>
      <c r="C205" s="71">
        <v>385000</v>
      </c>
      <c r="D205" s="12">
        <f t="shared" si="99"/>
        <v>0.97497258724335178</v>
      </c>
      <c r="E205" s="20">
        <v>35</v>
      </c>
      <c r="F205" s="21">
        <f t="shared" si="104"/>
        <v>385</v>
      </c>
      <c r="G205" s="17">
        <f t="shared" si="105"/>
        <v>384615</v>
      </c>
      <c r="H205" s="17">
        <f t="shared" si="106"/>
        <v>394882.89726027398</v>
      </c>
      <c r="I205" s="20">
        <v>394000</v>
      </c>
      <c r="J205" s="54" t="s">
        <v>24</v>
      </c>
      <c r="N205" s="54"/>
    </row>
    <row r="206" spans="1:14" hidden="1" x14ac:dyDescent="0.25">
      <c r="A206" s="72">
        <f t="shared" ca="1" si="90"/>
        <v>43151</v>
      </c>
      <c r="B206" s="71">
        <v>7378</v>
      </c>
      <c r="C206" s="71">
        <v>900000</v>
      </c>
      <c r="D206" s="12">
        <f t="shared" si="99"/>
        <v>0.97497258724335178</v>
      </c>
      <c r="E206" s="20">
        <v>35</v>
      </c>
      <c r="F206" s="21">
        <f t="shared" si="104"/>
        <v>900</v>
      </c>
      <c r="G206" s="17">
        <f t="shared" si="105"/>
        <v>899100</v>
      </c>
      <c r="H206" s="17">
        <f t="shared" si="106"/>
        <v>923102.87671232875</v>
      </c>
      <c r="I206" s="20">
        <v>923000</v>
      </c>
      <c r="J206" s="54" t="s">
        <v>33</v>
      </c>
      <c r="N206" s="54"/>
    </row>
    <row r="207" spans="1:14" hidden="1" x14ac:dyDescent="0.25">
      <c r="A207" s="72">
        <f t="shared" ca="1" si="90"/>
        <v>43151</v>
      </c>
      <c r="B207" s="71">
        <v>7378</v>
      </c>
      <c r="C207" s="71">
        <v>847400</v>
      </c>
      <c r="D207" s="12">
        <f t="shared" ref="D207" si="107">(1/(1+($B$1*E207/365)))</f>
        <v>0.97497258724335178</v>
      </c>
      <c r="E207" s="20">
        <v>35</v>
      </c>
      <c r="F207" s="21">
        <f t="shared" ref="F207" si="108">C207*$B$2</f>
        <v>847.4</v>
      </c>
      <c r="G207" s="17">
        <f t="shared" ref="G207" si="109">+C207-F207</f>
        <v>846552.6</v>
      </c>
      <c r="H207" s="17">
        <f t="shared" ref="H207" si="110">+C207/D207</f>
        <v>869152.64191780821</v>
      </c>
      <c r="I207" s="20">
        <v>869000</v>
      </c>
      <c r="J207" s="54" t="s">
        <v>33</v>
      </c>
      <c r="N207" s="54"/>
    </row>
    <row r="208" spans="1:14" hidden="1" x14ac:dyDescent="0.25">
      <c r="A208" s="72">
        <f t="shared" ca="1" si="90"/>
        <v>43151</v>
      </c>
      <c r="B208" s="71">
        <v>12890</v>
      </c>
      <c r="C208" s="71">
        <f>800+118000</f>
        <v>118800</v>
      </c>
      <c r="D208" s="12">
        <f t="shared" si="99"/>
        <v>0.97497258724335178</v>
      </c>
      <c r="E208" s="20">
        <v>35</v>
      </c>
      <c r="F208" s="21">
        <f t="shared" si="104"/>
        <v>118.8</v>
      </c>
      <c r="G208" s="17">
        <f t="shared" si="105"/>
        <v>118681.2</v>
      </c>
      <c r="H208" s="17">
        <f t="shared" si="106"/>
        <v>121849.5797260274</v>
      </c>
      <c r="I208" s="20">
        <v>121000</v>
      </c>
      <c r="J208" s="54" t="s">
        <v>34</v>
      </c>
      <c r="N208" s="54"/>
    </row>
    <row r="209" spans="1:14" hidden="1" x14ac:dyDescent="0.25">
      <c r="A209" s="72">
        <f t="shared" ca="1" si="90"/>
        <v>43151</v>
      </c>
      <c r="B209" s="71">
        <v>17282</v>
      </c>
      <c r="C209" s="71">
        <f>1000+768000</f>
        <v>769000</v>
      </c>
      <c r="D209" s="12">
        <f t="shared" si="99"/>
        <v>0.97497258724335178</v>
      </c>
      <c r="E209" s="20">
        <v>35</v>
      </c>
      <c r="F209" s="21">
        <f t="shared" si="104"/>
        <v>769</v>
      </c>
      <c r="G209" s="17">
        <f t="shared" si="105"/>
        <v>768231</v>
      </c>
      <c r="H209" s="17">
        <f t="shared" si="106"/>
        <v>788740.1246575343</v>
      </c>
      <c r="I209" s="20">
        <v>789000</v>
      </c>
      <c r="J209" s="54" t="s">
        <v>27</v>
      </c>
      <c r="N209" s="54"/>
    </row>
    <row r="210" spans="1:14" hidden="1" x14ac:dyDescent="0.25">
      <c r="A210" s="72">
        <f t="shared" ca="1" si="90"/>
        <v>43151</v>
      </c>
      <c r="B210" s="71">
        <v>130456</v>
      </c>
      <c r="C210" s="71">
        <f>-200+40000</f>
        <v>39800</v>
      </c>
      <c r="D210" s="12">
        <f t="shared" si="99"/>
        <v>0.97497258724335178</v>
      </c>
      <c r="E210" s="20">
        <v>35</v>
      </c>
      <c r="F210" s="21">
        <f t="shared" si="104"/>
        <v>39.800000000000004</v>
      </c>
      <c r="G210" s="17">
        <f t="shared" si="105"/>
        <v>39760.199999999997</v>
      </c>
      <c r="H210" s="17">
        <f t="shared" si="106"/>
        <v>40821.660547945205</v>
      </c>
      <c r="I210" s="20">
        <v>40000</v>
      </c>
      <c r="J210" s="54" t="s">
        <v>35</v>
      </c>
    </row>
    <row r="211" spans="1:14" hidden="1" x14ac:dyDescent="0.25">
      <c r="A211" s="72">
        <f t="shared" ca="1" si="90"/>
        <v>43151</v>
      </c>
      <c r="B211" s="71">
        <v>700197</v>
      </c>
      <c r="C211" s="71">
        <f>-300+490000</f>
        <v>489700</v>
      </c>
      <c r="D211" s="12">
        <f t="shared" si="99"/>
        <v>0.97497258724335178</v>
      </c>
      <c r="E211" s="20">
        <v>35</v>
      </c>
      <c r="F211" s="21">
        <f t="shared" ref="F211" si="111">C211*$B$2</f>
        <v>489.7</v>
      </c>
      <c r="G211" s="17">
        <f t="shared" ref="G211" si="112">+C211-F211</f>
        <v>489210.3</v>
      </c>
      <c r="H211" s="17">
        <f t="shared" ref="H211" si="113">+C211/D211</f>
        <v>502270.53191780823</v>
      </c>
      <c r="I211" s="20">
        <v>502000</v>
      </c>
      <c r="J211" s="54" t="s">
        <v>36</v>
      </c>
    </row>
    <row r="212" spans="1:14" hidden="1" x14ac:dyDescent="0.25">
      <c r="A212" s="87"/>
      <c r="B212" s="96"/>
      <c r="C212" s="96"/>
      <c r="D212" s="89"/>
      <c r="E212" s="90"/>
      <c r="F212" s="91"/>
      <c r="G212" s="92"/>
      <c r="H212" s="92"/>
      <c r="I212" s="90"/>
      <c r="J212" s="54"/>
      <c r="K212" s="62"/>
      <c r="L212" s="60"/>
      <c r="M212" s="33"/>
    </row>
    <row r="213" spans="1:14" hidden="1" x14ac:dyDescent="0.25">
      <c r="A213" s="72">
        <f t="shared" ca="1" si="90"/>
        <v>43151</v>
      </c>
      <c r="B213" s="71">
        <v>1043</v>
      </c>
      <c r="C213" s="71">
        <f>637000-607</f>
        <v>636393</v>
      </c>
      <c r="D213" s="12">
        <f t="shared" si="99"/>
        <v>0.97497258724335178</v>
      </c>
      <c r="E213" s="20">
        <v>35</v>
      </c>
      <c r="F213" s="21">
        <f t="shared" ref="F213:F218" si="114">C213*$B$2</f>
        <v>636.39300000000003</v>
      </c>
      <c r="G213" s="17">
        <f t="shared" ref="G213:G218" si="115">+C213-F213</f>
        <v>635756.60699999996</v>
      </c>
      <c r="H213" s="17">
        <f t="shared" ref="H213:H218" si="116">+C213/D213</f>
        <v>652729.12113287672</v>
      </c>
      <c r="I213" s="20">
        <v>652000</v>
      </c>
      <c r="J213" s="54" t="s">
        <v>11</v>
      </c>
      <c r="K213" s="62"/>
      <c r="L213" s="60"/>
      <c r="M213" s="33"/>
    </row>
    <row r="214" spans="1:14" hidden="1" x14ac:dyDescent="0.25">
      <c r="A214" s="72">
        <f t="shared" ca="1" si="90"/>
        <v>43151</v>
      </c>
      <c r="B214" s="71">
        <v>12890</v>
      </c>
      <c r="C214" s="71">
        <f>723+94000</f>
        <v>94723</v>
      </c>
      <c r="D214" s="12">
        <f t="shared" si="99"/>
        <v>0.97497258724335178</v>
      </c>
      <c r="E214" s="20">
        <v>35</v>
      </c>
      <c r="F214" s="21">
        <f t="shared" si="114"/>
        <v>94.722999999999999</v>
      </c>
      <c r="G214" s="17">
        <f t="shared" si="115"/>
        <v>94628.277000000002</v>
      </c>
      <c r="H214" s="17">
        <f t="shared" si="116"/>
        <v>97154.526434246582</v>
      </c>
      <c r="I214" s="20">
        <f t="shared" si="103"/>
        <v>97000</v>
      </c>
      <c r="J214" s="54" t="s">
        <v>34</v>
      </c>
    </row>
    <row r="215" spans="1:14" hidden="1" x14ac:dyDescent="0.25">
      <c r="A215" s="72">
        <f t="shared" ca="1" si="90"/>
        <v>43151</v>
      </c>
      <c r="B215" s="71">
        <v>20191</v>
      </c>
      <c r="C215" s="71">
        <f>832+238000</f>
        <v>238832</v>
      </c>
      <c r="D215" s="12">
        <f t="shared" si="99"/>
        <v>0.97497258724335178</v>
      </c>
      <c r="E215" s="20">
        <v>35</v>
      </c>
      <c r="F215" s="21">
        <f t="shared" si="114"/>
        <v>238.83199999999999</v>
      </c>
      <c r="G215" s="17">
        <f t="shared" si="115"/>
        <v>238593.16800000001</v>
      </c>
      <c r="H215" s="17">
        <f t="shared" si="116"/>
        <v>244962.78472328768</v>
      </c>
      <c r="I215" s="20">
        <v>244000</v>
      </c>
      <c r="J215" s="54" t="s">
        <v>13</v>
      </c>
    </row>
    <row r="216" spans="1:14" hidden="1" x14ac:dyDescent="0.25">
      <c r="A216" s="72">
        <f t="shared" ca="1" si="90"/>
        <v>43151</v>
      </c>
      <c r="B216" s="71">
        <v>33393</v>
      </c>
      <c r="C216" s="71">
        <v>900000</v>
      </c>
      <c r="D216" s="12">
        <f t="shared" si="99"/>
        <v>0.97497258724335178</v>
      </c>
      <c r="E216" s="20">
        <v>35</v>
      </c>
      <c r="F216" s="21">
        <f t="shared" si="114"/>
        <v>900</v>
      </c>
      <c r="G216" s="17">
        <f t="shared" si="115"/>
        <v>899100</v>
      </c>
      <c r="H216" s="17">
        <f t="shared" si="116"/>
        <v>923102.87671232875</v>
      </c>
      <c r="I216" s="20">
        <f t="shared" si="103"/>
        <v>923000</v>
      </c>
      <c r="J216" s="54" t="s">
        <v>14</v>
      </c>
    </row>
    <row r="217" spans="1:14" hidden="1" x14ac:dyDescent="0.25">
      <c r="A217" s="72">
        <f t="shared" ca="1" si="90"/>
        <v>43151</v>
      </c>
      <c r="B217" s="71">
        <v>2000265</v>
      </c>
      <c r="C217" s="71">
        <v>249000</v>
      </c>
      <c r="D217" s="12">
        <f t="shared" si="99"/>
        <v>0.97497258724335178</v>
      </c>
      <c r="E217" s="20">
        <v>35</v>
      </c>
      <c r="F217" s="21">
        <f t="shared" si="114"/>
        <v>249</v>
      </c>
      <c r="G217" s="17">
        <f t="shared" si="115"/>
        <v>248751</v>
      </c>
      <c r="H217" s="17">
        <f t="shared" si="116"/>
        <v>255391.79589041095</v>
      </c>
      <c r="I217" s="57">
        <f t="shared" si="103"/>
        <v>255000</v>
      </c>
      <c r="J217" s="54" t="s">
        <v>39</v>
      </c>
    </row>
    <row r="218" spans="1:14" hidden="1" x14ac:dyDescent="0.25">
      <c r="A218" s="72">
        <f t="shared" ca="1" si="90"/>
        <v>43151</v>
      </c>
      <c r="B218" s="73">
        <v>33393</v>
      </c>
      <c r="C218" s="73">
        <v>170000</v>
      </c>
      <c r="D218" s="12">
        <f t="shared" si="99"/>
        <v>0.97497258724335178</v>
      </c>
      <c r="E218" s="20">
        <v>35</v>
      </c>
      <c r="F218" s="21">
        <f t="shared" si="114"/>
        <v>170</v>
      </c>
      <c r="G218" s="17">
        <f t="shared" si="115"/>
        <v>169830</v>
      </c>
      <c r="H218" s="17">
        <f t="shared" si="116"/>
        <v>174363.87671232878</v>
      </c>
      <c r="I218" s="20">
        <f t="shared" si="103"/>
        <v>174000</v>
      </c>
    </row>
    <row r="219" spans="1:14" hidden="1" x14ac:dyDescent="0.25">
      <c r="A219" s="87"/>
      <c r="B219" s="88"/>
      <c r="C219" s="88"/>
      <c r="D219" s="89"/>
      <c r="E219" s="90"/>
      <c r="F219" s="91"/>
      <c r="G219" s="92"/>
      <c r="H219" s="92"/>
      <c r="I219" s="90"/>
      <c r="J219" s="97"/>
      <c r="K219" s="62"/>
      <c r="L219" s="60"/>
      <c r="M219" s="33"/>
    </row>
    <row r="220" spans="1:14" hidden="1" x14ac:dyDescent="0.25">
      <c r="A220" s="72">
        <f t="shared" ca="1" si="90"/>
        <v>43151</v>
      </c>
      <c r="B220" s="29">
        <v>1043</v>
      </c>
      <c r="C220" s="29">
        <v>644000</v>
      </c>
      <c r="D220" s="12">
        <f t="shared" si="99"/>
        <v>0.97497258724335178</v>
      </c>
      <c r="E220" s="20">
        <v>35</v>
      </c>
      <c r="F220" s="21">
        <f t="shared" ref="F220:F225" si="117">C220*$B$2</f>
        <v>644</v>
      </c>
      <c r="G220" s="17">
        <f t="shared" ref="G220:G225" si="118">+C220-F220</f>
        <v>643356</v>
      </c>
      <c r="H220" s="17">
        <f t="shared" ref="H220:H225" si="119">+C220/D220</f>
        <v>660531.39178082196</v>
      </c>
      <c r="I220" s="20">
        <f t="shared" ref="I220:I225" si="120">MROUND(H220,1000)</f>
        <v>661000</v>
      </c>
      <c r="J220" s="31" t="s">
        <v>11</v>
      </c>
    </row>
    <row r="221" spans="1:14" hidden="1" x14ac:dyDescent="0.25">
      <c r="A221" s="72">
        <f t="shared" ca="1" si="90"/>
        <v>43151</v>
      </c>
      <c r="B221" s="29">
        <v>7026</v>
      </c>
      <c r="C221" s="29">
        <v>80000</v>
      </c>
      <c r="D221" s="12">
        <f t="shared" si="99"/>
        <v>0.97497258724335178</v>
      </c>
      <c r="E221" s="20">
        <v>35</v>
      </c>
      <c r="F221" s="21">
        <f t="shared" si="117"/>
        <v>80</v>
      </c>
      <c r="G221" s="17">
        <f t="shared" si="118"/>
        <v>79920</v>
      </c>
      <c r="H221" s="17">
        <f t="shared" si="119"/>
        <v>82053.589041095896</v>
      </c>
      <c r="I221" s="20">
        <f t="shared" si="120"/>
        <v>82000</v>
      </c>
      <c r="J221" s="31" t="s">
        <v>24</v>
      </c>
      <c r="K221" s="66">
        <v>280</v>
      </c>
      <c r="L221" s="65">
        <v>0.21</v>
      </c>
    </row>
    <row r="222" spans="1:14" hidden="1" x14ac:dyDescent="0.25">
      <c r="A222" s="72">
        <f t="shared" ca="1" si="90"/>
        <v>43151</v>
      </c>
      <c r="B222" s="29">
        <v>7378</v>
      </c>
      <c r="C222" s="29">
        <v>900000</v>
      </c>
      <c r="D222" s="12">
        <f t="shared" si="99"/>
        <v>0.97497258724335178</v>
      </c>
      <c r="E222" s="20">
        <v>35</v>
      </c>
      <c r="F222" s="21">
        <f t="shared" si="117"/>
        <v>900</v>
      </c>
      <c r="G222" s="17">
        <f t="shared" si="118"/>
        <v>899100</v>
      </c>
      <c r="H222" s="17">
        <f t="shared" si="119"/>
        <v>923102.87671232875</v>
      </c>
      <c r="I222" s="20">
        <f t="shared" si="120"/>
        <v>923000</v>
      </c>
      <c r="J222" s="31" t="s">
        <v>33</v>
      </c>
      <c r="N222" s="31"/>
    </row>
    <row r="223" spans="1:14" hidden="1" x14ac:dyDescent="0.25">
      <c r="A223" s="72">
        <f t="shared" ca="1" si="90"/>
        <v>43151</v>
      </c>
      <c r="B223" s="29">
        <v>20191</v>
      </c>
      <c r="C223" s="29">
        <v>232000</v>
      </c>
      <c r="D223" s="12">
        <f t="shared" si="99"/>
        <v>0.97497258724335178</v>
      </c>
      <c r="E223" s="20">
        <v>35</v>
      </c>
      <c r="F223" s="21">
        <f t="shared" si="117"/>
        <v>232</v>
      </c>
      <c r="G223" s="17">
        <f t="shared" si="118"/>
        <v>231768</v>
      </c>
      <c r="H223" s="17">
        <f t="shared" si="119"/>
        <v>237955.40821917809</v>
      </c>
      <c r="I223" s="20">
        <f t="shared" si="120"/>
        <v>238000</v>
      </c>
      <c r="J223" s="31" t="s">
        <v>13</v>
      </c>
      <c r="N223" s="31"/>
    </row>
    <row r="224" spans="1:14" hidden="1" x14ac:dyDescent="0.25">
      <c r="A224" s="72">
        <f t="shared" ca="1" si="90"/>
        <v>43151</v>
      </c>
      <c r="B224" s="29">
        <v>33393</v>
      </c>
      <c r="C224" s="29">
        <f>118000-600</f>
        <v>117400</v>
      </c>
      <c r="D224" s="12">
        <f t="shared" si="99"/>
        <v>0.97497258724335178</v>
      </c>
      <c r="E224" s="20">
        <v>35</v>
      </c>
      <c r="F224" s="21">
        <f t="shared" si="117"/>
        <v>117.4</v>
      </c>
      <c r="G224" s="17">
        <f t="shared" si="118"/>
        <v>117282.6</v>
      </c>
      <c r="H224" s="17">
        <f t="shared" si="119"/>
        <v>120413.64191780823</v>
      </c>
      <c r="I224" s="20">
        <f t="shared" si="120"/>
        <v>120000</v>
      </c>
      <c r="J224" s="31" t="s">
        <v>14</v>
      </c>
      <c r="N224" s="31"/>
    </row>
    <row r="225" spans="1:14" hidden="1" x14ac:dyDescent="0.25">
      <c r="A225" s="72">
        <f t="shared" ca="1" si="90"/>
        <v>43151</v>
      </c>
      <c r="B225" s="73">
        <v>7378</v>
      </c>
      <c r="C225" s="73">
        <v>347200</v>
      </c>
      <c r="D225" s="12">
        <f t="shared" si="99"/>
        <v>0.97497258724335178</v>
      </c>
      <c r="E225" s="20">
        <v>35</v>
      </c>
      <c r="F225" s="21">
        <f t="shared" si="117"/>
        <v>347.2</v>
      </c>
      <c r="G225" s="17">
        <f t="shared" si="118"/>
        <v>346852.8</v>
      </c>
      <c r="H225" s="17">
        <f t="shared" si="119"/>
        <v>356112.57643835619</v>
      </c>
      <c r="I225" s="20">
        <f t="shared" si="120"/>
        <v>356000</v>
      </c>
      <c r="J225" s="31" t="s">
        <v>33</v>
      </c>
      <c r="N225" s="31"/>
    </row>
    <row r="226" spans="1:14" hidden="1" x14ac:dyDescent="0.25">
      <c r="A226" s="74"/>
      <c r="B226" s="75"/>
      <c r="C226" s="75"/>
      <c r="D226" s="43"/>
      <c r="E226" s="44"/>
      <c r="F226" s="45"/>
      <c r="G226" s="42"/>
      <c r="H226" s="42"/>
      <c r="I226" s="44"/>
      <c r="J226" s="98"/>
      <c r="K226" s="29"/>
      <c r="L226" s="31"/>
      <c r="M226" s="29"/>
      <c r="N226" s="31"/>
    </row>
    <row r="227" spans="1:14" hidden="1" x14ac:dyDescent="0.25">
      <c r="A227" s="72">
        <f t="shared" ca="1" si="90"/>
        <v>43151</v>
      </c>
      <c r="B227" s="29">
        <v>7026</v>
      </c>
      <c r="C227" s="29">
        <f>576+195000</f>
        <v>195576</v>
      </c>
      <c r="D227" s="12">
        <f t="shared" si="99"/>
        <v>0.97497258724335178</v>
      </c>
      <c r="E227" s="20">
        <v>35</v>
      </c>
      <c r="F227" s="21">
        <f t="shared" ref="F227:F231" si="121">C227*$B$2</f>
        <v>195.57599999999999</v>
      </c>
      <c r="G227" s="17">
        <f t="shared" ref="G227:G231" si="122">+C227-F227</f>
        <v>195380.424</v>
      </c>
      <c r="H227" s="17">
        <f t="shared" ref="H227:H231" si="123">+C227/D227</f>
        <v>200596.40912876712</v>
      </c>
      <c r="I227" s="20">
        <v>200000</v>
      </c>
      <c r="J227" s="31" t="s">
        <v>24</v>
      </c>
      <c r="K227" s="29"/>
      <c r="N227" s="31"/>
    </row>
    <row r="228" spans="1:14" hidden="1" x14ac:dyDescent="0.25">
      <c r="A228" s="72">
        <f t="shared" ca="1" si="90"/>
        <v>43151</v>
      </c>
      <c r="B228" s="29">
        <v>14268</v>
      </c>
      <c r="C228" s="29">
        <f>298000-200</f>
        <v>297800</v>
      </c>
      <c r="D228" s="12">
        <f t="shared" si="99"/>
        <v>0.97497258724335178</v>
      </c>
      <c r="E228" s="20">
        <v>35</v>
      </c>
      <c r="F228" s="21">
        <f t="shared" si="121"/>
        <v>297.8</v>
      </c>
      <c r="G228" s="17">
        <f t="shared" si="122"/>
        <v>297502.2</v>
      </c>
      <c r="H228" s="17">
        <f t="shared" si="123"/>
        <v>305444.48520547949</v>
      </c>
      <c r="I228" s="20">
        <f t="shared" ref="I228:I232" si="124">MROUND(H228,1000)</f>
        <v>305000</v>
      </c>
      <c r="J228" s="31" t="s">
        <v>26</v>
      </c>
    </row>
    <row r="229" spans="1:14" hidden="1" x14ac:dyDescent="0.25">
      <c r="A229" s="72">
        <f t="shared" ca="1" si="90"/>
        <v>43151</v>
      </c>
      <c r="B229" s="29">
        <v>17282</v>
      </c>
      <c r="C229" s="29">
        <f>315000-2304</f>
        <v>312696</v>
      </c>
      <c r="D229" s="12">
        <f t="shared" si="99"/>
        <v>0.97497258724335178</v>
      </c>
      <c r="E229" s="20">
        <v>35</v>
      </c>
      <c r="F229" s="21">
        <f t="shared" si="121"/>
        <v>312.69600000000003</v>
      </c>
      <c r="G229" s="17">
        <f t="shared" si="122"/>
        <v>312383.304</v>
      </c>
      <c r="H229" s="17">
        <f t="shared" si="123"/>
        <v>320722.86348493153</v>
      </c>
      <c r="I229" s="20">
        <f t="shared" si="124"/>
        <v>321000</v>
      </c>
      <c r="J229" s="31" t="s">
        <v>27</v>
      </c>
    </row>
    <row r="230" spans="1:14" hidden="1" x14ac:dyDescent="0.25">
      <c r="A230" s="72">
        <f t="shared" ca="1" si="90"/>
        <v>43151</v>
      </c>
      <c r="B230" s="29">
        <v>130456</v>
      </c>
      <c r="C230" s="29">
        <v>266000</v>
      </c>
      <c r="D230" s="12">
        <f t="shared" si="99"/>
        <v>0.97497258724335178</v>
      </c>
      <c r="E230" s="20">
        <v>35</v>
      </c>
      <c r="F230" s="21">
        <f t="shared" si="121"/>
        <v>266</v>
      </c>
      <c r="G230" s="17">
        <f t="shared" si="122"/>
        <v>265734</v>
      </c>
      <c r="H230" s="17">
        <f t="shared" si="123"/>
        <v>272828.18356164382</v>
      </c>
      <c r="I230" s="20">
        <f t="shared" si="124"/>
        <v>273000</v>
      </c>
      <c r="J230" s="31" t="s">
        <v>35</v>
      </c>
    </row>
    <row r="231" spans="1:14" hidden="1" x14ac:dyDescent="0.25">
      <c r="A231" s="72">
        <f t="shared" ca="1" si="90"/>
        <v>43151</v>
      </c>
      <c r="B231" s="29">
        <v>200074</v>
      </c>
      <c r="C231" s="29">
        <v>307000</v>
      </c>
      <c r="D231" s="12">
        <f t="shared" si="99"/>
        <v>0.97497258724335178</v>
      </c>
      <c r="E231" s="20">
        <v>35</v>
      </c>
      <c r="F231" s="21">
        <f t="shared" si="121"/>
        <v>307</v>
      </c>
      <c r="G231" s="17">
        <f t="shared" si="122"/>
        <v>306693</v>
      </c>
      <c r="H231" s="17">
        <f t="shared" si="123"/>
        <v>314880.64794520551</v>
      </c>
      <c r="I231" s="20">
        <f t="shared" si="124"/>
        <v>315000</v>
      </c>
      <c r="J231" s="31" t="s">
        <v>43</v>
      </c>
    </row>
    <row r="232" spans="1:14" hidden="1" x14ac:dyDescent="0.25">
      <c r="A232" s="72">
        <f t="shared" ca="1" si="90"/>
        <v>43151</v>
      </c>
      <c r="B232" s="29">
        <v>700197</v>
      </c>
      <c r="C232" s="29">
        <v>36076</v>
      </c>
      <c r="D232" s="3">
        <f t="shared" ref="D232:D239" si="125">(1/(1+($B$1*E232/365)))</f>
        <v>0.97497258724335178</v>
      </c>
      <c r="E232">
        <v>35</v>
      </c>
      <c r="F232" s="21">
        <f t="shared" ref="F232" si="126">C232*$B$2</f>
        <v>36.076000000000001</v>
      </c>
      <c r="G232" s="17">
        <f t="shared" ref="G232" si="127">+C232-F232</f>
        <v>36039.923999999999</v>
      </c>
      <c r="H232" s="17">
        <f t="shared" ref="H232" si="128">+C232/D232</f>
        <v>37002.065978082195</v>
      </c>
      <c r="I232">
        <f t="shared" si="124"/>
        <v>37000</v>
      </c>
      <c r="J232" s="31"/>
    </row>
    <row r="233" spans="1:14" hidden="1" x14ac:dyDescent="0.25">
      <c r="A233" s="82"/>
      <c r="B233" s="93"/>
      <c r="C233" s="93"/>
      <c r="D233" s="101"/>
      <c r="E233" s="83"/>
      <c r="F233" s="28"/>
      <c r="G233" s="25"/>
      <c r="H233" s="25"/>
      <c r="I233" s="83"/>
      <c r="J233" s="102"/>
    </row>
    <row r="234" spans="1:14" hidden="1" x14ac:dyDescent="0.25">
      <c r="A234" s="72">
        <f t="shared" ca="1" si="90"/>
        <v>43151</v>
      </c>
      <c r="B234" s="99">
        <v>1904</v>
      </c>
      <c r="C234" s="99">
        <f>644+69000</f>
        <v>69644</v>
      </c>
      <c r="D234" s="3">
        <f t="shared" si="125"/>
        <v>0.97497258724335178</v>
      </c>
      <c r="E234">
        <v>35</v>
      </c>
      <c r="F234" s="21">
        <f t="shared" ref="F234:F243" si="129">C234*$B$2</f>
        <v>69.644000000000005</v>
      </c>
      <c r="G234" s="17">
        <f t="shared" ref="G234:G243" si="130">+C234-F234</f>
        <v>69574.356</v>
      </c>
      <c r="H234" s="17">
        <f t="shared" ref="H234:H243" si="131">+C234/D234</f>
        <v>71431.751939726033</v>
      </c>
      <c r="I234" s="104">
        <v>71000</v>
      </c>
      <c r="J234" s="100" t="s">
        <v>32</v>
      </c>
    </row>
    <row r="235" spans="1:14" hidden="1" x14ac:dyDescent="0.25">
      <c r="A235" s="72">
        <f t="shared" ca="1" si="90"/>
        <v>43151</v>
      </c>
      <c r="B235" s="99">
        <v>7026</v>
      </c>
      <c r="C235" s="99">
        <f>292+481000</f>
        <v>481292</v>
      </c>
      <c r="D235" s="3">
        <f t="shared" si="125"/>
        <v>0.97497258724335178</v>
      </c>
      <c r="E235">
        <v>35</v>
      </c>
      <c r="F235" s="21">
        <f t="shared" si="129"/>
        <v>481.29200000000003</v>
      </c>
      <c r="G235" s="17">
        <f t="shared" si="130"/>
        <v>480810.70799999998</v>
      </c>
      <c r="H235" s="17">
        <f t="shared" si="131"/>
        <v>493646.69970958907</v>
      </c>
      <c r="I235" s="104">
        <v>493000</v>
      </c>
      <c r="J235" s="100" t="s">
        <v>24</v>
      </c>
    </row>
    <row r="236" spans="1:14" hidden="1" x14ac:dyDescent="0.25">
      <c r="A236" s="72">
        <f t="shared" ca="1" si="90"/>
        <v>43151</v>
      </c>
      <c r="B236" s="99">
        <v>7378</v>
      </c>
      <c r="C236" s="99">
        <v>892000</v>
      </c>
      <c r="D236" s="3">
        <f t="shared" si="125"/>
        <v>0.97497258724335178</v>
      </c>
      <c r="E236">
        <v>35</v>
      </c>
      <c r="F236" s="21">
        <f t="shared" si="129"/>
        <v>892</v>
      </c>
      <c r="G236" s="17">
        <f t="shared" si="130"/>
        <v>891108</v>
      </c>
      <c r="H236" s="17">
        <f t="shared" si="131"/>
        <v>914897.51780821919</v>
      </c>
      <c r="I236" s="104">
        <v>914000</v>
      </c>
      <c r="J236" s="100" t="s">
        <v>33</v>
      </c>
    </row>
    <row r="237" spans="1:14" hidden="1" x14ac:dyDescent="0.25">
      <c r="A237" s="72">
        <f t="shared" ca="1" si="90"/>
        <v>43151</v>
      </c>
      <c r="B237" s="99">
        <v>7378</v>
      </c>
      <c r="C237" s="99">
        <v>900000</v>
      </c>
      <c r="D237" s="3">
        <f t="shared" ref="D237" si="132">(1/(1+($B$1*E237/365)))</f>
        <v>0.97497258724335178</v>
      </c>
      <c r="E237">
        <v>35</v>
      </c>
      <c r="F237" s="21">
        <f t="shared" ref="F237" si="133">C237*$B$2</f>
        <v>900</v>
      </c>
      <c r="G237" s="17">
        <f t="shared" ref="G237" si="134">+C237-F237</f>
        <v>899100</v>
      </c>
      <c r="H237" s="17">
        <f t="shared" ref="H237" si="135">+C237/D237</f>
        <v>923102.87671232875</v>
      </c>
      <c r="I237" s="104">
        <v>923000</v>
      </c>
      <c r="J237" s="100" t="s">
        <v>33</v>
      </c>
    </row>
    <row r="238" spans="1:14" hidden="1" x14ac:dyDescent="0.25">
      <c r="A238" s="72">
        <f t="shared" ca="1" si="90"/>
        <v>43151</v>
      </c>
      <c r="B238" s="99">
        <v>12033</v>
      </c>
      <c r="C238" s="99">
        <f>327000-610</f>
        <v>326390</v>
      </c>
      <c r="D238" s="3">
        <f t="shared" si="125"/>
        <v>0.97497258724335178</v>
      </c>
      <c r="E238">
        <v>35</v>
      </c>
      <c r="F238" s="21">
        <f t="shared" si="129"/>
        <v>326.39</v>
      </c>
      <c r="G238" s="17">
        <f t="shared" si="130"/>
        <v>326063.61</v>
      </c>
      <c r="H238" s="17">
        <f t="shared" si="131"/>
        <v>334768.3865890411</v>
      </c>
      <c r="I238" s="104">
        <v>334000</v>
      </c>
      <c r="J238" s="100" t="s">
        <v>37</v>
      </c>
    </row>
    <row r="239" spans="1:14" hidden="1" x14ac:dyDescent="0.25">
      <c r="A239" s="72">
        <f t="shared" ca="1" si="90"/>
        <v>43151</v>
      </c>
      <c r="B239" s="99">
        <v>12890</v>
      </c>
      <c r="C239" s="99">
        <f>121000-11000</f>
        <v>110000</v>
      </c>
      <c r="D239" s="3">
        <f t="shared" si="125"/>
        <v>0.97497258724335178</v>
      </c>
      <c r="E239">
        <v>35</v>
      </c>
      <c r="F239" s="21">
        <f t="shared" si="129"/>
        <v>110</v>
      </c>
      <c r="G239" s="17">
        <f t="shared" si="130"/>
        <v>109890</v>
      </c>
      <c r="H239" s="17">
        <f t="shared" si="131"/>
        <v>112823.68493150685</v>
      </c>
      <c r="I239" s="104">
        <v>112000</v>
      </c>
      <c r="J239" s="100" t="s">
        <v>34</v>
      </c>
    </row>
    <row r="240" spans="1:14" hidden="1" x14ac:dyDescent="0.25">
      <c r="A240" s="72">
        <f t="shared" ca="1" si="90"/>
        <v>43151</v>
      </c>
      <c r="B240" s="99">
        <v>17282</v>
      </c>
      <c r="C240" s="99">
        <v>789000</v>
      </c>
      <c r="D240" s="3">
        <f t="shared" ref="D240:D242" si="136">(1/(1+($B$1*E240/365)))</f>
        <v>0.97497258724335178</v>
      </c>
      <c r="E240">
        <v>35</v>
      </c>
      <c r="F240" s="21">
        <f t="shared" si="129"/>
        <v>789</v>
      </c>
      <c r="G240" s="17">
        <f t="shared" si="130"/>
        <v>788211</v>
      </c>
      <c r="H240" s="17">
        <f t="shared" si="131"/>
        <v>809253.52191780822</v>
      </c>
      <c r="I240" s="104">
        <v>809000</v>
      </c>
      <c r="J240" s="100" t="s">
        <v>27</v>
      </c>
    </row>
    <row r="241" spans="1:10" hidden="1" x14ac:dyDescent="0.25">
      <c r="A241" s="72">
        <f t="shared" ca="1" si="90"/>
        <v>43151</v>
      </c>
      <c r="B241" s="99">
        <v>130456</v>
      </c>
      <c r="C241" s="99">
        <f>1100+40000</f>
        <v>41100</v>
      </c>
      <c r="D241" s="3">
        <f t="shared" si="136"/>
        <v>0.97497258724335178</v>
      </c>
      <c r="E241">
        <v>35</v>
      </c>
      <c r="F241" s="21">
        <f t="shared" si="129"/>
        <v>41.1</v>
      </c>
      <c r="G241" s="17">
        <f t="shared" si="130"/>
        <v>41058.9</v>
      </c>
      <c r="H241" s="17">
        <f t="shared" si="131"/>
        <v>42155.031369863013</v>
      </c>
      <c r="I241" s="104">
        <v>42000</v>
      </c>
      <c r="J241" s="100" t="s">
        <v>35</v>
      </c>
    </row>
    <row r="242" spans="1:10" hidden="1" x14ac:dyDescent="0.25">
      <c r="A242" s="72">
        <f t="shared" ca="1" si="90"/>
        <v>43151</v>
      </c>
      <c r="B242" s="99">
        <v>700197</v>
      </c>
      <c r="C242" s="99">
        <v>502000</v>
      </c>
      <c r="D242" s="3">
        <f t="shared" si="136"/>
        <v>0.97497258724335178</v>
      </c>
      <c r="E242">
        <v>35</v>
      </c>
      <c r="F242" s="21">
        <f t="shared" si="129"/>
        <v>502</v>
      </c>
      <c r="G242" s="17">
        <f t="shared" si="130"/>
        <v>501498</v>
      </c>
      <c r="H242" s="17">
        <f t="shared" si="131"/>
        <v>514886.27123287675</v>
      </c>
      <c r="I242" s="104">
        <v>514000</v>
      </c>
      <c r="J242" s="100" t="s">
        <v>36</v>
      </c>
    </row>
    <row r="243" spans="1:10" hidden="1" x14ac:dyDescent="0.25">
      <c r="A243" s="72">
        <f t="shared" ca="1" si="90"/>
        <v>43151</v>
      </c>
      <c r="B243" s="99">
        <v>2000322</v>
      </c>
      <c r="C243" s="99">
        <f>-765+575000</f>
        <v>574235</v>
      </c>
      <c r="D243" s="3">
        <f t="shared" ref="D243:D258" si="137">(1/(1+($B$1*E243/365)))</f>
        <v>0.97497258724335178</v>
      </c>
      <c r="E243">
        <v>35</v>
      </c>
      <c r="F243" s="21">
        <f t="shared" si="129"/>
        <v>574.23500000000001</v>
      </c>
      <c r="G243" s="17">
        <f t="shared" si="130"/>
        <v>573660.76500000001</v>
      </c>
      <c r="H243" s="17">
        <f t="shared" si="131"/>
        <v>588975.53378767124</v>
      </c>
      <c r="I243" s="104">
        <v>588000</v>
      </c>
      <c r="J243" s="100" t="s">
        <v>44</v>
      </c>
    </row>
    <row r="244" spans="1:10" hidden="1" x14ac:dyDescent="0.25">
      <c r="A244" s="82"/>
      <c r="B244" s="105"/>
      <c r="C244" s="105"/>
      <c r="D244" s="101"/>
      <c r="E244" s="83"/>
      <c r="F244" s="28"/>
      <c r="G244" s="25"/>
      <c r="H244" s="25"/>
      <c r="I244" s="106"/>
      <c r="J244" s="107"/>
    </row>
    <row r="245" spans="1:10" hidden="1" x14ac:dyDescent="0.25">
      <c r="A245" s="72">
        <f t="shared" ca="1" si="90"/>
        <v>43151</v>
      </c>
      <c r="B245" s="108">
        <v>14168</v>
      </c>
      <c r="C245" s="103">
        <v>900000</v>
      </c>
      <c r="D245" s="3">
        <f t="shared" si="137"/>
        <v>0.97497258724335178</v>
      </c>
      <c r="E245">
        <v>35</v>
      </c>
      <c r="F245" s="21">
        <f t="shared" ref="F245:F246" si="138">C245*$B$2</f>
        <v>900</v>
      </c>
      <c r="G245" s="17">
        <f t="shared" ref="G245:G246" si="139">+C245-F245</f>
        <v>899100</v>
      </c>
      <c r="H245" s="17">
        <f t="shared" ref="H245:H246" si="140">+C245/D245</f>
        <v>923102.87671232875</v>
      </c>
      <c r="I245" s="38">
        <f t="shared" ref="I245:I255" si="141">MROUND(H245,1000)</f>
        <v>923000</v>
      </c>
    </row>
    <row r="246" spans="1:10" hidden="1" x14ac:dyDescent="0.25">
      <c r="A246" s="72">
        <f t="shared" ca="1" si="90"/>
        <v>43151</v>
      </c>
      <c r="B246" s="108">
        <v>14168</v>
      </c>
      <c r="C246" s="103">
        <f>1423500-C245</f>
        <v>523500</v>
      </c>
      <c r="D246" s="3">
        <f t="shared" si="137"/>
        <v>0.97497258724335178</v>
      </c>
      <c r="E246">
        <v>35</v>
      </c>
      <c r="F246" s="21">
        <f t="shared" si="138"/>
        <v>523.5</v>
      </c>
      <c r="G246" s="17">
        <f t="shared" si="139"/>
        <v>522976.5</v>
      </c>
      <c r="H246" s="17">
        <f t="shared" si="140"/>
        <v>536938.17328767129</v>
      </c>
      <c r="I246" s="38">
        <f t="shared" si="141"/>
        <v>537000</v>
      </c>
    </row>
    <row r="247" spans="1:10" hidden="1" x14ac:dyDescent="0.25">
      <c r="A247" s="72">
        <f t="shared" ca="1" si="90"/>
        <v>43151</v>
      </c>
      <c r="B247" s="108">
        <v>21466</v>
      </c>
      <c r="C247">
        <v>325000</v>
      </c>
      <c r="D247" s="3">
        <f t="shared" si="137"/>
        <v>0.97497258724335178</v>
      </c>
      <c r="E247">
        <v>35</v>
      </c>
      <c r="F247" s="21">
        <f t="shared" ref="F247" si="142">C247*$B$2</f>
        <v>325</v>
      </c>
      <c r="G247" s="17">
        <f t="shared" ref="G247" si="143">+C247-F247</f>
        <v>324675</v>
      </c>
      <c r="H247" s="17">
        <f t="shared" ref="H247" si="144">+C247/D247</f>
        <v>333342.7054794521</v>
      </c>
      <c r="I247" s="38">
        <f t="shared" ref="I247" si="145">MROUND(H247,1000)</f>
        <v>333000</v>
      </c>
    </row>
    <row r="248" spans="1:10" hidden="1" x14ac:dyDescent="0.25">
      <c r="A248" s="82"/>
      <c r="B248" s="105"/>
      <c r="C248" s="83"/>
      <c r="D248" s="101"/>
      <c r="E248" s="83"/>
      <c r="F248" s="28"/>
      <c r="G248" s="25"/>
      <c r="H248" s="25"/>
      <c r="I248" s="106"/>
      <c r="J248" s="109"/>
    </row>
    <row r="249" spans="1:10" hidden="1" x14ac:dyDescent="0.25">
      <c r="A249" s="72">
        <f t="shared" ca="1" si="90"/>
        <v>43151</v>
      </c>
      <c r="B249" s="110">
        <v>1043</v>
      </c>
      <c r="C249" s="110">
        <v>900000</v>
      </c>
      <c r="D249" s="111">
        <f t="shared" si="137"/>
        <v>0.97497258724335178</v>
      </c>
      <c r="E249" s="33">
        <v>35</v>
      </c>
      <c r="F249" s="21">
        <f t="shared" ref="F249:F252" si="146">C249*$B$2</f>
        <v>900</v>
      </c>
      <c r="G249" s="17">
        <f t="shared" ref="G249:G252" si="147">+C249-F249</f>
        <v>899100</v>
      </c>
      <c r="H249" s="17">
        <f t="shared" ref="H249:H252" si="148">+C249/D249</f>
        <v>923102.87671232875</v>
      </c>
      <c r="I249" s="104">
        <f t="shared" ref="I249:I252" si="149">MROUND(H249,1000)</f>
        <v>923000</v>
      </c>
      <c r="J249" s="112" t="s">
        <v>11</v>
      </c>
    </row>
    <row r="250" spans="1:10" hidden="1" x14ac:dyDescent="0.25">
      <c r="A250" s="72">
        <f t="shared" ca="1" si="90"/>
        <v>43151</v>
      </c>
      <c r="B250" s="110">
        <v>1043</v>
      </c>
      <c r="C250" s="110">
        <v>484300</v>
      </c>
      <c r="D250" s="111">
        <f t="shared" si="137"/>
        <v>0.97497258724335178</v>
      </c>
      <c r="E250" s="33">
        <v>35</v>
      </c>
      <c r="F250" s="21">
        <f t="shared" si="146"/>
        <v>484.3</v>
      </c>
      <c r="G250" s="17">
        <f t="shared" si="147"/>
        <v>483815.7</v>
      </c>
      <c r="H250" s="17">
        <f t="shared" si="148"/>
        <v>496731.91465753427</v>
      </c>
      <c r="I250" s="104">
        <f t="shared" si="149"/>
        <v>497000</v>
      </c>
      <c r="J250" s="112" t="s">
        <v>13</v>
      </c>
    </row>
    <row r="251" spans="1:10" hidden="1" x14ac:dyDescent="0.25">
      <c r="A251" s="72">
        <f t="shared" ca="1" si="90"/>
        <v>43151</v>
      </c>
      <c r="B251" s="110">
        <v>33393</v>
      </c>
      <c r="C251" s="110">
        <v>900000</v>
      </c>
      <c r="D251" s="111">
        <f t="shared" si="137"/>
        <v>0.97497258724335178</v>
      </c>
      <c r="E251" s="33">
        <v>35</v>
      </c>
      <c r="F251" s="21">
        <f t="shared" si="146"/>
        <v>900</v>
      </c>
      <c r="G251" s="17">
        <f t="shared" si="147"/>
        <v>899100</v>
      </c>
      <c r="H251" s="17">
        <f t="shared" si="148"/>
        <v>923102.87671232875</v>
      </c>
      <c r="I251" s="104">
        <f t="shared" si="149"/>
        <v>923000</v>
      </c>
      <c r="J251" s="112" t="s">
        <v>14</v>
      </c>
    </row>
    <row r="252" spans="1:10" hidden="1" x14ac:dyDescent="0.25">
      <c r="A252" s="72">
        <f t="shared" ca="1" si="90"/>
        <v>43151</v>
      </c>
      <c r="B252" s="110">
        <v>2000265</v>
      </c>
      <c r="C252" s="110">
        <v>255000</v>
      </c>
      <c r="D252" s="111">
        <f t="shared" si="137"/>
        <v>0.97497258724335178</v>
      </c>
      <c r="E252" s="33">
        <v>35</v>
      </c>
      <c r="F252" s="21">
        <f t="shared" si="146"/>
        <v>255</v>
      </c>
      <c r="G252" s="17">
        <f t="shared" si="147"/>
        <v>254745</v>
      </c>
      <c r="H252" s="17">
        <f t="shared" si="148"/>
        <v>261545.81506849316</v>
      </c>
      <c r="I252" s="104">
        <f t="shared" si="149"/>
        <v>262000</v>
      </c>
      <c r="J252" s="112" t="s">
        <v>39</v>
      </c>
    </row>
    <row r="253" spans="1:10" hidden="1" x14ac:dyDescent="0.25">
      <c r="A253" s="72">
        <f t="shared" ca="1" si="90"/>
        <v>43151</v>
      </c>
      <c r="B253" s="113">
        <v>20191</v>
      </c>
      <c r="C253" s="33">
        <v>197739</v>
      </c>
      <c r="D253" s="111">
        <f t="shared" si="137"/>
        <v>0.97497258724335178</v>
      </c>
      <c r="E253" s="33">
        <v>35</v>
      </c>
      <c r="F253" s="33">
        <f t="shared" ref="F253:F258" si="150">C253*$B$2</f>
        <v>197.739</v>
      </c>
      <c r="G253" s="33">
        <f t="shared" ref="G253:G258" si="151">+C253-F253</f>
        <v>197541.261</v>
      </c>
      <c r="H253" s="121">
        <f t="shared" ref="H253:H258" si="152">+C253/D253</f>
        <v>202814.93304246577</v>
      </c>
      <c r="I253" s="114">
        <f t="shared" si="141"/>
        <v>203000</v>
      </c>
    </row>
    <row r="254" spans="1:10" hidden="1" x14ac:dyDescent="0.25">
      <c r="A254" s="72">
        <f t="shared" ca="1" si="90"/>
        <v>43151</v>
      </c>
      <c r="B254" s="113">
        <v>20191</v>
      </c>
      <c r="C254" s="113">
        <v>900000</v>
      </c>
      <c r="D254" s="3">
        <f t="shared" si="137"/>
        <v>0.97497258724335178</v>
      </c>
      <c r="E254">
        <v>35</v>
      </c>
      <c r="F254">
        <f t="shared" si="150"/>
        <v>900</v>
      </c>
      <c r="G254">
        <f t="shared" si="151"/>
        <v>899100</v>
      </c>
      <c r="H254" s="122">
        <f t="shared" si="152"/>
        <v>923102.87671232875</v>
      </c>
      <c r="I254" s="104">
        <f t="shared" si="141"/>
        <v>923000</v>
      </c>
    </row>
    <row r="255" spans="1:10" hidden="1" x14ac:dyDescent="0.25">
      <c r="A255" s="72">
        <f t="shared" ca="1" si="90"/>
        <v>43151</v>
      </c>
      <c r="B255" s="113">
        <v>33393</v>
      </c>
      <c r="C255" s="103">
        <f>1097000-900000</f>
        <v>197000</v>
      </c>
      <c r="D255" s="3">
        <f t="shared" si="137"/>
        <v>0.97497258724335178</v>
      </c>
      <c r="E255">
        <v>35</v>
      </c>
      <c r="F255">
        <f t="shared" si="150"/>
        <v>197</v>
      </c>
      <c r="G255">
        <f t="shared" si="151"/>
        <v>196803</v>
      </c>
      <c r="H255" s="122">
        <f t="shared" si="152"/>
        <v>202056.96301369864</v>
      </c>
      <c r="I255" s="104">
        <f t="shared" si="141"/>
        <v>202000</v>
      </c>
    </row>
    <row r="256" spans="1:10" hidden="1" x14ac:dyDescent="0.25">
      <c r="A256" s="82"/>
      <c r="B256" s="117"/>
      <c r="C256" s="118"/>
      <c r="D256" s="101"/>
      <c r="E256" s="83"/>
      <c r="F256" s="83"/>
      <c r="G256" s="83"/>
      <c r="H256" s="123"/>
      <c r="I256" s="106"/>
      <c r="J256" s="109"/>
    </row>
    <row r="257" spans="1:14" hidden="1" x14ac:dyDescent="0.25">
      <c r="A257" s="72">
        <f t="shared" ca="1" si="90"/>
        <v>43151</v>
      </c>
      <c r="B257" s="119">
        <v>1043</v>
      </c>
      <c r="C257" s="116">
        <f>661000-2218</f>
        <v>658782</v>
      </c>
      <c r="D257" s="3">
        <f t="shared" ref="D257" si="153">(1/(1+($B$1*E257/365)))</f>
        <v>0.97497258724335178</v>
      </c>
      <c r="E257">
        <v>35</v>
      </c>
      <c r="F257">
        <f t="shared" ref="F257" si="154">C257*$B$2</f>
        <v>658.78200000000004</v>
      </c>
      <c r="G257">
        <f t="shared" ref="G257" si="155">+C257-F257</f>
        <v>658123.21799999999</v>
      </c>
      <c r="H257" s="122">
        <f t="shared" ref="H257" si="156">+C257/D257</f>
        <v>675692.84369589039</v>
      </c>
      <c r="I257" s="104">
        <v>674000</v>
      </c>
      <c r="J257" s="115" t="s">
        <v>11</v>
      </c>
    </row>
    <row r="258" spans="1:14" hidden="1" x14ac:dyDescent="0.25">
      <c r="A258" s="72">
        <f t="shared" ref="A258:A327" ca="1" si="157">TODAY()</f>
        <v>43151</v>
      </c>
      <c r="B258" s="119">
        <v>7026</v>
      </c>
      <c r="C258" s="116">
        <v>82000</v>
      </c>
      <c r="D258" s="3">
        <f t="shared" si="137"/>
        <v>0.97497258724335178</v>
      </c>
      <c r="E258">
        <v>35</v>
      </c>
      <c r="F258">
        <f t="shared" si="150"/>
        <v>82</v>
      </c>
      <c r="G258">
        <f t="shared" si="151"/>
        <v>81918</v>
      </c>
      <c r="H258" s="122">
        <f t="shared" si="152"/>
        <v>84104.928767123289</v>
      </c>
      <c r="I258" s="104">
        <v>84000</v>
      </c>
      <c r="J258" s="115" t="s">
        <v>24</v>
      </c>
      <c r="M258" s="116"/>
    </row>
    <row r="259" spans="1:14" hidden="1" x14ac:dyDescent="0.25">
      <c r="A259" s="72">
        <f t="shared" ca="1" si="90"/>
        <v>43151</v>
      </c>
      <c r="B259" s="119">
        <v>7378</v>
      </c>
      <c r="C259" s="116">
        <v>900000</v>
      </c>
      <c r="D259" s="3">
        <f t="shared" ref="D259:D271" si="158">(1/(1+($B$1*E259/365)))</f>
        <v>0.97497258724335178</v>
      </c>
      <c r="E259">
        <v>35</v>
      </c>
      <c r="F259">
        <f t="shared" ref="F259:F271" si="159">C259*$B$2</f>
        <v>900</v>
      </c>
      <c r="G259">
        <f t="shared" ref="G259:G271" si="160">+C259-F259</f>
        <v>899100</v>
      </c>
      <c r="H259" s="122">
        <f t="shared" ref="H259:H271" si="161">+C259/D259</f>
        <v>923102.87671232875</v>
      </c>
      <c r="I259" s="104">
        <v>921000</v>
      </c>
      <c r="J259" s="115" t="s">
        <v>33</v>
      </c>
      <c r="M259" s="116"/>
    </row>
    <row r="260" spans="1:14" hidden="1" x14ac:dyDescent="0.25">
      <c r="A260" s="72">
        <f t="shared" ca="1" si="157"/>
        <v>43151</v>
      </c>
      <c r="B260" s="119">
        <v>20191</v>
      </c>
      <c r="C260" s="116">
        <v>238000</v>
      </c>
      <c r="D260" s="3">
        <f t="shared" si="158"/>
        <v>0.97497258724335178</v>
      </c>
      <c r="E260">
        <v>35</v>
      </c>
      <c r="F260">
        <f t="shared" si="159"/>
        <v>238</v>
      </c>
      <c r="G260">
        <f t="shared" si="160"/>
        <v>237762</v>
      </c>
      <c r="H260" s="122">
        <f t="shared" si="161"/>
        <v>244109.4273972603</v>
      </c>
      <c r="I260" s="104">
        <v>243000</v>
      </c>
      <c r="J260" s="115" t="s">
        <v>13</v>
      </c>
      <c r="M260" s="116"/>
    </row>
    <row r="261" spans="1:14" hidden="1" x14ac:dyDescent="0.25">
      <c r="A261" s="72">
        <f t="shared" ca="1" si="157"/>
        <v>43151</v>
      </c>
      <c r="B261" s="119">
        <v>33393</v>
      </c>
      <c r="C261" s="116">
        <f>18300+120000</f>
        <v>138300</v>
      </c>
      <c r="D261" s="3">
        <f t="shared" si="158"/>
        <v>0.97497258724335178</v>
      </c>
      <c r="E261">
        <v>35</v>
      </c>
      <c r="F261">
        <f t="shared" si="159"/>
        <v>138.30000000000001</v>
      </c>
      <c r="G261">
        <f t="shared" si="160"/>
        <v>138161.70000000001</v>
      </c>
      <c r="H261" s="122">
        <f t="shared" si="161"/>
        <v>141850.14205479453</v>
      </c>
      <c r="I261" s="104">
        <v>141000</v>
      </c>
      <c r="J261" s="115" t="s">
        <v>14</v>
      </c>
      <c r="M261" s="116"/>
    </row>
    <row r="262" spans="1:14" hidden="1" x14ac:dyDescent="0.25">
      <c r="A262" s="72">
        <f t="shared" ca="1" si="157"/>
        <v>43151</v>
      </c>
      <c r="B262" s="120">
        <v>7378</v>
      </c>
      <c r="C262" s="116">
        <f>434500+379000</f>
        <v>813500</v>
      </c>
      <c r="D262" s="3">
        <f t="shared" si="158"/>
        <v>0.97497258724335178</v>
      </c>
      <c r="E262">
        <v>35</v>
      </c>
      <c r="F262">
        <f t="shared" si="159"/>
        <v>813.5</v>
      </c>
      <c r="G262">
        <f t="shared" si="160"/>
        <v>812686.5</v>
      </c>
      <c r="H262" s="122">
        <f t="shared" si="161"/>
        <v>834382.43356164382</v>
      </c>
      <c r="I262" s="104">
        <v>832000</v>
      </c>
      <c r="J262" s="115" t="s">
        <v>33</v>
      </c>
      <c r="M262" s="116"/>
    </row>
    <row r="263" spans="1:14" hidden="1" x14ac:dyDescent="0.25">
      <c r="A263" s="82"/>
      <c r="B263" s="124"/>
      <c r="C263" s="125"/>
      <c r="D263" s="101"/>
      <c r="E263" s="83"/>
      <c r="F263" s="83"/>
      <c r="G263" s="83"/>
      <c r="H263" s="123"/>
      <c r="I263" s="106"/>
      <c r="J263" s="126"/>
      <c r="M263" s="116"/>
    </row>
    <row r="264" spans="1:14" hidden="1" x14ac:dyDescent="0.25">
      <c r="A264" s="72">
        <f t="shared" ca="1" si="157"/>
        <v>43151</v>
      </c>
      <c r="B264" s="29">
        <v>7026</v>
      </c>
      <c r="C264" s="29">
        <f>-400+200000</f>
        <v>199600</v>
      </c>
      <c r="D264" s="111">
        <f t="shared" si="158"/>
        <v>0.97497258724335178</v>
      </c>
      <c r="E264" s="33">
        <v>35</v>
      </c>
      <c r="F264" s="33">
        <f t="shared" si="159"/>
        <v>199.6</v>
      </c>
      <c r="G264" s="33">
        <f t="shared" si="160"/>
        <v>199400.4</v>
      </c>
      <c r="H264" s="33">
        <f t="shared" si="161"/>
        <v>204723.70465753425</v>
      </c>
      <c r="I264" s="114">
        <f t="shared" ref="I264:I269" si="162">MROUND(H264,1000)</f>
        <v>205000</v>
      </c>
      <c r="J264" s="31" t="s">
        <v>24</v>
      </c>
    </row>
    <row r="265" spans="1:14" hidden="1" x14ac:dyDescent="0.25">
      <c r="A265" s="72">
        <f t="shared" ca="1" si="157"/>
        <v>43151</v>
      </c>
      <c r="B265" s="29">
        <v>14268</v>
      </c>
      <c r="C265" s="29">
        <v>305000</v>
      </c>
      <c r="D265" s="111">
        <f t="shared" si="158"/>
        <v>0.97497258724335178</v>
      </c>
      <c r="E265" s="33">
        <v>35</v>
      </c>
      <c r="F265" s="33">
        <f t="shared" si="159"/>
        <v>305</v>
      </c>
      <c r="G265" s="33">
        <f t="shared" si="160"/>
        <v>304695</v>
      </c>
      <c r="H265" s="33">
        <f t="shared" si="161"/>
        <v>312829.30821917811</v>
      </c>
      <c r="I265" s="114">
        <f t="shared" si="162"/>
        <v>313000</v>
      </c>
      <c r="J265" s="31" t="s">
        <v>26</v>
      </c>
    </row>
    <row r="266" spans="1:14" hidden="1" x14ac:dyDescent="0.25">
      <c r="A266" s="72">
        <f t="shared" ca="1" si="157"/>
        <v>43151</v>
      </c>
      <c r="B266" s="29">
        <v>17282</v>
      </c>
      <c r="C266" s="29">
        <f>-51000+320000</f>
        <v>269000</v>
      </c>
      <c r="D266" s="111">
        <f t="shared" si="158"/>
        <v>0.97497258724335178</v>
      </c>
      <c r="E266" s="33">
        <v>35</v>
      </c>
      <c r="F266" s="33">
        <f t="shared" si="159"/>
        <v>269</v>
      </c>
      <c r="G266" s="33">
        <f t="shared" si="160"/>
        <v>268731</v>
      </c>
      <c r="H266" s="33">
        <f t="shared" si="161"/>
        <v>275905.19315068494</v>
      </c>
      <c r="I266" s="114">
        <f t="shared" si="162"/>
        <v>276000</v>
      </c>
      <c r="J266" s="31" t="s">
        <v>27</v>
      </c>
    </row>
    <row r="267" spans="1:14" hidden="1" x14ac:dyDescent="0.25">
      <c r="A267" s="72">
        <f t="shared" ca="1" si="157"/>
        <v>43151</v>
      </c>
      <c r="B267" s="29">
        <v>120004</v>
      </c>
      <c r="C267" s="29">
        <v>170000</v>
      </c>
      <c r="D267" s="111">
        <f t="shared" si="158"/>
        <v>0.97497258724335178</v>
      </c>
      <c r="E267" s="33">
        <v>35</v>
      </c>
      <c r="F267" s="33">
        <f t="shared" si="159"/>
        <v>170</v>
      </c>
      <c r="G267" s="33">
        <f t="shared" si="160"/>
        <v>169830</v>
      </c>
      <c r="H267" s="33">
        <f t="shared" si="161"/>
        <v>174363.87671232878</v>
      </c>
      <c r="I267" s="114">
        <f t="shared" si="162"/>
        <v>174000</v>
      </c>
      <c r="J267" s="31" t="s">
        <v>45</v>
      </c>
    </row>
    <row r="268" spans="1:14" hidden="1" x14ac:dyDescent="0.25">
      <c r="A268" s="72">
        <f t="shared" ca="1" si="157"/>
        <v>43151</v>
      </c>
      <c r="B268" s="29">
        <v>200074</v>
      </c>
      <c r="C268" s="29">
        <v>314200</v>
      </c>
      <c r="D268" s="111">
        <f t="shared" si="158"/>
        <v>0.97497258724335178</v>
      </c>
      <c r="E268" s="33">
        <v>35</v>
      </c>
      <c r="F268" s="33">
        <f t="shared" si="159"/>
        <v>314.2</v>
      </c>
      <c r="G268" s="33">
        <f t="shared" si="160"/>
        <v>313885.8</v>
      </c>
      <c r="H268" s="33">
        <f t="shared" si="161"/>
        <v>322265.47095890413</v>
      </c>
      <c r="I268" s="114">
        <f t="shared" si="162"/>
        <v>322000</v>
      </c>
      <c r="J268" s="31" t="s">
        <v>19</v>
      </c>
    </row>
    <row r="269" spans="1:14" hidden="1" x14ac:dyDescent="0.25">
      <c r="A269" s="72">
        <f t="shared" ca="1" si="157"/>
        <v>43151</v>
      </c>
      <c r="B269" s="29">
        <v>700197</v>
      </c>
      <c r="C269" s="29">
        <f>-200+37000</f>
        <v>36800</v>
      </c>
      <c r="D269" s="111">
        <f t="shared" si="158"/>
        <v>0.97497258724335178</v>
      </c>
      <c r="E269" s="33">
        <v>35</v>
      </c>
      <c r="F269" s="33">
        <f t="shared" si="159"/>
        <v>36.800000000000004</v>
      </c>
      <c r="G269" s="33">
        <f t="shared" si="160"/>
        <v>36763.199999999997</v>
      </c>
      <c r="H269" s="33">
        <f t="shared" si="161"/>
        <v>37744.650958904109</v>
      </c>
      <c r="I269" s="114">
        <f t="shared" si="162"/>
        <v>38000</v>
      </c>
      <c r="J269" s="31" t="s">
        <v>36</v>
      </c>
    </row>
    <row r="270" spans="1:14" hidden="1" x14ac:dyDescent="0.25">
      <c r="A270" s="82"/>
      <c r="B270" s="93"/>
      <c r="C270" s="93"/>
      <c r="D270" s="127"/>
      <c r="E270" s="128"/>
      <c r="F270" s="128"/>
      <c r="G270" s="128"/>
      <c r="H270" s="128"/>
      <c r="I270" s="129"/>
      <c r="J270" s="102"/>
    </row>
    <row r="271" spans="1:14" hidden="1" x14ac:dyDescent="0.25">
      <c r="A271" s="72">
        <f t="shared" ca="1" si="157"/>
        <v>43151</v>
      </c>
      <c r="B271" s="110">
        <v>1904</v>
      </c>
      <c r="C271" s="110">
        <v>71000</v>
      </c>
      <c r="D271" s="111">
        <f t="shared" si="158"/>
        <v>0.97497258724335178</v>
      </c>
      <c r="E271" s="33">
        <v>35</v>
      </c>
      <c r="F271" s="33">
        <f t="shared" si="159"/>
        <v>71</v>
      </c>
      <c r="G271" s="33">
        <f t="shared" si="160"/>
        <v>70929</v>
      </c>
      <c r="H271" s="33">
        <f t="shared" si="161"/>
        <v>72822.560273972602</v>
      </c>
      <c r="I271" s="130">
        <v>72000</v>
      </c>
      <c r="J271" s="112" t="s">
        <v>32</v>
      </c>
    </row>
    <row r="272" spans="1:14" hidden="1" x14ac:dyDescent="0.25">
      <c r="A272" s="72">
        <f t="shared" ca="1" si="157"/>
        <v>43151</v>
      </c>
      <c r="B272" s="110">
        <v>12033</v>
      </c>
      <c r="C272" s="110">
        <v>334000</v>
      </c>
      <c r="D272" s="3">
        <f t="shared" ref="D272:D287" si="163">(1/(1+($B$1*E272/365)))</f>
        <v>0.97497258724335178</v>
      </c>
      <c r="E272">
        <v>35</v>
      </c>
      <c r="F272">
        <f t="shared" ref="F272:F285" si="164">C272*$B$2</f>
        <v>334</v>
      </c>
      <c r="G272">
        <f t="shared" ref="G272:G285" si="165">+C272-F272</f>
        <v>333666</v>
      </c>
      <c r="H272">
        <f t="shared" ref="H272:H285" si="166">+C272/D272</f>
        <v>342573.73424657533</v>
      </c>
      <c r="I272" s="131">
        <f t="shared" ref="I272:I287" si="167">MROUND(H272,1000)</f>
        <v>343000</v>
      </c>
      <c r="J272" s="112" t="s">
        <v>37</v>
      </c>
      <c r="K272" s="110"/>
      <c r="M272" s="110"/>
      <c r="N272" s="112"/>
    </row>
    <row r="273" spans="1:14" hidden="1" x14ac:dyDescent="0.25">
      <c r="A273" s="72">
        <f t="shared" ca="1" si="157"/>
        <v>43151</v>
      </c>
      <c r="B273" s="110">
        <v>17282</v>
      </c>
      <c r="C273" s="110">
        <v>809000</v>
      </c>
      <c r="D273" s="3">
        <f t="shared" si="163"/>
        <v>0.97497258724335178</v>
      </c>
      <c r="E273">
        <v>35</v>
      </c>
      <c r="F273">
        <f t="shared" si="164"/>
        <v>809</v>
      </c>
      <c r="G273">
        <f t="shared" si="165"/>
        <v>808191</v>
      </c>
      <c r="H273">
        <f t="shared" si="166"/>
        <v>829766.91917808226</v>
      </c>
      <c r="I273" s="131">
        <f t="shared" si="167"/>
        <v>830000</v>
      </c>
      <c r="J273" s="112" t="s">
        <v>27</v>
      </c>
      <c r="K273" s="110"/>
      <c r="M273" s="110"/>
      <c r="N273" s="112"/>
    </row>
    <row r="274" spans="1:14" hidden="1" x14ac:dyDescent="0.25">
      <c r="A274" s="72">
        <f t="shared" ca="1" si="157"/>
        <v>43151</v>
      </c>
      <c r="B274" s="110">
        <v>700197</v>
      </c>
      <c r="C274" s="110">
        <v>514000</v>
      </c>
      <c r="D274" s="3">
        <f t="shared" si="163"/>
        <v>0.97497258724335178</v>
      </c>
      <c r="E274">
        <v>35</v>
      </c>
      <c r="F274">
        <f t="shared" si="164"/>
        <v>514</v>
      </c>
      <c r="G274">
        <f t="shared" si="165"/>
        <v>513486</v>
      </c>
      <c r="H274">
        <f t="shared" si="166"/>
        <v>527194.30958904116</v>
      </c>
      <c r="I274" s="131">
        <f t="shared" si="167"/>
        <v>527000</v>
      </c>
      <c r="J274" s="112" t="s">
        <v>36</v>
      </c>
      <c r="K274" s="110"/>
      <c r="M274" s="110"/>
      <c r="N274" s="112"/>
    </row>
    <row r="275" spans="1:14" hidden="1" x14ac:dyDescent="0.25">
      <c r="A275" s="72">
        <f t="shared" ca="1" si="157"/>
        <v>43151</v>
      </c>
      <c r="B275" s="120">
        <v>7378</v>
      </c>
      <c r="C275" s="113">
        <v>900000</v>
      </c>
      <c r="D275" s="3">
        <f t="shared" si="163"/>
        <v>0.97497258724335178</v>
      </c>
      <c r="E275">
        <v>35</v>
      </c>
      <c r="F275">
        <f t="shared" si="164"/>
        <v>900</v>
      </c>
      <c r="G275">
        <f t="shared" si="165"/>
        <v>899100</v>
      </c>
      <c r="H275">
        <f t="shared" si="166"/>
        <v>923102.87671232875</v>
      </c>
      <c r="I275" s="131">
        <f t="shared" si="167"/>
        <v>923000</v>
      </c>
      <c r="K275" s="110"/>
      <c r="M275" s="110"/>
      <c r="N275" s="112"/>
    </row>
    <row r="276" spans="1:14" hidden="1" x14ac:dyDescent="0.25">
      <c r="A276" s="72">
        <f t="shared" ca="1" si="157"/>
        <v>43151</v>
      </c>
      <c r="B276" s="120">
        <v>7378</v>
      </c>
      <c r="C276" s="103">
        <v>937000</v>
      </c>
      <c r="D276" s="3">
        <f t="shared" si="163"/>
        <v>0.97497258724335178</v>
      </c>
      <c r="E276">
        <v>35</v>
      </c>
      <c r="F276">
        <f t="shared" si="164"/>
        <v>937</v>
      </c>
      <c r="G276">
        <f t="shared" si="165"/>
        <v>936063</v>
      </c>
      <c r="H276">
        <f t="shared" si="166"/>
        <v>961052.6616438356</v>
      </c>
      <c r="I276" s="131">
        <f t="shared" si="167"/>
        <v>961000</v>
      </c>
      <c r="K276" s="110"/>
      <c r="M276" s="110"/>
      <c r="N276" s="112"/>
    </row>
    <row r="277" spans="1:14" hidden="1" x14ac:dyDescent="0.25">
      <c r="A277" s="82"/>
      <c r="B277" s="124"/>
      <c r="C277" s="118"/>
      <c r="D277" s="101"/>
      <c r="E277" s="83"/>
      <c r="F277" s="83"/>
      <c r="G277" s="83"/>
      <c r="H277" s="83"/>
      <c r="I277" s="106"/>
      <c r="J277" s="109"/>
      <c r="K277" s="110"/>
      <c r="M277" s="110"/>
      <c r="N277" s="112"/>
    </row>
    <row r="278" spans="1:14" hidden="1" x14ac:dyDescent="0.25">
      <c r="A278" s="72">
        <f t="shared" ca="1" si="157"/>
        <v>43151</v>
      </c>
      <c r="B278" s="110">
        <v>12890</v>
      </c>
      <c r="C278" s="110">
        <v>99000</v>
      </c>
      <c r="D278" s="3">
        <f t="shared" si="163"/>
        <v>0.96530891339803804</v>
      </c>
      <c r="E278">
        <v>49</v>
      </c>
      <c r="F278">
        <f t="shared" si="164"/>
        <v>99</v>
      </c>
      <c r="G278">
        <f t="shared" si="165"/>
        <v>98901</v>
      </c>
      <c r="H278">
        <f t="shared" si="166"/>
        <v>102557.84301369864</v>
      </c>
      <c r="I278" s="38">
        <f t="shared" si="167"/>
        <v>103000</v>
      </c>
      <c r="K278" s="62"/>
      <c r="L278" s="60"/>
      <c r="M278" s="33"/>
      <c r="N278" s="33"/>
    </row>
    <row r="279" spans="1:14" hidden="1" x14ac:dyDescent="0.25">
      <c r="A279" s="72">
        <f t="shared" ca="1" si="157"/>
        <v>43151</v>
      </c>
      <c r="B279" s="110">
        <v>12890</v>
      </c>
      <c r="C279" s="110">
        <v>65400</v>
      </c>
      <c r="D279" s="3">
        <f t="shared" si="163"/>
        <v>0.97497258724335178</v>
      </c>
      <c r="E279">
        <v>35</v>
      </c>
      <c r="F279">
        <f t="shared" si="164"/>
        <v>65.400000000000006</v>
      </c>
      <c r="G279">
        <f t="shared" si="165"/>
        <v>65334.6</v>
      </c>
      <c r="H279">
        <f t="shared" si="166"/>
        <v>67078.809041095898</v>
      </c>
      <c r="I279" s="104">
        <f t="shared" si="167"/>
        <v>67000</v>
      </c>
      <c r="K279" s="62"/>
      <c r="L279" s="60"/>
      <c r="M279" s="33"/>
      <c r="N279" s="33"/>
    </row>
    <row r="280" spans="1:14" hidden="1" x14ac:dyDescent="0.25">
      <c r="A280" s="82"/>
      <c r="B280" s="132"/>
      <c r="C280" s="128"/>
      <c r="D280" s="101"/>
      <c r="E280" s="83"/>
      <c r="F280" s="83"/>
      <c r="G280" s="83"/>
      <c r="H280" s="83"/>
      <c r="I280" s="106"/>
      <c r="J280" s="109"/>
      <c r="K280" s="62"/>
      <c r="L280" s="60"/>
      <c r="M280" s="33"/>
      <c r="N280" s="33"/>
    </row>
    <row r="281" spans="1:14" hidden="1" x14ac:dyDescent="0.25">
      <c r="A281" s="72">
        <f t="shared" ca="1" si="157"/>
        <v>43151</v>
      </c>
      <c r="B281" s="110">
        <v>1043</v>
      </c>
      <c r="C281" s="110">
        <v>674000</v>
      </c>
      <c r="D281" s="3">
        <f t="shared" si="163"/>
        <v>0.97497258724335178</v>
      </c>
      <c r="E281">
        <v>35</v>
      </c>
      <c r="F281">
        <f t="shared" si="164"/>
        <v>674</v>
      </c>
      <c r="G281">
        <f t="shared" si="165"/>
        <v>673326</v>
      </c>
      <c r="H281">
        <f t="shared" si="166"/>
        <v>691301.4876712329</v>
      </c>
      <c r="I281" s="104">
        <v>689000</v>
      </c>
    </row>
    <row r="282" spans="1:14" hidden="1" x14ac:dyDescent="0.25">
      <c r="A282" s="72">
        <f t="shared" ca="1" si="157"/>
        <v>43151</v>
      </c>
      <c r="B282" s="110">
        <v>7378</v>
      </c>
      <c r="C282" s="110">
        <v>900000</v>
      </c>
      <c r="D282" s="3">
        <f t="shared" si="163"/>
        <v>0.97497258724335178</v>
      </c>
      <c r="E282">
        <v>35</v>
      </c>
      <c r="F282">
        <f t="shared" si="164"/>
        <v>900</v>
      </c>
      <c r="G282">
        <f t="shared" si="165"/>
        <v>899100</v>
      </c>
      <c r="H282">
        <f t="shared" si="166"/>
        <v>923102.87671232875</v>
      </c>
      <c r="I282" s="104">
        <f t="shared" si="167"/>
        <v>923000</v>
      </c>
      <c r="L282" s="112"/>
      <c r="M282" s="110"/>
    </row>
    <row r="283" spans="1:14" hidden="1" x14ac:dyDescent="0.25">
      <c r="A283" s="72">
        <f t="shared" ca="1" si="157"/>
        <v>43151</v>
      </c>
      <c r="B283" s="110">
        <v>20191</v>
      </c>
      <c r="C283" s="110">
        <v>243000</v>
      </c>
      <c r="D283" s="3">
        <f t="shared" si="163"/>
        <v>0.97497258724335178</v>
      </c>
      <c r="E283">
        <v>35</v>
      </c>
      <c r="F283">
        <f t="shared" si="164"/>
        <v>243</v>
      </c>
      <c r="G283">
        <f t="shared" si="165"/>
        <v>242757</v>
      </c>
      <c r="H283">
        <f t="shared" si="166"/>
        <v>249237.77671232878</v>
      </c>
      <c r="I283" s="104">
        <f t="shared" si="167"/>
        <v>249000</v>
      </c>
      <c r="L283" s="112"/>
      <c r="M283" s="110"/>
    </row>
    <row r="284" spans="1:14" hidden="1" x14ac:dyDescent="0.25">
      <c r="A284" s="72">
        <f t="shared" ca="1" si="157"/>
        <v>43151</v>
      </c>
      <c r="B284" s="110">
        <v>33393</v>
      </c>
      <c r="C284" s="110">
        <v>100000</v>
      </c>
      <c r="D284" s="3">
        <f t="shared" si="163"/>
        <v>0.97497258724335178</v>
      </c>
      <c r="E284">
        <v>35</v>
      </c>
      <c r="F284">
        <f t="shared" si="164"/>
        <v>100</v>
      </c>
      <c r="G284">
        <f t="shared" si="165"/>
        <v>99900</v>
      </c>
      <c r="H284">
        <f t="shared" si="166"/>
        <v>102566.98630136986</v>
      </c>
      <c r="I284" s="104">
        <f t="shared" si="167"/>
        <v>103000</v>
      </c>
      <c r="L284" s="112"/>
      <c r="M284" s="110"/>
    </row>
    <row r="285" spans="1:14" hidden="1" x14ac:dyDescent="0.25">
      <c r="A285" s="72">
        <f t="shared" ca="1" si="157"/>
        <v>43151</v>
      </c>
      <c r="B285" s="120">
        <v>7378</v>
      </c>
      <c r="C285">
        <f>1753000-900000</f>
        <v>853000</v>
      </c>
      <c r="D285" s="3">
        <f t="shared" si="163"/>
        <v>0.97497258724335178</v>
      </c>
      <c r="E285">
        <v>35</v>
      </c>
      <c r="F285">
        <f t="shared" si="164"/>
        <v>853</v>
      </c>
      <c r="G285">
        <f t="shared" si="165"/>
        <v>852147</v>
      </c>
      <c r="H285">
        <f t="shared" si="166"/>
        <v>874896.39315068501</v>
      </c>
      <c r="I285" s="104">
        <f t="shared" si="167"/>
        <v>875000</v>
      </c>
      <c r="L285" s="112"/>
      <c r="M285" s="110"/>
    </row>
    <row r="286" spans="1:14" hidden="1" x14ac:dyDescent="0.25">
      <c r="A286" s="82"/>
      <c r="B286" s="124"/>
      <c r="C286" s="83"/>
      <c r="D286" s="101"/>
      <c r="E286" s="83"/>
      <c r="F286" s="83"/>
      <c r="G286" s="83"/>
      <c r="H286" s="83"/>
      <c r="I286" s="106"/>
      <c r="J286" s="109"/>
      <c r="L286" s="112"/>
      <c r="M286" s="110"/>
    </row>
    <row r="287" spans="1:14" hidden="1" x14ac:dyDescent="0.25">
      <c r="A287" s="72">
        <f t="shared" ca="1" si="157"/>
        <v>43151</v>
      </c>
      <c r="B287" s="110">
        <v>1043</v>
      </c>
      <c r="C287" s="110">
        <v>980000</v>
      </c>
      <c r="D287" s="3">
        <f t="shared" si="163"/>
        <v>0.97987734620221012</v>
      </c>
      <c r="E287">
        <v>28</v>
      </c>
      <c r="F287">
        <f t="shared" ref="F287:F298" si="168">C287*$B$2</f>
        <v>980</v>
      </c>
      <c r="G287">
        <f t="shared" ref="G287:G298" si="169">+C287-F287</f>
        <v>979020</v>
      </c>
      <c r="H287">
        <f t="shared" ref="H287:H298" si="170">+C287/D287</f>
        <v>1000125.1726027398</v>
      </c>
      <c r="I287" s="104">
        <f t="shared" si="167"/>
        <v>1000000</v>
      </c>
      <c r="J287" s="112" t="s">
        <v>11</v>
      </c>
    </row>
    <row r="288" spans="1:14" hidden="1" x14ac:dyDescent="0.25">
      <c r="A288" s="72">
        <f t="shared" ca="1" si="157"/>
        <v>43151</v>
      </c>
      <c r="B288" s="110">
        <v>1043</v>
      </c>
      <c r="C288" s="110">
        <v>980000</v>
      </c>
      <c r="D288" s="3">
        <f t="shared" ref="D288" si="171">(1/(1+($B$1*E288/365)))</f>
        <v>0.97987734620221012</v>
      </c>
      <c r="E288">
        <v>28</v>
      </c>
      <c r="F288">
        <f t="shared" ref="F288" si="172">C288*$B$2</f>
        <v>980</v>
      </c>
      <c r="G288">
        <f t="shared" ref="G288" si="173">+C288-F288</f>
        <v>979020</v>
      </c>
      <c r="H288">
        <f t="shared" ref="H288" si="174">+C288/D288</f>
        <v>1000125.1726027398</v>
      </c>
      <c r="I288" s="104">
        <f t="shared" ref="I288" si="175">MROUND(H288,1000)</f>
        <v>1000000</v>
      </c>
      <c r="J288" s="112" t="s">
        <v>11</v>
      </c>
    </row>
    <row r="289" spans="1:15" hidden="1" x14ac:dyDescent="0.25">
      <c r="A289" s="72">
        <f t="shared" ca="1" si="157"/>
        <v>43151</v>
      </c>
      <c r="B289" s="110">
        <v>1043</v>
      </c>
      <c r="C289" s="110">
        <v>196400</v>
      </c>
      <c r="D289" s="3">
        <f t="shared" ref="D289" si="176">(1/(1+($B$1*E289/365)))</f>
        <v>0.97987734620221012</v>
      </c>
      <c r="E289">
        <v>28</v>
      </c>
      <c r="F289">
        <f t="shared" ref="F289" si="177">C289*$B$2</f>
        <v>196.4</v>
      </c>
      <c r="G289">
        <f t="shared" ref="G289" si="178">+C289-F289</f>
        <v>196203.6</v>
      </c>
      <c r="H289">
        <f t="shared" ref="H289" si="179">+C289/D289</f>
        <v>200433.24887671234</v>
      </c>
      <c r="I289" s="104">
        <v>199000</v>
      </c>
      <c r="J289" s="112" t="s">
        <v>11</v>
      </c>
    </row>
    <row r="290" spans="1:15" hidden="1" x14ac:dyDescent="0.25">
      <c r="A290" s="72">
        <f t="shared" ca="1" si="157"/>
        <v>43151</v>
      </c>
      <c r="B290" s="110">
        <v>7378</v>
      </c>
      <c r="C290" s="110">
        <v>980000</v>
      </c>
      <c r="D290" s="3">
        <f t="shared" ref="D290:D309" si="180">(1/(1+($B$1*E290/365)))</f>
        <v>0.97987734620221012</v>
      </c>
      <c r="E290">
        <v>28</v>
      </c>
      <c r="F290">
        <f t="shared" si="168"/>
        <v>980</v>
      </c>
      <c r="G290">
        <f t="shared" si="169"/>
        <v>979020</v>
      </c>
      <c r="H290">
        <f t="shared" si="170"/>
        <v>1000125.1726027398</v>
      </c>
      <c r="I290" s="104">
        <f t="shared" ref="I290:I297" si="181">MROUND(H290,1000)</f>
        <v>1000000</v>
      </c>
      <c r="J290" s="112" t="s">
        <v>33</v>
      </c>
    </row>
    <row r="291" spans="1:15" hidden="1" x14ac:dyDescent="0.25">
      <c r="A291" s="72">
        <f t="shared" ca="1" si="157"/>
        <v>43151</v>
      </c>
      <c r="B291" s="110">
        <v>7378</v>
      </c>
      <c r="C291" s="110">
        <v>814000</v>
      </c>
      <c r="D291" s="3">
        <f t="shared" ref="D291" si="182">(1/(1+($B$1*E291/365)))</f>
        <v>0.97987734620221012</v>
      </c>
      <c r="E291">
        <v>28</v>
      </c>
      <c r="F291">
        <f t="shared" ref="F291" si="183">C291*$B$2</f>
        <v>814</v>
      </c>
      <c r="G291">
        <f t="shared" ref="G291" si="184">+C291-F291</f>
        <v>813186</v>
      </c>
      <c r="H291">
        <f t="shared" ref="H291" si="185">+C291/D291</f>
        <v>830716.21479452064</v>
      </c>
      <c r="I291" s="104">
        <f t="shared" ref="I291" si="186">MROUND(H291,1000)</f>
        <v>831000</v>
      </c>
      <c r="J291" s="112" t="s">
        <v>33</v>
      </c>
    </row>
    <row r="292" spans="1:15" hidden="1" x14ac:dyDescent="0.25">
      <c r="A292" s="72">
        <f t="shared" ca="1" si="157"/>
        <v>43151</v>
      </c>
      <c r="B292" s="110">
        <v>12890</v>
      </c>
      <c r="C292" s="110">
        <v>116590</v>
      </c>
      <c r="D292" s="3">
        <f t="shared" si="180"/>
        <v>0.95583492704622652</v>
      </c>
      <c r="E292">
        <v>63</v>
      </c>
      <c r="F292">
        <f t="shared" si="168"/>
        <v>116.59</v>
      </c>
      <c r="G292">
        <f t="shared" si="169"/>
        <v>116473.41</v>
      </c>
      <c r="H292">
        <f t="shared" si="170"/>
        <v>121977.12879178082</v>
      </c>
      <c r="I292" s="104">
        <f t="shared" si="181"/>
        <v>122000</v>
      </c>
      <c r="J292" s="112" t="s">
        <v>34</v>
      </c>
      <c r="K292" s="133"/>
      <c r="L292" s="134"/>
      <c r="M292" s="7"/>
      <c r="N292" s="7"/>
      <c r="O292" s="7"/>
    </row>
    <row r="293" spans="1:15" hidden="1" x14ac:dyDescent="0.25">
      <c r="A293" s="72">
        <f t="shared" ca="1" si="157"/>
        <v>43151</v>
      </c>
      <c r="B293" s="110">
        <v>20191</v>
      </c>
      <c r="C293" s="113">
        <v>980000</v>
      </c>
      <c r="D293" s="3">
        <f t="shared" si="180"/>
        <v>0.97987734620221012</v>
      </c>
      <c r="E293">
        <v>28</v>
      </c>
      <c r="F293">
        <f t="shared" ref="F293" si="187">C293*$B$2</f>
        <v>980</v>
      </c>
      <c r="G293">
        <f t="shared" ref="G293" si="188">+C293-F293</f>
        <v>979020</v>
      </c>
      <c r="H293">
        <f t="shared" ref="H293" si="189">+C293/D293</f>
        <v>1000125.1726027398</v>
      </c>
      <c r="I293" s="104">
        <f t="shared" ref="I293" si="190">MROUND(H293,1000)</f>
        <v>1000000</v>
      </c>
      <c r="J293" s="112" t="s">
        <v>13</v>
      </c>
      <c r="K293" s="133"/>
      <c r="L293" s="134"/>
      <c r="M293" s="7"/>
      <c r="N293" s="7"/>
      <c r="O293" s="7"/>
    </row>
    <row r="294" spans="1:15" hidden="1" x14ac:dyDescent="0.25">
      <c r="A294" s="72">
        <f t="shared" ca="1" si="157"/>
        <v>43151</v>
      </c>
      <c r="B294" s="110">
        <v>20191</v>
      </c>
      <c r="C294" s="110">
        <v>438700</v>
      </c>
      <c r="D294" s="3">
        <f t="shared" ref="D294" si="191">(1/(1+($B$1*E294/365)))</f>
        <v>0.97987734620221012</v>
      </c>
      <c r="E294">
        <v>28</v>
      </c>
      <c r="F294">
        <f t="shared" ref="F294" si="192">C294*$B$2</f>
        <v>438.7</v>
      </c>
      <c r="G294">
        <f t="shared" ref="G294" si="193">+C294-F294</f>
        <v>438261.3</v>
      </c>
      <c r="H294">
        <f t="shared" ref="H294" si="194">+C294/D294</f>
        <v>447709.0951232877</v>
      </c>
      <c r="I294" s="104">
        <v>446000</v>
      </c>
      <c r="J294" s="112" t="s">
        <v>13</v>
      </c>
      <c r="K294" s="133"/>
      <c r="L294" s="134"/>
      <c r="M294" s="7"/>
      <c r="N294" s="7"/>
      <c r="O294" s="7"/>
    </row>
    <row r="295" spans="1:15" hidden="1" x14ac:dyDescent="0.25">
      <c r="A295" s="72">
        <f t="shared" ca="1" si="157"/>
        <v>43151</v>
      </c>
      <c r="B295" s="110">
        <v>33393</v>
      </c>
      <c r="C295" s="113">
        <v>960000</v>
      </c>
      <c r="D295" s="3">
        <f t="shared" si="180"/>
        <v>0.95583492704622652</v>
      </c>
      <c r="E295">
        <v>63</v>
      </c>
      <c r="F295">
        <f t="shared" ref="F295" si="195">C295*$B$2</f>
        <v>960</v>
      </c>
      <c r="G295">
        <f t="shared" ref="G295" si="196">+C295-F295</f>
        <v>959040</v>
      </c>
      <c r="H295">
        <f t="shared" ref="H295" si="197">+C295/D295</f>
        <v>1004357.5232876713</v>
      </c>
      <c r="I295" s="104">
        <v>998000</v>
      </c>
      <c r="J295" s="112" t="s">
        <v>14</v>
      </c>
      <c r="K295" s="133"/>
      <c r="L295" s="134"/>
      <c r="M295" s="7"/>
      <c r="N295" s="7"/>
      <c r="O295" s="7"/>
    </row>
    <row r="296" spans="1:15" hidden="1" x14ac:dyDescent="0.25">
      <c r="A296" s="72">
        <f t="shared" ca="1" si="157"/>
        <v>43151</v>
      </c>
      <c r="B296" s="110">
        <v>33393</v>
      </c>
      <c r="C296" s="110">
        <v>186000</v>
      </c>
      <c r="D296" s="3">
        <f t="shared" ref="D296" si="198">(1/(1+($B$1*E296/365)))</f>
        <v>0.95583492704622652</v>
      </c>
      <c r="E296">
        <v>63</v>
      </c>
      <c r="F296">
        <f t="shared" ref="F296" si="199">C296*$B$2</f>
        <v>186</v>
      </c>
      <c r="G296">
        <f t="shared" ref="G296" si="200">+C296-F296</f>
        <v>185814</v>
      </c>
      <c r="H296">
        <f t="shared" ref="H296" si="201">+C296/D296</f>
        <v>194594.27013698631</v>
      </c>
      <c r="I296" s="104">
        <v>193000</v>
      </c>
      <c r="J296" s="112" t="s">
        <v>14</v>
      </c>
      <c r="K296" s="133"/>
      <c r="L296" s="134"/>
      <c r="M296" s="7"/>
      <c r="N296" s="7"/>
      <c r="O296" s="7"/>
    </row>
    <row r="297" spans="1:15" hidden="1" x14ac:dyDescent="0.25">
      <c r="A297" s="72">
        <f t="shared" ca="1" si="157"/>
        <v>43151</v>
      </c>
      <c r="B297" s="110">
        <v>2000265</v>
      </c>
      <c r="C297" s="110">
        <f>1847+266000</f>
        <v>267847</v>
      </c>
      <c r="D297" s="3">
        <f t="shared" si="180"/>
        <v>0.97987734620221012</v>
      </c>
      <c r="E297">
        <v>28</v>
      </c>
      <c r="F297">
        <f t="shared" si="168"/>
        <v>267.84699999999998</v>
      </c>
      <c r="G297">
        <f t="shared" si="169"/>
        <v>267579.15299999999</v>
      </c>
      <c r="H297">
        <f t="shared" si="170"/>
        <v>273347.47663890413</v>
      </c>
      <c r="I297" s="104">
        <f t="shared" si="181"/>
        <v>273000</v>
      </c>
      <c r="J297" s="112" t="s">
        <v>39</v>
      </c>
      <c r="K297" s="135"/>
      <c r="L297" s="136"/>
      <c r="M297" s="35"/>
      <c r="N297" s="35"/>
      <c r="O297" s="35"/>
    </row>
    <row r="298" spans="1:15" hidden="1" x14ac:dyDescent="0.25">
      <c r="A298" s="72">
        <f t="shared" ca="1" si="157"/>
        <v>43151</v>
      </c>
      <c r="B298" s="120">
        <v>190017</v>
      </c>
      <c r="C298" s="113">
        <v>235000</v>
      </c>
      <c r="D298" s="3">
        <f t="shared" si="180"/>
        <v>0.97987734620221012</v>
      </c>
      <c r="E298">
        <v>28</v>
      </c>
      <c r="F298">
        <f t="shared" si="168"/>
        <v>235</v>
      </c>
      <c r="G298">
        <f t="shared" si="169"/>
        <v>234765</v>
      </c>
      <c r="H298">
        <f t="shared" si="170"/>
        <v>239825.93424657534</v>
      </c>
      <c r="I298" s="104">
        <v>239000</v>
      </c>
      <c r="J298" s="140" t="s">
        <v>46</v>
      </c>
      <c r="K298" s="135"/>
      <c r="L298" s="136"/>
      <c r="M298" s="35"/>
      <c r="N298" s="35"/>
      <c r="O298" s="35"/>
    </row>
    <row r="299" spans="1:15" hidden="1" x14ac:dyDescent="0.25">
      <c r="A299" s="82"/>
      <c r="B299" s="124"/>
      <c r="C299" s="117"/>
      <c r="D299" s="101"/>
      <c r="E299" s="83"/>
      <c r="F299" s="83"/>
      <c r="G299" s="83"/>
      <c r="H299" s="83"/>
      <c r="I299" s="106"/>
      <c r="J299" s="141"/>
      <c r="K299" s="135"/>
      <c r="L299" s="136"/>
      <c r="M299" s="35"/>
      <c r="N299" s="35"/>
      <c r="O299" s="35"/>
    </row>
    <row r="300" spans="1:15" hidden="1" x14ac:dyDescent="0.25">
      <c r="A300" s="72">
        <f t="shared" ca="1" si="157"/>
        <v>43151</v>
      </c>
      <c r="B300" s="110">
        <v>1043</v>
      </c>
      <c r="C300" s="113">
        <v>950000</v>
      </c>
      <c r="D300" s="111">
        <f t="shared" si="180"/>
        <v>0.97497258724335178</v>
      </c>
      <c r="E300" s="33">
        <v>35</v>
      </c>
      <c r="F300" s="33">
        <f>K300*$B$2</f>
        <v>2193</v>
      </c>
      <c r="G300" s="142">
        <f>+C300-F300</f>
        <v>947807</v>
      </c>
      <c r="H300" s="33">
        <f>+C300/D300</f>
        <v>974386.36986301374</v>
      </c>
      <c r="I300" s="144">
        <f>MROUND(H300,1000)</f>
        <v>974000</v>
      </c>
      <c r="J300" s="112" t="s">
        <v>11</v>
      </c>
      <c r="K300" s="110">
        <v>2193000</v>
      </c>
      <c r="L300" s="138"/>
      <c r="M300" s="137"/>
      <c r="N300" s="138"/>
      <c r="O300" s="138"/>
    </row>
    <row r="301" spans="1:15" hidden="1" x14ac:dyDescent="0.25">
      <c r="A301" s="72">
        <f t="shared" ca="1" si="157"/>
        <v>43151</v>
      </c>
      <c r="B301" s="110">
        <v>1043</v>
      </c>
      <c r="C301" s="110">
        <v>950000</v>
      </c>
      <c r="D301" s="111">
        <f t="shared" ref="D301" si="202">(1/(1+($B$1*E301/365)))</f>
        <v>0.97497258724335178</v>
      </c>
      <c r="E301" s="33">
        <v>35</v>
      </c>
      <c r="F301" s="33">
        <f t="shared" ref="F301:F321" si="203">K301*$B$2</f>
        <v>0</v>
      </c>
      <c r="G301" s="142">
        <f t="shared" ref="G301:G321" si="204">+C301-F301</f>
        <v>950000</v>
      </c>
      <c r="H301" s="33">
        <f t="shared" ref="H301:H321" si="205">+C301/D301</f>
        <v>974386.36986301374</v>
      </c>
      <c r="I301" s="144">
        <f t="shared" ref="I301:I321" si="206">MROUND(H301,1000)</f>
        <v>974000</v>
      </c>
      <c r="J301" s="112" t="s">
        <v>11</v>
      </c>
      <c r="K301" s="137"/>
      <c r="L301" s="138"/>
      <c r="M301" s="137"/>
      <c r="N301" s="138"/>
      <c r="O301" s="138"/>
    </row>
    <row r="302" spans="1:15" hidden="1" x14ac:dyDescent="0.25">
      <c r="A302" s="72">
        <f t="shared" ca="1" si="157"/>
        <v>43151</v>
      </c>
      <c r="B302" s="110">
        <v>1043</v>
      </c>
      <c r="C302" s="110">
        <v>293000</v>
      </c>
      <c r="D302" s="111">
        <f t="shared" ref="D302" si="207">(1/(1+($B$1*E302/365)))</f>
        <v>0.97497258724335178</v>
      </c>
      <c r="E302" s="33">
        <v>35</v>
      </c>
      <c r="F302" s="33">
        <f t="shared" si="203"/>
        <v>0</v>
      </c>
      <c r="G302" s="142">
        <f t="shared" si="204"/>
        <v>293000</v>
      </c>
      <c r="H302" s="33">
        <f t="shared" si="205"/>
        <v>300521.2698630137</v>
      </c>
      <c r="I302" s="144">
        <f t="shared" si="206"/>
        <v>301000</v>
      </c>
      <c r="J302" s="112" t="s">
        <v>11</v>
      </c>
      <c r="K302" s="137"/>
      <c r="L302" s="138"/>
      <c r="M302" s="137"/>
      <c r="N302" s="138"/>
      <c r="O302" s="138"/>
    </row>
    <row r="303" spans="1:15" hidden="1" x14ac:dyDescent="0.25">
      <c r="A303" s="72">
        <f t="shared" ca="1" si="157"/>
        <v>43151</v>
      </c>
      <c r="B303" s="110">
        <v>1904</v>
      </c>
      <c r="C303" s="143">
        <v>74000</v>
      </c>
      <c r="D303" s="111">
        <f t="shared" si="180"/>
        <v>0.97497258724335178</v>
      </c>
      <c r="E303" s="33">
        <v>35</v>
      </c>
      <c r="F303" s="33">
        <f t="shared" si="203"/>
        <v>0</v>
      </c>
      <c r="G303" s="142">
        <f t="shared" si="204"/>
        <v>74000</v>
      </c>
      <c r="H303" s="33">
        <f t="shared" si="205"/>
        <v>75899.569863013705</v>
      </c>
      <c r="I303" s="144">
        <f t="shared" si="206"/>
        <v>76000</v>
      </c>
      <c r="J303" s="112" t="s">
        <v>32</v>
      </c>
      <c r="K303" s="139"/>
      <c r="L303" s="137"/>
      <c r="M303" s="138"/>
      <c r="N303" s="137"/>
      <c r="O303" s="138"/>
    </row>
    <row r="304" spans="1:15" hidden="1" x14ac:dyDescent="0.25">
      <c r="A304" s="72">
        <f t="shared" ca="1" si="157"/>
        <v>43151</v>
      </c>
      <c r="B304" s="110">
        <v>7378</v>
      </c>
      <c r="C304" s="113">
        <v>950000</v>
      </c>
      <c r="D304" s="111">
        <f t="shared" si="180"/>
        <v>0.97497258724335178</v>
      </c>
      <c r="E304" s="33">
        <v>35</v>
      </c>
      <c r="F304" s="33">
        <f t="shared" si="203"/>
        <v>3757</v>
      </c>
      <c r="G304" s="142">
        <f t="shared" si="204"/>
        <v>946243</v>
      </c>
      <c r="H304" s="33">
        <f t="shared" si="205"/>
        <v>974386.36986301374</v>
      </c>
      <c r="I304" s="144">
        <f t="shared" si="206"/>
        <v>974000</v>
      </c>
      <c r="J304" s="112" t="s">
        <v>33</v>
      </c>
      <c r="K304" s="110">
        <v>3757000</v>
      </c>
      <c r="L304" s="60"/>
      <c r="M304" s="110"/>
      <c r="N304" s="112"/>
      <c r="O304" s="35"/>
    </row>
    <row r="305" spans="1:15" hidden="1" x14ac:dyDescent="0.25">
      <c r="A305" s="72">
        <f t="shared" ca="1" si="157"/>
        <v>43151</v>
      </c>
      <c r="B305" s="110">
        <v>7378</v>
      </c>
      <c r="C305" s="110">
        <v>950000</v>
      </c>
      <c r="D305" s="111">
        <f t="shared" ref="D305" si="208">(1/(1+($B$1*E305/365)))</f>
        <v>0.97497258724335178</v>
      </c>
      <c r="E305" s="33">
        <v>35</v>
      </c>
      <c r="F305" s="33">
        <f t="shared" si="203"/>
        <v>0</v>
      </c>
      <c r="G305" s="142">
        <f t="shared" si="204"/>
        <v>950000</v>
      </c>
      <c r="H305" s="33">
        <f t="shared" si="205"/>
        <v>974386.36986301374</v>
      </c>
      <c r="I305" s="144">
        <f t="shared" si="206"/>
        <v>974000</v>
      </c>
      <c r="J305" s="112" t="s">
        <v>33</v>
      </c>
      <c r="K305" s="110"/>
      <c r="L305" s="60"/>
      <c r="M305" s="110"/>
      <c r="N305" s="112"/>
      <c r="O305" s="35"/>
    </row>
    <row r="306" spans="1:15" hidden="1" x14ac:dyDescent="0.25">
      <c r="A306" s="72">
        <f t="shared" ca="1" si="157"/>
        <v>43151</v>
      </c>
      <c r="B306" s="110">
        <v>7378</v>
      </c>
      <c r="C306" s="110">
        <v>950000</v>
      </c>
      <c r="D306" s="111">
        <f t="shared" ref="D306:D307" si="209">(1/(1+($B$1*E306/365)))</f>
        <v>0.97497258724335178</v>
      </c>
      <c r="E306" s="33">
        <v>35</v>
      </c>
      <c r="F306" s="33">
        <f t="shared" si="203"/>
        <v>0</v>
      </c>
      <c r="G306" s="142">
        <f t="shared" si="204"/>
        <v>950000</v>
      </c>
      <c r="H306" s="33">
        <f t="shared" si="205"/>
        <v>974386.36986301374</v>
      </c>
      <c r="I306" s="144">
        <f t="shared" si="206"/>
        <v>974000</v>
      </c>
      <c r="J306" s="112" t="s">
        <v>33</v>
      </c>
      <c r="K306" s="110"/>
      <c r="L306" s="60"/>
      <c r="M306" s="110"/>
      <c r="N306" s="112"/>
      <c r="O306" s="35"/>
    </row>
    <row r="307" spans="1:15" hidden="1" x14ac:dyDescent="0.25">
      <c r="A307" s="72">
        <f t="shared" ca="1" si="157"/>
        <v>43151</v>
      </c>
      <c r="B307" s="110">
        <v>7378</v>
      </c>
      <c r="C307" s="110">
        <v>907000</v>
      </c>
      <c r="D307" s="111">
        <f t="shared" si="209"/>
        <v>0.97497258724335178</v>
      </c>
      <c r="E307" s="33">
        <v>35</v>
      </c>
      <c r="F307" s="33">
        <f t="shared" si="203"/>
        <v>0</v>
      </c>
      <c r="G307" s="142">
        <f t="shared" si="204"/>
        <v>907000</v>
      </c>
      <c r="H307" s="33">
        <f t="shared" si="205"/>
        <v>930282.56575342466</v>
      </c>
      <c r="I307" s="144">
        <f t="shared" si="206"/>
        <v>930000</v>
      </c>
      <c r="J307" s="112" t="s">
        <v>33</v>
      </c>
      <c r="K307" s="110"/>
      <c r="L307" s="60"/>
      <c r="M307" s="110"/>
      <c r="N307" s="112"/>
      <c r="O307" s="35"/>
    </row>
    <row r="308" spans="1:15" hidden="1" x14ac:dyDescent="0.25">
      <c r="A308" s="72">
        <f t="shared" ca="1" si="157"/>
        <v>43151</v>
      </c>
      <c r="B308" s="110">
        <v>12033</v>
      </c>
      <c r="C308" s="110">
        <v>515000</v>
      </c>
      <c r="D308" s="111">
        <f t="shared" si="180"/>
        <v>0.97497258724335178</v>
      </c>
      <c r="E308" s="33">
        <v>35</v>
      </c>
      <c r="F308" s="33">
        <f t="shared" si="203"/>
        <v>0</v>
      </c>
      <c r="G308" s="142">
        <f t="shared" si="204"/>
        <v>515000</v>
      </c>
      <c r="H308" s="33">
        <f t="shared" si="205"/>
        <v>528219.97945205483</v>
      </c>
      <c r="I308" s="144">
        <f t="shared" si="206"/>
        <v>528000</v>
      </c>
      <c r="J308" s="112" t="s">
        <v>37</v>
      </c>
      <c r="K308" s="110"/>
      <c r="L308" s="60"/>
      <c r="M308" s="110"/>
      <c r="N308" s="112"/>
      <c r="O308" s="35"/>
    </row>
    <row r="309" spans="1:15" hidden="1" x14ac:dyDescent="0.25">
      <c r="A309" s="72">
        <f t="shared" ca="1" si="157"/>
        <v>43151</v>
      </c>
      <c r="B309" s="110">
        <v>12890</v>
      </c>
      <c r="C309" s="110">
        <v>54030</v>
      </c>
      <c r="D309" s="111">
        <f t="shared" si="180"/>
        <v>0.95583492704622652</v>
      </c>
      <c r="E309" s="33">
        <v>63</v>
      </c>
      <c r="F309" s="33">
        <f t="shared" si="203"/>
        <v>0</v>
      </c>
      <c r="G309" s="142">
        <f t="shared" si="204"/>
        <v>54030</v>
      </c>
      <c r="H309" s="33">
        <f t="shared" si="205"/>
        <v>56526.49685753425</v>
      </c>
      <c r="I309" s="144">
        <f t="shared" si="206"/>
        <v>57000</v>
      </c>
      <c r="J309" s="112" t="s">
        <v>34</v>
      </c>
      <c r="K309" s="110"/>
      <c r="L309" s="60"/>
      <c r="M309" s="110"/>
      <c r="N309" s="112"/>
      <c r="O309" s="35"/>
    </row>
    <row r="310" spans="1:15" hidden="1" x14ac:dyDescent="0.25">
      <c r="A310" s="72">
        <f t="shared" ca="1" si="157"/>
        <v>43151</v>
      </c>
      <c r="B310" s="110">
        <v>17282</v>
      </c>
      <c r="C310" s="113">
        <v>950000</v>
      </c>
      <c r="D310" s="111">
        <f t="shared" ref="D310:D326" si="210">(1/(1+($B$1*E310/365)))</f>
        <v>0.97497258724335178</v>
      </c>
      <c r="E310" s="33">
        <v>35</v>
      </c>
      <c r="F310" s="33">
        <f t="shared" si="203"/>
        <v>1136</v>
      </c>
      <c r="G310" s="142">
        <f t="shared" si="204"/>
        <v>948864</v>
      </c>
      <c r="H310" s="33">
        <f t="shared" si="205"/>
        <v>974386.36986301374</v>
      </c>
      <c r="I310" s="144">
        <f t="shared" si="206"/>
        <v>974000</v>
      </c>
      <c r="J310" s="112" t="s">
        <v>27</v>
      </c>
      <c r="K310" s="110">
        <v>1136000</v>
      </c>
      <c r="L310" s="60"/>
      <c r="M310" s="110"/>
      <c r="N310" s="112"/>
      <c r="O310" s="7"/>
    </row>
    <row r="311" spans="1:15" hidden="1" x14ac:dyDescent="0.25">
      <c r="A311" s="72">
        <f t="shared" ca="1" si="157"/>
        <v>43151</v>
      </c>
      <c r="B311" s="110">
        <v>17282</v>
      </c>
      <c r="C311" s="110">
        <v>186000</v>
      </c>
      <c r="D311" s="111">
        <f t="shared" ref="D311" si="211">(1/(1+($B$1*E311/365)))</f>
        <v>0.97497258724335178</v>
      </c>
      <c r="E311" s="33">
        <v>35</v>
      </c>
      <c r="F311" s="33">
        <f t="shared" si="203"/>
        <v>0</v>
      </c>
      <c r="G311" s="142">
        <f t="shared" si="204"/>
        <v>186000</v>
      </c>
      <c r="H311" s="33">
        <f t="shared" si="205"/>
        <v>190774.59452054795</v>
      </c>
      <c r="I311" s="144">
        <f t="shared" si="206"/>
        <v>191000</v>
      </c>
      <c r="J311" s="112" t="s">
        <v>27</v>
      </c>
      <c r="K311" s="110"/>
      <c r="L311" s="60"/>
      <c r="M311" s="110"/>
      <c r="N311" s="112"/>
      <c r="O311" s="7"/>
    </row>
    <row r="312" spans="1:15" hidden="1" x14ac:dyDescent="0.25">
      <c r="A312" s="72">
        <f t="shared" ca="1" si="157"/>
        <v>43151</v>
      </c>
      <c r="B312" s="110">
        <v>20191</v>
      </c>
      <c r="C312" s="113">
        <v>950000</v>
      </c>
      <c r="D312" s="111">
        <f t="shared" si="210"/>
        <v>0.97497258724335178</v>
      </c>
      <c r="E312" s="33">
        <v>35</v>
      </c>
      <c r="F312" s="33">
        <f t="shared" si="203"/>
        <v>1443</v>
      </c>
      <c r="G312" s="142">
        <f t="shared" si="204"/>
        <v>948557</v>
      </c>
      <c r="H312" s="33">
        <f t="shared" si="205"/>
        <v>974386.36986301374</v>
      </c>
      <c r="I312" s="144">
        <f t="shared" si="206"/>
        <v>974000</v>
      </c>
      <c r="J312" s="112" t="s">
        <v>13</v>
      </c>
      <c r="K312" s="110">
        <v>1443000</v>
      </c>
      <c r="L312" s="60"/>
      <c r="M312" s="110"/>
      <c r="N312" s="112"/>
      <c r="O312" s="7"/>
    </row>
    <row r="313" spans="1:15" hidden="1" x14ac:dyDescent="0.25">
      <c r="A313" s="72">
        <f t="shared" ca="1" si="157"/>
        <v>43151</v>
      </c>
      <c r="B313" s="110">
        <v>20191</v>
      </c>
      <c r="C313" s="110">
        <v>493000</v>
      </c>
      <c r="D313" s="111">
        <f t="shared" ref="D313" si="212">(1/(1+($B$1*E313/365)))</f>
        <v>0.97497258724335178</v>
      </c>
      <c r="E313" s="33">
        <v>35</v>
      </c>
      <c r="F313" s="33">
        <f t="shared" si="203"/>
        <v>0</v>
      </c>
      <c r="G313" s="142">
        <f t="shared" si="204"/>
        <v>493000</v>
      </c>
      <c r="H313" s="33">
        <f t="shared" si="205"/>
        <v>505655.24246575346</v>
      </c>
      <c r="I313" s="144">
        <f t="shared" si="206"/>
        <v>506000</v>
      </c>
      <c r="J313" s="112" t="s">
        <v>13</v>
      </c>
      <c r="K313" s="110"/>
      <c r="L313" s="60"/>
      <c r="M313" s="110"/>
      <c r="N313" s="112"/>
      <c r="O313" s="7"/>
    </row>
    <row r="314" spans="1:15" hidden="1" x14ac:dyDescent="0.25">
      <c r="A314" s="72">
        <f t="shared" ca="1" si="157"/>
        <v>43151</v>
      </c>
      <c r="B314" s="110">
        <v>700197</v>
      </c>
      <c r="C314" s="110">
        <v>580000</v>
      </c>
      <c r="D314" s="111">
        <f t="shared" si="210"/>
        <v>0.97497258724335178</v>
      </c>
      <c r="E314" s="33">
        <v>35</v>
      </c>
      <c r="F314" s="33">
        <f t="shared" si="203"/>
        <v>0</v>
      </c>
      <c r="G314" s="142">
        <f t="shared" si="204"/>
        <v>580000</v>
      </c>
      <c r="H314" s="33">
        <f t="shared" si="205"/>
        <v>594888.52054794529</v>
      </c>
      <c r="I314" s="144">
        <f t="shared" si="206"/>
        <v>595000</v>
      </c>
      <c r="J314" s="112" t="s">
        <v>36</v>
      </c>
      <c r="K314" s="110"/>
      <c r="L314" s="60"/>
      <c r="M314" s="110"/>
      <c r="N314" s="112"/>
      <c r="O314" s="7"/>
    </row>
    <row r="315" spans="1:15" hidden="1" x14ac:dyDescent="0.25">
      <c r="A315" s="72">
        <f t="shared" ca="1" si="157"/>
        <v>43151</v>
      </c>
      <c r="B315" s="110">
        <v>2000265</v>
      </c>
      <c r="C315" s="110">
        <v>273000</v>
      </c>
      <c r="D315" s="111">
        <f t="shared" si="210"/>
        <v>0.97497258724335178</v>
      </c>
      <c r="E315" s="33">
        <v>35</v>
      </c>
      <c r="F315" s="33">
        <f t="shared" si="203"/>
        <v>0</v>
      </c>
      <c r="G315" s="142">
        <f t="shared" si="204"/>
        <v>273000</v>
      </c>
      <c r="H315" s="33">
        <f t="shared" si="205"/>
        <v>280007.87260273972</v>
      </c>
      <c r="I315" s="144">
        <f t="shared" si="206"/>
        <v>280000</v>
      </c>
      <c r="J315" s="112" t="s">
        <v>39</v>
      </c>
      <c r="K315" s="110"/>
      <c r="L315" s="60"/>
      <c r="M315" s="110"/>
      <c r="N315" s="112"/>
      <c r="O315" s="7"/>
    </row>
    <row r="316" spans="1:15" hidden="1" x14ac:dyDescent="0.25">
      <c r="A316" s="72">
        <f t="shared" ca="1" si="157"/>
        <v>43151</v>
      </c>
      <c r="B316" s="110">
        <v>200074</v>
      </c>
      <c r="C316" s="110">
        <v>158000</v>
      </c>
      <c r="D316" s="111">
        <f t="shared" si="210"/>
        <v>0.97497258724335178</v>
      </c>
      <c r="E316" s="33">
        <v>35</v>
      </c>
      <c r="F316" s="33">
        <f t="shared" si="203"/>
        <v>0</v>
      </c>
      <c r="G316" s="142">
        <f t="shared" si="204"/>
        <v>158000</v>
      </c>
      <c r="H316" s="33">
        <f t="shared" si="205"/>
        <v>162055.8383561644</v>
      </c>
      <c r="I316" s="144">
        <f t="shared" si="206"/>
        <v>162000</v>
      </c>
      <c r="J316" s="112" t="s">
        <v>19</v>
      </c>
      <c r="K316" s="110"/>
      <c r="L316" s="60"/>
      <c r="M316" s="110"/>
      <c r="N316" s="112"/>
      <c r="O316" s="7"/>
    </row>
    <row r="317" spans="1:15" hidden="1" x14ac:dyDescent="0.25">
      <c r="A317" s="82"/>
      <c r="B317" s="117"/>
      <c r="C317" s="117"/>
      <c r="D317" s="127"/>
      <c r="E317" s="128"/>
      <c r="F317" s="128"/>
      <c r="G317" s="145"/>
      <c r="H317" s="128"/>
      <c r="I317" s="129"/>
      <c r="J317" s="146"/>
      <c r="K317" s="110"/>
      <c r="L317" s="60"/>
      <c r="M317" s="110"/>
      <c r="N317" s="112"/>
      <c r="O317" s="7"/>
    </row>
    <row r="318" spans="1:15" hidden="1" x14ac:dyDescent="0.25">
      <c r="A318" s="72">
        <f t="shared" ca="1" si="157"/>
        <v>43151</v>
      </c>
      <c r="B318" s="110">
        <v>1043</v>
      </c>
      <c r="C318" s="110">
        <f>2242000-3679</f>
        <v>2238321</v>
      </c>
      <c r="D318" s="111">
        <f t="shared" si="210"/>
        <v>0.97987734620221012</v>
      </c>
      <c r="E318" s="33">
        <v>28</v>
      </c>
      <c r="F318" s="33">
        <f t="shared" si="203"/>
        <v>0</v>
      </c>
      <c r="G318" s="142">
        <f t="shared" si="204"/>
        <v>2238321</v>
      </c>
      <c r="H318" s="33">
        <f t="shared" si="205"/>
        <v>2284286.9147605482</v>
      </c>
      <c r="I318" s="114">
        <f t="shared" si="206"/>
        <v>2284000</v>
      </c>
      <c r="J318" s="112" t="s">
        <v>11</v>
      </c>
      <c r="K318" s="110"/>
      <c r="L318" s="60"/>
      <c r="M318" s="110"/>
      <c r="N318" s="112"/>
      <c r="O318" s="7"/>
    </row>
    <row r="319" spans="1:15" hidden="1" x14ac:dyDescent="0.25">
      <c r="A319" s="72">
        <f t="shared" ca="1" si="157"/>
        <v>43151</v>
      </c>
      <c r="B319" s="110">
        <v>1904</v>
      </c>
      <c r="C319" s="110">
        <v>76000</v>
      </c>
      <c r="D319" s="111">
        <f t="shared" si="210"/>
        <v>0.97987734620221012</v>
      </c>
      <c r="E319" s="33">
        <v>28</v>
      </c>
      <c r="F319" s="33">
        <f t="shared" si="203"/>
        <v>0</v>
      </c>
      <c r="G319" s="142">
        <f t="shared" si="204"/>
        <v>76000</v>
      </c>
      <c r="H319" s="33">
        <f t="shared" si="205"/>
        <v>77560.727671232875</v>
      </c>
      <c r="I319" s="114">
        <f t="shared" si="206"/>
        <v>78000</v>
      </c>
      <c r="J319" s="112" t="s">
        <v>32</v>
      </c>
      <c r="K319" s="110"/>
      <c r="L319" s="60"/>
      <c r="M319" s="110"/>
      <c r="N319" s="112"/>
    </row>
    <row r="320" spans="1:15" hidden="1" x14ac:dyDescent="0.25">
      <c r="A320" s="72">
        <f t="shared" ca="1" si="157"/>
        <v>43151</v>
      </c>
      <c r="B320" s="110">
        <v>7378</v>
      </c>
      <c r="C320" s="110">
        <f>3840000-8900</f>
        <v>3831100</v>
      </c>
      <c r="D320" s="111">
        <f t="shared" si="210"/>
        <v>0.97987734620221012</v>
      </c>
      <c r="E320" s="33">
        <v>28</v>
      </c>
      <c r="F320" s="33">
        <f t="shared" si="203"/>
        <v>0</v>
      </c>
      <c r="G320" s="142">
        <f t="shared" si="204"/>
        <v>3831100</v>
      </c>
      <c r="H320" s="33">
        <f t="shared" si="205"/>
        <v>3909775.0497534247</v>
      </c>
      <c r="I320" s="114">
        <f t="shared" si="206"/>
        <v>3910000</v>
      </c>
      <c r="J320" s="112" t="s">
        <v>33</v>
      </c>
      <c r="K320" s="62"/>
      <c r="L320" s="60"/>
      <c r="M320" s="33"/>
      <c r="N320" s="33"/>
    </row>
    <row r="321" spans="1:15" hidden="1" x14ac:dyDescent="0.25">
      <c r="A321" s="72">
        <f t="shared" ca="1" si="157"/>
        <v>43151</v>
      </c>
      <c r="B321" s="110">
        <v>12033</v>
      </c>
      <c r="C321" s="110">
        <v>832100</v>
      </c>
      <c r="D321" s="111">
        <f t="shared" si="210"/>
        <v>0.97987734620221012</v>
      </c>
      <c r="E321" s="33">
        <v>28</v>
      </c>
      <c r="F321" s="33">
        <f t="shared" si="203"/>
        <v>0</v>
      </c>
      <c r="G321" s="142">
        <f t="shared" si="204"/>
        <v>832100</v>
      </c>
      <c r="H321" s="33">
        <f t="shared" si="205"/>
        <v>849187.914410959</v>
      </c>
      <c r="I321" s="114">
        <f t="shared" si="206"/>
        <v>849000</v>
      </c>
      <c r="J321" s="112" t="s">
        <v>37</v>
      </c>
      <c r="K321" s="62"/>
      <c r="L321" s="60"/>
      <c r="M321" s="33"/>
      <c r="N321" s="33"/>
      <c r="O321" s="33"/>
    </row>
    <row r="322" spans="1:15" hidden="1" x14ac:dyDescent="0.25">
      <c r="A322" s="72">
        <f t="shared" ca="1" si="157"/>
        <v>43151</v>
      </c>
      <c r="B322" s="110">
        <v>17282</v>
      </c>
      <c r="C322" s="110">
        <f>1161000-71950</f>
        <v>1089050</v>
      </c>
      <c r="D322" s="111">
        <f t="shared" si="210"/>
        <v>0.97987734620221012</v>
      </c>
      <c r="E322" s="33">
        <v>28</v>
      </c>
      <c r="F322" s="33">
        <f t="shared" ref="F322:F326" si="213">C322*$B$2</f>
        <v>1089.05</v>
      </c>
      <c r="G322" s="33">
        <f t="shared" ref="G322:G326" si="214">+C322-F322</f>
        <v>1087960.95</v>
      </c>
      <c r="H322" s="33">
        <f t="shared" ref="H322:H326" si="215">+C322/D322</f>
        <v>1111414.6114520549</v>
      </c>
      <c r="I322" s="114">
        <f t="shared" ref="I322:I326" si="216">MROUND(H322,1000)</f>
        <v>1111000</v>
      </c>
      <c r="J322" s="112" t="s">
        <v>27</v>
      </c>
      <c r="K322" s="110"/>
      <c r="L322" s="112"/>
      <c r="M322" s="110"/>
      <c r="N322" s="112"/>
      <c r="O322" s="112"/>
    </row>
    <row r="323" spans="1:15" hidden="1" x14ac:dyDescent="0.25">
      <c r="A323" s="72">
        <f t="shared" ca="1" si="157"/>
        <v>43151</v>
      </c>
      <c r="B323" s="110">
        <v>20191</v>
      </c>
      <c r="C323" s="110">
        <v>1475000</v>
      </c>
      <c r="D323" s="111">
        <f t="shared" si="210"/>
        <v>0.97987734620221012</v>
      </c>
      <c r="E323" s="33">
        <v>28</v>
      </c>
      <c r="F323" s="33">
        <f t="shared" si="213"/>
        <v>1475</v>
      </c>
      <c r="G323" s="33">
        <f t="shared" si="214"/>
        <v>1473525</v>
      </c>
      <c r="H323" s="33">
        <f t="shared" si="215"/>
        <v>1505290.4383561644</v>
      </c>
      <c r="I323" s="114">
        <f t="shared" si="216"/>
        <v>1505000</v>
      </c>
      <c r="J323" s="112" t="s">
        <v>13</v>
      </c>
      <c r="K323" s="110"/>
      <c r="L323" s="112"/>
      <c r="M323" s="110"/>
      <c r="N323" s="112"/>
      <c r="O323" s="112"/>
    </row>
    <row r="324" spans="1:15" hidden="1" x14ac:dyDescent="0.25">
      <c r="A324" s="72">
        <f t="shared" ca="1" si="157"/>
        <v>43151</v>
      </c>
      <c r="B324" s="110">
        <v>33393</v>
      </c>
      <c r="C324" s="110">
        <f>1191000-1055</f>
        <v>1189945</v>
      </c>
      <c r="D324" s="111">
        <f t="shared" si="210"/>
        <v>0.97987734620221012</v>
      </c>
      <c r="E324" s="33">
        <v>28</v>
      </c>
      <c r="F324" s="33">
        <f t="shared" si="213"/>
        <v>1189.9449999999999</v>
      </c>
      <c r="G324" s="33">
        <f t="shared" si="214"/>
        <v>1188755.0549999999</v>
      </c>
      <c r="H324" s="33">
        <f t="shared" si="215"/>
        <v>1214381.5801150685</v>
      </c>
      <c r="I324" s="114">
        <f t="shared" si="216"/>
        <v>1214000</v>
      </c>
      <c r="J324" s="112" t="s">
        <v>14</v>
      </c>
      <c r="K324" s="110"/>
      <c r="L324" s="112"/>
      <c r="M324" s="110"/>
      <c r="N324" s="112"/>
      <c r="O324" s="112"/>
    </row>
    <row r="325" spans="1:15" hidden="1" x14ac:dyDescent="0.25">
      <c r="A325" s="72">
        <f t="shared" ca="1" si="157"/>
        <v>43151</v>
      </c>
      <c r="B325" s="110">
        <v>120120</v>
      </c>
      <c r="C325" s="110">
        <v>100000</v>
      </c>
      <c r="D325" s="111">
        <f t="shared" si="210"/>
        <v>0.97987734620221012</v>
      </c>
      <c r="E325" s="33">
        <v>28</v>
      </c>
      <c r="F325" s="33">
        <f t="shared" si="213"/>
        <v>100</v>
      </c>
      <c r="G325" s="33">
        <f t="shared" si="214"/>
        <v>99900</v>
      </c>
      <c r="H325" s="33">
        <f t="shared" si="215"/>
        <v>102053.5890410959</v>
      </c>
      <c r="I325" s="114">
        <f t="shared" si="216"/>
        <v>102000</v>
      </c>
      <c r="J325" s="112" t="s">
        <v>47</v>
      </c>
      <c r="K325" s="110"/>
      <c r="L325" s="112"/>
      <c r="M325" s="110"/>
      <c r="N325" s="112"/>
      <c r="O325" s="112"/>
    </row>
    <row r="326" spans="1:15" hidden="1" x14ac:dyDescent="0.25">
      <c r="A326" s="72">
        <f t="shared" ca="1" si="157"/>
        <v>43151</v>
      </c>
      <c r="B326" s="110">
        <v>700197</v>
      </c>
      <c r="C326" s="110">
        <f>593000-1129+18433</f>
        <v>610304</v>
      </c>
      <c r="D326" s="111">
        <f t="shared" si="210"/>
        <v>0.97987734620221012</v>
      </c>
      <c r="E326" s="33">
        <v>28</v>
      </c>
      <c r="F326" s="33">
        <f t="shared" si="213"/>
        <v>610.30399999999997</v>
      </c>
      <c r="G326" s="33">
        <f t="shared" si="214"/>
        <v>609693.696</v>
      </c>
      <c r="H326" s="33">
        <f t="shared" si="215"/>
        <v>622837.13606136991</v>
      </c>
      <c r="I326" s="114">
        <f t="shared" si="216"/>
        <v>623000</v>
      </c>
      <c r="J326" s="112" t="s">
        <v>36</v>
      </c>
      <c r="K326" s="110"/>
      <c r="L326" s="112"/>
      <c r="M326" s="110"/>
      <c r="N326" s="112"/>
      <c r="O326" s="112"/>
    </row>
    <row r="327" spans="1:15" hidden="1" x14ac:dyDescent="0.25">
      <c r="A327" s="72">
        <f t="shared" ca="1" si="157"/>
        <v>43151</v>
      </c>
      <c r="B327" s="110">
        <v>2000265</v>
      </c>
      <c r="C327" s="110">
        <f>279000-1182</f>
        <v>277818</v>
      </c>
      <c r="D327" s="111">
        <f t="shared" ref="D327:D344" si="217">(1/(1+($B$1*E327/365)))</f>
        <v>0.97987734620221012</v>
      </c>
      <c r="E327" s="33">
        <v>28</v>
      </c>
      <c r="F327" s="33">
        <f t="shared" ref="F327:F344" si="218">C327*$B$2</f>
        <v>277.81799999999998</v>
      </c>
      <c r="G327" s="33">
        <f t="shared" ref="G327:G344" si="219">+C327-F327</f>
        <v>277540.18199999997</v>
      </c>
      <c r="H327" s="33">
        <f t="shared" ref="H327:H344" si="220">+C327/D327</f>
        <v>283523.2400021918</v>
      </c>
      <c r="I327" s="114">
        <f t="shared" ref="I327:I344" si="221">MROUND(H327,1000)</f>
        <v>284000</v>
      </c>
      <c r="J327" s="112" t="s">
        <v>39</v>
      </c>
      <c r="K327" s="110"/>
      <c r="L327" s="112"/>
      <c r="M327" s="110"/>
      <c r="N327" s="112"/>
      <c r="O327" s="112"/>
    </row>
    <row r="328" spans="1:15" hidden="1" x14ac:dyDescent="0.25">
      <c r="A328" s="72">
        <f t="shared" ref="A328:A391" ca="1" si="222">TODAY()</f>
        <v>43151</v>
      </c>
      <c r="B328" s="110">
        <v>200074</v>
      </c>
      <c r="C328" s="110">
        <f>162000-1674</f>
        <v>160326</v>
      </c>
      <c r="D328" s="111">
        <f t="shared" si="217"/>
        <v>0.97987734620221012</v>
      </c>
      <c r="E328" s="33">
        <v>28</v>
      </c>
      <c r="F328" s="33">
        <f t="shared" si="218"/>
        <v>160.32599999999999</v>
      </c>
      <c r="G328" s="33">
        <f t="shared" si="219"/>
        <v>160165.674</v>
      </c>
      <c r="H328" s="33">
        <f t="shared" si="220"/>
        <v>163618.4371660274</v>
      </c>
      <c r="I328" s="114">
        <f t="shared" si="221"/>
        <v>164000</v>
      </c>
      <c r="J328" s="112" t="s">
        <v>19</v>
      </c>
      <c r="K328" s="110"/>
      <c r="L328" s="112"/>
      <c r="M328" s="110"/>
      <c r="N328" s="112"/>
      <c r="O328" s="112"/>
    </row>
    <row r="329" spans="1:15" hidden="1" x14ac:dyDescent="0.25">
      <c r="A329" s="72">
        <f t="shared" ca="1" si="222"/>
        <v>43151</v>
      </c>
      <c r="B329" s="110">
        <v>20664</v>
      </c>
      <c r="C329" s="33">
        <f>409235-4268</f>
        <v>404967</v>
      </c>
      <c r="D329" s="111">
        <f t="shared" si="217"/>
        <v>0.97987734620221012</v>
      </c>
      <c r="E329" s="33">
        <v>28</v>
      </c>
      <c r="F329" s="33">
        <f t="shared" si="218"/>
        <v>404.96699999999998</v>
      </c>
      <c r="G329" s="33">
        <f t="shared" si="219"/>
        <v>404562.033</v>
      </c>
      <c r="H329" s="33">
        <f t="shared" si="220"/>
        <v>413283.35793205485</v>
      </c>
      <c r="I329" s="62">
        <f t="shared" si="221"/>
        <v>413000</v>
      </c>
      <c r="K329" s="110"/>
      <c r="L329" s="112"/>
      <c r="M329" s="110"/>
      <c r="N329" s="112"/>
      <c r="O329" s="112"/>
    </row>
    <row r="330" spans="1:15" hidden="1" x14ac:dyDescent="0.25">
      <c r="A330" s="82"/>
      <c r="B330" s="117"/>
      <c r="C330" s="128"/>
      <c r="D330" s="127"/>
      <c r="E330" s="128"/>
      <c r="F330" s="128"/>
      <c r="G330" s="128"/>
      <c r="H330" s="128"/>
      <c r="I330" s="129"/>
      <c r="J330" s="109"/>
      <c r="K330" s="110"/>
      <c r="L330" s="112"/>
      <c r="M330" s="110"/>
      <c r="N330" s="112"/>
      <c r="O330" s="112"/>
    </row>
    <row r="331" spans="1:15" hidden="1" x14ac:dyDescent="0.25">
      <c r="A331" s="72">
        <f t="shared" ca="1" si="222"/>
        <v>43151</v>
      </c>
      <c r="B331" s="147">
        <v>1043</v>
      </c>
      <c r="C331" s="147">
        <f>7838+170000</f>
        <v>177838</v>
      </c>
      <c r="D331" s="111">
        <f t="shared" si="217"/>
        <v>0.97987734620221012</v>
      </c>
      <c r="E331" s="33">
        <v>28</v>
      </c>
      <c r="F331" s="33">
        <f t="shared" si="218"/>
        <v>177.83799999999999</v>
      </c>
      <c r="G331" s="33">
        <f t="shared" si="219"/>
        <v>177660.16200000001</v>
      </c>
      <c r="H331" s="33">
        <f t="shared" si="220"/>
        <v>181490.06167890411</v>
      </c>
      <c r="I331" s="114">
        <f t="shared" si="221"/>
        <v>181000</v>
      </c>
      <c r="J331" s="148" t="s">
        <v>11</v>
      </c>
      <c r="K331" s="110"/>
      <c r="L331" s="112"/>
      <c r="M331" s="110"/>
      <c r="N331" s="112"/>
      <c r="O331" s="112"/>
    </row>
    <row r="332" spans="1:15" hidden="1" x14ac:dyDescent="0.25">
      <c r="A332" s="72">
        <f t="shared" ca="1" si="222"/>
        <v>43151</v>
      </c>
      <c r="B332" s="147">
        <v>1904</v>
      </c>
      <c r="C332" s="147">
        <f>80000-575</f>
        <v>79425</v>
      </c>
      <c r="D332" s="111">
        <f t="shared" si="217"/>
        <v>0.97987734620221012</v>
      </c>
      <c r="E332" s="33">
        <v>28</v>
      </c>
      <c r="F332" s="33">
        <f t="shared" si="218"/>
        <v>79.424999999999997</v>
      </c>
      <c r="G332" s="33">
        <f t="shared" si="219"/>
        <v>79345.574999999997</v>
      </c>
      <c r="H332" s="33">
        <f t="shared" si="220"/>
        <v>81056.063095890422</v>
      </c>
      <c r="I332" s="114">
        <f t="shared" si="221"/>
        <v>81000</v>
      </c>
      <c r="J332" s="148" t="s">
        <v>32</v>
      </c>
      <c r="K332" s="110"/>
      <c r="L332" s="112"/>
      <c r="M332" s="110"/>
      <c r="N332" s="112"/>
      <c r="O332" s="112"/>
    </row>
    <row r="333" spans="1:15" hidden="1" x14ac:dyDescent="0.25">
      <c r="A333" s="72">
        <f t="shared" ca="1" si="222"/>
        <v>43151</v>
      </c>
      <c r="B333" s="147">
        <v>2449</v>
      </c>
      <c r="C333" s="147">
        <v>75615</v>
      </c>
      <c r="D333" s="111">
        <f t="shared" si="217"/>
        <v>0.97987734620221012</v>
      </c>
      <c r="E333" s="33">
        <v>28</v>
      </c>
      <c r="F333" s="33">
        <f t="shared" si="218"/>
        <v>75.614999999999995</v>
      </c>
      <c r="G333" s="33">
        <f t="shared" si="219"/>
        <v>75539.384999999995</v>
      </c>
      <c r="H333" s="33">
        <f t="shared" si="220"/>
        <v>77167.821353424661</v>
      </c>
      <c r="I333" s="114">
        <f t="shared" si="221"/>
        <v>77000</v>
      </c>
      <c r="J333" s="148" t="s">
        <v>48</v>
      </c>
      <c r="K333" s="110"/>
      <c r="L333" s="112"/>
      <c r="M333" s="110"/>
      <c r="N333" s="112"/>
      <c r="O333" s="112"/>
    </row>
    <row r="334" spans="1:15" hidden="1" x14ac:dyDescent="0.25">
      <c r="A334" s="72">
        <f t="shared" ca="1" si="222"/>
        <v>43151</v>
      </c>
      <c r="B334" s="147">
        <v>7378</v>
      </c>
      <c r="C334" s="147">
        <f>1817+3995000</f>
        <v>3996817</v>
      </c>
      <c r="D334" s="111">
        <f t="shared" si="217"/>
        <v>0.97987734620221012</v>
      </c>
      <c r="E334" s="33">
        <v>28</v>
      </c>
      <c r="F334" s="33">
        <f t="shared" si="218"/>
        <v>3996.817</v>
      </c>
      <c r="G334" s="33">
        <f t="shared" si="219"/>
        <v>3992820.1830000002</v>
      </c>
      <c r="H334" s="33">
        <f t="shared" si="220"/>
        <v>4078895.1959046577</v>
      </c>
      <c r="I334" s="114">
        <f t="shared" si="221"/>
        <v>4079000</v>
      </c>
      <c r="J334" s="148" t="s">
        <v>33</v>
      </c>
      <c r="K334" s="110"/>
      <c r="L334" s="112"/>
      <c r="M334" s="110"/>
      <c r="N334" s="112"/>
      <c r="O334" s="112"/>
    </row>
    <row r="335" spans="1:15" hidden="1" x14ac:dyDescent="0.25">
      <c r="A335" s="72">
        <f t="shared" ca="1" si="222"/>
        <v>43151</v>
      </c>
      <c r="B335" s="147">
        <v>12033</v>
      </c>
      <c r="C335" s="147">
        <v>846000</v>
      </c>
      <c r="D335" s="111">
        <f t="shared" si="217"/>
        <v>0.97987734620221012</v>
      </c>
      <c r="E335" s="33">
        <v>28</v>
      </c>
      <c r="F335" s="33">
        <f t="shared" si="218"/>
        <v>846</v>
      </c>
      <c r="G335" s="33">
        <f t="shared" si="219"/>
        <v>845154</v>
      </c>
      <c r="H335" s="33">
        <f t="shared" si="220"/>
        <v>863373.36328767124</v>
      </c>
      <c r="I335" s="114">
        <f t="shared" si="221"/>
        <v>863000</v>
      </c>
      <c r="J335" s="148" t="s">
        <v>37</v>
      </c>
      <c r="K335" s="62"/>
      <c r="L335" s="60"/>
      <c r="M335" s="33"/>
      <c r="N335" s="33"/>
      <c r="O335" s="33"/>
    </row>
    <row r="336" spans="1:15" hidden="1" x14ac:dyDescent="0.25">
      <c r="A336" s="72">
        <f t="shared" ca="1" si="222"/>
        <v>43151</v>
      </c>
      <c r="B336" s="147">
        <v>13050</v>
      </c>
      <c r="C336" s="147">
        <v>806000</v>
      </c>
      <c r="D336" s="111">
        <f t="shared" si="217"/>
        <v>0.97987734620221012</v>
      </c>
      <c r="E336" s="33">
        <v>28</v>
      </c>
      <c r="F336" s="33">
        <f t="shared" si="218"/>
        <v>806</v>
      </c>
      <c r="G336" s="33">
        <f t="shared" si="219"/>
        <v>805194</v>
      </c>
      <c r="H336" s="33">
        <f t="shared" si="220"/>
        <v>822551.92767123296</v>
      </c>
      <c r="I336" s="114">
        <f t="shared" si="221"/>
        <v>823000</v>
      </c>
      <c r="J336" s="148" t="s">
        <v>49</v>
      </c>
      <c r="K336" s="62"/>
      <c r="L336" s="60"/>
      <c r="M336" s="33"/>
      <c r="N336" s="33"/>
      <c r="O336" s="33"/>
    </row>
    <row r="337" spans="1:15" hidden="1" x14ac:dyDescent="0.25">
      <c r="A337" s="72">
        <f t="shared" ca="1" si="222"/>
        <v>43151</v>
      </c>
      <c r="B337" s="147">
        <v>17282</v>
      </c>
      <c r="C337" s="147">
        <f>1101000-20677</f>
        <v>1080323</v>
      </c>
      <c r="D337" s="111">
        <f t="shared" si="217"/>
        <v>0.97987734620221012</v>
      </c>
      <c r="E337" s="33">
        <v>28</v>
      </c>
      <c r="F337" s="33">
        <f t="shared" si="218"/>
        <v>1080.3230000000001</v>
      </c>
      <c r="G337" s="33">
        <f t="shared" si="219"/>
        <v>1079242.6769999999</v>
      </c>
      <c r="H337" s="33">
        <f t="shared" si="220"/>
        <v>1102508.3947364385</v>
      </c>
      <c r="I337" s="114">
        <f t="shared" si="221"/>
        <v>1103000</v>
      </c>
      <c r="J337" s="148" t="s">
        <v>27</v>
      </c>
      <c r="K337" s="62"/>
      <c r="L337" s="60"/>
      <c r="M337" s="33"/>
      <c r="N337" s="33"/>
      <c r="O337" s="33"/>
    </row>
    <row r="338" spans="1:15" s="7" customFormat="1" hidden="1" x14ac:dyDescent="0.25">
      <c r="A338" s="11">
        <f t="shared" ca="1" si="222"/>
        <v>43151</v>
      </c>
      <c r="B338" s="154">
        <v>17645</v>
      </c>
      <c r="C338" s="154">
        <v>111000</v>
      </c>
      <c r="D338" s="10">
        <f t="shared" si="217"/>
        <v>0.97987734620221012</v>
      </c>
      <c r="E338" s="35">
        <v>28</v>
      </c>
      <c r="F338" s="35">
        <f t="shared" si="218"/>
        <v>111</v>
      </c>
      <c r="G338" s="35">
        <f t="shared" si="219"/>
        <v>110889</v>
      </c>
      <c r="H338" s="35">
        <f t="shared" si="220"/>
        <v>113279.48383561644</v>
      </c>
      <c r="I338" s="135">
        <f t="shared" si="221"/>
        <v>113000</v>
      </c>
      <c r="J338" s="155" t="s">
        <v>25</v>
      </c>
      <c r="K338" s="135"/>
      <c r="L338" s="136"/>
      <c r="M338" s="35"/>
      <c r="N338" s="35"/>
      <c r="O338" s="35"/>
    </row>
    <row r="339" spans="1:15" hidden="1" x14ac:dyDescent="0.25">
      <c r="A339" s="72">
        <f t="shared" ca="1" si="222"/>
        <v>43151</v>
      </c>
      <c r="B339" s="147">
        <v>20067</v>
      </c>
      <c r="C339" s="147">
        <f>823097-300000</f>
        <v>523097</v>
      </c>
      <c r="D339" s="111">
        <f t="shared" si="217"/>
        <v>0.97987734620221012</v>
      </c>
      <c r="E339" s="33">
        <v>28</v>
      </c>
      <c r="F339" s="33">
        <f t="shared" si="218"/>
        <v>523.09699999999998</v>
      </c>
      <c r="G339" s="33">
        <f t="shared" si="219"/>
        <v>522573.90299999999</v>
      </c>
      <c r="H339" s="33">
        <f t="shared" si="220"/>
        <v>533839.26266630145</v>
      </c>
      <c r="I339" s="114">
        <f t="shared" si="221"/>
        <v>534000</v>
      </c>
      <c r="J339" s="148" t="s">
        <v>12</v>
      </c>
      <c r="K339" s="62"/>
      <c r="L339" s="60"/>
      <c r="M339" s="33"/>
      <c r="N339" s="33"/>
      <c r="O339" s="33"/>
    </row>
    <row r="340" spans="1:15" hidden="1" x14ac:dyDescent="0.25">
      <c r="A340" s="72">
        <f t="shared" ca="1" si="222"/>
        <v>43151</v>
      </c>
      <c r="B340" s="147">
        <v>20191</v>
      </c>
      <c r="C340" s="147">
        <f>4939+1541000</f>
        <v>1545939</v>
      </c>
      <c r="D340" s="111">
        <f t="shared" si="217"/>
        <v>0.97987734620221012</v>
      </c>
      <c r="E340" s="33">
        <v>28</v>
      </c>
      <c r="F340" s="33">
        <f t="shared" si="218"/>
        <v>1545.9390000000001</v>
      </c>
      <c r="G340" s="33">
        <f t="shared" si="219"/>
        <v>1544393.061</v>
      </c>
      <c r="H340" s="33">
        <f t="shared" si="220"/>
        <v>1577686.2338860275</v>
      </c>
      <c r="I340" s="114">
        <f t="shared" si="221"/>
        <v>1578000</v>
      </c>
      <c r="J340" s="148" t="s">
        <v>13</v>
      </c>
      <c r="K340" s="62"/>
      <c r="L340" s="60"/>
      <c r="M340" s="33"/>
      <c r="N340" s="33"/>
      <c r="O340" s="33"/>
    </row>
    <row r="341" spans="1:15" hidden="1" x14ac:dyDescent="0.25">
      <c r="A341" s="72">
        <f t="shared" ca="1" si="222"/>
        <v>43151</v>
      </c>
      <c r="B341" s="142">
        <v>26053</v>
      </c>
      <c r="C341" s="142">
        <v>109000</v>
      </c>
      <c r="D341" s="111">
        <f t="shared" si="217"/>
        <v>0.97987734620221012</v>
      </c>
      <c r="E341" s="33">
        <v>28</v>
      </c>
      <c r="F341" s="33">
        <f t="shared" si="218"/>
        <v>109</v>
      </c>
      <c r="G341" s="33">
        <f t="shared" si="219"/>
        <v>108891</v>
      </c>
      <c r="H341" s="33">
        <f t="shared" si="220"/>
        <v>111238.41205479452</v>
      </c>
      <c r="I341" s="114">
        <f t="shared" si="221"/>
        <v>111000</v>
      </c>
      <c r="J341" s="33" t="s">
        <v>50</v>
      </c>
      <c r="K341" s="62"/>
      <c r="L341" s="60"/>
      <c r="M341" s="33"/>
      <c r="N341" s="33"/>
      <c r="O341" s="33"/>
    </row>
    <row r="342" spans="1:15" hidden="1" x14ac:dyDescent="0.25">
      <c r="A342" s="72">
        <f t="shared" ca="1" si="222"/>
        <v>43151</v>
      </c>
      <c r="B342" s="142">
        <v>33393</v>
      </c>
      <c r="C342" s="142">
        <f>158800+1240000</f>
        <v>1398800</v>
      </c>
      <c r="D342" s="111">
        <f t="shared" si="217"/>
        <v>0.97987734620221012</v>
      </c>
      <c r="E342" s="33">
        <v>28</v>
      </c>
      <c r="F342" s="33">
        <f t="shared" si="218"/>
        <v>1398.8</v>
      </c>
      <c r="G342" s="33">
        <f t="shared" si="219"/>
        <v>1397401.2</v>
      </c>
      <c r="H342" s="33">
        <f t="shared" si="220"/>
        <v>1427525.6035068494</v>
      </c>
      <c r="I342" s="114">
        <f t="shared" si="221"/>
        <v>1428000</v>
      </c>
      <c r="J342" s="33" t="s">
        <v>14</v>
      </c>
      <c r="K342" s="62"/>
      <c r="L342" s="60"/>
      <c r="M342" s="33"/>
      <c r="N342" s="33"/>
      <c r="O342" s="33"/>
    </row>
    <row r="343" spans="1:15" hidden="1" x14ac:dyDescent="0.25">
      <c r="A343" s="72">
        <f t="shared" ca="1" si="222"/>
        <v>43151</v>
      </c>
      <c r="B343" s="142">
        <v>120120</v>
      </c>
      <c r="C343" s="142">
        <v>84000</v>
      </c>
      <c r="D343" s="111">
        <f t="shared" si="217"/>
        <v>0.97987734620221012</v>
      </c>
      <c r="E343" s="33">
        <v>28</v>
      </c>
      <c r="F343" s="33">
        <f t="shared" si="218"/>
        <v>84</v>
      </c>
      <c r="G343" s="33">
        <f t="shared" si="219"/>
        <v>83916</v>
      </c>
      <c r="H343" s="33">
        <f t="shared" si="220"/>
        <v>85725.014794520554</v>
      </c>
      <c r="I343" s="114">
        <f t="shared" si="221"/>
        <v>86000</v>
      </c>
      <c r="J343" s="33" t="s">
        <v>47</v>
      </c>
      <c r="K343" s="62"/>
      <c r="L343" s="60"/>
      <c r="M343" s="33"/>
      <c r="N343" s="33"/>
      <c r="O343" s="33"/>
    </row>
    <row r="344" spans="1:15" hidden="1" x14ac:dyDescent="0.25">
      <c r="A344" s="72">
        <f t="shared" ca="1" si="222"/>
        <v>43151</v>
      </c>
      <c r="B344" s="142">
        <v>300406</v>
      </c>
      <c r="C344" s="142">
        <v>409000</v>
      </c>
      <c r="D344" s="111">
        <f t="shared" si="217"/>
        <v>0.97987734620221012</v>
      </c>
      <c r="E344" s="33">
        <v>28</v>
      </c>
      <c r="F344" s="33">
        <f t="shared" si="218"/>
        <v>409</v>
      </c>
      <c r="G344" s="33">
        <f t="shared" si="219"/>
        <v>408591</v>
      </c>
      <c r="H344" s="33">
        <f t="shared" si="220"/>
        <v>417399.17917808221</v>
      </c>
      <c r="I344" s="114">
        <f t="shared" si="221"/>
        <v>417000</v>
      </c>
      <c r="J344" s="33" t="s">
        <v>51</v>
      </c>
    </row>
    <row r="345" spans="1:15" hidden="1" x14ac:dyDescent="0.25">
      <c r="A345" s="72">
        <f t="shared" ca="1" si="222"/>
        <v>43151</v>
      </c>
      <c r="B345" s="142">
        <v>700197</v>
      </c>
      <c r="C345" s="142">
        <v>636000</v>
      </c>
      <c r="D345" s="111">
        <f t="shared" ref="D345:D379" si="223">(1/(1+($B$1*E345/365)))</f>
        <v>0.97987734620221012</v>
      </c>
      <c r="E345" s="33">
        <v>28</v>
      </c>
      <c r="F345" s="33">
        <f t="shared" ref="F345:F369" si="224">C345*$B$2</f>
        <v>636</v>
      </c>
      <c r="G345" s="33">
        <f t="shared" ref="G345:G369" si="225">+C345-F345</f>
        <v>635364</v>
      </c>
      <c r="H345" s="33">
        <f t="shared" ref="H345:H369" si="226">+C345/D345</f>
        <v>649060.82630136993</v>
      </c>
      <c r="I345" s="114">
        <f t="shared" ref="I345:I369" si="227">MROUND(H345,1000)</f>
        <v>649000</v>
      </c>
      <c r="J345" s="33" t="s">
        <v>36</v>
      </c>
    </row>
    <row r="346" spans="1:15" hidden="1" x14ac:dyDescent="0.25">
      <c r="A346" s="72">
        <f t="shared" ca="1" si="222"/>
        <v>43151</v>
      </c>
      <c r="B346" s="142">
        <v>2000265</v>
      </c>
      <c r="C346" s="142">
        <v>290000</v>
      </c>
      <c r="D346" s="111">
        <f t="shared" si="223"/>
        <v>0.97987734620221012</v>
      </c>
      <c r="E346" s="33">
        <v>28</v>
      </c>
      <c r="F346" s="33">
        <f t="shared" si="224"/>
        <v>290</v>
      </c>
      <c r="G346" s="33">
        <f t="shared" si="225"/>
        <v>289710</v>
      </c>
      <c r="H346" s="33">
        <f t="shared" si="226"/>
        <v>295955.40821917809</v>
      </c>
      <c r="I346" s="114">
        <f t="shared" si="227"/>
        <v>296000</v>
      </c>
      <c r="J346" s="33" t="s">
        <v>39</v>
      </c>
    </row>
    <row r="347" spans="1:15" hidden="1" x14ac:dyDescent="0.25">
      <c r="A347" s="72">
        <f t="shared" ca="1" si="222"/>
        <v>43151</v>
      </c>
      <c r="B347" s="147">
        <v>20664</v>
      </c>
      <c r="C347" s="147">
        <v>2685009</v>
      </c>
      <c r="D347" s="111">
        <f t="shared" si="223"/>
        <v>0.97987734620221012</v>
      </c>
      <c r="E347" s="33">
        <v>28</v>
      </c>
      <c r="F347" s="33">
        <f t="shared" si="224"/>
        <v>2685.009</v>
      </c>
      <c r="G347" s="33">
        <f t="shared" si="225"/>
        <v>2682323.9909999999</v>
      </c>
      <c r="H347" s="33">
        <f t="shared" si="226"/>
        <v>2740148.0505764387</v>
      </c>
      <c r="I347" s="114">
        <f t="shared" si="227"/>
        <v>2740000</v>
      </c>
      <c r="J347" s="58" t="s">
        <v>52</v>
      </c>
    </row>
    <row r="348" spans="1:15" hidden="1" x14ac:dyDescent="0.25">
      <c r="A348" s="72">
        <f t="shared" ca="1" si="222"/>
        <v>43151</v>
      </c>
      <c r="B348" s="142">
        <v>200074</v>
      </c>
      <c r="C348" s="142">
        <v>167000</v>
      </c>
      <c r="D348" s="111">
        <f t="shared" si="223"/>
        <v>0.97987734620221012</v>
      </c>
      <c r="E348" s="33">
        <v>28</v>
      </c>
      <c r="F348" s="33">
        <f t="shared" si="224"/>
        <v>167</v>
      </c>
      <c r="G348" s="33">
        <f t="shared" si="225"/>
        <v>166833</v>
      </c>
      <c r="H348" s="33">
        <f t="shared" si="226"/>
        <v>170429.49369863013</v>
      </c>
      <c r="I348" s="114">
        <f t="shared" si="227"/>
        <v>170000</v>
      </c>
      <c r="J348" s="58" t="s">
        <v>53</v>
      </c>
    </row>
    <row r="349" spans="1:15" hidden="1" x14ac:dyDescent="0.25">
      <c r="A349" s="72">
        <f t="shared" ca="1" si="222"/>
        <v>43151</v>
      </c>
      <c r="B349" s="149">
        <v>33393</v>
      </c>
      <c r="C349" s="149">
        <v>20000</v>
      </c>
      <c r="D349" s="111">
        <f t="shared" si="223"/>
        <v>0.97987734620221012</v>
      </c>
      <c r="E349" s="33">
        <v>28</v>
      </c>
      <c r="F349" s="33">
        <f t="shared" si="224"/>
        <v>20</v>
      </c>
      <c r="G349" s="33">
        <f t="shared" si="225"/>
        <v>19980</v>
      </c>
      <c r="H349" s="33">
        <f t="shared" si="226"/>
        <v>20410.717808219179</v>
      </c>
      <c r="I349" s="114">
        <f t="shared" si="227"/>
        <v>20000</v>
      </c>
    </row>
    <row r="350" spans="1:15" hidden="1" x14ac:dyDescent="0.25">
      <c r="A350" s="72">
        <f t="shared" ca="1" si="222"/>
        <v>43151</v>
      </c>
      <c r="B350" s="149">
        <v>130728</v>
      </c>
      <c r="C350" s="33">
        <v>3198001</v>
      </c>
      <c r="D350" s="111">
        <f t="shared" si="223"/>
        <v>0.97987734620221012</v>
      </c>
      <c r="E350" s="33">
        <v>28</v>
      </c>
      <c r="F350" s="33">
        <f t="shared" si="224"/>
        <v>3198.0010000000002</v>
      </c>
      <c r="G350" s="33">
        <f t="shared" si="225"/>
        <v>3194802.9989999998</v>
      </c>
      <c r="H350" s="33">
        <f t="shared" si="226"/>
        <v>3263674.7980701374</v>
      </c>
      <c r="I350" s="62">
        <f t="shared" si="227"/>
        <v>3264000</v>
      </c>
    </row>
    <row r="351" spans="1:15" hidden="1" x14ac:dyDescent="0.25">
      <c r="A351" s="74"/>
      <c r="B351" s="150"/>
      <c r="C351" s="151"/>
      <c r="D351" s="152"/>
      <c r="E351" s="151"/>
      <c r="F351" s="151"/>
      <c r="G351" s="151"/>
      <c r="H351" s="151"/>
      <c r="I351" s="153"/>
    </row>
    <row r="352" spans="1:15" hidden="1" x14ac:dyDescent="0.25">
      <c r="A352" s="72">
        <f t="shared" ca="1" si="222"/>
        <v>43151</v>
      </c>
      <c r="B352" s="110">
        <v>1043</v>
      </c>
      <c r="C352" s="110">
        <v>181000</v>
      </c>
      <c r="D352" s="111">
        <f t="shared" si="223"/>
        <v>0.97987734620221012</v>
      </c>
      <c r="E352" s="33">
        <v>28</v>
      </c>
      <c r="F352" s="33">
        <f t="shared" si="224"/>
        <v>181</v>
      </c>
      <c r="G352" s="33">
        <f t="shared" si="225"/>
        <v>180819</v>
      </c>
      <c r="H352" s="33">
        <f t="shared" si="226"/>
        <v>184716.99616438357</v>
      </c>
      <c r="I352" s="114">
        <f t="shared" si="227"/>
        <v>185000</v>
      </c>
      <c r="J352" s="112" t="s">
        <v>11</v>
      </c>
    </row>
    <row r="353" spans="1:10" hidden="1" x14ac:dyDescent="0.25">
      <c r="A353" s="72">
        <f t="shared" ca="1" si="222"/>
        <v>43151</v>
      </c>
      <c r="B353" s="110">
        <v>1904</v>
      </c>
      <c r="C353" s="110">
        <v>81000</v>
      </c>
      <c r="D353" s="111">
        <f t="shared" si="223"/>
        <v>0.97987734620221012</v>
      </c>
      <c r="E353" s="33">
        <v>28</v>
      </c>
      <c r="F353" s="33">
        <f t="shared" si="224"/>
        <v>81</v>
      </c>
      <c r="G353" s="33">
        <f t="shared" si="225"/>
        <v>80919</v>
      </c>
      <c r="H353" s="33">
        <f t="shared" si="226"/>
        <v>82663.407123287674</v>
      </c>
      <c r="I353" s="114">
        <f t="shared" si="227"/>
        <v>83000</v>
      </c>
      <c r="J353" s="112" t="s">
        <v>32</v>
      </c>
    </row>
    <row r="354" spans="1:10" hidden="1" x14ac:dyDescent="0.25">
      <c r="A354" s="72">
        <f t="shared" ca="1" si="222"/>
        <v>43151</v>
      </c>
      <c r="B354" s="110">
        <v>2449</v>
      </c>
      <c r="C354" s="110">
        <v>77000</v>
      </c>
      <c r="D354" s="111">
        <f t="shared" si="223"/>
        <v>0.97987734620221012</v>
      </c>
      <c r="E354" s="33">
        <v>28</v>
      </c>
      <c r="F354" s="33">
        <f t="shared" si="224"/>
        <v>77</v>
      </c>
      <c r="G354" s="33">
        <f t="shared" si="225"/>
        <v>76923</v>
      </c>
      <c r="H354" s="33">
        <f t="shared" si="226"/>
        <v>78581.263561643835</v>
      </c>
      <c r="I354" s="114">
        <f t="shared" si="227"/>
        <v>79000</v>
      </c>
      <c r="J354" s="112" t="s">
        <v>48</v>
      </c>
    </row>
    <row r="355" spans="1:10" hidden="1" x14ac:dyDescent="0.25">
      <c r="A355" s="72">
        <f t="shared" ca="1" si="222"/>
        <v>43151</v>
      </c>
      <c r="B355" s="110">
        <v>7378</v>
      </c>
      <c r="C355" s="110">
        <f>2268+2443000</f>
        <v>2445268</v>
      </c>
      <c r="D355" s="111">
        <f t="shared" si="223"/>
        <v>0.97987734620221012</v>
      </c>
      <c r="E355" s="33">
        <v>28</v>
      </c>
      <c r="F355" s="33">
        <f t="shared" si="224"/>
        <v>2445.268</v>
      </c>
      <c r="G355" s="33">
        <f t="shared" si="225"/>
        <v>2442822.7319999998</v>
      </c>
      <c r="H355" s="33">
        <f t="shared" si="226"/>
        <v>2495483.7556734248</v>
      </c>
      <c r="I355" s="114">
        <f t="shared" si="227"/>
        <v>2495000</v>
      </c>
      <c r="J355" s="112" t="s">
        <v>33</v>
      </c>
    </row>
    <row r="356" spans="1:10" hidden="1" x14ac:dyDescent="0.25">
      <c r="A356" s="72">
        <f t="shared" ca="1" si="222"/>
        <v>43151</v>
      </c>
      <c r="B356" s="110">
        <v>12033</v>
      </c>
      <c r="C356" s="110">
        <v>862000</v>
      </c>
      <c r="D356" s="111">
        <f t="shared" si="223"/>
        <v>0.97987734620221012</v>
      </c>
      <c r="E356" s="33">
        <v>28</v>
      </c>
      <c r="F356" s="33">
        <f t="shared" si="224"/>
        <v>862</v>
      </c>
      <c r="G356" s="33">
        <f t="shared" si="225"/>
        <v>861138</v>
      </c>
      <c r="H356" s="33">
        <f t="shared" si="226"/>
        <v>879701.93753424659</v>
      </c>
      <c r="I356" s="114">
        <f t="shared" si="227"/>
        <v>880000</v>
      </c>
      <c r="J356" s="112" t="s">
        <v>37</v>
      </c>
    </row>
    <row r="357" spans="1:10" hidden="1" x14ac:dyDescent="0.25">
      <c r="A357" s="72">
        <f t="shared" ca="1" si="222"/>
        <v>43151</v>
      </c>
      <c r="B357" s="110">
        <v>13050</v>
      </c>
      <c r="C357" s="110">
        <v>821000</v>
      </c>
      <c r="D357" s="111">
        <f t="shared" si="223"/>
        <v>0.97987734620221012</v>
      </c>
      <c r="E357" s="33">
        <v>28</v>
      </c>
      <c r="F357" s="33">
        <f t="shared" si="224"/>
        <v>821</v>
      </c>
      <c r="G357" s="33">
        <f t="shared" si="225"/>
        <v>820179</v>
      </c>
      <c r="H357" s="33">
        <f t="shared" si="226"/>
        <v>837859.96602739731</v>
      </c>
      <c r="I357" s="114">
        <f t="shared" si="227"/>
        <v>838000</v>
      </c>
      <c r="J357" s="112" t="s">
        <v>49</v>
      </c>
    </row>
    <row r="358" spans="1:10" hidden="1" x14ac:dyDescent="0.25">
      <c r="A358" s="72">
        <f t="shared" ca="1" si="222"/>
        <v>43151</v>
      </c>
      <c r="B358" s="110">
        <v>17282</v>
      </c>
      <c r="C358" s="110">
        <f>1101000-16100</f>
        <v>1084900</v>
      </c>
      <c r="D358" s="111">
        <f t="shared" si="223"/>
        <v>0.97987734620221012</v>
      </c>
      <c r="E358" s="33">
        <v>28</v>
      </c>
      <c r="F358" s="33">
        <f t="shared" si="224"/>
        <v>1084.9000000000001</v>
      </c>
      <c r="G358" s="33">
        <f t="shared" si="225"/>
        <v>1083815.1000000001</v>
      </c>
      <c r="H358" s="33">
        <f t="shared" si="226"/>
        <v>1107179.3875068494</v>
      </c>
      <c r="I358" s="114">
        <f t="shared" si="227"/>
        <v>1107000</v>
      </c>
      <c r="J358" s="112" t="s">
        <v>27</v>
      </c>
    </row>
    <row r="359" spans="1:10" hidden="1" x14ac:dyDescent="0.25">
      <c r="A359" s="72">
        <f t="shared" ca="1" si="222"/>
        <v>43151</v>
      </c>
      <c r="B359" s="110">
        <v>20067</v>
      </c>
      <c r="C359" s="110">
        <f>533000/2</f>
        <v>266500</v>
      </c>
      <c r="D359" s="111">
        <f t="shared" si="223"/>
        <v>0.97987734620221012</v>
      </c>
      <c r="E359" s="33">
        <v>28</v>
      </c>
      <c r="F359" s="33">
        <f t="shared" si="224"/>
        <v>266.5</v>
      </c>
      <c r="G359" s="33">
        <f t="shared" si="225"/>
        <v>266233.5</v>
      </c>
      <c r="H359" s="33">
        <f t="shared" si="226"/>
        <v>271972.81479452056</v>
      </c>
      <c r="I359" s="114">
        <f t="shared" si="227"/>
        <v>272000</v>
      </c>
      <c r="J359" s="112" t="s">
        <v>12</v>
      </c>
    </row>
    <row r="360" spans="1:10" hidden="1" x14ac:dyDescent="0.25">
      <c r="A360" s="72">
        <f t="shared" ca="1" si="222"/>
        <v>43151</v>
      </c>
      <c r="B360" s="110">
        <v>20191</v>
      </c>
      <c r="C360" s="110">
        <f>1400+1576000</f>
        <v>1577400</v>
      </c>
      <c r="D360" s="111">
        <f t="shared" si="223"/>
        <v>0.97987734620221012</v>
      </c>
      <c r="E360" s="33">
        <v>28</v>
      </c>
      <c r="F360" s="33">
        <f t="shared" si="224"/>
        <v>1577.4</v>
      </c>
      <c r="G360" s="33">
        <f t="shared" si="225"/>
        <v>1575822.6</v>
      </c>
      <c r="H360" s="33">
        <f t="shared" si="226"/>
        <v>1609793.3135342468</v>
      </c>
      <c r="I360" s="114">
        <f t="shared" si="227"/>
        <v>1610000</v>
      </c>
      <c r="J360" s="112" t="s">
        <v>13</v>
      </c>
    </row>
    <row r="361" spans="1:10" hidden="1" x14ac:dyDescent="0.25">
      <c r="A361" s="72">
        <f t="shared" ca="1" si="222"/>
        <v>43151</v>
      </c>
      <c r="B361" s="110">
        <v>33393</v>
      </c>
      <c r="C361" s="110">
        <f>62000+1567400</f>
        <v>1629400</v>
      </c>
      <c r="D361" s="111">
        <f t="shared" si="223"/>
        <v>0.97987734620221012</v>
      </c>
      <c r="E361" s="33">
        <v>28</v>
      </c>
      <c r="F361" s="33">
        <f t="shared" si="224"/>
        <v>1629.4</v>
      </c>
      <c r="G361" s="33">
        <f t="shared" si="225"/>
        <v>1627770.6</v>
      </c>
      <c r="H361" s="33">
        <f t="shared" si="226"/>
        <v>1662861.1798356166</v>
      </c>
      <c r="I361" s="114">
        <f t="shared" si="227"/>
        <v>1663000</v>
      </c>
      <c r="J361" s="112" t="s">
        <v>14</v>
      </c>
    </row>
    <row r="362" spans="1:10" hidden="1" x14ac:dyDescent="0.25">
      <c r="A362" s="72">
        <f t="shared" ca="1" si="222"/>
        <v>43151</v>
      </c>
      <c r="B362" s="110">
        <v>120120</v>
      </c>
      <c r="C362" s="110">
        <f>86000-20000</f>
        <v>66000</v>
      </c>
      <c r="D362" s="111">
        <f t="shared" si="223"/>
        <v>0.97987734620221012</v>
      </c>
      <c r="E362" s="33">
        <v>28</v>
      </c>
      <c r="F362" s="33">
        <f t="shared" si="224"/>
        <v>66</v>
      </c>
      <c r="G362" s="33">
        <f t="shared" si="225"/>
        <v>65934</v>
      </c>
      <c r="H362" s="33">
        <f t="shared" si="226"/>
        <v>67355.368767123291</v>
      </c>
      <c r="I362" s="114">
        <f t="shared" si="227"/>
        <v>67000</v>
      </c>
      <c r="J362" s="112" t="s">
        <v>47</v>
      </c>
    </row>
    <row r="363" spans="1:10" hidden="1" x14ac:dyDescent="0.25">
      <c r="A363" s="72">
        <f t="shared" ca="1" si="222"/>
        <v>43151</v>
      </c>
      <c r="B363" s="110">
        <v>300406</v>
      </c>
      <c r="C363" s="110">
        <f>-1600+417000</f>
        <v>415400</v>
      </c>
      <c r="D363" s="111">
        <f t="shared" si="223"/>
        <v>0.97987734620221012</v>
      </c>
      <c r="E363" s="33">
        <v>28</v>
      </c>
      <c r="F363" s="33">
        <f t="shared" si="224"/>
        <v>415.40000000000003</v>
      </c>
      <c r="G363" s="33">
        <f t="shared" si="225"/>
        <v>414984.6</v>
      </c>
      <c r="H363" s="33">
        <f t="shared" si="226"/>
        <v>423930.60887671233</v>
      </c>
      <c r="I363" s="114">
        <f t="shared" si="227"/>
        <v>424000</v>
      </c>
      <c r="J363" s="112" t="s">
        <v>51</v>
      </c>
    </row>
    <row r="364" spans="1:10" hidden="1" x14ac:dyDescent="0.25">
      <c r="A364" s="72">
        <f t="shared" ca="1" si="222"/>
        <v>43151</v>
      </c>
      <c r="B364" s="110">
        <v>700197</v>
      </c>
      <c r="C364" s="110">
        <f>-800+648000</f>
        <v>647200</v>
      </c>
      <c r="D364" s="111">
        <f t="shared" si="223"/>
        <v>0.97987734620221012</v>
      </c>
      <c r="E364" s="33">
        <v>28</v>
      </c>
      <c r="F364" s="33">
        <f t="shared" si="224"/>
        <v>647.20000000000005</v>
      </c>
      <c r="G364" s="33">
        <f t="shared" si="225"/>
        <v>646552.80000000005</v>
      </c>
      <c r="H364" s="33">
        <f t="shared" si="226"/>
        <v>660490.82827397261</v>
      </c>
      <c r="I364" s="114">
        <f t="shared" si="227"/>
        <v>660000</v>
      </c>
      <c r="J364" s="112" t="s">
        <v>36</v>
      </c>
    </row>
    <row r="365" spans="1:10" hidden="1" x14ac:dyDescent="0.25">
      <c r="A365" s="72">
        <f t="shared" ca="1" si="222"/>
        <v>43151</v>
      </c>
      <c r="B365" s="110">
        <v>2000265</v>
      </c>
      <c r="C365" s="110">
        <f>-1200+296000</f>
        <v>294800</v>
      </c>
      <c r="D365" s="111">
        <f t="shared" si="223"/>
        <v>0.97987734620221012</v>
      </c>
      <c r="E365" s="33">
        <v>28</v>
      </c>
      <c r="F365" s="33">
        <f t="shared" si="224"/>
        <v>294.8</v>
      </c>
      <c r="G365" s="33">
        <f t="shared" si="225"/>
        <v>294505.2</v>
      </c>
      <c r="H365" s="33">
        <f t="shared" si="226"/>
        <v>300853.98049315071</v>
      </c>
      <c r="I365" s="114">
        <f t="shared" si="227"/>
        <v>301000</v>
      </c>
      <c r="J365" s="112" t="s">
        <v>39</v>
      </c>
    </row>
    <row r="366" spans="1:10" hidden="1" x14ac:dyDescent="0.25">
      <c r="A366" s="72">
        <f t="shared" ca="1" si="222"/>
        <v>43151</v>
      </c>
      <c r="B366" s="110">
        <v>20664</v>
      </c>
      <c r="C366" s="110">
        <f>3901900-8000</f>
        <v>3893900</v>
      </c>
      <c r="D366" s="111">
        <f t="shared" si="223"/>
        <v>0.97987734620221012</v>
      </c>
      <c r="E366" s="33">
        <v>28</v>
      </c>
      <c r="F366" s="33">
        <f t="shared" si="224"/>
        <v>3893.9</v>
      </c>
      <c r="G366" s="33">
        <f t="shared" si="225"/>
        <v>3890006.1</v>
      </c>
      <c r="H366" s="33">
        <f t="shared" si="226"/>
        <v>3973864.7036712333</v>
      </c>
      <c r="I366" s="114">
        <f t="shared" si="227"/>
        <v>3974000</v>
      </c>
      <c r="J366" s="112" t="s">
        <v>17</v>
      </c>
    </row>
    <row r="367" spans="1:10" hidden="1" x14ac:dyDescent="0.25">
      <c r="A367" s="72">
        <f t="shared" ca="1" si="222"/>
        <v>43151</v>
      </c>
      <c r="B367" s="110">
        <v>200074</v>
      </c>
      <c r="C367" s="110">
        <f>-200+170000</f>
        <v>169800</v>
      </c>
      <c r="D367" s="111">
        <f t="shared" si="223"/>
        <v>0.97987734620221012</v>
      </c>
      <c r="E367" s="33">
        <v>28</v>
      </c>
      <c r="F367" s="33">
        <f t="shared" si="224"/>
        <v>169.8</v>
      </c>
      <c r="G367" s="33">
        <f t="shared" si="225"/>
        <v>169630.2</v>
      </c>
      <c r="H367" s="33">
        <f t="shared" si="226"/>
        <v>173286.99419178083</v>
      </c>
      <c r="I367" s="62">
        <f t="shared" si="227"/>
        <v>173000</v>
      </c>
      <c r="J367" s="112" t="s">
        <v>19</v>
      </c>
    </row>
    <row r="368" spans="1:10" hidden="1" x14ac:dyDescent="0.25">
      <c r="A368" s="72">
        <f t="shared" ca="1" si="222"/>
        <v>43151</v>
      </c>
      <c r="B368" s="113">
        <v>14168</v>
      </c>
      <c r="C368" s="33">
        <v>2032180</v>
      </c>
      <c r="D368" s="111">
        <f t="shared" si="223"/>
        <v>0.97987734620221012</v>
      </c>
      <c r="E368" s="33">
        <v>28</v>
      </c>
      <c r="F368" s="33">
        <f t="shared" si="224"/>
        <v>2032.18</v>
      </c>
      <c r="G368" s="33">
        <f t="shared" si="225"/>
        <v>2030147.82</v>
      </c>
      <c r="H368" s="33">
        <f t="shared" si="226"/>
        <v>2073912.6257753426</v>
      </c>
      <c r="I368" s="62">
        <f t="shared" si="227"/>
        <v>2074000</v>
      </c>
      <c r="J368" s="140" t="s">
        <v>54</v>
      </c>
    </row>
    <row r="369" spans="1:12" hidden="1" x14ac:dyDescent="0.25">
      <c r="A369" s="72">
        <f t="shared" ca="1" si="222"/>
        <v>43151</v>
      </c>
      <c r="B369" s="113">
        <v>17773</v>
      </c>
      <c r="C369" s="33">
        <v>1020000</v>
      </c>
      <c r="D369" s="111">
        <f t="shared" si="223"/>
        <v>0.97987734620221012</v>
      </c>
      <c r="E369" s="33">
        <v>28</v>
      </c>
      <c r="F369" s="33">
        <f t="shared" si="224"/>
        <v>1020</v>
      </c>
      <c r="G369" s="33">
        <f t="shared" si="225"/>
        <v>1018980</v>
      </c>
      <c r="H369" s="33">
        <f t="shared" si="226"/>
        <v>1040946.6082191782</v>
      </c>
      <c r="I369" s="62">
        <f t="shared" si="227"/>
        <v>1041000</v>
      </c>
      <c r="J369" s="140" t="s">
        <v>54</v>
      </c>
    </row>
    <row r="370" spans="1:12" hidden="1" x14ac:dyDescent="0.25">
      <c r="A370" s="82"/>
      <c r="B370" s="117"/>
      <c r="C370" s="128"/>
      <c r="D370" s="127"/>
      <c r="E370" s="128"/>
      <c r="F370" s="128"/>
      <c r="G370" s="128"/>
      <c r="H370" s="128"/>
      <c r="I370" s="129"/>
      <c r="J370" s="141"/>
    </row>
    <row r="371" spans="1:12" hidden="1" x14ac:dyDescent="0.25">
      <c r="A371" s="72">
        <f t="shared" ca="1" si="222"/>
        <v>43151</v>
      </c>
      <c r="B371" s="156">
        <v>1043</v>
      </c>
      <c r="C371" s="110">
        <f>983+185000</f>
        <v>185983</v>
      </c>
      <c r="D371" s="111">
        <f t="shared" si="223"/>
        <v>0.97497258724335178</v>
      </c>
      <c r="E371" s="111">
        <v>35</v>
      </c>
      <c r="F371" s="21">
        <f t="shared" ref="F371:F390" si="228">C371*$B$2</f>
        <v>185.983</v>
      </c>
      <c r="G371" s="17">
        <f t="shared" ref="G371:G390" si="229">+C371-F371</f>
        <v>185797.01699999999</v>
      </c>
      <c r="H371" s="17">
        <f t="shared" ref="H371:H390" si="230">+C371/D371</f>
        <v>190757.15813287671</v>
      </c>
      <c r="I371" s="20">
        <v>190000</v>
      </c>
      <c r="J371" s="112" t="s">
        <v>11</v>
      </c>
      <c r="K371" s="110"/>
      <c r="L371" s="112"/>
    </row>
    <row r="372" spans="1:12" hidden="1" x14ac:dyDescent="0.25">
      <c r="A372" s="72">
        <f t="shared" ca="1" si="222"/>
        <v>43151</v>
      </c>
      <c r="B372" s="156">
        <v>1904</v>
      </c>
      <c r="C372" s="110">
        <f>83000-600</f>
        <v>82400</v>
      </c>
      <c r="D372" s="111">
        <f t="shared" si="223"/>
        <v>0.97497258724335178</v>
      </c>
      <c r="E372" s="111">
        <v>35</v>
      </c>
      <c r="F372" s="21">
        <f t="shared" si="228"/>
        <v>82.4</v>
      </c>
      <c r="G372" s="17">
        <f t="shared" si="229"/>
        <v>82317.600000000006</v>
      </c>
      <c r="H372" s="17">
        <f t="shared" si="230"/>
        <v>84515.196712328776</v>
      </c>
      <c r="I372" s="20">
        <v>84000</v>
      </c>
      <c r="J372" s="112" t="s">
        <v>32</v>
      </c>
      <c r="K372" s="110"/>
      <c r="L372" s="112"/>
    </row>
    <row r="373" spans="1:12" hidden="1" x14ac:dyDescent="0.25">
      <c r="A373" s="72">
        <f t="shared" ca="1" si="222"/>
        <v>43151</v>
      </c>
      <c r="B373" s="156">
        <v>2449</v>
      </c>
      <c r="C373" s="110">
        <f>79000-264</f>
        <v>78736</v>
      </c>
      <c r="D373" s="111">
        <f t="shared" si="223"/>
        <v>0.97497258724335178</v>
      </c>
      <c r="E373" s="111">
        <v>35</v>
      </c>
      <c r="F373" s="21">
        <f t="shared" si="228"/>
        <v>78.736000000000004</v>
      </c>
      <c r="G373" s="17">
        <f t="shared" si="229"/>
        <v>78657.263999999996</v>
      </c>
      <c r="H373" s="17">
        <f t="shared" si="230"/>
        <v>80757.142334246571</v>
      </c>
      <c r="I373" s="20">
        <v>80000</v>
      </c>
      <c r="J373" s="112" t="s">
        <v>48</v>
      </c>
      <c r="K373" s="110"/>
      <c r="L373" s="112"/>
    </row>
    <row r="374" spans="1:12" hidden="1" x14ac:dyDescent="0.25">
      <c r="A374" s="72">
        <f t="shared" ca="1" si="222"/>
        <v>43151</v>
      </c>
      <c r="B374" s="156">
        <v>7378</v>
      </c>
      <c r="C374" s="110">
        <f>-600+2493000</f>
        <v>2492400</v>
      </c>
      <c r="D374" s="111">
        <f t="shared" si="223"/>
        <v>0.97497258724335178</v>
      </c>
      <c r="E374" s="111">
        <v>35</v>
      </c>
      <c r="F374" s="21">
        <f t="shared" si="228"/>
        <v>2492.4</v>
      </c>
      <c r="G374" s="17">
        <f t="shared" si="229"/>
        <v>2489907.6</v>
      </c>
      <c r="H374" s="17">
        <f t="shared" si="230"/>
        <v>2556379.5665753428</v>
      </c>
      <c r="I374" s="20">
        <v>2556000</v>
      </c>
      <c r="J374" s="112" t="s">
        <v>33</v>
      </c>
      <c r="K374" s="110"/>
      <c r="L374" s="112"/>
    </row>
    <row r="375" spans="1:12" hidden="1" x14ac:dyDescent="0.25">
      <c r="A375" s="72">
        <f t="shared" ca="1" si="222"/>
        <v>43151</v>
      </c>
      <c r="B375" s="156">
        <v>12033</v>
      </c>
      <c r="C375" s="110">
        <f>-400+879000</f>
        <v>878600</v>
      </c>
      <c r="D375" s="111">
        <f t="shared" si="223"/>
        <v>0.97497258724335178</v>
      </c>
      <c r="E375" s="111">
        <v>35</v>
      </c>
      <c r="F375" s="21">
        <f t="shared" si="228"/>
        <v>878.6</v>
      </c>
      <c r="G375" s="17">
        <f t="shared" si="229"/>
        <v>877721.4</v>
      </c>
      <c r="H375" s="17">
        <f t="shared" si="230"/>
        <v>901153.5416438356</v>
      </c>
      <c r="I375" s="20">
        <v>901000</v>
      </c>
      <c r="J375" s="112" t="s">
        <v>37</v>
      </c>
      <c r="K375" s="110"/>
      <c r="L375" s="112"/>
    </row>
    <row r="376" spans="1:12" hidden="1" x14ac:dyDescent="0.25">
      <c r="A376" s="72">
        <f t="shared" ca="1" si="222"/>
        <v>43151</v>
      </c>
      <c r="B376" s="156">
        <v>12890</v>
      </c>
      <c r="C376" s="110">
        <v>51000</v>
      </c>
      <c r="D376" s="111">
        <f t="shared" si="223"/>
        <v>0.97497258724335178</v>
      </c>
      <c r="E376" s="111">
        <v>35</v>
      </c>
      <c r="F376" s="21">
        <f t="shared" si="228"/>
        <v>51</v>
      </c>
      <c r="G376" s="17">
        <f t="shared" si="229"/>
        <v>50949</v>
      </c>
      <c r="H376" s="17">
        <f t="shared" si="230"/>
        <v>52309.163013698635</v>
      </c>
      <c r="I376" s="20">
        <v>52000</v>
      </c>
      <c r="J376" s="112" t="s">
        <v>34</v>
      </c>
      <c r="K376" s="110"/>
      <c r="L376" s="112"/>
    </row>
    <row r="377" spans="1:12" hidden="1" x14ac:dyDescent="0.25">
      <c r="A377" s="72">
        <f t="shared" ca="1" si="222"/>
        <v>43151</v>
      </c>
      <c r="B377" s="156">
        <v>13050</v>
      </c>
      <c r="C377" s="110">
        <f>300+837000</f>
        <v>837300</v>
      </c>
      <c r="D377" s="111">
        <f t="shared" si="223"/>
        <v>0.97497258724335178</v>
      </c>
      <c r="E377" s="111">
        <v>35</v>
      </c>
      <c r="F377" s="21">
        <f t="shared" si="228"/>
        <v>837.30000000000007</v>
      </c>
      <c r="G377" s="17">
        <f t="shared" si="229"/>
        <v>836462.7</v>
      </c>
      <c r="H377" s="17">
        <f t="shared" si="230"/>
        <v>858793.37630136986</v>
      </c>
      <c r="I377" s="20">
        <v>858000</v>
      </c>
      <c r="J377" s="112" t="s">
        <v>49</v>
      </c>
      <c r="K377" s="110"/>
      <c r="L377" s="112"/>
    </row>
    <row r="378" spans="1:12" hidden="1" x14ac:dyDescent="0.25">
      <c r="A378" s="72">
        <f t="shared" ca="1" si="222"/>
        <v>43151</v>
      </c>
      <c r="B378" s="156">
        <v>17282</v>
      </c>
      <c r="C378" s="110">
        <f>-20183+1106000</f>
        <v>1085817</v>
      </c>
      <c r="D378" s="111">
        <f t="shared" si="223"/>
        <v>0.97497258724335178</v>
      </c>
      <c r="E378" s="111">
        <v>35</v>
      </c>
      <c r="F378" s="21">
        <f t="shared" si="228"/>
        <v>1085.817</v>
      </c>
      <c r="G378" s="17">
        <f t="shared" si="229"/>
        <v>1084731.183</v>
      </c>
      <c r="H378" s="17">
        <f t="shared" si="230"/>
        <v>1113689.7736479451</v>
      </c>
      <c r="I378" s="20">
        <v>1113000</v>
      </c>
      <c r="J378" s="112" t="s">
        <v>27</v>
      </c>
      <c r="K378" s="110"/>
      <c r="L378" s="112"/>
    </row>
    <row r="379" spans="1:12" hidden="1" x14ac:dyDescent="0.25">
      <c r="A379" s="72">
        <f t="shared" ca="1" si="222"/>
        <v>43151</v>
      </c>
      <c r="B379" s="156">
        <v>17645</v>
      </c>
      <c r="C379" s="110">
        <v>287000</v>
      </c>
      <c r="D379" s="111">
        <f t="shared" si="223"/>
        <v>0.97497258724335178</v>
      </c>
      <c r="E379" s="111">
        <v>35</v>
      </c>
      <c r="F379" s="21">
        <f t="shared" si="228"/>
        <v>287</v>
      </c>
      <c r="G379" s="17">
        <f t="shared" si="229"/>
        <v>286713</v>
      </c>
      <c r="H379" s="17">
        <f t="shared" si="230"/>
        <v>294367.25068493153</v>
      </c>
      <c r="I379" s="20">
        <v>294000</v>
      </c>
      <c r="J379" s="112" t="s">
        <v>25</v>
      </c>
      <c r="K379" s="110"/>
      <c r="L379" s="112"/>
    </row>
    <row r="380" spans="1:12" hidden="1" x14ac:dyDescent="0.25">
      <c r="A380" s="72">
        <f t="shared" ca="1" si="222"/>
        <v>43151</v>
      </c>
      <c r="B380" s="156">
        <v>17663</v>
      </c>
      <c r="C380" s="110">
        <v>19000</v>
      </c>
      <c r="D380" s="111">
        <f t="shared" ref="D380:D390" si="231">(1/(1+($B$1*E380/365)))</f>
        <v>0.97497258724335178</v>
      </c>
      <c r="E380" s="111">
        <v>35</v>
      </c>
      <c r="F380" s="21">
        <f t="shared" si="228"/>
        <v>19</v>
      </c>
      <c r="G380" s="17">
        <f t="shared" si="229"/>
        <v>18981</v>
      </c>
      <c r="H380" s="17">
        <f t="shared" si="230"/>
        <v>19487.727397260274</v>
      </c>
      <c r="I380" s="20">
        <f t="shared" ref="I380:I389" si="232">MROUND(H380,1000)</f>
        <v>19000</v>
      </c>
      <c r="J380" s="112" t="s">
        <v>55</v>
      </c>
      <c r="K380" s="110"/>
      <c r="L380" s="112"/>
    </row>
    <row r="381" spans="1:12" hidden="1" x14ac:dyDescent="0.25">
      <c r="A381" s="72">
        <f t="shared" ca="1" si="222"/>
        <v>43151</v>
      </c>
      <c r="B381" s="156">
        <v>17709</v>
      </c>
      <c r="C381" s="110">
        <v>77000</v>
      </c>
      <c r="D381" s="111">
        <f t="shared" si="231"/>
        <v>0.97497258724335178</v>
      </c>
      <c r="E381" s="111">
        <v>35</v>
      </c>
      <c r="F381" s="21">
        <f t="shared" si="228"/>
        <v>77</v>
      </c>
      <c r="G381" s="17">
        <f t="shared" si="229"/>
        <v>76923</v>
      </c>
      <c r="H381" s="17">
        <f t="shared" si="230"/>
        <v>78976.579452054793</v>
      </c>
      <c r="I381" s="20">
        <f t="shared" si="232"/>
        <v>79000</v>
      </c>
      <c r="J381" s="112" t="s">
        <v>56</v>
      </c>
      <c r="K381" s="110"/>
      <c r="L381" s="112"/>
    </row>
    <row r="382" spans="1:12" hidden="1" x14ac:dyDescent="0.25">
      <c r="A382" s="72">
        <f t="shared" ca="1" si="222"/>
        <v>43151</v>
      </c>
      <c r="B382" s="156">
        <v>20067</v>
      </c>
      <c r="C382" s="110">
        <v>350000</v>
      </c>
      <c r="D382" s="111">
        <f t="shared" si="231"/>
        <v>0.97497258724335178</v>
      </c>
      <c r="E382" s="111">
        <v>35</v>
      </c>
      <c r="F382" s="21">
        <f t="shared" si="228"/>
        <v>350</v>
      </c>
      <c r="G382" s="17">
        <f t="shared" si="229"/>
        <v>349650</v>
      </c>
      <c r="H382" s="17">
        <f t="shared" si="230"/>
        <v>358984.45205479453</v>
      </c>
      <c r="I382" s="20">
        <v>359000</v>
      </c>
      <c r="J382" s="112" t="s">
        <v>12</v>
      </c>
      <c r="K382" s="110"/>
      <c r="L382" s="112"/>
    </row>
    <row r="383" spans="1:12" hidden="1" x14ac:dyDescent="0.25">
      <c r="A383" s="72">
        <f t="shared" ca="1" si="222"/>
        <v>43151</v>
      </c>
      <c r="B383" s="156">
        <v>20191</v>
      </c>
      <c r="C383" s="110">
        <f>-2991+1608000</f>
        <v>1605009</v>
      </c>
      <c r="D383" s="111">
        <f t="shared" si="231"/>
        <v>0.97497258724335178</v>
      </c>
      <c r="E383" s="111">
        <v>35</v>
      </c>
      <c r="F383" s="21">
        <f t="shared" si="228"/>
        <v>1605.009</v>
      </c>
      <c r="G383" s="17">
        <f t="shared" si="229"/>
        <v>1603403.9909999999</v>
      </c>
      <c r="H383" s="17">
        <f t="shared" si="230"/>
        <v>1646209.3611657536</v>
      </c>
      <c r="I383" s="20">
        <v>1646000</v>
      </c>
      <c r="J383" s="112" t="s">
        <v>13</v>
      </c>
      <c r="K383" s="110"/>
      <c r="L383" s="112"/>
    </row>
    <row r="384" spans="1:12" hidden="1" x14ac:dyDescent="0.25">
      <c r="A384" s="72">
        <f t="shared" ca="1" si="222"/>
        <v>43151</v>
      </c>
      <c r="B384" s="156">
        <v>33393</v>
      </c>
      <c r="C384" s="110">
        <v>1661000</v>
      </c>
      <c r="D384" s="111">
        <f t="shared" si="231"/>
        <v>0.97497258724335178</v>
      </c>
      <c r="E384" s="111">
        <v>35</v>
      </c>
      <c r="F384" s="21">
        <f t="shared" si="228"/>
        <v>1661</v>
      </c>
      <c r="G384" s="17">
        <f t="shared" si="229"/>
        <v>1659339</v>
      </c>
      <c r="H384" s="17">
        <f t="shared" si="230"/>
        <v>1703637.6424657535</v>
      </c>
      <c r="I384" s="20">
        <v>1703000</v>
      </c>
      <c r="J384" s="112" t="s">
        <v>14</v>
      </c>
      <c r="K384" s="110"/>
      <c r="L384" s="112"/>
    </row>
    <row r="385" spans="1:12" hidden="1" x14ac:dyDescent="0.25">
      <c r="A385" s="72">
        <f t="shared" ca="1" si="222"/>
        <v>43151</v>
      </c>
      <c r="B385" s="156">
        <v>120120</v>
      </c>
      <c r="C385" s="110">
        <f>-500+67000</f>
        <v>66500</v>
      </c>
      <c r="D385" s="111">
        <f t="shared" si="231"/>
        <v>0.95784937884123844</v>
      </c>
      <c r="E385" s="158">
        <v>60</v>
      </c>
      <c r="F385" s="21">
        <f t="shared" si="228"/>
        <v>66.5</v>
      </c>
      <c r="G385" s="17">
        <f t="shared" si="229"/>
        <v>66433.5</v>
      </c>
      <c r="H385" s="17">
        <f t="shared" si="230"/>
        <v>69426.364383561639</v>
      </c>
      <c r="I385" s="20">
        <v>68000</v>
      </c>
      <c r="J385" s="112" t="s">
        <v>47</v>
      </c>
      <c r="K385" s="159" t="s">
        <v>58</v>
      </c>
      <c r="L385" s="112"/>
    </row>
    <row r="386" spans="1:12" hidden="1" x14ac:dyDescent="0.25">
      <c r="A386" s="72">
        <f t="shared" ca="1" si="222"/>
        <v>43151</v>
      </c>
      <c r="B386" s="156">
        <v>300406</v>
      </c>
      <c r="C386" s="110">
        <f>-633+424000</f>
        <v>423367</v>
      </c>
      <c r="D386" s="111">
        <f t="shared" si="231"/>
        <v>0.97497258724335178</v>
      </c>
      <c r="E386" s="111">
        <v>35</v>
      </c>
      <c r="F386" s="21">
        <f t="shared" si="228"/>
        <v>423.36700000000002</v>
      </c>
      <c r="G386" s="17">
        <f t="shared" si="229"/>
        <v>422943.63299999997</v>
      </c>
      <c r="H386" s="17">
        <f t="shared" si="230"/>
        <v>434234.77289452055</v>
      </c>
      <c r="I386" s="20">
        <v>434000</v>
      </c>
      <c r="J386" s="112" t="s">
        <v>51</v>
      </c>
      <c r="K386" s="110"/>
      <c r="L386" s="112"/>
    </row>
    <row r="387" spans="1:12" hidden="1" x14ac:dyDescent="0.25">
      <c r="A387" s="72">
        <f t="shared" ca="1" si="222"/>
        <v>43151</v>
      </c>
      <c r="B387" s="156">
        <v>700197</v>
      </c>
      <c r="C387" s="110">
        <f>-633+660000</f>
        <v>659367</v>
      </c>
      <c r="D387" s="111">
        <f t="shared" si="231"/>
        <v>0.97497258724335178</v>
      </c>
      <c r="E387" s="111">
        <v>35</v>
      </c>
      <c r="F387" s="21">
        <f t="shared" si="228"/>
        <v>659.36699999999996</v>
      </c>
      <c r="G387" s="17">
        <f t="shared" si="229"/>
        <v>658707.63300000003</v>
      </c>
      <c r="H387" s="17">
        <f t="shared" si="230"/>
        <v>676292.86056575342</v>
      </c>
      <c r="I387" s="20">
        <v>676000</v>
      </c>
      <c r="J387" s="112" t="s">
        <v>36</v>
      </c>
      <c r="K387" s="110"/>
      <c r="L387" s="112"/>
    </row>
    <row r="388" spans="1:12" hidden="1" x14ac:dyDescent="0.25">
      <c r="A388" s="72">
        <f t="shared" ca="1" si="222"/>
        <v>43151</v>
      </c>
      <c r="B388" s="156">
        <v>2000265</v>
      </c>
      <c r="C388" s="110">
        <f>-604+301000</f>
        <v>300396</v>
      </c>
      <c r="D388" s="111">
        <f t="shared" si="231"/>
        <v>0.97497258724335178</v>
      </c>
      <c r="E388" s="111">
        <v>35</v>
      </c>
      <c r="F388" s="21">
        <f t="shared" si="228"/>
        <v>300.39600000000002</v>
      </c>
      <c r="G388" s="17">
        <f t="shared" si="229"/>
        <v>300095.60399999999</v>
      </c>
      <c r="H388" s="17">
        <f t="shared" si="230"/>
        <v>308107.124169863</v>
      </c>
      <c r="I388" s="20">
        <f t="shared" si="232"/>
        <v>308000</v>
      </c>
      <c r="J388" s="112" t="s">
        <v>39</v>
      </c>
      <c r="K388" s="110"/>
      <c r="L388" s="112"/>
    </row>
    <row r="389" spans="1:12" hidden="1" x14ac:dyDescent="0.25">
      <c r="A389" s="72">
        <f t="shared" ca="1" si="222"/>
        <v>43151</v>
      </c>
      <c r="B389" s="156">
        <v>20664</v>
      </c>
      <c r="C389" s="110">
        <v>3984965</v>
      </c>
      <c r="D389" s="111">
        <f t="shared" si="231"/>
        <v>0.97497258724335178</v>
      </c>
      <c r="E389" s="111">
        <v>35</v>
      </c>
      <c r="F389" s="21">
        <f t="shared" si="228"/>
        <v>3984.9650000000001</v>
      </c>
      <c r="G389" s="17">
        <f t="shared" si="229"/>
        <v>3980980.0350000001</v>
      </c>
      <c r="H389" s="17">
        <f t="shared" si="230"/>
        <v>4087258.5056643835</v>
      </c>
      <c r="I389" s="20">
        <f t="shared" si="232"/>
        <v>4087000</v>
      </c>
      <c r="J389" s="112" t="s">
        <v>17</v>
      </c>
      <c r="K389" s="110" t="s">
        <v>57</v>
      </c>
      <c r="L389" s="112"/>
    </row>
    <row r="390" spans="1:12" hidden="1" x14ac:dyDescent="0.25">
      <c r="A390" s="72">
        <f t="shared" ca="1" si="222"/>
        <v>43151</v>
      </c>
      <c r="B390" s="156">
        <v>200074</v>
      </c>
      <c r="C390" s="110">
        <v>173000</v>
      </c>
      <c r="D390" s="111">
        <f t="shared" si="231"/>
        <v>0.97497258724335178</v>
      </c>
      <c r="E390" s="111">
        <v>35</v>
      </c>
      <c r="F390" s="21">
        <f t="shared" si="228"/>
        <v>173</v>
      </c>
      <c r="G390" s="17">
        <f t="shared" si="229"/>
        <v>172827</v>
      </c>
      <c r="H390" s="17">
        <f t="shared" si="230"/>
        <v>177440.88630136987</v>
      </c>
      <c r="I390" s="20">
        <v>177000</v>
      </c>
      <c r="J390" s="112" t="s">
        <v>19</v>
      </c>
      <c r="K390" s="110"/>
      <c r="L390" s="112"/>
    </row>
    <row r="391" spans="1:12" hidden="1" x14ac:dyDescent="0.25">
      <c r="A391" s="72">
        <f t="shared" ca="1" si="222"/>
        <v>43151</v>
      </c>
      <c r="B391" s="157">
        <v>26047</v>
      </c>
      <c r="C391">
        <v>570000</v>
      </c>
      <c r="D391" s="111">
        <f t="shared" ref="D391:D412" si="233">(1/(1+($B$1*E391/365)))</f>
        <v>0.97497258724335178</v>
      </c>
      <c r="E391" s="111">
        <v>35</v>
      </c>
      <c r="F391" s="21">
        <f t="shared" ref="F391:F394" si="234">C391*$B$2</f>
        <v>570</v>
      </c>
      <c r="G391" s="17">
        <f t="shared" ref="G391:G394" si="235">+C391-F391</f>
        <v>569430</v>
      </c>
      <c r="H391" s="17">
        <f t="shared" ref="H391:H394" si="236">+C391/D391</f>
        <v>584631.82191780827</v>
      </c>
      <c r="I391" s="20">
        <v>584000</v>
      </c>
    </row>
    <row r="392" spans="1:12" hidden="1" x14ac:dyDescent="0.25">
      <c r="A392" s="72">
        <f t="shared" ref="A392:A452" ca="1" si="237">TODAY()</f>
        <v>43151</v>
      </c>
      <c r="B392" s="157">
        <v>14168</v>
      </c>
      <c r="C392" s="113">
        <v>2070000</v>
      </c>
      <c r="D392" s="111">
        <f t="shared" si="233"/>
        <v>0.97497258724335178</v>
      </c>
      <c r="E392" s="111">
        <v>35</v>
      </c>
      <c r="F392" s="21">
        <f t="shared" si="234"/>
        <v>2070</v>
      </c>
      <c r="G392" s="17">
        <f t="shared" si="235"/>
        <v>2067930</v>
      </c>
      <c r="H392" s="17">
        <f t="shared" si="236"/>
        <v>2123136.6164383562</v>
      </c>
      <c r="I392" s="20">
        <v>2122000</v>
      </c>
    </row>
    <row r="393" spans="1:12" hidden="1" x14ac:dyDescent="0.25">
      <c r="A393" s="72">
        <f t="shared" ca="1" si="237"/>
        <v>43151</v>
      </c>
      <c r="B393" s="157">
        <v>21466</v>
      </c>
      <c r="C393" s="113">
        <v>260000</v>
      </c>
      <c r="D393" s="111">
        <f t="shared" si="233"/>
        <v>0.97497258724335178</v>
      </c>
      <c r="E393" s="111">
        <v>35</v>
      </c>
      <c r="F393" s="21">
        <f t="shared" si="234"/>
        <v>260</v>
      </c>
      <c r="G393" s="17">
        <f t="shared" si="235"/>
        <v>259740</v>
      </c>
      <c r="H393" s="17">
        <f t="shared" si="236"/>
        <v>266674.16438356164</v>
      </c>
      <c r="I393" s="20">
        <v>266000</v>
      </c>
    </row>
    <row r="394" spans="1:12" hidden="1" x14ac:dyDescent="0.25">
      <c r="A394" s="72">
        <f t="shared" ca="1" si="237"/>
        <v>43151</v>
      </c>
      <c r="B394" s="157">
        <v>300406</v>
      </c>
      <c r="C394" s="113">
        <v>700000</v>
      </c>
      <c r="D394" s="111">
        <f t="shared" si="233"/>
        <v>0.97497258724335178</v>
      </c>
      <c r="E394" s="111">
        <v>35</v>
      </c>
      <c r="F394" s="21">
        <f t="shared" si="234"/>
        <v>700</v>
      </c>
      <c r="G394" s="17">
        <f t="shared" si="235"/>
        <v>699300</v>
      </c>
      <c r="H394" s="17">
        <f t="shared" si="236"/>
        <v>717968.90410958906</v>
      </c>
      <c r="I394" s="20">
        <v>717000</v>
      </c>
    </row>
    <row r="395" spans="1:12" hidden="1" x14ac:dyDescent="0.25">
      <c r="A395" s="72">
        <f t="shared" ca="1" si="237"/>
        <v>43151</v>
      </c>
      <c r="B395" s="157">
        <v>300703</v>
      </c>
      <c r="C395" s="113">
        <v>121000</v>
      </c>
      <c r="D395" s="111">
        <f t="shared" si="233"/>
        <v>0.97497258724335178</v>
      </c>
      <c r="E395" s="111">
        <v>35</v>
      </c>
      <c r="F395" s="21">
        <f t="shared" ref="F395:F412" si="238">C395*$B$2</f>
        <v>121</v>
      </c>
      <c r="G395" s="17">
        <f t="shared" ref="G395:G412" si="239">+C395-F395</f>
        <v>120879</v>
      </c>
      <c r="H395" s="17">
        <f t="shared" ref="H395:H412" si="240">+C395/D395</f>
        <v>124106.05342465754</v>
      </c>
      <c r="I395" s="20">
        <f t="shared" ref="I395:I458" si="241">MROUND(H395,1000)</f>
        <v>124000</v>
      </c>
    </row>
    <row r="396" spans="1:12" hidden="1" x14ac:dyDescent="0.25">
      <c r="A396" s="82"/>
      <c r="B396" s="161"/>
      <c r="C396" s="117"/>
      <c r="D396" s="127"/>
      <c r="E396" s="127"/>
      <c r="F396" s="28"/>
      <c r="G396" s="25"/>
      <c r="H396" s="25"/>
      <c r="I396" s="27"/>
      <c r="J396" s="109"/>
    </row>
    <row r="397" spans="1:12" hidden="1" x14ac:dyDescent="0.25">
      <c r="A397" s="72">
        <f t="shared" ca="1" si="237"/>
        <v>43151</v>
      </c>
      <c r="B397" s="110">
        <v>1043</v>
      </c>
      <c r="C397" s="110">
        <f>-900+2328000</f>
        <v>2327100</v>
      </c>
      <c r="D397" s="111">
        <f t="shared" si="233"/>
        <v>0.97987734620221012</v>
      </c>
      <c r="E397" s="111">
        <v>28</v>
      </c>
      <c r="F397" s="21">
        <f t="shared" si="238"/>
        <v>2327.1</v>
      </c>
      <c r="G397" s="17">
        <f t="shared" si="239"/>
        <v>2324772.9</v>
      </c>
      <c r="H397" s="46">
        <f t="shared" si="240"/>
        <v>2374889.0705753425</v>
      </c>
      <c r="I397" s="20">
        <f t="shared" si="241"/>
        <v>2375000</v>
      </c>
      <c r="J397" s="160" t="s">
        <v>11</v>
      </c>
    </row>
    <row r="398" spans="1:12" hidden="1" x14ac:dyDescent="0.25">
      <c r="A398" s="72">
        <f t="shared" ca="1" si="237"/>
        <v>43151</v>
      </c>
      <c r="B398" s="110">
        <v>1904</v>
      </c>
      <c r="C398" s="110">
        <v>84000</v>
      </c>
      <c r="D398" s="111">
        <f t="shared" si="233"/>
        <v>0.97987734620221012</v>
      </c>
      <c r="E398" s="111">
        <v>28</v>
      </c>
      <c r="F398" s="21">
        <f t="shared" si="238"/>
        <v>84</v>
      </c>
      <c r="G398" s="17">
        <f t="shared" si="239"/>
        <v>83916</v>
      </c>
      <c r="H398" s="46">
        <f t="shared" si="240"/>
        <v>85725.014794520554</v>
      </c>
      <c r="I398" s="20">
        <f t="shared" si="241"/>
        <v>86000</v>
      </c>
      <c r="J398" s="160" t="s">
        <v>32</v>
      </c>
    </row>
    <row r="399" spans="1:12" hidden="1" x14ac:dyDescent="0.25">
      <c r="A399" s="72">
        <f t="shared" ca="1" si="237"/>
        <v>43151</v>
      </c>
      <c r="B399" s="110">
        <v>2449</v>
      </c>
      <c r="C399" s="110">
        <f>600+80000</f>
        <v>80600</v>
      </c>
      <c r="D399" s="111">
        <f t="shared" si="233"/>
        <v>0.97987734620221012</v>
      </c>
      <c r="E399" s="111">
        <v>28</v>
      </c>
      <c r="F399" s="21">
        <f t="shared" si="238"/>
        <v>80.600000000000009</v>
      </c>
      <c r="G399" s="17">
        <f t="shared" si="239"/>
        <v>80519.399999999994</v>
      </c>
      <c r="H399" s="46">
        <f t="shared" si="240"/>
        <v>82255.192767123299</v>
      </c>
      <c r="I399" s="20">
        <f t="shared" si="241"/>
        <v>82000</v>
      </c>
      <c r="J399" s="160" t="s">
        <v>48</v>
      </c>
    </row>
    <row r="400" spans="1:12" hidden="1" x14ac:dyDescent="0.25">
      <c r="A400" s="72">
        <f t="shared" ca="1" si="237"/>
        <v>43151</v>
      </c>
      <c r="B400" s="110">
        <v>7378</v>
      </c>
      <c r="C400" s="110">
        <v>2944300</v>
      </c>
      <c r="D400" s="111">
        <f t="shared" si="233"/>
        <v>0.97987734620221012</v>
      </c>
      <c r="E400" s="111">
        <v>28</v>
      </c>
      <c r="F400" s="21">
        <f t="shared" si="238"/>
        <v>2944.3</v>
      </c>
      <c r="G400" s="17">
        <f t="shared" si="239"/>
        <v>2941355.7</v>
      </c>
      <c r="H400" s="46">
        <f t="shared" si="240"/>
        <v>3004763.8221369865</v>
      </c>
      <c r="I400" s="20">
        <f t="shared" si="241"/>
        <v>3005000</v>
      </c>
      <c r="J400" s="160" t="s">
        <v>33</v>
      </c>
    </row>
    <row r="401" spans="1:15" hidden="1" x14ac:dyDescent="0.25">
      <c r="A401" s="72">
        <f t="shared" ca="1" si="237"/>
        <v>43151</v>
      </c>
      <c r="B401" s="110">
        <v>12033</v>
      </c>
      <c r="C401" s="110">
        <f>-31000+901000</f>
        <v>870000</v>
      </c>
      <c r="D401" s="111">
        <f t="shared" si="233"/>
        <v>0.97987734620221012</v>
      </c>
      <c r="E401" s="111">
        <v>28</v>
      </c>
      <c r="F401" s="21">
        <f t="shared" si="238"/>
        <v>870</v>
      </c>
      <c r="G401" s="17">
        <f t="shared" si="239"/>
        <v>869130</v>
      </c>
      <c r="H401" s="46">
        <f t="shared" si="240"/>
        <v>887866.22465753427</v>
      </c>
      <c r="I401" s="20">
        <f t="shared" si="241"/>
        <v>888000</v>
      </c>
      <c r="J401" s="160" t="s">
        <v>37</v>
      </c>
      <c r="L401" s="110"/>
      <c r="M401" s="112"/>
      <c r="N401" s="110"/>
      <c r="O401" s="112"/>
    </row>
    <row r="402" spans="1:15" hidden="1" x14ac:dyDescent="0.25">
      <c r="A402" s="72">
        <f t="shared" ca="1" si="237"/>
        <v>43151</v>
      </c>
      <c r="B402" s="110">
        <v>12890</v>
      </c>
      <c r="C402" s="110">
        <v>52000</v>
      </c>
      <c r="D402" s="111">
        <f t="shared" si="233"/>
        <v>0.97987734620221012</v>
      </c>
      <c r="E402" s="111">
        <v>28</v>
      </c>
      <c r="F402" s="21">
        <f t="shared" si="238"/>
        <v>52</v>
      </c>
      <c r="G402" s="17">
        <f t="shared" si="239"/>
        <v>51948</v>
      </c>
      <c r="H402" s="46">
        <f t="shared" si="240"/>
        <v>53067.866301369868</v>
      </c>
      <c r="I402" s="20">
        <f t="shared" si="241"/>
        <v>53000</v>
      </c>
      <c r="J402" s="160" t="s">
        <v>34</v>
      </c>
      <c r="L402" s="110"/>
      <c r="M402" s="112"/>
      <c r="N402" s="110"/>
      <c r="O402" s="112"/>
    </row>
    <row r="403" spans="1:15" hidden="1" x14ac:dyDescent="0.25">
      <c r="A403" s="72">
        <f t="shared" ca="1" si="237"/>
        <v>43151</v>
      </c>
      <c r="B403" s="110">
        <v>13050</v>
      </c>
      <c r="C403" s="110">
        <v>858000</v>
      </c>
      <c r="D403" s="111">
        <f t="shared" si="233"/>
        <v>0.97987734620221012</v>
      </c>
      <c r="E403" s="111">
        <v>28</v>
      </c>
      <c r="F403" s="21">
        <f t="shared" si="238"/>
        <v>858</v>
      </c>
      <c r="G403" s="17">
        <f t="shared" si="239"/>
        <v>857142</v>
      </c>
      <c r="H403" s="46">
        <f t="shared" si="240"/>
        <v>875619.79397260281</v>
      </c>
      <c r="I403" s="20">
        <f t="shared" si="241"/>
        <v>876000</v>
      </c>
      <c r="J403" s="160" t="s">
        <v>49</v>
      </c>
      <c r="L403" s="110"/>
      <c r="M403" s="112"/>
      <c r="N403" s="110"/>
      <c r="O403" s="112"/>
    </row>
    <row r="404" spans="1:15" hidden="1" x14ac:dyDescent="0.25">
      <c r="A404" s="72">
        <f t="shared" ca="1" si="237"/>
        <v>43151</v>
      </c>
      <c r="B404" s="110">
        <v>17282</v>
      </c>
      <c r="C404" s="110">
        <f>-18500+1113000</f>
        <v>1094500</v>
      </c>
      <c r="D404" s="111">
        <f t="shared" si="233"/>
        <v>0.97987734620221012</v>
      </c>
      <c r="E404" s="111">
        <v>28</v>
      </c>
      <c r="F404" s="21">
        <f t="shared" si="238"/>
        <v>1094.5</v>
      </c>
      <c r="G404" s="17">
        <f t="shared" si="239"/>
        <v>1093405.5</v>
      </c>
      <c r="H404" s="46">
        <f t="shared" si="240"/>
        <v>1116976.5320547945</v>
      </c>
      <c r="I404" s="20">
        <f t="shared" si="241"/>
        <v>1117000</v>
      </c>
      <c r="J404" s="160" t="s">
        <v>27</v>
      </c>
      <c r="L404" s="110"/>
      <c r="M404" s="112"/>
      <c r="N404" s="110"/>
      <c r="O404" s="112"/>
    </row>
    <row r="405" spans="1:15" hidden="1" x14ac:dyDescent="0.25">
      <c r="A405" s="72">
        <f t="shared" ca="1" si="237"/>
        <v>43151</v>
      </c>
      <c r="B405" s="110">
        <v>20067</v>
      </c>
      <c r="C405" s="110"/>
      <c r="D405" s="111">
        <f t="shared" si="233"/>
        <v>0.97987734620221012</v>
      </c>
      <c r="E405" s="111">
        <v>28</v>
      </c>
      <c r="F405" s="21">
        <f t="shared" si="238"/>
        <v>0</v>
      </c>
      <c r="G405" s="17">
        <f t="shared" si="239"/>
        <v>0</v>
      </c>
      <c r="H405" s="46">
        <f t="shared" si="240"/>
        <v>0</v>
      </c>
      <c r="I405" s="57">
        <f t="shared" si="241"/>
        <v>0</v>
      </c>
      <c r="J405" s="160" t="s">
        <v>12</v>
      </c>
      <c r="L405" s="110"/>
      <c r="M405" s="112"/>
      <c r="N405" s="110"/>
      <c r="O405" s="112"/>
    </row>
    <row r="406" spans="1:15" hidden="1" x14ac:dyDescent="0.25">
      <c r="A406" s="72">
        <f t="shared" ca="1" si="237"/>
        <v>43151</v>
      </c>
      <c r="B406" s="110">
        <v>20191</v>
      </c>
      <c r="C406" s="110">
        <f>-1900+1646000</f>
        <v>1644100</v>
      </c>
      <c r="D406" s="111">
        <f t="shared" si="233"/>
        <v>0.97987734620221012</v>
      </c>
      <c r="E406" s="111">
        <v>28</v>
      </c>
      <c r="F406" s="21">
        <f t="shared" si="238"/>
        <v>1644.1000000000001</v>
      </c>
      <c r="G406" s="17">
        <f t="shared" si="239"/>
        <v>1642455.9</v>
      </c>
      <c r="H406" s="46">
        <f t="shared" si="240"/>
        <v>1677863.0574246575</v>
      </c>
      <c r="I406" s="20">
        <f t="shared" si="241"/>
        <v>1678000</v>
      </c>
      <c r="J406" s="160" t="s">
        <v>13</v>
      </c>
      <c r="L406" s="110"/>
      <c r="M406" s="112"/>
      <c r="N406" s="110"/>
      <c r="O406" s="112"/>
    </row>
    <row r="407" spans="1:15" hidden="1" x14ac:dyDescent="0.25">
      <c r="A407" s="72">
        <f t="shared" ca="1" si="237"/>
        <v>43151</v>
      </c>
      <c r="B407" s="110">
        <v>33393</v>
      </c>
      <c r="C407" s="110">
        <f>-1600+1703000</f>
        <v>1701400</v>
      </c>
      <c r="D407" s="111">
        <f t="shared" si="233"/>
        <v>0.97987734620221012</v>
      </c>
      <c r="E407" s="111">
        <v>28</v>
      </c>
      <c r="F407" s="21">
        <f t="shared" si="238"/>
        <v>1701.4</v>
      </c>
      <c r="G407" s="17">
        <f t="shared" si="239"/>
        <v>1699698.6</v>
      </c>
      <c r="H407" s="46">
        <f t="shared" si="240"/>
        <v>1736339.7639452056</v>
      </c>
      <c r="I407" s="20">
        <f t="shared" si="241"/>
        <v>1736000</v>
      </c>
      <c r="J407" s="160" t="s">
        <v>14</v>
      </c>
      <c r="L407" s="110"/>
      <c r="M407" s="112"/>
      <c r="N407" s="110"/>
      <c r="O407" s="112"/>
    </row>
    <row r="408" spans="1:15" hidden="1" x14ac:dyDescent="0.25">
      <c r="A408" s="72">
        <f t="shared" ca="1" si="237"/>
        <v>43151</v>
      </c>
      <c r="B408" s="110">
        <v>300406</v>
      </c>
      <c r="C408" s="110">
        <f>10400+1151000</f>
        <v>1161400</v>
      </c>
      <c r="D408" s="111">
        <f t="shared" si="233"/>
        <v>0.97987734620221012</v>
      </c>
      <c r="E408" s="111">
        <v>28</v>
      </c>
      <c r="F408" s="21">
        <f t="shared" si="238"/>
        <v>1161.4000000000001</v>
      </c>
      <c r="G408" s="17">
        <f t="shared" si="239"/>
        <v>1160238.6000000001</v>
      </c>
      <c r="H408" s="46">
        <f t="shared" si="240"/>
        <v>1185250.3831232877</v>
      </c>
      <c r="I408" s="20">
        <f t="shared" si="241"/>
        <v>1185000</v>
      </c>
      <c r="J408" s="160" t="s">
        <v>51</v>
      </c>
      <c r="L408" s="110"/>
      <c r="M408" s="112"/>
      <c r="N408" s="110"/>
      <c r="O408" s="112"/>
    </row>
    <row r="409" spans="1:15" hidden="1" x14ac:dyDescent="0.25">
      <c r="A409" s="72">
        <f t="shared" ca="1" si="237"/>
        <v>43151</v>
      </c>
      <c r="B409" s="110">
        <v>300703</v>
      </c>
      <c r="C409" s="110">
        <v>124000</v>
      </c>
      <c r="D409" s="111">
        <f t="shared" si="233"/>
        <v>0.97987734620221012</v>
      </c>
      <c r="E409" s="111">
        <v>28</v>
      </c>
      <c r="F409" s="21">
        <f t="shared" si="238"/>
        <v>124</v>
      </c>
      <c r="G409" s="17">
        <f t="shared" si="239"/>
        <v>123876</v>
      </c>
      <c r="H409" s="46">
        <f t="shared" si="240"/>
        <v>126546.45041095892</v>
      </c>
      <c r="I409" s="20">
        <f t="shared" si="241"/>
        <v>127000</v>
      </c>
      <c r="J409" s="160" t="s">
        <v>59</v>
      </c>
      <c r="L409" s="110"/>
      <c r="M409" s="112"/>
      <c r="N409" s="110"/>
      <c r="O409" s="112"/>
    </row>
    <row r="410" spans="1:15" hidden="1" x14ac:dyDescent="0.25">
      <c r="A410" s="72">
        <f t="shared" ca="1" si="237"/>
        <v>43151</v>
      </c>
      <c r="B410" s="110">
        <v>700197</v>
      </c>
      <c r="C410" s="162">
        <v>1014400</v>
      </c>
      <c r="D410" s="111">
        <f t="shared" si="233"/>
        <v>0.97987734620221012</v>
      </c>
      <c r="E410" s="111">
        <v>28</v>
      </c>
      <c r="F410" s="21">
        <f t="shared" si="238"/>
        <v>1014.4</v>
      </c>
      <c r="G410" s="17">
        <f t="shared" si="239"/>
        <v>1013385.6</v>
      </c>
      <c r="H410" s="46">
        <f t="shared" si="240"/>
        <v>1035231.6072328768</v>
      </c>
      <c r="I410" s="20">
        <f t="shared" si="241"/>
        <v>1035000</v>
      </c>
      <c r="J410" s="160" t="s">
        <v>36</v>
      </c>
      <c r="L410" s="110"/>
      <c r="M410" s="112"/>
      <c r="N410" s="110"/>
      <c r="O410" s="112"/>
    </row>
    <row r="411" spans="1:15" hidden="1" x14ac:dyDescent="0.25">
      <c r="A411" s="72">
        <f t="shared" ca="1" si="237"/>
        <v>43151</v>
      </c>
      <c r="B411" s="110">
        <v>2000265</v>
      </c>
      <c r="C411" s="110">
        <f>-300+308000</f>
        <v>307700</v>
      </c>
      <c r="D411" s="111">
        <f t="shared" si="233"/>
        <v>0.97987734620221012</v>
      </c>
      <c r="E411" s="111">
        <v>28</v>
      </c>
      <c r="F411" s="21">
        <f t="shared" si="238"/>
        <v>307.7</v>
      </c>
      <c r="G411" s="17">
        <f t="shared" si="239"/>
        <v>307392.3</v>
      </c>
      <c r="H411" s="46">
        <f t="shared" si="240"/>
        <v>314018.89347945206</v>
      </c>
      <c r="I411" s="20">
        <f t="shared" si="241"/>
        <v>314000</v>
      </c>
      <c r="J411" s="160" t="s">
        <v>39</v>
      </c>
      <c r="L411" s="110"/>
      <c r="M411" s="112"/>
      <c r="N411" s="110"/>
      <c r="O411" s="112"/>
    </row>
    <row r="412" spans="1:15" hidden="1" x14ac:dyDescent="0.25">
      <c r="A412" s="72">
        <f t="shared" ca="1" si="237"/>
        <v>43151</v>
      </c>
      <c r="B412" s="110">
        <v>20664</v>
      </c>
      <c r="C412" s="110">
        <v>1000000</v>
      </c>
      <c r="D412" s="111">
        <f t="shared" si="233"/>
        <v>0.97987734620221012</v>
      </c>
      <c r="E412" s="111">
        <v>28</v>
      </c>
      <c r="F412" s="21">
        <f t="shared" si="238"/>
        <v>1000</v>
      </c>
      <c r="G412" s="17">
        <f t="shared" si="239"/>
        <v>999000</v>
      </c>
      <c r="H412" s="46">
        <f t="shared" si="240"/>
        <v>1020535.8904109589</v>
      </c>
      <c r="I412" s="20">
        <f t="shared" si="241"/>
        <v>1021000</v>
      </c>
      <c r="J412" s="160" t="s">
        <v>17</v>
      </c>
      <c r="L412" s="110"/>
      <c r="M412" s="112"/>
      <c r="N412" s="110"/>
      <c r="O412" s="112"/>
    </row>
    <row r="413" spans="1:15" hidden="1" x14ac:dyDescent="0.25">
      <c r="A413" s="72">
        <f t="shared" ca="1" si="237"/>
        <v>43151</v>
      </c>
      <c r="B413" s="110">
        <v>200074</v>
      </c>
      <c r="C413" s="110">
        <v>177000</v>
      </c>
      <c r="D413" s="111">
        <f t="shared" ref="D413:D476" si="242">(1/(1+($B$1*E413/365)))</f>
        <v>0.93743410672931304</v>
      </c>
      <c r="E413" s="111">
        <v>91</v>
      </c>
      <c r="F413" s="21">
        <f t="shared" ref="F413:F476" si="243">C413*$B$2</f>
        <v>177</v>
      </c>
      <c r="G413" s="17">
        <f t="shared" ref="G413:G476" si="244">+C413-F413</f>
        <v>176823</v>
      </c>
      <c r="H413" s="46">
        <f t="shared" ref="H413:H476" si="245">+C413/D413</f>
        <v>188813.27095890409</v>
      </c>
      <c r="I413" s="20">
        <f t="shared" si="241"/>
        <v>189000</v>
      </c>
      <c r="J413" s="160" t="s">
        <v>19</v>
      </c>
      <c r="L413" s="110"/>
      <c r="M413" s="112"/>
      <c r="N413" s="110"/>
      <c r="O413" s="112"/>
    </row>
    <row r="414" spans="1:15" hidden="1" x14ac:dyDescent="0.25">
      <c r="A414" s="72">
        <f t="shared" ca="1" si="237"/>
        <v>43151</v>
      </c>
      <c r="B414" s="113">
        <v>20664</v>
      </c>
      <c r="C414" s="113">
        <v>1085000</v>
      </c>
      <c r="D414" s="111">
        <f t="shared" si="242"/>
        <v>0.93743410672931304</v>
      </c>
      <c r="E414" s="111">
        <v>91</v>
      </c>
      <c r="F414" s="21">
        <f t="shared" si="243"/>
        <v>1085</v>
      </c>
      <c r="G414" s="17">
        <f t="shared" si="244"/>
        <v>1083915</v>
      </c>
      <c r="H414" s="46">
        <f t="shared" si="245"/>
        <v>1157414.6835616438</v>
      </c>
      <c r="I414" s="20">
        <f t="shared" si="241"/>
        <v>1157000</v>
      </c>
      <c r="L414" s="110"/>
      <c r="M414" s="112"/>
      <c r="N414" s="110"/>
      <c r="O414" s="112"/>
    </row>
    <row r="415" spans="1:15" hidden="1" x14ac:dyDescent="0.25">
      <c r="A415" s="72">
        <f t="shared" ca="1" si="237"/>
        <v>43151</v>
      </c>
      <c r="B415" s="113">
        <v>20664</v>
      </c>
      <c r="C415" s="113">
        <v>1000000</v>
      </c>
      <c r="D415" s="111">
        <f t="shared" si="242"/>
        <v>0.96054856007191736</v>
      </c>
      <c r="E415" s="111">
        <v>56</v>
      </c>
      <c r="F415" s="21">
        <f t="shared" si="243"/>
        <v>1000</v>
      </c>
      <c r="G415" s="17">
        <f t="shared" si="244"/>
        <v>999000</v>
      </c>
      <c r="H415" s="46">
        <f t="shared" si="245"/>
        <v>1041071.7808219179</v>
      </c>
      <c r="I415" s="20">
        <f t="shared" si="241"/>
        <v>1041000</v>
      </c>
      <c r="L415" s="110"/>
      <c r="M415" s="112"/>
      <c r="N415" s="110"/>
      <c r="O415" s="112"/>
    </row>
    <row r="416" spans="1:15" hidden="1" x14ac:dyDescent="0.25">
      <c r="A416" s="72">
        <f t="shared" ca="1" si="237"/>
        <v>43151</v>
      </c>
      <c r="B416" s="113">
        <v>90097</v>
      </c>
      <c r="C416" s="113">
        <v>80000</v>
      </c>
      <c r="D416" s="111">
        <f t="shared" si="242"/>
        <v>0.898515062312635</v>
      </c>
      <c r="E416" s="111">
        <v>154</v>
      </c>
      <c r="F416" s="21">
        <f t="shared" si="243"/>
        <v>80</v>
      </c>
      <c r="G416" s="17">
        <f t="shared" si="244"/>
        <v>79920</v>
      </c>
      <c r="H416" s="46">
        <f t="shared" si="245"/>
        <v>89035.791780821921</v>
      </c>
      <c r="I416" s="20">
        <f t="shared" si="241"/>
        <v>89000</v>
      </c>
      <c r="L416" s="110"/>
      <c r="M416" s="112"/>
      <c r="N416" s="110"/>
      <c r="O416" s="112"/>
    </row>
    <row r="417" spans="1:15" hidden="1" x14ac:dyDescent="0.25">
      <c r="A417" s="72">
        <f t="shared" ca="1" si="237"/>
        <v>43151</v>
      </c>
      <c r="B417" s="113">
        <v>14168</v>
      </c>
      <c r="C417" s="113">
        <v>2125000</v>
      </c>
      <c r="D417" s="111">
        <f t="shared" si="242"/>
        <v>0.96054856007191736</v>
      </c>
      <c r="E417" s="111">
        <v>56</v>
      </c>
      <c r="F417" s="21">
        <f t="shared" si="243"/>
        <v>2125</v>
      </c>
      <c r="G417" s="17">
        <f t="shared" si="244"/>
        <v>2122875</v>
      </c>
      <c r="H417" s="46">
        <f t="shared" si="245"/>
        <v>2212277.5342465756</v>
      </c>
      <c r="I417" s="20">
        <f t="shared" si="241"/>
        <v>2212000</v>
      </c>
      <c r="L417" s="110"/>
      <c r="M417" s="112"/>
      <c r="N417" s="110"/>
      <c r="O417" s="112"/>
    </row>
    <row r="418" spans="1:15" hidden="1" x14ac:dyDescent="0.25">
      <c r="A418" s="72">
        <f t="shared" ca="1" si="237"/>
        <v>43151</v>
      </c>
      <c r="B418" s="113">
        <v>17773</v>
      </c>
      <c r="C418" s="113">
        <v>1070000</v>
      </c>
      <c r="D418" s="111">
        <f t="shared" si="242"/>
        <v>0.96054856007191736</v>
      </c>
      <c r="E418" s="111">
        <v>56</v>
      </c>
      <c r="F418" s="21">
        <f t="shared" si="243"/>
        <v>1070</v>
      </c>
      <c r="G418" s="17">
        <f t="shared" si="244"/>
        <v>1068930</v>
      </c>
      <c r="H418" s="46">
        <f t="shared" si="245"/>
        <v>1113946.8054794522</v>
      </c>
      <c r="I418" s="20">
        <f t="shared" si="241"/>
        <v>1114000</v>
      </c>
    </row>
    <row r="419" spans="1:15" hidden="1" x14ac:dyDescent="0.25">
      <c r="A419" s="72">
        <f t="shared" ca="1" si="237"/>
        <v>43151</v>
      </c>
      <c r="B419" s="113">
        <v>21466</v>
      </c>
      <c r="C419" s="113">
        <v>266000</v>
      </c>
      <c r="D419" s="111">
        <f t="shared" si="242"/>
        <v>0.96054856007191736</v>
      </c>
      <c r="E419" s="111">
        <v>56</v>
      </c>
      <c r="F419" s="21">
        <f t="shared" si="243"/>
        <v>266</v>
      </c>
      <c r="G419" s="17">
        <f t="shared" si="244"/>
        <v>265734</v>
      </c>
      <c r="H419" s="46">
        <f t="shared" si="245"/>
        <v>276925.09369863017</v>
      </c>
      <c r="I419" s="20">
        <f t="shared" si="241"/>
        <v>277000</v>
      </c>
    </row>
    <row r="420" spans="1:15" hidden="1" x14ac:dyDescent="0.25">
      <c r="A420" s="72">
        <f t="shared" ca="1" si="237"/>
        <v>43151</v>
      </c>
      <c r="B420" s="113">
        <v>26047</v>
      </c>
      <c r="C420" s="113">
        <v>2210000</v>
      </c>
      <c r="D420" s="111">
        <f t="shared" si="242"/>
        <v>0.97987734620221012</v>
      </c>
      <c r="E420" s="111">
        <v>28</v>
      </c>
      <c r="F420" s="21">
        <f t="shared" si="243"/>
        <v>2210</v>
      </c>
      <c r="G420" s="17">
        <f t="shared" si="244"/>
        <v>2207790</v>
      </c>
      <c r="H420" s="46">
        <f t="shared" si="245"/>
        <v>2255384.3178082192</v>
      </c>
      <c r="I420" s="20">
        <f t="shared" si="241"/>
        <v>2255000</v>
      </c>
    </row>
    <row r="421" spans="1:15" hidden="1" x14ac:dyDescent="0.25">
      <c r="A421" s="74"/>
      <c r="B421" s="163"/>
      <c r="C421" s="163"/>
      <c r="D421" s="152"/>
      <c r="E421" s="152"/>
      <c r="F421" s="45"/>
      <c r="G421" s="42"/>
      <c r="H421" s="42"/>
      <c r="I421" s="44"/>
    </row>
    <row r="422" spans="1:15" hidden="1" x14ac:dyDescent="0.25">
      <c r="A422" s="11">
        <f t="shared" ca="1" si="237"/>
        <v>43151</v>
      </c>
      <c r="B422" s="113">
        <v>1043</v>
      </c>
      <c r="C422" s="113">
        <v>1936462</v>
      </c>
      <c r="D422" s="10">
        <f t="shared" si="242"/>
        <v>0.97987734620221012</v>
      </c>
      <c r="E422" s="10">
        <v>28</v>
      </c>
      <c r="F422" s="164">
        <f t="shared" si="243"/>
        <v>1936.462</v>
      </c>
      <c r="G422" s="46">
        <f t="shared" si="244"/>
        <v>1934525.5379999999</v>
      </c>
      <c r="H422" s="46">
        <f t="shared" si="245"/>
        <v>1976228.9714169863</v>
      </c>
      <c r="I422" s="20">
        <f t="shared" si="241"/>
        <v>1976000</v>
      </c>
      <c r="J422" s="160" t="s">
        <v>11</v>
      </c>
    </row>
    <row r="423" spans="1:15" hidden="1" x14ac:dyDescent="0.25">
      <c r="A423" s="11">
        <f t="shared" ca="1" si="237"/>
        <v>43151</v>
      </c>
      <c r="B423" s="113">
        <v>1904</v>
      </c>
      <c r="C423" s="113">
        <v>86000</v>
      </c>
      <c r="D423" s="10">
        <f t="shared" si="242"/>
        <v>0.97987734620221012</v>
      </c>
      <c r="E423" s="10">
        <v>28</v>
      </c>
      <c r="F423" s="164">
        <f t="shared" si="243"/>
        <v>86</v>
      </c>
      <c r="G423" s="46">
        <f t="shared" si="244"/>
        <v>85914</v>
      </c>
      <c r="H423" s="46">
        <f t="shared" si="245"/>
        <v>87766.086575342473</v>
      </c>
      <c r="I423" s="20">
        <f t="shared" si="241"/>
        <v>88000</v>
      </c>
      <c r="J423" s="160" t="s">
        <v>32</v>
      </c>
    </row>
    <row r="424" spans="1:15" hidden="1" x14ac:dyDescent="0.25">
      <c r="A424" s="11">
        <f t="shared" ca="1" si="237"/>
        <v>43151</v>
      </c>
      <c r="B424" s="113">
        <v>2449</v>
      </c>
      <c r="C424" s="113">
        <v>82000</v>
      </c>
      <c r="D424" s="10">
        <f t="shared" si="242"/>
        <v>0.97987734620221012</v>
      </c>
      <c r="E424" s="10">
        <v>28</v>
      </c>
      <c r="F424" s="164">
        <f t="shared" si="243"/>
        <v>82</v>
      </c>
      <c r="G424" s="46">
        <f t="shared" si="244"/>
        <v>81918</v>
      </c>
      <c r="H424" s="46">
        <f t="shared" si="245"/>
        <v>83683.943013698634</v>
      </c>
      <c r="I424" s="20">
        <f t="shared" si="241"/>
        <v>84000</v>
      </c>
      <c r="J424" s="160" t="s">
        <v>48</v>
      </c>
    </row>
    <row r="425" spans="1:15" hidden="1" x14ac:dyDescent="0.25">
      <c r="A425" s="11">
        <f t="shared" ca="1" si="237"/>
        <v>43151</v>
      </c>
      <c r="B425" s="113">
        <v>7378</v>
      </c>
      <c r="C425" s="113">
        <f>-1900+3003000</f>
        <v>3001100</v>
      </c>
      <c r="D425" s="10">
        <f t="shared" si="242"/>
        <v>0.97987734620221012</v>
      </c>
      <c r="E425" s="10">
        <v>28</v>
      </c>
      <c r="F425" s="164">
        <f t="shared" si="243"/>
        <v>3001.1</v>
      </c>
      <c r="G425" s="46">
        <f t="shared" si="244"/>
        <v>2998098.9</v>
      </c>
      <c r="H425" s="46">
        <f t="shared" si="245"/>
        <v>3062730.2607123288</v>
      </c>
      <c r="I425" s="20">
        <f t="shared" si="241"/>
        <v>3063000</v>
      </c>
      <c r="J425" s="160" t="s">
        <v>33</v>
      </c>
    </row>
    <row r="426" spans="1:15" hidden="1" x14ac:dyDescent="0.25">
      <c r="A426" s="11">
        <f t="shared" ca="1" si="237"/>
        <v>43151</v>
      </c>
      <c r="B426" s="113">
        <v>12890</v>
      </c>
      <c r="C426" s="113">
        <v>53000</v>
      </c>
      <c r="D426" s="10">
        <f t="shared" si="242"/>
        <v>0.97987734620221012</v>
      </c>
      <c r="E426" s="10">
        <v>28</v>
      </c>
      <c r="F426" s="164">
        <f t="shared" si="243"/>
        <v>53</v>
      </c>
      <c r="G426" s="46">
        <f t="shared" si="244"/>
        <v>52947</v>
      </c>
      <c r="H426" s="46">
        <f t="shared" si="245"/>
        <v>54088.402191780828</v>
      </c>
      <c r="I426" s="20">
        <f t="shared" si="241"/>
        <v>54000</v>
      </c>
      <c r="J426" s="160" t="s">
        <v>34</v>
      </c>
    </row>
    <row r="427" spans="1:15" hidden="1" x14ac:dyDescent="0.25">
      <c r="A427" s="11">
        <f t="shared" ca="1" si="237"/>
        <v>43151</v>
      </c>
      <c r="B427" s="113">
        <v>13050</v>
      </c>
      <c r="C427" s="113">
        <v>875000</v>
      </c>
      <c r="D427" s="10">
        <f t="shared" si="242"/>
        <v>0.97987734620221012</v>
      </c>
      <c r="E427" s="10">
        <v>28</v>
      </c>
      <c r="F427" s="164">
        <f t="shared" si="243"/>
        <v>875</v>
      </c>
      <c r="G427" s="46">
        <f t="shared" si="244"/>
        <v>874125</v>
      </c>
      <c r="H427" s="46">
        <f t="shared" si="245"/>
        <v>892968.90410958906</v>
      </c>
      <c r="I427" s="20">
        <f t="shared" si="241"/>
        <v>893000</v>
      </c>
      <c r="J427" s="160" t="s">
        <v>49</v>
      </c>
    </row>
    <row r="428" spans="1:15" hidden="1" x14ac:dyDescent="0.25">
      <c r="A428" s="11">
        <f t="shared" ca="1" si="237"/>
        <v>43151</v>
      </c>
      <c r="B428" s="113">
        <v>17282</v>
      </c>
      <c r="C428" s="113">
        <v>1116000</v>
      </c>
      <c r="D428" s="10">
        <f t="shared" si="242"/>
        <v>0.97987734620221012</v>
      </c>
      <c r="E428" s="10">
        <v>28</v>
      </c>
      <c r="F428" s="164">
        <f t="shared" si="243"/>
        <v>1116</v>
      </c>
      <c r="G428" s="46">
        <f t="shared" si="244"/>
        <v>1114884</v>
      </c>
      <c r="H428" s="46">
        <f t="shared" si="245"/>
        <v>1138918.0536986303</v>
      </c>
      <c r="I428" s="20">
        <f t="shared" si="241"/>
        <v>1139000</v>
      </c>
      <c r="J428" s="160" t="s">
        <v>27</v>
      </c>
    </row>
    <row r="429" spans="1:15" hidden="1" x14ac:dyDescent="0.25">
      <c r="A429" s="11">
        <f t="shared" ca="1" si="237"/>
        <v>43151</v>
      </c>
      <c r="B429" s="113">
        <v>17645</v>
      </c>
      <c r="C429" s="113">
        <f>-1922+150000</f>
        <v>148078</v>
      </c>
      <c r="D429" s="10">
        <f t="shared" si="242"/>
        <v>0.97987734620221012</v>
      </c>
      <c r="E429" s="10">
        <v>28</v>
      </c>
      <c r="F429" s="164">
        <f t="shared" si="243"/>
        <v>148.078</v>
      </c>
      <c r="G429" s="46">
        <f t="shared" si="244"/>
        <v>147929.92199999999</v>
      </c>
      <c r="H429" s="46">
        <f t="shared" si="245"/>
        <v>151118.91358027398</v>
      </c>
      <c r="I429" s="20">
        <f t="shared" si="241"/>
        <v>151000</v>
      </c>
      <c r="J429" s="160" t="s">
        <v>25</v>
      </c>
    </row>
    <row r="430" spans="1:15" hidden="1" x14ac:dyDescent="0.25">
      <c r="A430" s="11">
        <f t="shared" ca="1" si="237"/>
        <v>43151</v>
      </c>
      <c r="B430" s="113">
        <v>17663</v>
      </c>
      <c r="C430" s="113">
        <f>-800+21000</f>
        <v>20200</v>
      </c>
      <c r="D430" s="10">
        <f t="shared" si="242"/>
        <v>0.97987734620221012</v>
      </c>
      <c r="E430" s="10">
        <v>28</v>
      </c>
      <c r="F430" s="164">
        <f t="shared" si="243"/>
        <v>20.2</v>
      </c>
      <c r="G430" s="46">
        <f t="shared" si="244"/>
        <v>20179.8</v>
      </c>
      <c r="H430" s="46">
        <f t="shared" si="245"/>
        <v>20614.82498630137</v>
      </c>
      <c r="I430" s="20">
        <f t="shared" si="241"/>
        <v>21000</v>
      </c>
      <c r="J430" s="160" t="s">
        <v>55</v>
      </c>
    </row>
    <row r="431" spans="1:15" hidden="1" x14ac:dyDescent="0.25">
      <c r="A431" s="11">
        <f t="shared" ca="1" si="237"/>
        <v>43151</v>
      </c>
      <c r="B431" s="113">
        <v>17709</v>
      </c>
      <c r="C431" s="113">
        <f>1038+45000</f>
        <v>46038</v>
      </c>
      <c r="D431" s="10">
        <f t="shared" si="242"/>
        <v>0.97987734620221012</v>
      </c>
      <c r="E431" s="10">
        <v>28</v>
      </c>
      <c r="F431" s="164">
        <f t="shared" si="243"/>
        <v>46.038000000000004</v>
      </c>
      <c r="G431" s="46">
        <f t="shared" si="244"/>
        <v>45991.962</v>
      </c>
      <c r="H431" s="46">
        <f t="shared" si="245"/>
        <v>46983.431322739729</v>
      </c>
      <c r="I431" s="20">
        <f t="shared" si="241"/>
        <v>47000</v>
      </c>
      <c r="J431" s="160" t="s">
        <v>56</v>
      </c>
    </row>
    <row r="432" spans="1:15" hidden="1" x14ac:dyDescent="0.25">
      <c r="A432" s="11">
        <f t="shared" ca="1" si="237"/>
        <v>43151</v>
      </c>
      <c r="B432" s="113">
        <v>17846</v>
      </c>
      <c r="C432" s="113">
        <v>352810</v>
      </c>
      <c r="D432" s="10">
        <f t="shared" si="242"/>
        <v>0.97987734620221012</v>
      </c>
      <c r="E432" s="10">
        <v>28</v>
      </c>
      <c r="F432" s="164">
        <f t="shared" si="243"/>
        <v>352.81</v>
      </c>
      <c r="G432" s="46">
        <f t="shared" si="244"/>
        <v>352457.19</v>
      </c>
      <c r="H432" s="46">
        <f t="shared" si="245"/>
        <v>360055.26749589044</v>
      </c>
      <c r="I432" s="20">
        <f t="shared" si="241"/>
        <v>360000</v>
      </c>
      <c r="J432" s="160" t="s">
        <v>60</v>
      </c>
    </row>
    <row r="433" spans="1:12" hidden="1" x14ac:dyDescent="0.25">
      <c r="A433" s="11">
        <f t="shared" ca="1" si="237"/>
        <v>43151</v>
      </c>
      <c r="B433" s="113">
        <v>20191</v>
      </c>
      <c r="C433" s="113">
        <f>1677000/2</f>
        <v>838500</v>
      </c>
      <c r="D433" s="10">
        <f t="shared" si="242"/>
        <v>0.97987734620221012</v>
      </c>
      <c r="E433" s="10">
        <v>28</v>
      </c>
      <c r="F433" s="164">
        <f t="shared" si="243"/>
        <v>838.5</v>
      </c>
      <c r="G433" s="46">
        <f t="shared" si="244"/>
        <v>837661.5</v>
      </c>
      <c r="H433" s="46">
        <f t="shared" si="245"/>
        <v>855719.34410958912</v>
      </c>
      <c r="I433" s="20">
        <f t="shared" si="241"/>
        <v>856000</v>
      </c>
      <c r="J433" s="160" t="s">
        <v>13</v>
      </c>
    </row>
    <row r="434" spans="1:12" hidden="1" x14ac:dyDescent="0.25">
      <c r="A434" s="11">
        <f t="shared" ca="1" si="237"/>
        <v>43151</v>
      </c>
      <c r="B434" s="113">
        <v>33393</v>
      </c>
      <c r="C434" s="113">
        <v>1735000</v>
      </c>
      <c r="D434" s="10">
        <f t="shared" si="242"/>
        <v>0.97987734620221012</v>
      </c>
      <c r="E434" s="10">
        <v>28</v>
      </c>
      <c r="F434" s="164">
        <f t="shared" si="243"/>
        <v>1735</v>
      </c>
      <c r="G434" s="46">
        <f t="shared" si="244"/>
        <v>1733265</v>
      </c>
      <c r="H434" s="46">
        <f t="shared" si="245"/>
        <v>1770629.7698630139</v>
      </c>
      <c r="I434" s="20">
        <f t="shared" si="241"/>
        <v>1771000</v>
      </c>
      <c r="J434" s="160" t="s">
        <v>14</v>
      </c>
    </row>
    <row r="435" spans="1:12" hidden="1" x14ac:dyDescent="0.25">
      <c r="A435" s="11">
        <f t="shared" ca="1" si="237"/>
        <v>43151</v>
      </c>
      <c r="B435" s="113">
        <v>120120</v>
      </c>
      <c r="C435" s="113">
        <f>1300+68000</f>
        <v>69300</v>
      </c>
      <c r="D435" s="10">
        <f t="shared" si="242"/>
        <v>0.97987734620221012</v>
      </c>
      <c r="E435" s="10">
        <v>28</v>
      </c>
      <c r="F435" s="164">
        <f t="shared" si="243"/>
        <v>69.3</v>
      </c>
      <c r="G435" s="46">
        <f t="shared" si="244"/>
        <v>69230.7</v>
      </c>
      <c r="H435" s="46">
        <f t="shared" si="245"/>
        <v>70723.137205479463</v>
      </c>
      <c r="I435" s="20">
        <f t="shared" si="241"/>
        <v>71000</v>
      </c>
      <c r="J435" s="160" t="s">
        <v>47</v>
      </c>
    </row>
    <row r="436" spans="1:12" hidden="1" x14ac:dyDescent="0.25">
      <c r="A436" s="11">
        <f t="shared" ca="1" si="237"/>
        <v>43151</v>
      </c>
      <c r="B436" s="113">
        <v>200353</v>
      </c>
      <c r="C436" s="113">
        <f>-60000+5500+2374000</f>
        <v>2319500</v>
      </c>
      <c r="D436" s="10">
        <f t="shared" si="242"/>
        <v>0.97987734620221012</v>
      </c>
      <c r="E436" s="10">
        <v>28</v>
      </c>
      <c r="F436" s="164">
        <f t="shared" si="243"/>
        <v>2319.5</v>
      </c>
      <c r="G436" s="46">
        <f t="shared" si="244"/>
        <v>2317180.5</v>
      </c>
      <c r="H436" s="46">
        <f t="shared" si="245"/>
        <v>2367132.9978082194</v>
      </c>
      <c r="I436" s="20">
        <f t="shared" si="241"/>
        <v>2367000</v>
      </c>
      <c r="J436" s="160" t="s">
        <v>61</v>
      </c>
    </row>
    <row r="437" spans="1:12" hidden="1" x14ac:dyDescent="0.25">
      <c r="A437" s="11">
        <f t="shared" ca="1" si="237"/>
        <v>43151</v>
      </c>
      <c r="B437" s="113">
        <v>300406</v>
      </c>
      <c r="C437" s="113">
        <f>-3100+1185000</f>
        <v>1181900</v>
      </c>
      <c r="D437" s="10">
        <f t="shared" si="242"/>
        <v>0.97987734620221012</v>
      </c>
      <c r="E437" s="10">
        <v>28</v>
      </c>
      <c r="F437" s="164">
        <f t="shared" si="243"/>
        <v>1181.9000000000001</v>
      </c>
      <c r="G437" s="46">
        <f t="shared" si="244"/>
        <v>1180718.1000000001</v>
      </c>
      <c r="H437" s="46">
        <f t="shared" si="245"/>
        <v>1206171.3688767124</v>
      </c>
      <c r="I437" s="20">
        <f t="shared" si="241"/>
        <v>1206000</v>
      </c>
      <c r="J437" s="160" t="s">
        <v>51</v>
      </c>
    </row>
    <row r="438" spans="1:12" hidden="1" x14ac:dyDescent="0.25">
      <c r="A438" s="11">
        <f t="shared" ca="1" si="237"/>
        <v>43151</v>
      </c>
      <c r="B438" s="113">
        <v>300703</v>
      </c>
      <c r="C438" s="113">
        <v>126000</v>
      </c>
      <c r="D438" s="10">
        <f t="shared" si="242"/>
        <v>0.97987734620221012</v>
      </c>
      <c r="E438" s="10">
        <v>28</v>
      </c>
      <c r="F438" s="164">
        <f t="shared" si="243"/>
        <v>126</v>
      </c>
      <c r="G438" s="46">
        <f t="shared" si="244"/>
        <v>125874</v>
      </c>
      <c r="H438" s="46">
        <f t="shared" si="245"/>
        <v>128587.52219178082</v>
      </c>
      <c r="I438" s="20">
        <f t="shared" si="241"/>
        <v>129000</v>
      </c>
      <c r="J438" s="160" t="s">
        <v>59</v>
      </c>
    </row>
    <row r="439" spans="1:12" hidden="1" x14ac:dyDescent="0.25">
      <c r="A439" s="11">
        <f t="shared" ca="1" si="237"/>
        <v>43151</v>
      </c>
      <c r="B439" s="113">
        <v>700197</v>
      </c>
      <c r="C439" s="113">
        <f>-1000+1034700</f>
        <v>1033700</v>
      </c>
      <c r="D439" s="10">
        <f t="shared" si="242"/>
        <v>0.97987734620221012</v>
      </c>
      <c r="E439" s="10">
        <v>28</v>
      </c>
      <c r="F439" s="164">
        <f t="shared" si="243"/>
        <v>1033.7</v>
      </c>
      <c r="G439" s="46">
        <f t="shared" si="244"/>
        <v>1032666.3</v>
      </c>
      <c r="H439" s="46">
        <f t="shared" si="245"/>
        <v>1054927.9499178082</v>
      </c>
      <c r="I439" s="20">
        <f t="shared" si="241"/>
        <v>1055000</v>
      </c>
      <c r="J439" s="160" t="s">
        <v>36</v>
      </c>
    </row>
    <row r="440" spans="1:12" hidden="1" x14ac:dyDescent="0.25">
      <c r="A440" s="11">
        <f t="shared" ca="1" si="237"/>
        <v>43151</v>
      </c>
      <c r="B440" s="113">
        <v>2000265</v>
      </c>
      <c r="C440" s="113">
        <v>314000</v>
      </c>
      <c r="D440" s="10">
        <f t="shared" si="242"/>
        <v>0.97987734620221012</v>
      </c>
      <c r="E440" s="10">
        <v>28</v>
      </c>
      <c r="F440" s="164">
        <f t="shared" si="243"/>
        <v>314</v>
      </c>
      <c r="G440" s="46">
        <f t="shared" si="244"/>
        <v>313686</v>
      </c>
      <c r="H440" s="46">
        <f t="shared" si="245"/>
        <v>320448.26958904113</v>
      </c>
      <c r="I440" s="20">
        <f t="shared" si="241"/>
        <v>320000</v>
      </c>
      <c r="J440" s="160" t="s">
        <v>39</v>
      </c>
    </row>
    <row r="441" spans="1:12" hidden="1" x14ac:dyDescent="0.25">
      <c r="A441" s="11">
        <f t="shared" ca="1" si="237"/>
        <v>43151</v>
      </c>
      <c r="B441" s="113">
        <v>20664</v>
      </c>
      <c r="C441" s="113">
        <f>5388+1020000</f>
        <v>1025388</v>
      </c>
      <c r="D441" s="10">
        <f t="shared" si="242"/>
        <v>0.93743410672931304</v>
      </c>
      <c r="E441" s="10">
        <v>91</v>
      </c>
      <c r="F441" s="164">
        <f t="shared" si="243"/>
        <v>1025.3879999999999</v>
      </c>
      <c r="G441" s="46">
        <f t="shared" si="244"/>
        <v>1024362.612</v>
      </c>
      <c r="H441" s="46">
        <f t="shared" si="245"/>
        <v>1093824.080689315</v>
      </c>
      <c r="I441" s="167">
        <v>1093000</v>
      </c>
      <c r="J441" s="160" t="s">
        <v>17</v>
      </c>
      <c r="K441" s="165"/>
      <c r="L441" s="166"/>
    </row>
    <row r="442" spans="1:12" hidden="1" x14ac:dyDescent="0.25">
      <c r="A442" s="72">
        <f t="shared" ca="1" si="237"/>
        <v>43151</v>
      </c>
      <c r="B442" s="113">
        <v>26047</v>
      </c>
      <c r="C442">
        <v>1110000</v>
      </c>
      <c r="D442" s="111">
        <f t="shared" si="242"/>
        <v>0.898515062312635</v>
      </c>
      <c r="E442" s="111">
        <v>154</v>
      </c>
      <c r="F442" s="21">
        <f t="shared" si="243"/>
        <v>1110</v>
      </c>
      <c r="G442" s="17">
        <f t="shared" si="244"/>
        <v>1108890</v>
      </c>
      <c r="H442" s="46">
        <f t="shared" si="245"/>
        <v>1235371.610958904</v>
      </c>
      <c r="I442" s="20">
        <f t="shared" si="241"/>
        <v>1235000</v>
      </c>
    </row>
    <row r="443" spans="1:12" hidden="1" x14ac:dyDescent="0.25">
      <c r="A443" s="72">
        <f t="shared" ca="1" si="237"/>
        <v>43151</v>
      </c>
      <c r="B443" s="113">
        <v>90352</v>
      </c>
      <c r="C443" s="113">
        <v>100000</v>
      </c>
      <c r="D443" s="111">
        <f t="shared" si="242"/>
        <v>0.93807907107041244</v>
      </c>
      <c r="E443" s="111">
        <v>90</v>
      </c>
      <c r="F443" s="21">
        <f t="shared" si="243"/>
        <v>100</v>
      </c>
      <c r="G443" s="17">
        <f t="shared" si="244"/>
        <v>99900</v>
      </c>
      <c r="H443" s="46">
        <f t="shared" si="245"/>
        <v>106600.82191780822</v>
      </c>
      <c r="I443" s="20">
        <f t="shared" si="241"/>
        <v>107000</v>
      </c>
    </row>
    <row r="444" spans="1:12" hidden="1" x14ac:dyDescent="0.25">
      <c r="A444" s="74"/>
      <c r="B444" s="163"/>
      <c r="C444" s="163"/>
      <c r="D444" s="152"/>
      <c r="E444" s="152"/>
      <c r="F444" s="45"/>
      <c r="G444" s="42"/>
      <c r="H444" s="42"/>
      <c r="I444" s="44"/>
    </row>
    <row r="445" spans="1:12" hidden="1" x14ac:dyDescent="0.25">
      <c r="A445" s="72">
        <f t="shared" ca="1" si="237"/>
        <v>43151</v>
      </c>
      <c r="B445" s="110">
        <v>1043</v>
      </c>
      <c r="C445" s="110">
        <v>1976000</v>
      </c>
      <c r="D445" s="111">
        <f t="shared" si="242"/>
        <v>0.97497258724335178</v>
      </c>
      <c r="E445" s="111">
        <v>35</v>
      </c>
      <c r="F445" s="21">
        <f t="shared" si="243"/>
        <v>1976</v>
      </c>
      <c r="G445" s="17">
        <f t="shared" si="244"/>
        <v>1974024</v>
      </c>
      <c r="H445" s="46">
        <f t="shared" si="245"/>
        <v>2026723.6493150685</v>
      </c>
      <c r="I445" s="20">
        <f t="shared" si="241"/>
        <v>2027000</v>
      </c>
      <c r="J445" s="112" t="s">
        <v>11</v>
      </c>
    </row>
    <row r="446" spans="1:12" hidden="1" x14ac:dyDescent="0.25">
      <c r="A446" s="72">
        <f t="shared" ca="1" si="237"/>
        <v>43151</v>
      </c>
      <c r="B446" s="110">
        <v>1904</v>
      </c>
      <c r="C446" s="110">
        <v>88000</v>
      </c>
      <c r="D446" s="111">
        <f t="shared" si="242"/>
        <v>0.97497258724335178</v>
      </c>
      <c r="E446" s="111">
        <v>35</v>
      </c>
      <c r="F446" s="21">
        <f t="shared" si="243"/>
        <v>88</v>
      </c>
      <c r="G446" s="17">
        <f t="shared" si="244"/>
        <v>87912</v>
      </c>
      <c r="H446" s="46">
        <f t="shared" si="245"/>
        <v>90258.94794520548</v>
      </c>
      <c r="I446" s="20">
        <f t="shared" si="241"/>
        <v>90000</v>
      </c>
      <c r="J446" s="112" t="s">
        <v>32</v>
      </c>
    </row>
    <row r="447" spans="1:12" hidden="1" x14ac:dyDescent="0.25">
      <c r="A447" s="72">
        <f t="shared" ca="1" si="237"/>
        <v>43151</v>
      </c>
      <c r="B447" s="110">
        <v>2449</v>
      </c>
      <c r="C447" s="110">
        <v>84000</v>
      </c>
      <c r="D447" s="111">
        <f t="shared" si="242"/>
        <v>0.97497258724335178</v>
      </c>
      <c r="E447" s="111">
        <v>35</v>
      </c>
      <c r="F447" s="21">
        <f t="shared" si="243"/>
        <v>84</v>
      </c>
      <c r="G447" s="17">
        <f t="shared" si="244"/>
        <v>83916</v>
      </c>
      <c r="H447" s="46">
        <f t="shared" si="245"/>
        <v>86156.268493150681</v>
      </c>
      <c r="I447" s="20">
        <f t="shared" si="241"/>
        <v>86000</v>
      </c>
      <c r="J447" s="112" t="s">
        <v>48</v>
      </c>
    </row>
    <row r="448" spans="1:12" hidden="1" x14ac:dyDescent="0.25">
      <c r="A448" s="72">
        <f t="shared" ca="1" si="237"/>
        <v>43151</v>
      </c>
      <c r="B448" s="110">
        <v>7378</v>
      </c>
      <c r="C448" s="110">
        <f>5500+3062000</f>
        <v>3067500</v>
      </c>
      <c r="D448" s="111">
        <f t="shared" si="242"/>
        <v>0.97497258724335178</v>
      </c>
      <c r="E448" s="111">
        <v>35</v>
      </c>
      <c r="F448" s="21">
        <f t="shared" si="243"/>
        <v>3067.5</v>
      </c>
      <c r="G448" s="17">
        <f t="shared" si="244"/>
        <v>3064432.5</v>
      </c>
      <c r="H448" s="46">
        <f t="shared" si="245"/>
        <v>3146242.3047945206</v>
      </c>
      <c r="I448" s="20">
        <f t="shared" si="241"/>
        <v>3146000</v>
      </c>
      <c r="J448" s="112" t="s">
        <v>33</v>
      </c>
    </row>
    <row r="449" spans="1:13" hidden="1" x14ac:dyDescent="0.25">
      <c r="A449" s="72">
        <f t="shared" ca="1" si="237"/>
        <v>43151</v>
      </c>
      <c r="B449" s="110">
        <v>13050</v>
      </c>
      <c r="C449" s="110">
        <v>893000</v>
      </c>
      <c r="D449" s="111">
        <f t="shared" si="242"/>
        <v>0.97497258724335178</v>
      </c>
      <c r="E449" s="111">
        <v>35</v>
      </c>
      <c r="F449" s="21">
        <f t="shared" si="243"/>
        <v>893</v>
      </c>
      <c r="G449" s="17">
        <f t="shared" si="244"/>
        <v>892107</v>
      </c>
      <c r="H449" s="46">
        <f t="shared" si="245"/>
        <v>915923.18767123297</v>
      </c>
      <c r="I449" s="20">
        <f t="shared" si="241"/>
        <v>916000</v>
      </c>
      <c r="J449" s="112" t="s">
        <v>49</v>
      </c>
    </row>
    <row r="450" spans="1:13" hidden="1" x14ac:dyDescent="0.25">
      <c r="A450" s="72">
        <f t="shared" ca="1" si="237"/>
        <v>43151</v>
      </c>
      <c r="B450" s="110">
        <v>17282</v>
      </c>
      <c r="C450" s="110">
        <f>1139000-12800</f>
        <v>1126200</v>
      </c>
      <c r="D450" s="111">
        <f t="shared" si="242"/>
        <v>0.97497258724335178</v>
      </c>
      <c r="E450" s="111">
        <v>35</v>
      </c>
      <c r="F450" s="21">
        <f t="shared" si="243"/>
        <v>1126.2</v>
      </c>
      <c r="G450" s="17">
        <f t="shared" si="244"/>
        <v>1125073.8</v>
      </c>
      <c r="H450" s="46">
        <f t="shared" si="245"/>
        <v>1155109.3997260274</v>
      </c>
      <c r="I450" s="20">
        <f t="shared" si="241"/>
        <v>1155000</v>
      </c>
      <c r="J450" s="112" t="s">
        <v>27</v>
      </c>
    </row>
    <row r="451" spans="1:13" hidden="1" x14ac:dyDescent="0.25">
      <c r="A451" s="72">
        <f t="shared" ca="1" si="237"/>
        <v>43151</v>
      </c>
      <c r="B451" s="110">
        <v>17846</v>
      </c>
      <c r="C451" s="110">
        <f>9207+360000</f>
        <v>369207</v>
      </c>
      <c r="D451" s="111">
        <f t="shared" si="242"/>
        <v>0.97497258724335178</v>
      </c>
      <c r="E451" s="111">
        <v>35</v>
      </c>
      <c r="F451" s="21">
        <f t="shared" si="243"/>
        <v>369.20699999999999</v>
      </c>
      <c r="G451" s="17">
        <f t="shared" si="244"/>
        <v>368837.79300000001</v>
      </c>
      <c r="H451" s="46">
        <f t="shared" si="245"/>
        <v>378684.49311369867</v>
      </c>
      <c r="I451" s="20">
        <f t="shared" si="241"/>
        <v>379000</v>
      </c>
      <c r="J451" s="112" t="s">
        <v>60</v>
      </c>
    </row>
    <row r="452" spans="1:13" hidden="1" x14ac:dyDescent="0.25">
      <c r="A452" s="72">
        <f t="shared" ca="1" si="237"/>
        <v>43151</v>
      </c>
      <c r="B452" s="110">
        <v>20191</v>
      </c>
      <c r="C452" s="110">
        <v>856000</v>
      </c>
      <c r="D452" s="111">
        <f t="shared" si="242"/>
        <v>0.97497258724335178</v>
      </c>
      <c r="E452" s="111">
        <v>35</v>
      </c>
      <c r="F452" s="21">
        <f t="shared" si="243"/>
        <v>856</v>
      </c>
      <c r="G452" s="17">
        <f t="shared" si="244"/>
        <v>855144</v>
      </c>
      <c r="H452" s="46">
        <f t="shared" si="245"/>
        <v>877973.40273972601</v>
      </c>
      <c r="I452" s="20">
        <f t="shared" si="241"/>
        <v>878000</v>
      </c>
      <c r="J452" s="112" t="s">
        <v>13</v>
      </c>
    </row>
    <row r="453" spans="1:13" hidden="1" x14ac:dyDescent="0.25">
      <c r="A453" s="72">
        <f t="shared" ref="A453:A514" ca="1" si="246">TODAY()</f>
        <v>43151</v>
      </c>
      <c r="B453" s="110">
        <v>33393</v>
      </c>
      <c r="C453" s="110">
        <f>1770000-2300</f>
        <v>1767700</v>
      </c>
      <c r="D453" s="111">
        <f t="shared" si="242"/>
        <v>0.97497258724335178</v>
      </c>
      <c r="E453" s="111">
        <v>35</v>
      </c>
      <c r="F453" s="21">
        <f t="shared" si="243"/>
        <v>1767.7</v>
      </c>
      <c r="G453" s="17">
        <f t="shared" si="244"/>
        <v>1765932.3</v>
      </c>
      <c r="H453" s="46">
        <f t="shared" si="245"/>
        <v>1813076.6168493151</v>
      </c>
      <c r="I453" s="20">
        <f t="shared" si="241"/>
        <v>1813000</v>
      </c>
      <c r="J453" s="112" t="s">
        <v>14</v>
      </c>
    </row>
    <row r="454" spans="1:13" hidden="1" x14ac:dyDescent="0.25">
      <c r="A454" s="72">
        <f t="shared" ca="1" si="246"/>
        <v>43151</v>
      </c>
      <c r="B454" s="110">
        <v>120120</v>
      </c>
      <c r="C454" s="110">
        <v>71000</v>
      </c>
      <c r="D454" s="111">
        <f t="shared" si="242"/>
        <v>0.97497258724335178</v>
      </c>
      <c r="E454" s="111">
        <v>35</v>
      </c>
      <c r="F454" s="21">
        <f t="shared" si="243"/>
        <v>71</v>
      </c>
      <c r="G454" s="17">
        <f t="shared" si="244"/>
        <v>70929</v>
      </c>
      <c r="H454" s="46">
        <f t="shared" si="245"/>
        <v>72822.560273972602</v>
      </c>
      <c r="I454" s="20">
        <f t="shared" si="241"/>
        <v>73000</v>
      </c>
      <c r="J454" s="112" t="s">
        <v>47</v>
      </c>
    </row>
    <row r="455" spans="1:13" hidden="1" x14ac:dyDescent="0.25">
      <c r="A455" s="72">
        <f t="shared" ca="1" si="246"/>
        <v>43151</v>
      </c>
      <c r="B455" s="110">
        <v>200353</v>
      </c>
      <c r="C455" s="110">
        <v>2367000</v>
      </c>
      <c r="D455" s="111">
        <f t="shared" si="242"/>
        <v>0.97497258724335178</v>
      </c>
      <c r="E455" s="111">
        <v>35</v>
      </c>
      <c r="F455" s="21">
        <f t="shared" si="243"/>
        <v>2367</v>
      </c>
      <c r="G455" s="17">
        <f t="shared" si="244"/>
        <v>2364633</v>
      </c>
      <c r="H455" s="46">
        <f t="shared" si="245"/>
        <v>2427760.5657534245</v>
      </c>
      <c r="I455" s="20">
        <f t="shared" si="241"/>
        <v>2428000</v>
      </c>
      <c r="J455" s="112" t="s">
        <v>61</v>
      </c>
    </row>
    <row r="456" spans="1:13" hidden="1" x14ac:dyDescent="0.25">
      <c r="A456" s="72">
        <f t="shared" ca="1" si="246"/>
        <v>43151</v>
      </c>
      <c r="B456" s="110">
        <v>300406</v>
      </c>
      <c r="C456" s="110">
        <v>1206000</v>
      </c>
      <c r="D456" s="111">
        <f t="shared" si="242"/>
        <v>0.97497258724335178</v>
      </c>
      <c r="E456" s="111">
        <v>35</v>
      </c>
      <c r="F456" s="21">
        <f t="shared" si="243"/>
        <v>1206</v>
      </c>
      <c r="G456" s="17">
        <f t="shared" si="244"/>
        <v>1204794</v>
      </c>
      <c r="H456" s="46">
        <f t="shared" si="245"/>
        <v>1236957.8547945207</v>
      </c>
      <c r="I456" s="20">
        <f t="shared" si="241"/>
        <v>1237000</v>
      </c>
      <c r="J456" s="112" t="s">
        <v>51</v>
      </c>
    </row>
    <row r="457" spans="1:13" hidden="1" x14ac:dyDescent="0.25">
      <c r="A457" s="72">
        <f t="shared" ca="1" si="246"/>
        <v>43151</v>
      </c>
      <c r="B457" s="110">
        <v>300703</v>
      </c>
      <c r="C457" s="110">
        <f>129000-2500</f>
        <v>126500</v>
      </c>
      <c r="D457" s="111">
        <f t="shared" si="242"/>
        <v>0.97497258724335178</v>
      </c>
      <c r="E457" s="111">
        <v>35</v>
      </c>
      <c r="F457" s="21">
        <f t="shared" si="243"/>
        <v>126.5</v>
      </c>
      <c r="G457" s="17">
        <f t="shared" si="244"/>
        <v>126373.5</v>
      </c>
      <c r="H457" s="46">
        <f t="shared" si="245"/>
        <v>129747.23767123288</v>
      </c>
      <c r="I457" s="20">
        <f t="shared" si="241"/>
        <v>130000</v>
      </c>
      <c r="J457" s="112" t="s">
        <v>59</v>
      </c>
    </row>
    <row r="458" spans="1:13" hidden="1" x14ac:dyDescent="0.25">
      <c r="A458" s="72">
        <f t="shared" ca="1" si="246"/>
        <v>43151</v>
      </c>
      <c r="B458" s="110">
        <v>400054</v>
      </c>
      <c r="C458" s="110">
        <v>155040</v>
      </c>
      <c r="D458" s="111">
        <f t="shared" si="242"/>
        <v>0.97497258724335178</v>
      </c>
      <c r="E458" s="111">
        <v>35</v>
      </c>
      <c r="F458" s="21">
        <f t="shared" si="243"/>
        <v>155.04</v>
      </c>
      <c r="G458" s="17">
        <f t="shared" si="244"/>
        <v>154884.96</v>
      </c>
      <c r="H458" s="46">
        <f t="shared" si="245"/>
        <v>159019.85556164384</v>
      </c>
      <c r="I458" s="20">
        <f t="shared" si="241"/>
        <v>159000</v>
      </c>
      <c r="J458" s="112" t="s">
        <v>62</v>
      </c>
    </row>
    <row r="459" spans="1:13" hidden="1" x14ac:dyDescent="0.25">
      <c r="A459" s="72">
        <f t="shared" ca="1" si="246"/>
        <v>43151</v>
      </c>
      <c r="B459" s="110">
        <v>700197</v>
      </c>
      <c r="C459" s="110">
        <v>1108000</v>
      </c>
      <c r="D459" s="111">
        <f t="shared" si="242"/>
        <v>0.97497258724335178</v>
      </c>
      <c r="E459" s="111">
        <v>35</v>
      </c>
      <c r="F459" s="21">
        <f t="shared" si="243"/>
        <v>1108</v>
      </c>
      <c r="G459" s="17">
        <f t="shared" si="244"/>
        <v>1106892</v>
      </c>
      <c r="H459" s="46">
        <f t="shared" si="245"/>
        <v>1136442.208219178</v>
      </c>
      <c r="I459" s="20">
        <f t="shared" ref="I459:I461" si="247">MROUND(H459,1000)</f>
        <v>1136000</v>
      </c>
      <c r="J459" s="112" t="s">
        <v>36</v>
      </c>
    </row>
    <row r="460" spans="1:13" hidden="1" x14ac:dyDescent="0.25">
      <c r="A460" s="72">
        <f t="shared" ca="1" si="246"/>
        <v>43151</v>
      </c>
      <c r="B460" s="110">
        <v>2000265</v>
      </c>
      <c r="C460" s="110">
        <f>8500+320000</f>
        <v>328500</v>
      </c>
      <c r="D460" s="111">
        <f t="shared" si="242"/>
        <v>0.97497258724335178</v>
      </c>
      <c r="E460" s="111">
        <v>35</v>
      </c>
      <c r="F460" s="21">
        <f t="shared" si="243"/>
        <v>328.5</v>
      </c>
      <c r="G460" s="17">
        <f t="shared" si="244"/>
        <v>328171.5</v>
      </c>
      <c r="H460" s="46">
        <f t="shared" si="245"/>
        <v>336932.55</v>
      </c>
      <c r="I460" s="20">
        <f t="shared" si="247"/>
        <v>337000</v>
      </c>
      <c r="J460" s="112" t="s">
        <v>39</v>
      </c>
    </row>
    <row r="461" spans="1:13" hidden="1" x14ac:dyDescent="0.25">
      <c r="A461" s="72">
        <f t="shared" ca="1" si="246"/>
        <v>43151</v>
      </c>
      <c r="B461" s="110">
        <v>20664</v>
      </c>
      <c r="C461" s="110">
        <f>1040000-9100</f>
        <v>1030900</v>
      </c>
      <c r="D461" s="111">
        <f t="shared" si="242"/>
        <v>0.97497258724335178</v>
      </c>
      <c r="E461" s="111">
        <v>35</v>
      </c>
      <c r="F461" s="21">
        <f t="shared" si="243"/>
        <v>1030.9000000000001</v>
      </c>
      <c r="G461" s="17">
        <f t="shared" si="244"/>
        <v>1029869.1</v>
      </c>
      <c r="H461" s="46">
        <f t="shared" si="245"/>
        <v>1057363.061780822</v>
      </c>
      <c r="I461" s="20">
        <f t="shared" si="247"/>
        <v>1057000</v>
      </c>
      <c r="J461" s="112" t="s">
        <v>17</v>
      </c>
    </row>
    <row r="462" spans="1:13" hidden="1" x14ac:dyDescent="0.25">
      <c r="A462" s="72">
        <f t="shared" ca="1" si="246"/>
        <v>43151</v>
      </c>
      <c r="B462" s="113">
        <v>20186</v>
      </c>
      <c r="C462" s="33">
        <v>95000</v>
      </c>
      <c r="D462" s="111">
        <f t="shared" si="242"/>
        <v>0.97497258724335178</v>
      </c>
      <c r="E462" s="111">
        <v>35</v>
      </c>
      <c r="F462" s="21">
        <f t="shared" si="243"/>
        <v>95</v>
      </c>
      <c r="G462" s="17">
        <f t="shared" si="244"/>
        <v>94905</v>
      </c>
      <c r="H462" s="46">
        <f t="shared" si="245"/>
        <v>97438.636986301368</v>
      </c>
      <c r="I462" s="33">
        <v>98000</v>
      </c>
      <c r="K462" s="62"/>
      <c r="L462" s="60"/>
      <c r="M462" s="33"/>
    </row>
    <row r="463" spans="1:13" hidden="1" x14ac:dyDescent="0.25">
      <c r="A463" s="74"/>
      <c r="B463" s="163"/>
      <c r="C463" s="151"/>
      <c r="D463" s="152"/>
      <c r="E463" s="152"/>
      <c r="F463" s="45"/>
      <c r="G463" s="42"/>
      <c r="H463" s="42"/>
      <c r="I463" s="151"/>
      <c r="J463" s="168"/>
      <c r="K463" s="62"/>
      <c r="L463" s="60"/>
      <c r="M463" s="33"/>
    </row>
    <row r="464" spans="1:13" hidden="1" x14ac:dyDescent="0.25">
      <c r="A464" s="72">
        <f t="shared" ca="1" si="246"/>
        <v>43151</v>
      </c>
      <c r="B464" s="110">
        <v>1043</v>
      </c>
      <c r="C464" s="110">
        <f>2029000-14977</f>
        <v>2014023</v>
      </c>
      <c r="D464" s="111">
        <f t="shared" si="242"/>
        <v>0.97987734620221012</v>
      </c>
      <c r="E464" s="111">
        <v>28</v>
      </c>
      <c r="F464" s="21">
        <f t="shared" si="243"/>
        <v>2014.0230000000001</v>
      </c>
      <c r="G464" s="17">
        <f t="shared" si="244"/>
        <v>2012008.977</v>
      </c>
      <c r="H464" s="46">
        <f t="shared" si="245"/>
        <v>2055382.7556131508</v>
      </c>
      <c r="I464" s="20">
        <v>2058000</v>
      </c>
      <c r="J464" s="112" t="s">
        <v>11</v>
      </c>
      <c r="K464" s="62"/>
      <c r="L464" s="60"/>
      <c r="M464" s="33"/>
    </row>
    <row r="465" spans="1:13" hidden="1" x14ac:dyDescent="0.25">
      <c r="A465" s="72">
        <f t="shared" ca="1" si="246"/>
        <v>43151</v>
      </c>
      <c r="B465" s="110">
        <v>1904</v>
      </c>
      <c r="C465" s="110">
        <v>90000</v>
      </c>
      <c r="D465" s="111">
        <f t="shared" si="242"/>
        <v>0.97987734620221012</v>
      </c>
      <c r="E465" s="111">
        <v>28</v>
      </c>
      <c r="F465" s="21">
        <f t="shared" si="243"/>
        <v>90</v>
      </c>
      <c r="G465" s="17">
        <f t="shared" si="244"/>
        <v>89910</v>
      </c>
      <c r="H465" s="46">
        <f t="shared" si="245"/>
        <v>91848.230136986313</v>
      </c>
      <c r="I465" s="20">
        <v>92000</v>
      </c>
      <c r="J465" s="112" t="s">
        <v>32</v>
      </c>
      <c r="K465" s="112"/>
      <c r="L465" s="110"/>
      <c r="M465" s="33"/>
    </row>
    <row r="466" spans="1:13" hidden="1" x14ac:dyDescent="0.25">
      <c r="A466" s="72">
        <f t="shared" ca="1" si="246"/>
        <v>43151</v>
      </c>
      <c r="B466" s="110">
        <v>2449</v>
      </c>
      <c r="C466" s="110">
        <v>86000</v>
      </c>
      <c r="D466" s="111">
        <f t="shared" si="242"/>
        <v>0.97987734620221012</v>
      </c>
      <c r="E466" s="111">
        <v>28</v>
      </c>
      <c r="F466" s="21">
        <f t="shared" si="243"/>
        <v>86</v>
      </c>
      <c r="G466" s="17">
        <f t="shared" si="244"/>
        <v>85914</v>
      </c>
      <c r="H466" s="46">
        <f t="shared" si="245"/>
        <v>87766.086575342473</v>
      </c>
      <c r="I466" s="20">
        <v>88000</v>
      </c>
      <c r="J466" s="112" t="s">
        <v>48</v>
      </c>
      <c r="K466" s="112"/>
      <c r="L466" s="110"/>
      <c r="M466" s="33"/>
    </row>
    <row r="467" spans="1:13" hidden="1" x14ac:dyDescent="0.25">
      <c r="A467" s="72">
        <f t="shared" ca="1" si="246"/>
        <v>43151</v>
      </c>
      <c r="B467" s="110">
        <v>7378</v>
      </c>
      <c r="C467" s="110">
        <v>3150000</v>
      </c>
      <c r="D467" s="111">
        <f t="shared" si="242"/>
        <v>0.97987734620221012</v>
      </c>
      <c r="E467" s="111">
        <v>28</v>
      </c>
      <c r="F467" s="21">
        <f t="shared" si="243"/>
        <v>3150</v>
      </c>
      <c r="G467" s="17">
        <f t="shared" si="244"/>
        <v>3146850</v>
      </c>
      <c r="H467" s="46">
        <f t="shared" si="245"/>
        <v>3214688.0547945206</v>
      </c>
      <c r="I467" s="20">
        <v>3219000</v>
      </c>
      <c r="J467" s="112" t="s">
        <v>33</v>
      </c>
      <c r="K467" s="112"/>
      <c r="L467" s="110"/>
      <c r="M467" s="33"/>
    </row>
    <row r="468" spans="1:13" hidden="1" x14ac:dyDescent="0.25">
      <c r="A468" s="72">
        <f t="shared" ca="1" si="246"/>
        <v>43151</v>
      </c>
      <c r="B468" s="110">
        <v>13050</v>
      </c>
      <c r="C468" s="110">
        <v>917000</v>
      </c>
      <c r="D468" s="111">
        <f t="shared" si="242"/>
        <v>0.97987734620221012</v>
      </c>
      <c r="E468" s="111">
        <v>28</v>
      </c>
      <c r="F468" s="21">
        <f t="shared" si="243"/>
        <v>917</v>
      </c>
      <c r="G468" s="17">
        <f t="shared" si="244"/>
        <v>916083</v>
      </c>
      <c r="H468" s="46">
        <f t="shared" si="245"/>
        <v>935831.41150684934</v>
      </c>
      <c r="I468" s="20">
        <v>937000</v>
      </c>
      <c r="J468" s="112" t="s">
        <v>49</v>
      </c>
      <c r="K468" s="112"/>
      <c r="L468" s="171">
        <v>28</v>
      </c>
      <c r="M468" s="174">
        <v>0.28662731519602247</v>
      </c>
    </row>
    <row r="469" spans="1:13" hidden="1" x14ac:dyDescent="0.25">
      <c r="A469" s="72">
        <f t="shared" ca="1" si="246"/>
        <v>43151</v>
      </c>
      <c r="B469" s="110">
        <v>17282</v>
      </c>
      <c r="C469" s="110">
        <f>1156000-20000</f>
        <v>1136000</v>
      </c>
      <c r="D469" s="111">
        <f t="shared" si="242"/>
        <v>0.97987734620221012</v>
      </c>
      <c r="E469" s="111">
        <v>28</v>
      </c>
      <c r="F469" s="21">
        <f t="shared" si="243"/>
        <v>1136</v>
      </c>
      <c r="G469" s="17">
        <f t="shared" si="244"/>
        <v>1134864</v>
      </c>
      <c r="H469" s="46">
        <f t="shared" si="245"/>
        <v>1159328.7715068494</v>
      </c>
      <c r="I469" s="20">
        <v>1161000</v>
      </c>
      <c r="J469" s="112" t="s">
        <v>27</v>
      </c>
      <c r="K469" s="112"/>
      <c r="L469" s="171">
        <v>63</v>
      </c>
      <c r="M469" s="174">
        <v>0.29099834505878563</v>
      </c>
    </row>
    <row r="470" spans="1:13" hidden="1" x14ac:dyDescent="0.25">
      <c r="A470" s="72">
        <f t="shared" ca="1" si="246"/>
        <v>43151</v>
      </c>
      <c r="B470" s="110">
        <v>17846</v>
      </c>
      <c r="C470" s="110">
        <f>12600+379000</f>
        <v>391600</v>
      </c>
      <c r="D470" s="111">
        <f t="shared" si="242"/>
        <v>0.97987734620221012</v>
      </c>
      <c r="E470" s="111">
        <v>28</v>
      </c>
      <c r="F470" s="21">
        <f t="shared" si="243"/>
        <v>391.6</v>
      </c>
      <c r="G470" s="17">
        <f t="shared" si="244"/>
        <v>391208.4</v>
      </c>
      <c r="H470" s="46">
        <f t="shared" si="245"/>
        <v>399641.85468493152</v>
      </c>
      <c r="I470" s="20">
        <v>400000</v>
      </c>
      <c r="J470" s="112" t="s">
        <v>60</v>
      </c>
      <c r="K470" s="112"/>
      <c r="L470" s="172">
        <v>91</v>
      </c>
      <c r="M470" s="174">
        <v>0.29218879110895962</v>
      </c>
    </row>
    <row r="471" spans="1:13" hidden="1" x14ac:dyDescent="0.25">
      <c r="A471" s="72">
        <f t="shared" ca="1" si="246"/>
        <v>43151</v>
      </c>
      <c r="B471" s="110">
        <v>20186</v>
      </c>
      <c r="C471" s="110">
        <v>98000</v>
      </c>
      <c r="D471" s="111">
        <f t="shared" si="242"/>
        <v>0.97987734620221012</v>
      </c>
      <c r="E471" s="111">
        <v>28</v>
      </c>
      <c r="F471" s="21">
        <f t="shared" si="243"/>
        <v>98</v>
      </c>
      <c r="G471" s="17">
        <f t="shared" si="244"/>
        <v>97902</v>
      </c>
      <c r="H471" s="46">
        <f t="shared" si="245"/>
        <v>100012.51726027398</v>
      </c>
      <c r="I471" s="20">
        <v>100000</v>
      </c>
      <c r="J471" s="112" t="s">
        <v>38</v>
      </c>
      <c r="K471" s="112"/>
      <c r="L471" s="172">
        <v>147</v>
      </c>
      <c r="M471" s="174">
        <v>0.29489132887151015</v>
      </c>
    </row>
    <row r="472" spans="1:13" hidden="1" x14ac:dyDescent="0.25">
      <c r="A472" s="72">
        <f t="shared" ca="1" si="246"/>
        <v>43151</v>
      </c>
      <c r="B472" s="110">
        <v>20191</v>
      </c>
      <c r="C472" s="110">
        <v>879000</v>
      </c>
      <c r="D472" s="111">
        <f t="shared" si="242"/>
        <v>0.97987734620221012</v>
      </c>
      <c r="E472" s="111">
        <v>28</v>
      </c>
      <c r="F472" s="21">
        <f t="shared" si="243"/>
        <v>879</v>
      </c>
      <c r="G472" s="17">
        <f t="shared" si="244"/>
        <v>878121</v>
      </c>
      <c r="H472" s="46">
        <f t="shared" si="245"/>
        <v>897051.04767123295</v>
      </c>
      <c r="I472" s="20">
        <v>898000</v>
      </c>
      <c r="J472" s="112" t="s">
        <v>13</v>
      </c>
      <c r="K472" s="112"/>
      <c r="L472" s="172">
        <v>210</v>
      </c>
      <c r="M472" s="174">
        <v>0.29600194550655584</v>
      </c>
    </row>
    <row r="473" spans="1:13" hidden="1" x14ac:dyDescent="0.25">
      <c r="A473" s="72">
        <f t="shared" ca="1" si="246"/>
        <v>43151</v>
      </c>
      <c r="B473" s="110">
        <v>33393</v>
      </c>
      <c r="C473" s="110">
        <v>1815000</v>
      </c>
      <c r="D473" s="111">
        <f t="shared" si="242"/>
        <v>0.97987734620221012</v>
      </c>
      <c r="E473" s="111">
        <v>28</v>
      </c>
      <c r="F473" s="21">
        <f t="shared" si="243"/>
        <v>1815</v>
      </c>
      <c r="G473" s="17">
        <f t="shared" si="244"/>
        <v>1813185</v>
      </c>
      <c r="H473" s="46">
        <f t="shared" si="245"/>
        <v>1852272.6410958904</v>
      </c>
      <c r="I473" s="20">
        <v>1854000</v>
      </c>
      <c r="J473" s="112" t="s">
        <v>14</v>
      </c>
      <c r="K473" s="112"/>
      <c r="L473" s="172">
        <v>273</v>
      </c>
      <c r="M473" s="174">
        <v>0.29598626075551149</v>
      </c>
    </row>
    <row r="474" spans="1:13" hidden="1" x14ac:dyDescent="0.25">
      <c r="A474" s="72">
        <f t="shared" ca="1" si="246"/>
        <v>43151</v>
      </c>
      <c r="B474" s="110">
        <v>120120</v>
      </c>
      <c r="C474" s="110">
        <v>62320</v>
      </c>
      <c r="D474" s="111">
        <f t="shared" si="242"/>
        <v>0.97987734620221012</v>
      </c>
      <c r="E474" s="111">
        <v>28</v>
      </c>
      <c r="F474" s="21">
        <f t="shared" si="243"/>
        <v>62.32</v>
      </c>
      <c r="G474" s="17">
        <f t="shared" si="244"/>
        <v>62257.68</v>
      </c>
      <c r="H474" s="46">
        <f t="shared" si="245"/>
        <v>63599.796690410963</v>
      </c>
      <c r="I474" s="20">
        <v>64000</v>
      </c>
      <c r="J474" s="112" t="s">
        <v>47</v>
      </c>
      <c r="K474" s="112"/>
      <c r="L474" s="110"/>
      <c r="M474" s="33"/>
    </row>
    <row r="475" spans="1:13" hidden="1" x14ac:dyDescent="0.25">
      <c r="A475" s="72">
        <f t="shared" ca="1" si="246"/>
        <v>43151</v>
      </c>
      <c r="B475" s="110">
        <v>200353</v>
      </c>
      <c r="C475" s="110">
        <f>2431000-35822</f>
        <v>2395178</v>
      </c>
      <c r="D475" s="111">
        <f t="shared" si="242"/>
        <v>0.97987734620221012</v>
      </c>
      <c r="E475" s="111">
        <v>28</v>
      </c>
      <c r="F475" s="21">
        <f t="shared" si="243"/>
        <v>2395.1779999999999</v>
      </c>
      <c r="G475" s="17">
        <f t="shared" si="244"/>
        <v>2392782.8220000002</v>
      </c>
      <c r="H475" s="46">
        <f t="shared" si="245"/>
        <v>2444365.1129227397</v>
      </c>
      <c r="I475" s="20">
        <v>2447000</v>
      </c>
      <c r="J475" s="112" t="s">
        <v>61</v>
      </c>
      <c r="K475" s="112"/>
      <c r="L475" s="110"/>
      <c r="M475" s="33"/>
    </row>
    <row r="476" spans="1:13" hidden="1" x14ac:dyDescent="0.25">
      <c r="A476" s="72">
        <f t="shared" ca="1" si="246"/>
        <v>43151</v>
      </c>
      <c r="B476" s="110">
        <v>300406</v>
      </c>
      <c r="C476" s="110">
        <v>1238000</v>
      </c>
      <c r="D476" s="111">
        <f t="shared" si="242"/>
        <v>0.97987734620221012</v>
      </c>
      <c r="E476" s="111">
        <v>28</v>
      </c>
      <c r="F476" s="21">
        <f t="shared" si="243"/>
        <v>1238</v>
      </c>
      <c r="G476" s="17">
        <f t="shared" si="244"/>
        <v>1236762</v>
      </c>
      <c r="H476" s="46">
        <f t="shared" si="245"/>
        <v>1263423.4323287671</v>
      </c>
      <c r="I476" s="20">
        <v>1265000</v>
      </c>
      <c r="J476" s="112" t="s">
        <v>51</v>
      </c>
      <c r="K476" s="112"/>
      <c r="L476" s="110"/>
      <c r="M476" s="33"/>
    </row>
    <row r="477" spans="1:13" hidden="1" x14ac:dyDescent="0.25">
      <c r="A477" s="72">
        <f t="shared" ca="1" si="246"/>
        <v>43151</v>
      </c>
      <c r="B477" s="110">
        <v>300703</v>
      </c>
      <c r="C477" s="110">
        <f>94500+130000</f>
        <v>224500</v>
      </c>
      <c r="D477" s="111">
        <f t="shared" ref="D477:D489" si="248">(1/(1+($B$1*E477/365)))</f>
        <v>0.97987734620221012</v>
      </c>
      <c r="E477" s="111">
        <v>28</v>
      </c>
      <c r="F477" s="21">
        <f t="shared" ref="F477:F489" si="249">C477*$B$2</f>
        <v>224.5</v>
      </c>
      <c r="G477" s="17">
        <f t="shared" ref="G477:G489" si="250">+C477-F477</f>
        <v>224275.5</v>
      </c>
      <c r="H477" s="46">
        <f t="shared" ref="H477:H489" si="251">+C477/D477</f>
        <v>229110.30739726027</v>
      </c>
      <c r="I477" s="20">
        <v>229000</v>
      </c>
      <c r="J477" s="112" t="s">
        <v>59</v>
      </c>
      <c r="K477" s="112"/>
      <c r="L477" s="110"/>
      <c r="M477" s="33"/>
    </row>
    <row r="478" spans="1:13" hidden="1" x14ac:dyDescent="0.25">
      <c r="A478" s="72">
        <f t="shared" ca="1" si="246"/>
        <v>43151</v>
      </c>
      <c r="B478" s="110">
        <v>400054</v>
      </c>
      <c r="C478" s="110">
        <v>145800</v>
      </c>
      <c r="D478" s="111">
        <f t="shared" si="248"/>
        <v>0.97987734620221012</v>
      </c>
      <c r="E478" s="111">
        <v>28</v>
      </c>
      <c r="F478" s="21">
        <f t="shared" si="249"/>
        <v>145.80000000000001</v>
      </c>
      <c r="G478" s="17">
        <f t="shared" si="250"/>
        <v>145654.20000000001</v>
      </c>
      <c r="H478" s="46">
        <f t="shared" si="251"/>
        <v>148794.13282191782</v>
      </c>
      <c r="I478" s="20">
        <v>149000</v>
      </c>
      <c r="J478" s="112" t="s">
        <v>62</v>
      </c>
      <c r="K478" s="112"/>
      <c r="L478" s="110"/>
      <c r="M478" s="33"/>
    </row>
    <row r="479" spans="1:13" hidden="1" x14ac:dyDescent="0.25">
      <c r="A479" s="72">
        <f t="shared" ca="1" si="246"/>
        <v>43151</v>
      </c>
      <c r="B479" s="110">
        <v>700197</v>
      </c>
      <c r="C479" s="110">
        <v>1138000</v>
      </c>
      <c r="D479" s="111">
        <f t="shared" si="248"/>
        <v>0.97987734620221012</v>
      </c>
      <c r="E479" s="111">
        <v>28</v>
      </c>
      <c r="F479" s="21">
        <f t="shared" si="249"/>
        <v>1138</v>
      </c>
      <c r="G479" s="17">
        <f t="shared" si="250"/>
        <v>1136862</v>
      </c>
      <c r="H479" s="46">
        <f t="shared" si="251"/>
        <v>1161369.8432876712</v>
      </c>
      <c r="I479" s="20">
        <v>163000</v>
      </c>
      <c r="J479" s="112" t="s">
        <v>36</v>
      </c>
      <c r="K479" s="112"/>
      <c r="L479" s="110"/>
      <c r="M479" s="33"/>
    </row>
    <row r="480" spans="1:13" hidden="1" x14ac:dyDescent="0.25">
      <c r="A480" s="72">
        <f t="shared" ca="1" si="246"/>
        <v>43151</v>
      </c>
      <c r="B480" s="110">
        <v>2000265</v>
      </c>
      <c r="C480" s="110">
        <v>337000</v>
      </c>
      <c r="D480" s="111">
        <f t="shared" si="248"/>
        <v>0.97987734620221012</v>
      </c>
      <c r="E480" s="111">
        <v>28</v>
      </c>
      <c r="F480" s="21">
        <f t="shared" si="249"/>
        <v>337</v>
      </c>
      <c r="G480" s="17">
        <f t="shared" si="250"/>
        <v>336663</v>
      </c>
      <c r="H480" s="46">
        <f t="shared" si="251"/>
        <v>343920.59506849316</v>
      </c>
      <c r="I480" s="20">
        <v>344000</v>
      </c>
      <c r="J480" s="112" t="s">
        <v>39</v>
      </c>
      <c r="K480" s="112"/>
      <c r="L480" s="110"/>
      <c r="M480" s="33"/>
    </row>
    <row r="481" spans="1:13" hidden="1" x14ac:dyDescent="0.25">
      <c r="A481" s="72">
        <f t="shared" ca="1" si="246"/>
        <v>43151</v>
      </c>
      <c r="B481" s="110">
        <v>20664</v>
      </c>
      <c r="C481" s="110">
        <f>2214000-39438-60000</f>
        <v>2114562</v>
      </c>
      <c r="D481" s="111">
        <f t="shared" si="248"/>
        <v>0.95583492704622652</v>
      </c>
      <c r="E481" s="111">
        <v>63</v>
      </c>
      <c r="F481" s="21">
        <f t="shared" si="249"/>
        <v>2114.5619999999999</v>
      </c>
      <c r="G481" s="17">
        <f t="shared" si="250"/>
        <v>2112447.4380000001</v>
      </c>
      <c r="H481" s="46">
        <f t="shared" si="251"/>
        <v>2212266.9303731509</v>
      </c>
      <c r="I481" s="20">
        <v>2219000</v>
      </c>
      <c r="J481" s="112" t="s">
        <v>17</v>
      </c>
      <c r="K481" s="170">
        <v>0.29099834505878563</v>
      </c>
      <c r="L481" s="110"/>
      <c r="M481" s="33"/>
    </row>
    <row r="482" spans="1:13" hidden="1" x14ac:dyDescent="0.25">
      <c r="A482" s="72">
        <f t="shared" ca="1" si="246"/>
        <v>43151</v>
      </c>
      <c r="B482" s="113">
        <v>90097</v>
      </c>
      <c r="C482" s="113">
        <v>50000</v>
      </c>
      <c r="D482" s="111">
        <f t="shared" si="248"/>
        <v>0.95583492704622652</v>
      </c>
      <c r="E482" s="111">
        <v>63</v>
      </c>
      <c r="F482" s="21">
        <f t="shared" si="249"/>
        <v>50</v>
      </c>
      <c r="G482" s="17">
        <f t="shared" si="250"/>
        <v>49950</v>
      </c>
      <c r="H482" s="46">
        <f t="shared" si="251"/>
        <v>52310.28767123288</v>
      </c>
      <c r="I482" s="20">
        <v>52000</v>
      </c>
      <c r="J482" s="110"/>
      <c r="K482" s="112"/>
      <c r="L482" s="110"/>
      <c r="M482" s="33"/>
    </row>
    <row r="483" spans="1:13" hidden="1" x14ac:dyDescent="0.25">
      <c r="A483" s="72">
        <f t="shared" ca="1" si="246"/>
        <v>43151</v>
      </c>
      <c r="B483" s="113">
        <v>17773</v>
      </c>
      <c r="C483" s="113">
        <v>527000</v>
      </c>
      <c r="D483" s="111">
        <f t="shared" si="248"/>
        <v>0.97987734620221012</v>
      </c>
      <c r="E483" s="111">
        <v>28</v>
      </c>
      <c r="F483" s="21">
        <f t="shared" si="249"/>
        <v>527</v>
      </c>
      <c r="G483" s="17">
        <f t="shared" si="250"/>
        <v>526473</v>
      </c>
      <c r="H483" s="46">
        <f t="shared" si="251"/>
        <v>537822.41424657532</v>
      </c>
      <c r="I483" s="20">
        <v>538000</v>
      </c>
      <c r="K483" s="62"/>
      <c r="L483" s="60"/>
      <c r="M483" s="33"/>
    </row>
    <row r="484" spans="1:13" hidden="1" x14ac:dyDescent="0.25">
      <c r="A484" s="72">
        <f t="shared" ca="1" si="246"/>
        <v>43151</v>
      </c>
      <c r="B484" s="113">
        <v>14168</v>
      </c>
      <c r="C484" s="113">
        <v>2275000</v>
      </c>
      <c r="D484" s="111">
        <f t="shared" si="248"/>
        <v>0.97987734620221012</v>
      </c>
      <c r="E484" s="111">
        <v>28</v>
      </c>
      <c r="F484" s="21">
        <f t="shared" si="249"/>
        <v>2275</v>
      </c>
      <c r="G484" s="17">
        <f t="shared" si="250"/>
        <v>2272725</v>
      </c>
      <c r="H484" s="46">
        <f t="shared" si="251"/>
        <v>2321719.1506849318</v>
      </c>
      <c r="I484" s="20">
        <v>2325000</v>
      </c>
      <c r="K484" s="62"/>
      <c r="L484" s="60"/>
      <c r="M484" s="33"/>
    </row>
    <row r="485" spans="1:13" hidden="1" x14ac:dyDescent="0.25">
      <c r="A485" s="72">
        <f t="shared" ca="1" si="246"/>
        <v>43151</v>
      </c>
      <c r="B485" s="113">
        <v>21466</v>
      </c>
      <c r="C485" s="113">
        <v>280000</v>
      </c>
      <c r="D485" s="111">
        <f t="shared" si="248"/>
        <v>0.97987734620221012</v>
      </c>
      <c r="E485" s="111">
        <v>28</v>
      </c>
      <c r="F485" s="21">
        <f t="shared" si="249"/>
        <v>280</v>
      </c>
      <c r="G485" s="17">
        <f t="shared" si="250"/>
        <v>279720</v>
      </c>
      <c r="H485" s="46">
        <f t="shared" si="251"/>
        <v>285750.04931506852</v>
      </c>
      <c r="I485" s="20">
        <v>286000</v>
      </c>
      <c r="K485" s="62"/>
      <c r="L485" s="60"/>
      <c r="M485" s="33"/>
    </row>
    <row r="486" spans="1:13" hidden="1" x14ac:dyDescent="0.25">
      <c r="A486" s="72">
        <f t="shared" ca="1" si="246"/>
        <v>43151</v>
      </c>
      <c r="B486" s="113">
        <v>8330</v>
      </c>
      <c r="C486" s="113">
        <v>202000</v>
      </c>
      <c r="D486" s="111">
        <f t="shared" si="248"/>
        <v>0.97497258724335178</v>
      </c>
      <c r="E486" s="111">
        <v>35</v>
      </c>
      <c r="F486" s="21">
        <f t="shared" si="249"/>
        <v>202</v>
      </c>
      <c r="G486" s="17">
        <f t="shared" si="250"/>
        <v>201798</v>
      </c>
      <c r="H486" s="46">
        <f t="shared" si="251"/>
        <v>207185.31232876712</v>
      </c>
      <c r="I486" s="20">
        <v>207000</v>
      </c>
      <c r="K486" s="62"/>
      <c r="L486" s="60"/>
      <c r="M486" s="33"/>
    </row>
    <row r="487" spans="1:13" hidden="1" x14ac:dyDescent="0.25">
      <c r="A487" s="72">
        <f t="shared" ca="1" si="246"/>
        <v>43151</v>
      </c>
      <c r="C487" s="113">
        <v>60000</v>
      </c>
      <c r="D487" s="111">
        <f t="shared" si="248"/>
        <v>0.97987734620221012</v>
      </c>
      <c r="E487" s="111">
        <v>28</v>
      </c>
      <c r="F487" s="21">
        <f t="shared" si="249"/>
        <v>60</v>
      </c>
      <c r="G487" s="17">
        <f t="shared" si="250"/>
        <v>59940</v>
      </c>
      <c r="H487" s="46">
        <f t="shared" si="251"/>
        <v>61232.153424657539</v>
      </c>
      <c r="I487" s="20">
        <f t="shared" ref="I487:I489" si="252">MROUND(H487,1000)</f>
        <v>61000</v>
      </c>
      <c r="K487" s="62"/>
      <c r="L487" s="60"/>
      <c r="M487" s="33"/>
    </row>
    <row r="488" spans="1:13" hidden="1" x14ac:dyDescent="0.25">
      <c r="A488" s="72">
        <f t="shared" ca="1" si="246"/>
        <v>43151</v>
      </c>
      <c r="B488" s="113">
        <v>120142</v>
      </c>
      <c r="C488" s="113">
        <v>30000</v>
      </c>
      <c r="D488" s="111">
        <f t="shared" si="248"/>
        <v>0.95583492704622652</v>
      </c>
      <c r="E488" s="111">
        <v>63</v>
      </c>
      <c r="F488" s="21">
        <f t="shared" si="249"/>
        <v>30</v>
      </c>
      <c r="G488" s="17">
        <f t="shared" si="250"/>
        <v>29970</v>
      </c>
      <c r="H488" s="46">
        <f t="shared" si="251"/>
        <v>31386.172602739727</v>
      </c>
      <c r="I488" s="20">
        <f t="shared" si="252"/>
        <v>31000</v>
      </c>
      <c r="J488" s="176"/>
    </row>
    <row r="489" spans="1:13" hidden="1" x14ac:dyDescent="0.25">
      <c r="A489" s="72">
        <f t="shared" ca="1" si="246"/>
        <v>43151</v>
      </c>
      <c r="B489" s="113">
        <v>170258</v>
      </c>
      <c r="C489" s="113">
        <v>55300</v>
      </c>
      <c r="D489" s="111">
        <f t="shared" si="248"/>
        <v>0.97987734620221012</v>
      </c>
      <c r="E489" s="111">
        <v>28</v>
      </c>
      <c r="F489" s="21">
        <f t="shared" si="249"/>
        <v>55.300000000000004</v>
      </c>
      <c r="G489" s="17">
        <f t="shared" si="250"/>
        <v>55244.7</v>
      </c>
      <c r="H489" s="46">
        <f t="shared" si="251"/>
        <v>56435.634739726032</v>
      </c>
      <c r="I489" s="20">
        <f t="shared" si="252"/>
        <v>56000</v>
      </c>
    </row>
    <row r="490" spans="1:13" s="173" customFormat="1" hidden="1" x14ac:dyDescent="0.25">
      <c r="A490" s="72">
        <f t="shared" ca="1" si="246"/>
        <v>43151</v>
      </c>
      <c r="B490" s="113">
        <v>6834</v>
      </c>
      <c r="C490" s="113">
        <v>349300</v>
      </c>
      <c r="D490" s="111">
        <f t="shared" ref="D490:D499" si="253">(1/(1+($B$1*E490/365)))</f>
        <v>0.97987734620221012</v>
      </c>
      <c r="E490" s="111">
        <v>28</v>
      </c>
      <c r="F490" s="21">
        <f t="shared" ref="F490:F499" si="254">C490*$B$2</f>
        <v>349.3</v>
      </c>
      <c r="G490" s="17">
        <f t="shared" ref="G490:G499" si="255">+C490-F490</f>
        <v>348950.7</v>
      </c>
      <c r="H490" s="46">
        <f t="shared" ref="H490:H499" si="256">+C490/D490</f>
        <v>356473.18652054796</v>
      </c>
      <c r="I490" s="20">
        <f t="shared" ref="I490:I499" si="257">MROUND(H490,1000)</f>
        <v>356000</v>
      </c>
      <c r="J490" s="175"/>
      <c r="K490" s="62"/>
      <c r="L490" s="60"/>
      <c r="M490" s="33"/>
    </row>
    <row r="491" spans="1:13" s="173" customFormat="1" hidden="1" x14ac:dyDescent="0.25">
      <c r="A491" s="72">
        <f t="shared" ca="1" si="246"/>
        <v>43151</v>
      </c>
      <c r="B491" s="113">
        <v>200368</v>
      </c>
      <c r="C491" s="33">
        <f>611000+3625</f>
        <v>614625</v>
      </c>
      <c r="D491" s="111">
        <f t="shared" si="253"/>
        <v>0.97987734620221012</v>
      </c>
      <c r="E491" s="111">
        <v>28</v>
      </c>
      <c r="F491" s="21">
        <f t="shared" si="254"/>
        <v>614.625</v>
      </c>
      <c r="G491" s="17">
        <f t="shared" si="255"/>
        <v>614010.375</v>
      </c>
      <c r="H491" s="46">
        <f t="shared" si="256"/>
        <v>627246.87164383568</v>
      </c>
      <c r="I491" s="20">
        <v>628000</v>
      </c>
      <c r="J491" s="175"/>
      <c r="K491" s="177">
        <f ca="1">TODAY()</f>
        <v>43151</v>
      </c>
      <c r="L491" s="60"/>
      <c r="M491" s="33"/>
    </row>
    <row r="492" spans="1:13" s="173" customFormat="1" hidden="1" x14ac:dyDescent="0.25">
      <c r="A492" s="72">
        <f t="shared" ca="1" si="246"/>
        <v>43151</v>
      </c>
      <c r="B492" s="113">
        <v>200376</v>
      </c>
      <c r="C492" s="33">
        <f>1081000+8122</f>
        <v>1089122</v>
      </c>
      <c r="D492" s="111">
        <f t="shared" si="253"/>
        <v>0.97987734620221012</v>
      </c>
      <c r="E492" s="111">
        <v>28</v>
      </c>
      <c r="F492" s="21">
        <f t="shared" si="254"/>
        <v>1089.1220000000001</v>
      </c>
      <c r="G492" s="17">
        <f t="shared" si="255"/>
        <v>1088032.878</v>
      </c>
      <c r="H492" s="46">
        <f t="shared" si="256"/>
        <v>1111488.0900361645</v>
      </c>
      <c r="I492" s="20">
        <v>1113000</v>
      </c>
      <c r="J492" s="175"/>
      <c r="K492" s="177"/>
      <c r="L492" s="60"/>
      <c r="M492" s="33"/>
    </row>
    <row r="493" spans="1:13" s="173" customFormat="1" hidden="1" x14ac:dyDescent="0.25">
      <c r="A493" s="72">
        <f t="shared" ca="1" si="246"/>
        <v>43151</v>
      </c>
      <c r="B493" s="113">
        <v>300855</v>
      </c>
      <c r="C493" s="33">
        <f>502000+2365</f>
        <v>504365</v>
      </c>
      <c r="D493" s="111">
        <f t="shared" si="253"/>
        <v>0.97987734620221012</v>
      </c>
      <c r="E493" s="111">
        <v>28</v>
      </c>
      <c r="F493" s="21">
        <f t="shared" si="254"/>
        <v>504.36500000000001</v>
      </c>
      <c r="G493" s="17">
        <f t="shared" si="255"/>
        <v>503860.63500000001</v>
      </c>
      <c r="H493" s="46">
        <f t="shared" si="256"/>
        <v>514722.58436712332</v>
      </c>
      <c r="I493" s="20">
        <v>51600</v>
      </c>
      <c r="J493" s="175"/>
      <c r="K493" s="62"/>
      <c r="L493" s="60"/>
      <c r="M493" s="33"/>
    </row>
    <row r="494" spans="1:13" s="173" customFormat="1" hidden="1" x14ac:dyDescent="0.25">
      <c r="A494" s="72">
        <f t="shared" ca="1" si="246"/>
        <v>43151</v>
      </c>
      <c r="B494" s="113">
        <v>700368</v>
      </c>
      <c r="C494" s="33">
        <f>143000-83</f>
        <v>142917</v>
      </c>
      <c r="D494" s="111">
        <f t="shared" si="253"/>
        <v>0.97987734620221012</v>
      </c>
      <c r="E494" s="111">
        <v>28</v>
      </c>
      <c r="F494" s="21">
        <f t="shared" si="254"/>
        <v>142.917</v>
      </c>
      <c r="G494" s="17">
        <f t="shared" si="255"/>
        <v>142774.08300000001</v>
      </c>
      <c r="H494" s="46">
        <f t="shared" si="256"/>
        <v>145851.92784986302</v>
      </c>
      <c r="I494" s="20">
        <v>146000</v>
      </c>
      <c r="J494" s="175"/>
      <c r="K494" s="62"/>
      <c r="L494" s="60"/>
      <c r="M494" s="33"/>
    </row>
    <row r="495" spans="1:13" s="173" customFormat="1" x14ac:dyDescent="0.25">
      <c r="A495" s="82"/>
      <c r="B495" s="117"/>
      <c r="C495" s="128"/>
      <c r="D495" s="127"/>
      <c r="E495" s="127"/>
      <c r="F495" s="28"/>
      <c r="G495" s="25"/>
      <c r="H495" s="25"/>
      <c r="I495" s="27"/>
      <c r="J495" s="109"/>
      <c r="K495" s="62"/>
      <c r="L495" s="60"/>
      <c r="M495" s="33"/>
    </row>
    <row r="496" spans="1:13" s="173" customFormat="1" x14ac:dyDescent="0.25">
      <c r="A496" s="72">
        <f t="shared" ca="1" si="246"/>
        <v>43151</v>
      </c>
      <c r="B496" s="113">
        <v>2449</v>
      </c>
      <c r="C496" s="33">
        <v>15000</v>
      </c>
      <c r="D496" s="111">
        <f t="shared" si="253"/>
        <v>0.99489225044354479</v>
      </c>
      <c r="E496" s="111">
        <v>7</v>
      </c>
      <c r="F496" s="21">
        <f t="shared" si="254"/>
        <v>15</v>
      </c>
      <c r="G496" s="17">
        <f t="shared" si="255"/>
        <v>14985</v>
      </c>
      <c r="H496" s="46">
        <f t="shared" si="256"/>
        <v>15077.009589041096</v>
      </c>
      <c r="I496" s="169">
        <f t="shared" si="257"/>
        <v>15000</v>
      </c>
      <c r="J496" s="175"/>
      <c r="K496" s="62"/>
      <c r="L496" s="60"/>
      <c r="M496" s="33"/>
    </row>
    <row r="497" spans="1:15" s="173" customFormat="1" x14ac:dyDescent="0.25">
      <c r="A497" s="178"/>
      <c r="B497" s="159"/>
      <c r="C497" s="179"/>
      <c r="D497" s="158"/>
      <c r="E497" s="158"/>
      <c r="F497" s="180"/>
      <c r="G497" s="181"/>
      <c r="H497" s="181"/>
      <c r="I497" s="20"/>
      <c r="J497" s="182"/>
      <c r="K497" s="62"/>
      <c r="L497" s="60"/>
      <c r="M497" s="33"/>
    </row>
    <row r="498" spans="1:15" s="173" customFormat="1" x14ac:dyDescent="0.25">
      <c r="A498" s="11">
        <f t="shared" ca="1" si="246"/>
        <v>43151</v>
      </c>
      <c r="B498" s="113">
        <v>2449</v>
      </c>
      <c r="C498" s="113">
        <v>59000</v>
      </c>
      <c r="D498" s="10">
        <f t="shared" si="253"/>
        <v>0.97497258724335178</v>
      </c>
      <c r="E498" s="10">
        <v>35</v>
      </c>
      <c r="F498" s="164">
        <f t="shared" si="254"/>
        <v>59</v>
      </c>
      <c r="G498" s="46">
        <f t="shared" si="255"/>
        <v>58941</v>
      </c>
      <c r="H498" s="46">
        <f t="shared" si="256"/>
        <v>60514.521917808219</v>
      </c>
      <c r="I498" s="20">
        <f t="shared" si="257"/>
        <v>61000</v>
      </c>
      <c r="J498" s="160" t="s">
        <v>48</v>
      </c>
      <c r="K498" s="62"/>
      <c r="L498" s="60"/>
      <c r="M498" s="33"/>
    </row>
    <row r="499" spans="1:15" s="173" customFormat="1" x14ac:dyDescent="0.25">
      <c r="A499" s="11">
        <f t="shared" ca="1" si="246"/>
        <v>43151</v>
      </c>
      <c r="B499" s="113">
        <v>7378</v>
      </c>
      <c r="C499" s="113">
        <f>18300+3219000</f>
        <v>3237300</v>
      </c>
      <c r="D499" s="10">
        <f t="shared" si="253"/>
        <v>0.97497258724335178</v>
      </c>
      <c r="E499" s="10">
        <v>35</v>
      </c>
      <c r="F499" s="164">
        <f t="shared" si="254"/>
        <v>3237.3</v>
      </c>
      <c r="G499" s="46">
        <f t="shared" si="255"/>
        <v>3234062.7</v>
      </c>
      <c r="H499" s="46">
        <f t="shared" si="256"/>
        <v>3320401.0475342469</v>
      </c>
      <c r="I499" s="20">
        <f t="shared" si="257"/>
        <v>3320000</v>
      </c>
      <c r="J499" s="160" t="s">
        <v>33</v>
      </c>
      <c r="K499" s="62"/>
      <c r="L499" s="60"/>
      <c r="M499" s="33"/>
    </row>
    <row r="500" spans="1:15" x14ac:dyDescent="0.25">
      <c r="A500" s="11">
        <f t="shared" ca="1" si="246"/>
        <v>43151</v>
      </c>
      <c r="B500" s="113">
        <v>12033</v>
      </c>
      <c r="C500" s="113">
        <f>300000+99500</f>
        <v>399500</v>
      </c>
      <c r="D500" s="10">
        <f t="shared" ref="D500:D534" si="258">(1/(1+($B$1*E500/365)))</f>
        <v>0.97497258724335178</v>
      </c>
      <c r="E500" s="10">
        <v>35</v>
      </c>
      <c r="F500" s="164">
        <f t="shared" ref="F500:F534" si="259">C500*$B$2</f>
        <v>399.5</v>
      </c>
      <c r="G500" s="46">
        <f t="shared" ref="G500:G534" si="260">+C500-F500</f>
        <v>399100.5</v>
      </c>
      <c r="H500" s="46">
        <f t="shared" ref="H500:H534" si="261">+C500/D500</f>
        <v>409755.11027397262</v>
      </c>
      <c r="I500" s="20">
        <f t="shared" ref="I500:I534" si="262">MROUND(H500,1000)</f>
        <v>410000</v>
      </c>
      <c r="J500" s="160" t="s">
        <v>37</v>
      </c>
    </row>
    <row r="501" spans="1:15" x14ac:dyDescent="0.25">
      <c r="A501" s="11">
        <f t="shared" ca="1" si="246"/>
        <v>43151</v>
      </c>
      <c r="B501" s="113">
        <v>13050</v>
      </c>
      <c r="C501" s="113">
        <f>937000-3000</f>
        <v>934000</v>
      </c>
      <c r="D501" s="10">
        <f t="shared" si="258"/>
        <v>0.97497258724335178</v>
      </c>
      <c r="E501" s="10">
        <v>35</v>
      </c>
      <c r="F501" s="164">
        <f t="shared" si="259"/>
        <v>934</v>
      </c>
      <c r="G501" s="46">
        <f t="shared" si="260"/>
        <v>933066</v>
      </c>
      <c r="H501" s="46">
        <f t="shared" si="261"/>
        <v>957975.6520547946</v>
      </c>
      <c r="I501" s="20">
        <f t="shared" si="262"/>
        <v>958000</v>
      </c>
      <c r="J501" s="160" t="s">
        <v>49</v>
      </c>
    </row>
    <row r="502" spans="1:15" x14ac:dyDescent="0.25">
      <c r="A502" s="11">
        <f t="shared" ca="1" si="246"/>
        <v>43151</v>
      </c>
      <c r="B502" s="113">
        <v>17282</v>
      </c>
      <c r="C502" s="113">
        <v>1161000</v>
      </c>
      <c r="D502" s="10">
        <f t="shared" si="258"/>
        <v>0.97497258724335178</v>
      </c>
      <c r="E502" s="10">
        <v>35</v>
      </c>
      <c r="F502" s="164">
        <f t="shared" si="259"/>
        <v>1161</v>
      </c>
      <c r="G502" s="46">
        <f t="shared" si="260"/>
        <v>1159839</v>
      </c>
      <c r="H502" s="46">
        <f t="shared" si="261"/>
        <v>1190802.7109589041</v>
      </c>
      <c r="I502" s="20">
        <f t="shared" si="262"/>
        <v>1191000</v>
      </c>
      <c r="J502" s="160" t="s">
        <v>27</v>
      </c>
    </row>
    <row r="503" spans="1:15" x14ac:dyDescent="0.25">
      <c r="A503" s="11">
        <f t="shared" ca="1" si="246"/>
        <v>43151</v>
      </c>
      <c r="B503" s="113">
        <v>17846</v>
      </c>
      <c r="C503" s="113">
        <v>340000</v>
      </c>
      <c r="D503" s="10">
        <f t="shared" si="258"/>
        <v>0.97497258724335178</v>
      </c>
      <c r="E503" s="10">
        <v>35</v>
      </c>
      <c r="F503" s="164">
        <f t="shared" si="259"/>
        <v>340</v>
      </c>
      <c r="G503" s="46">
        <f t="shared" si="260"/>
        <v>339660</v>
      </c>
      <c r="H503" s="46">
        <f t="shared" si="261"/>
        <v>348727.75342465757</v>
      </c>
      <c r="I503" s="20">
        <f t="shared" si="262"/>
        <v>349000</v>
      </c>
      <c r="J503" s="160" t="s">
        <v>60</v>
      </c>
    </row>
    <row r="504" spans="1:15" x14ac:dyDescent="0.25">
      <c r="A504" s="11">
        <f t="shared" ca="1" si="246"/>
        <v>43151</v>
      </c>
      <c r="B504" s="113">
        <v>20186</v>
      </c>
      <c r="C504" s="113">
        <v>100000</v>
      </c>
      <c r="D504" s="10">
        <f t="shared" si="258"/>
        <v>0.97497258724335178</v>
      </c>
      <c r="E504" s="10">
        <v>35</v>
      </c>
      <c r="F504" s="164">
        <f t="shared" si="259"/>
        <v>100</v>
      </c>
      <c r="G504" s="46">
        <f t="shared" si="260"/>
        <v>99900</v>
      </c>
      <c r="H504" s="46">
        <f t="shared" si="261"/>
        <v>102566.98630136986</v>
      </c>
      <c r="I504" s="20">
        <v>102000</v>
      </c>
      <c r="J504" s="160" t="s">
        <v>38</v>
      </c>
    </row>
    <row r="505" spans="1:15" x14ac:dyDescent="0.25">
      <c r="A505" s="11">
        <f t="shared" ca="1" si="246"/>
        <v>43151</v>
      </c>
      <c r="B505" s="113">
        <v>20191</v>
      </c>
      <c r="C505" s="113">
        <v>898000</v>
      </c>
      <c r="D505" s="10">
        <f t="shared" si="258"/>
        <v>0.97497258724335178</v>
      </c>
      <c r="E505" s="10">
        <v>35</v>
      </c>
      <c r="F505" s="164">
        <f t="shared" si="259"/>
        <v>898</v>
      </c>
      <c r="G505" s="46">
        <f t="shared" si="260"/>
        <v>897102</v>
      </c>
      <c r="H505" s="46">
        <f t="shared" si="261"/>
        <v>921051.53698630142</v>
      </c>
      <c r="I505" s="20">
        <f t="shared" si="262"/>
        <v>921000</v>
      </c>
      <c r="J505" s="160" t="s">
        <v>13</v>
      </c>
    </row>
    <row r="506" spans="1:15" x14ac:dyDescent="0.25">
      <c r="A506" s="11">
        <f t="shared" ca="1" si="246"/>
        <v>43151</v>
      </c>
      <c r="B506" s="113">
        <v>33393</v>
      </c>
      <c r="C506" s="113">
        <v>1854000</v>
      </c>
      <c r="D506" s="10">
        <f t="shared" si="258"/>
        <v>0.97497258724335178</v>
      </c>
      <c r="E506" s="10">
        <v>35</v>
      </c>
      <c r="F506" s="164">
        <f t="shared" si="259"/>
        <v>1854</v>
      </c>
      <c r="G506" s="46">
        <f t="shared" si="260"/>
        <v>1852146</v>
      </c>
      <c r="H506" s="46">
        <f t="shared" si="261"/>
        <v>1901591.9260273974</v>
      </c>
      <c r="I506" s="20">
        <v>1903000</v>
      </c>
      <c r="J506" s="160" t="s">
        <v>14</v>
      </c>
      <c r="O506" s="189"/>
    </row>
    <row r="507" spans="1:15" x14ac:dyDescent="0.25">
      <c r="A507" s="11">
        <f t="shared" ca="1" si="246"/>
        <v>43151</v>
      </c>
      <c r="B507" s="113">
        <v>120120</v>
      </c>
      <c r="C507" s="113">
        <f>64000-7000</f>
        <v>57000</v>
      </c>
      <c r="D507" s="10">
        <f t="shared" si="258"/>
        <v>0.97497258724335178</v>
      </c>
      <c r="E507" s="10">
        <v>35</v>
      </c>
      <c r="F507" s="164">
        <f t="shared" si="259"/>
        <v>57</v>
      </c>
      <c r="G507" s="46">
        <f t="shared" si="260"/>
        <v>56943</v>
      </c>
      <c r="H507" s="46">
        <f t="shared" si="261"/>
        <v>58463.182191780827</v>
      </c>
      <c r="I507" s="20">
        <v>58000</v>
      </c>
      <c r="J507" s="160" t="s">
        <v>47</v>
      </c>
      <c r="L507" s="185">
        <v>35</v>
      </c>
      <c r="M507" s="186">
        <v>0.9731618843398735</v>
      </c>
      <c r="N507" s="187">
        <v>0.28760189920482199</v>
      </c>
      <c r="O507" s="190">
        <v>0.27298827488395266</v>
      </c>
    </row>
    <row r="508" spans="1:15" x14ac:dyDescent="0.25">
      <c r="A508" s="11">
        <f t="shared" ca="1" si="246"/>
        <v>43151</v>
      </c>
      <c r="B508" s="113">
        <v>200353</v>
      </c>
      <c r="C508" s="113">
        <v>2201600</v>
      </c>
      <c r="D508" s="10">
        <f t="shared" si="258"/>
        <v>0.97497258724335178</v>
      </c>
      <c r="E508" s="10">
        <v>35</v>
      </c>
      <c r="F508" s="164">
        <f t="shared" si="259"/>
        <v>2201.6</v>
      </c>
      <c r="G508" s="46">
        <f t="shared" si="260"/>
        <v>2199398.3999999999</v>
      </c>
      <c r="H508" s="46">
        <f t="shared" si="261"/>
        <v>2258114.7704109591</v>
      </c>
      <c r="I508" s="20">
        <v>2260000</v>
      </c>
      <c r="J508" s="160" t="s">
        <v>61</v>
      </c>
      <c r="L508" s="185">
        <v>63</v>
      </c>
      <c r="M508" s="186">
        <v>0.95264400000000016</v>
      </c>
      <c r="N508" s="187">
        <v>0.28800278696357318</v>
      </c>
      <c r="O508" s="190">
        <v>0.26945142883372852</v>
      </c>
    </row>
    <row r="509" spans="1:15" x14ac:dyDescent="0.25">
      <c r="A509" s="11">
        <f t="shared" ca="1" si="246"/>
        <v>43151</v>
      </c>
      <c r="B509" s="113">
        <v>300406</v>
      </c>
      <c r="C509" s="113">
        <v>1265000</v>
      </c>
      <c r="D509" s="10">
        <f t="shared" si="258"/>
        <v>0.97497258724335178</v>
      </c>
      <c r="E509" s="10">
        <v>35</v>
      </c>
      <c r="F509" s="164">
        <f t="shared" si="259"/>
        <v>1265</v>
      </c>
      <c r="G509" s="46">
        <f t="shared" si="260"/>
        <v>1263735</v>
      </c>
      <c r="H509" s="46">
        <f t="shared" si="261"/>
        <v>1297472.3767123288</v>
      </c>
      <c r="I509" s="20">
        <f t="shared" si="262"/>
        <v>1297000</v>
      </c>
      <c r="J509" s="160" t="s">
        <v>51</v>
      </c>
      <c r="L509" s="188">
        <v>91</v>
      </c>
      <c r="M509" s="186">
        <v>0.93300700000000003</v>
      </c>
      <c r="N509" s="187">
        <v>0.28800232668478032</v>
      </c>
      <c r="O509" s="190">
        <v>0.26747549220990058</v>
      </c>
    </row>
    <row r="510" spans="1:15" x14ac:dyDescent="0.25">
      <c r="A510" s="11">
        <f t="shared" ca="1" si="246"/>
        <v>43151</v>
      </c>
      <c r="B510" s="113">
        <v>300703</v>
      </c>
      <c r="C510" s="113">
        <v>229000</v>
      </c>
      <c r="D510" s="10">
        <f t="shared" si="258"/>
        <v>0.97497258724335178</v>
      </c>
      <c r="E510" s="10">
        <v>35</v>
      </c>
      <c r="F510" s="164">
        <f t="shared" si="259"/>
        <v>229</v>
      </c>
      <c r="G510" s="46">
        <f t="shared" si="260"/>
        <v>228771</v>
      </c>
      <c r="H510" s="46">
        <f t="shared" si="261"/>
        <v>234878.398630137</v>
      </c>
      <c r="I510" s="20">
        <f t="shared" si="262"/>
        <v>235000</v>
      </c>
      <c r="J510" s="160" t="s">
        <v>59</v>
      </c>
      <c r="L510" s="188">
        <v>155</v>
      </c>
      <c r="M510" s="186">
        <v>0.89121860812719156</v>
      </c>
      <c r="N510" s="187">
        <v>0.28742962740979855</v>
      </c>
      <c r="O510" s="190">
        <v>0.25989220244923356</v>
      </c>
    </row>
    <row r="511" spans="1:15" x14ac:dyDescent="0.25">
      <c r="A511" s="11">
        <f t="shared" ca="1" si="246"/>
        <v>43151</v>
      </c>
      <c r="B511" s="113">
        <v>400054</v>
      </c>
      <c r="C511" s="113">
        <v>149000</v>
      </c>
      <c r="D511" s="10">
        <f t="shared" si="258"/>
        <v>0.97497258724335178</v>
      </c>
      <c r="E511" s="10">
        <v>35</v>
      </c>
      <c r="F511" s="164">
        <f t="shared" si="259"/>
        <v>149</v>
      </c>
      <c r="G511" s="46">
        <f t="shared" si="260"/>
        <v>148851</v>
      </c>
      <c r="H511" s="46">
        <f t="shared" si="261"/>
        <v>152824.80958904111</v>
      </c>
      <c r="I511" s="20">
        <f t="shared" si="262"/>
        <v>153000</v>
      </c>
      <c r="J511" s="160" t="s">
        <v>62</v>
      </c>
      <c r="L511" s="188">
        <v>210</v>
      </c>
      <c r="M511" s="186">
        <v>0.85829999999999995</v>
      </c>
      <c r="N511" s="187">
        <v>0.28694873032517215</v>
      </c>
      <c r="O511" s="190">
        <v>0.25559645588288743</v>
      </c>
    </row>
    <row r="512" spans="1:15" x14ac:dyDescent="0.25">
      <c r="A512" s="11">
        <f t="shared" ca="1" si="246"/>
        <v>43151</v>
      </c>
      <c r="B512" s="113">
        <v>700197</v>
      </c>
      <c r="C512" s="113">
        <f>1163000-1500</f>
        <v>1161500</v>
      </c>
      <c r="D512" s="10">
        <f t="shared" si="258"/>
        <v>0.97497258724335178</v>
      </c>
      <c r="E512" s="10">
        <v>35</v>
      </c>
      <c r="F512" s="164">
        <f t="shared" si="259"/>
        <v>1161.5</v>
      </c>
      <c r="G512" s="46">
        <f t="shared" si="260"/>
        <v>1160338.5</v>
      </c>
      <c r="H512" s="46">
        <f t="shared" si="261"/>
        <v>1191315.5458904109</v>
      </c>
      <c r="I512" s="20">
        <v>1192000</v>
      </c>
      <c r="J512" s="160" t="s">
        <v>36</v>
      </c>
      <c r="L512" s="188">
        <v>273</v>
      </c>
      <c r="M512" s="186">
        <v>0.82327500000000009</v>
      </c>
      <c r="N512" s="187">
        <v>0.28700091422146606</v>
      </c>
      <c r="O512" s="190">
        <v>0.25067587345234549</v>
      </c>
    </row>
    <row r="513" spans="1:12" x14ac:dyDescent="0.25">
      <c r="A513" s="11">
        <f t="shared" ca="1" si="246"/>
        <v>43151</v>
      </c>
      <c r="B513" s="113">
        <v>2000265</v>
      </c>
      <c r="C513" s="113">
        <v>344000</v>
      </c>
      <c r="D513" s="10">
        <f t="shared" si="258"/>
        <v>0.97497258724335178</v>
      </c>
      <c r="E513" s="10">
        <v>35</v>
      </c>
      <c r="F513" s="164">
        <f t="shared" si="259"/>
        <v>344</v>
      </c>
      <c r="G513" s="46">
        <f t="shared" si="260"/>
        <v>343656</v>
      </c>
      <c r="H513" s="46">
        <f t="shared" si="261"/>
        <v>352830.43287671235</v>
      </c>
      <c r="I513" s="20">
        <f t="shared" si="262"/>
        <v>353000</v>
      </c>
      <c r="J513" s="160" t="s">
        <v>39</v>
      </c>
    </row>
    <row r="514" spans="1:12" x14ac:dyDescent="0.25">
      <c r="A514" s="11">
        <f t="shared" ca="1" si="246"/>
        <v>43151</v>
      </c>
      <c r="B514" s="113">
        <v>20664</v>
      </c>
      <c r="C514" s="113">
        <v>1263000</v>
      </c>
      <c r="D514" s="10">
        <f t="shared" si="258"/>
        <v>0.97497258724335178</v>
      </c>
      <c r="E514" s="10">
        <v>35</v>
      </c>
      <c r="F514" s="164">
        <f t="shared" si="259"/>
        <v>1263</v>
      </c>
      <c r="G514" s="46">
        <f t="shared" si="260"/>
        <v>1261737</v>
      </c>
      <c r="H514" s="46">
        <f t="shared" si="261"/>
        <v>1295421.0369863014</v>
      </c>
      <c r="I514" s="20">
        <v>1297000</v>
      </c>
      <c r="J514" s="160" t="s">
        <v>17</v>
      </c>
    </row>
    <row r="515" spans="1:12" x14ac:dyDescent="0.25">
      <c r="A515" s="11">
        <f t="shared" ref="A515:A558" ca="1" si="263">TODAY()</f>
        <v>43151</v>
      </c>
      <c r="B515" s="183">
        <v>8330</v>
      </c>
      <c r="C515" s="183">
        <v>207000</v>
      </c>
      <c r="D515" s="10">
        <f t="shared" si="258"/>
        <v>0.97497258724335178</v>
      </c>
      <c r="E515" s="10">
        <v>35</v>
      </c>
      <c r="F515" s="164">
        <f t="shared" si="259"/>
        <v>207</v>
      </c>
      <c r="G515" s="46">
        <f t="shared" si="260"/>
        <v>206793</v>
      </c>
      <c r="H515" s="46">
        <f t="shared" si="261"/>
        <v>212313.66164383563</v>
      </c>
      <c r="I515" s="20">
        <v>212000</v>
      </c>
      <c r="J515" s="184" t="s">
        <v>63</v>
      </c>
    </row>
    <row r="516" spans="1:12" x14ac:dyDescent="0.25">
      <c r="A516" s="11">
        <f t="shared" ca="1" si="263"/>
        <v>43151</v>
      </c>
      <c r="B516" s="183">
        <v>14168</v>
      </c>
      <c r="C516" s="183">
        <v>2325000</v>
      </c>
      <c r="D516" s="10">
        <f t="shared" si="258"/>
        <v>0.97497258724335178</v>
      </c>
      <c r="E516" s="10">
        <v>35</v>
      </c>
      <c r="F516" s="164">
        <f t="shared" si="259"/>
        <v>2325</v>
      </c>
      <c r="G516" s="46">
        <f t="shared" si="260"/>
        <v>2322675</v>
      </c>
      <c r="H516" s="46">
        <f t="shared" si="261"/>
        <v>2384682.4315068494</v>
      </c>
      <c r="I516" s="20">
        <f t="shared" si="262"/>
        <v>2385000</v>
      </c>
      <c r="J516" s="184" t="s">
        <v>64</v>
      </c>
    </row>
    <row r="517" spans="1:12" x14ac:dyDescent="0.25">
      <c r="A517" s="11">
        <f t="shared" ca="1" si="263"/>
        <v>43151</v>
      </c>
      <c r="B517" s="183">
        <v>17773</v>
      </c>
      <c r="C517" s="183">
        <v>538000</v>
      </c>
      <c r="D517" s="10">
        <f t="shared" si="258"/>
        <v>0.97497258724335178</v>
      </c>
      <c r="E517" s="10">
        <v>35</v>
      </c>
      <c r="F517" s="164">
        <f t="shared" si="259"/>
        <v>538</v>
      </c>
      <c r="G517" s="46">
        <f t="shared" si="260"/>
        <v>537462</v>
      </c>
      <c r="H517" s="46">
        <f t="shared" si="261"/>
        <v>551810.38630136987</v>
      </c>
      <c r="I517" s="20">
        <f t="shared" si="262"/>
        <v>552000</v>
      </c>
      <c r="J517" s="184" t="s">
        <v>65</v>
      </c>
    </row>
    <row r="518" spans="1:12" x14ac:dyDescent="0.25">
      <c r="A518" s="11">
        <f t="shared" ca="1" si="263"/>
        <v>43151</v>
      </c>
      <c r="B518" s="183">
        <v>21466</v>
      </c>
      <c r="C518" s="183">
        <v>286000</v>
      </c>
      <c r="D518" s="10">
        <f t="shared" si="258"/>
        <v>0.97497258724335178</v>
      </c>
      <c r="E518" s="10">
        <v>35</v>
      </c>
      <c r="F518" s="164">
        <f t="shared" si="259"/>
        <v>286</v>
      </c>
      <c r="G518" s="46">
        <f t="shared" si="260"/>
        <v>285714</v>
      </c>
      <c r="H518" s="46">
        <f t="shared" si="261"/>
        <v>293341.5808219178</v>
      </c>
      <c r="I518" s="20">
        <v>293000</v>
      </c>
      <c r="J518" s="184" t="s">
        <v>66</v>
      </c>
    </row>
    <row r="519" spans="1:12" x14ac:dyDescent="0.25">
      <c r="A519" s="11">
        <f t="shared" ca="1" si="263"/>
        <v>43151</v>
      </c>
      <c r="B519" s="113">
        <v>170232</v>
      </c>
      <c r="C519" s="113">
        <v>40362</v>
      </c>
      <c r="D519" s="10">
        <f t="shared" si="258"/>
        <v>0.97497258724335178</v>
      </c>
      <c r="E519" s="10">
        <v>35</v>
      </c>
      <c r="F519" s="164">
        <f t="shared" si="259"/>
        <v>40.362000000000002</v>
      </c>
      <c r="G519" s="46">
        <f t="shared" si="260"/>
        <v>40321.637999999999</v>
      </c>
      <c r="H519" s="46">
        <f t="shared" si="261"/>
        <v>41398.087010958909</v>
      </c>
      <c r="I519" s="20">
        <f t="shared" si="262"/>
        <v>41000</v>
      </c>
      <c r="J519" s="140" t="s">
        <v>68</v>
      </c>
      <c r="K519" s="38" t="s">
        <v>67</v>
      </c>
    </row>
    <row r="520" spans="1:12" x14ac:dyDescent="0.25">
      <c r="A520" s="72">
        <f t="shared" ca="1" si="263"/>
        <v>43151</v>
      </c>
      <c r="B520" s="113">
        <v>3638</v>
      </c>
      <c r="D520" s="111">
        <f t="shared" si="258"/>
        <v>0.97497258724335178</v>
      </c>
      <c r="E520" s="111">
        <v>35</v>
      </c>
      <c r="F520" s="21">
        <f t="shared" si="259"/>
        <v>0</v>
      </c>
      <c r="G520" s="17">
        <f t="shared" si="260"/>
        <v>0</v>
      </c>
      <c r="H520" s="46">
        <f t="shared" si="261"/>
        <v>0</v>
      </c>
      <c r="I520" s="20">
        <v>187000</v>
      </c>
      <c r="J520" s="140" t="s">
        <v>69</v>
      </c>
      <c r="K520" s="38" t="s">
        <v>67</v>
      </c>
    </row>
    <row r="521" spans="1:12" s="173" customFormat="1" x14ac:dyDescent="0.25">
      <c r="A521" s="82"/>
      <c r="B521" s="117"/>
      <c r="C521" s="83"/>
      <c r="D521" s="127"/>
      <c r="E521" s="127"/>
      <c r="F521" s="28"/>
      <c r="G521" s="25"/>
      <c r="H521" s="25"/>
      <c r="I521" s="27"/>
      <c r="J521" s="141"/>
      <c r="K521" s="38"/>
      <c r="L521" s="190"/>
    </row>
    <row r="522" spans="1:12" x14ac:dyDescent="0.25">
      <c r="A522" s="72">
        <f t="shared" ca="1" si="263"/>
        <v>43151</v>
      </c>
      <c r="B522" s="191">
        <v>2449</v>
      </c>
      <c r="C522" s="191">
        <f>71000-900</f>
        <v>70100</v>
      </c>
      <c r="D522" s="111">
        <f t="shared" si="258"/>
        <v>0.97987734620221012</v>
      </c>
      <c r="E522" s="111">
        <v>28</v>
      </c>
      <c r="F522" s="21">
        <f t="shared" si="259"/>
        <v>70.100000000000009</v>
      </c>
      <c r="G522" s="17">
        <f t="shared" si="260"/>
        <v>70029.899999999994</v>
      </c>
      <c r="H522" s="46">
        <f t="shared" si="261"/>
        <v>71539.565917808228</v>
      </c>
      <c r="I522" s="169">
        <f t="shared" si="262"/>
        <v>72000</v>
      </c>
      <c r="J522" s="192" t="s">
        <v>48</v>
      </c>
    </row>
    <row r="523" spans="1:12" x14ac:dyDescent="0.25">
      <c r="A523" s="72">
        <f t="shared" ca="1" si="263"/>
        <v>43151</v>
      </c>
      <c r="B523" s="110">
        <v>7378</v>
      </c>
      <c r="C523" s="110">
        <f>20700+3324000</f>
        <v>3344700</v>
      </c>
      <c r="D523" s="111">
        <f t="shared" si="258"/>
        <v>0.97987734620221012</v>
      </c>
      <c r="E523" s="111">
        <v>28</v>
      </c>
      <c r="F523" s="21">
        <f t="shared" si="259"/>
        <v>3344.7000000000003</v>
      </c>
      <c r="G523" s="17">
        <f t="shared" si="260"/>
        <v>3341355.3</v>
      </c>
      <c r="H523" s="46">
        <f t="shared" si="261"/>
        <v>3413386.3926575342</v>
      </c>
      <c r="I523" s="169">
        <f t="shared" si="262"/>
        <v>3413000</v>
      </c>
      <c r="J523" s="112" t="s">
        <v>33</v>
      </c>
    </row>
    <row r="524" spans="1:12" x14ac:dyDescent="0.25">
      <c r="A524" s="72">
        <f t="shared" ca="1" si="263"/>
        <v>43151</v>
      </c>
      <c r="B524" s="110">
        <v>12033</v>
      </c>
      <c r="C524" s="110">
        <f>460500-400</f>
        <v>460100</v>
      </c>
      <c r="D524" s="111">
        <f t="shared" si="258"/>
        <v>0.97987734620221012</v>
      </c>
      <c r="E524" s="111">
        <v>28</v>
      </c>
      <c r="F524" s="21">
        <f t="shared" si="259"/>
        <v>460.1</v>
      </c>
      <c r="G524" s="17">
        <f t="shared" si="260"/>
        <v>459639.9</v>
      </c>
      <c r="H524" s="46">
        <f t="shared" si="261"/>
        <v>469548.56317808223</v>
      </c>
      <c r="I524" s="169">
        <f t="shared" si="262"/>
        <v>470000</v>
      </c>
      <c r="J524" s="112" t="s">
        <v>37</v>
      </c>
    </row>
    <row r="525" spans="1:12" x14ac:dyDescent="0.25">
      <c r="A525" s="72">
        <f t="shared" ca="1" si="263"/>
        <v>43151</v>
      </c>
      <c r="B525" s="110">
        <v>13050</v>
      </c>
      <c r="C525" s="110">
        <f>959000-1500</f>
        <v>957500</v>
      </c>
      <c r="D525" s="111">
        <f t="shared" si="258"/>
        <v>0.97987734620221012</v>
      </c>
      <c r="E525" s="111">
        <v>28</v>
      </c>
      <c r="F525" s="21">
        <f t="shared" si="259"/>
        <v>957.5</v>
      </c>
      <c r="G525" s="17">
        <f t="shared" si="260"/>
        <v>956542.5</v>
      </c>
      <c r="H525" s="46">
        <f t="shared" si="261"/>
        <v>977163.11506849318</v>
      </c>
      <c r="I525" s="169">
        <f t="shared" si="262"/>
        <v>977000</v>
      </c>
      <c r="J525" s="112" t="s">
        <v>49</v>
      </c>
    </row>
    <row r="526" spans="1:12" x14ac:dyDescent="0.25">
      <c r="A526" s="72">
        <f t="shared" ca="1" si="263"/>
        <v>43151</v>
      </c>
      <c r="B526" s="110">
        <v>17282</v>
      </c>
      <c r="C526" s="110">
        <f>682000-17500</f>
        <v>664500</v>
      </c>
      <c r="D526" s="111">
        <f t="shared" si="258"/>
        <v>0.97987734620221012</v>
      </c>
      <c r="E526" s="111">
        <v>28</v>
      </c>
      <c r="F526" s="21">
        <f t="shared" si="259"/>
        <v>664.5</v>
      </c>
      <c r="G526" s="17">
        <f t="shared" si="260"/>
        <v>663835.5</v>
      </c>
      <c r="H526" s="46">
        <f t="shared" si="261"/>
        <v>678146.09917808219</v>
      </c>
      <c r="I526" s="169">
        <f t="shared" si="262"/>
        <v>678000</v>
      </c>
      <c r="J526" s="112" t="s">
        <v>27</v>
      </c>
    </row>
    <row r="527" spans="1:12" x14ac:dyDescent="0.25">
      <c r="A527" s="72">
        <f t="shared" ca="1" si="263"/>
        <v>43151</v>
      </c>
      <c r="B527" s="110">
        <v>17846</v>
      </c>
      <c r="C527" s="110">
        <f>3700+349000</f>
        <v>352700</v>
      </c>
      <c r="D527" s="111">
        <f t="shared" si="258"/>
        <v>0.97987734620221012</v>
      </c>
      <c r="E527" s="111">
        <v>28</v>
      </c>
      <c r="F527" s="21">
        <f t="shared" si="259"/>
        <v>352.7</v>
      </c>
      <c r="G527" s="17">
        <f t="shared" si="260"/>
        <v>352347.3</v>
      </c>
      <c r="H527" s="46">
        <f t="shared" si="261"/>
        <v>359943.00854794524</v>
      </c>
      <c r="I527" s="169">
        <f t="shared" si="262"/>
        <v>360000</v>
      </c>
      <c r="J527" s="112" t="s">
        <v>60</v>
      </c>
    </row>
    <row r="528" spans="1:12" x14ac:dyDescent="0.25">
      <c r="A528" s="72">
        <f t="shared" ca="1" si="263"/>
        <v>43151</v>
      </c>
      <c r="B528" s="110">
        <v>20186</v>
      </c>
      <c r="C528" s="110">
        <f>700+102000</f>
        <v>102700</v>
      </c>
      <c r="D528" s="111">
        <f t="shared" si="258"/>
        <v>0.97987734620221012</v>
      </c>
      <c r="E528" s="111">
        <v>28</v>
      </c>
      <c r="F528" s="21">
        <f t="shared" si="259"/>
        <v>102.7</v>
      </c>
      <c r="G528" s="17">
        <f t="shared" si="260"/>
        <v>102597.3</v>
      </c>
      <c r="H528" s="46">
        <f t="shared" si="261"/>
        <v>104809.03594520548</v>
      </c>
      <c r="I528" s="169">
        <f t="shared" si="262"/>
        <v>105000</v>
      </c>
      <c r="J528" s="112" t="s">
        <v>38</v>
      </c>
    </row>
    <row r="529" spans="1:10" x14ac:dyDescent="0.25">
      <c r="A529" s="72">
        <f t="shared" ca="1" si="263"/>
        <v>43151</v>
      </c>
      <c r="B529" s="110">
        <v>20191</v>
      </c>
      <c r="C529" s="110">
        <f>6300+922000</f>
        <v>928300</v>
      </c>
      <c r="D529" s="111">
        <f t="shared" si="258"/>
        <v>0.97987734620221012</v>
      </c>
      <c r="E529" s="111">
        <v>28</v>
      </c>
      <c r="F529" s="21">
        <f t="shared" si="259"/>
        <v>928.30000000000007</v>
      </c>
      <c r="G529" s="17">
        <f t="shared" si="260"/>
        <v>927371.7</v>
      </c>
      <c r="H529" s="46">
        <f t="shared" si="261"/>
        <v>947363.46706849325</v>
      </c>
      <c r="I529" s="169">
        <f t="shared" si="262"/>
        <v>947000</v>
      </c>
      <c r="J529" s="112" t="s">
        <v>13</v>
      </c>
    </row>
    <row r="530" spans="1:10" x14ac:dyDescent="0.25">
      <c r="A530" s="72">
        <f t="shared" ca="1" si="263"/>
        <v>43151</v>
      </c>
      <c r="B530" s="110">
        <v>33393</v>
      </c>
      <c r="C530" s="110">
        <f>39919+1960500</f>
        <v>2000419</v>
      </c>
      <c r="D530" s="111">
        <f t="shared" si="258"/>
        <v>0.97987734620221012</v>
      </c>
      <c r="E530" s="111">
        <v>28</v>
      </c>
      <c r="F530" s="21">
        <f t="shared" si="259"/>
        <v>2000.4190000000001</v>
      </c>
      <c r="G530" s="17">
        <f t="shared" si="260"/>
        <v>1998418.581</v>
      </c>
      <c r="H530" s="46">
        <f t="shared" si="261"/>
        <v>2041499.3853600002</v>
      </c>
      <c r="I530" s="169">
        <f t="shared" si="262"/>
        <v>2041000</v>
      </c>
      <c r="J530" s="112" t="s">
        <v>14</v>
      </c>
    </row>
    <row r="531" spans="1:10" x14ac:dyDescent="0.25">
      <c r="A531" s="72">
        <f t="shared" ca="1" si="263"/>
        <v>43151</v>
      </c>
      <c r="B531" s="110">
        <v>120120</v>
      </c>
      <c r="C531" s="110">
        <f>58000-16070</f>
        <v>41930</v>
      </c>
      <c r="D531" s="111">
        <f t="shared" si="258"/>
        <v>0.97987734620221012</v>
      </c>
      <c r="E531" s="111">
        <v>28</v>
      </c>
      <c r="F531" s="21">
        <f t="shared" si="259"/>
        <v>41.93</v>
      </c>
      <c r="G531" s="17">
        <f t="shared" si="260"/>
        <v>41888.07</v>
      </c>
      <c r="H531" s="46">
        <f t="shared" si="261"/>
        <v>42791.069884931509</v>
      </c>
      <c r="I531" s="169">
        <f t="shared" si="262"/>
        <v>43000</v>
      </c>
      <c r="J531" s="112" t="s">
        <v>47</v>
      </c>
    </row>
    <row r="532" spans="1:10" x14ac:dyDescent="0.25">
      <c r="A532" s="72">
        <f t="shared" ca="1" si="263"/>
        <v>43151</v>
      </c>
      <c r="B532" s="110">
        <v>200353</v>
      </c>
      <c r="C532" s="110">
        <f>2260000-2700</f>
        <v>2257300</v>
      </c>
      <c r="D532" s="111">
        <f t="shared" si="258"/>
        <v>0.97987734620221012</v>
      </c>
      <c r="E532" s="111">
        <v>28</v>
      </c>
      <c r="F532" s="21">
        <f t="shared" si="259"/>
        <v>2257.3000000000002</v>
      </c>
      <c r="G532" s="17">
        <f t="shared" si="260"/>
        <v>2255042.7000000002</v>
      </c>
      <c r="H532" s="46">
        <f t="shared" si="261"/>
        <v>2303655.6654246575</v>
      </c>
      <c r="I532" s="169">
        <f t="shared" si="262"/>
        <v>2304000</v>
      </c>
      <c r="J532" s="112" t="s">
        <v>61</v>
      </c>
    </row>
    <row r="533" spans="1:10" x14ac:dyDescent="0.25">
      <c r="A533" s="72">
        <f t="shared" ca="1" si="263"/>
        <v>43151</v>
      </c>
      <c r="B533" s="110">
        <v>300406</v>
      </c>
      <c r="C533" s="110">
        <f>1200+1046000</f>
        <v>1047200</v>
      </c>
      <c r="D533" s="111">
        <f t="shared" si="258"/>
        <v>0.97987734620221012</v>
      </c>
      <c r="E533" s="111">
        <v>28</v>
      </c>
      <c r="F533" s="21">
        <f t="shared" si="259"/>
        <v>1047.2</v>
      </c>
      <c r="G533" s="17">
        <f t="shared" si="260"/>
        <v>1046152.8</v>
      </c>
      <c r="H533" s="46">
        <f t="shared" si="261"/>
        <v>1068705.1844383562</v>
      </c>
      <c r="I533" s="169">
        <f t="shared" si="262"/>
        <v>1069000</v>
      </c>
      <c r="J533" s="112" t="s">
        <v>51</v>
      </c>
    </row>
    <row r="534" spans="1:10" x14ac:dyDescent="0.25">
      <c r="A534" s="72">
        <f t="shared" ca="1" si="263"/>
        <v>43151</v>
      </c>
      <c r="B534" s="110">
        <v>300703</v>
      </c>
      <c r="C534" s="110">
        <v>152000</v>
      </c>
      <c r="D534" s="111">
        <f t="shared" si="258"/>
        <v>0.97987734620221012</v>
      </c>
      <c r="E534" s="111">
        <v>28</v>
      </c>
      <c r="F534" s="21">
        <f t="shared" si="259"/>
        <v>152</v>
      </c>
      <c r="G534" s="17">
        <f t="shared" si="260"/>
        <v>151848</v>
      </c>
      <c r="H534" s="46">
        <f t="shared" si="261"/>
        <v>155121.45534246575</v>
      </c>
      <c r="I534" s="169">
        <f t="shared" si="262"/>
        <v>155000</v>
      </c>
      <c r="J534" s="112" t="s">
        <v>59</v>
      </c>
    </row>
    <row r="535" spans="1:10" x14ac:dyDescent="0.25">
      <c r="A535" s="72">
        <f t="shared" ca="1" si="263"/>
        <v>43151</v>
      </c>
      <c r="B535" s="110">
        <v>400054</v>
      </c>
      <c r="C535" s="110">
        <v>131600</v>
      </c>
      <c r="D535" s="111">
        <f t="shared" ref="D535:D562" si="264">(1/(1+($B$1*E535/365)))</f>
        <v>0.97987734620221012</v>
      </c>
      <c r="E535" s="111">
        <v>28</v>
      </c>
      <c r="F535" s="21">
        <f t="shared" ref="F535:F562" si="265">C535*$B$2</f>
        <v>131.6</v>
      </c>
      <c r="G535" s="17">
        <f t="shared" ref="G535:G562" si="266">+C535-F535</f>
        <v>131468.4</v>
      </c>
      <c r="H535" s="46">
        <f t="shared" ref="H535:H562" si="267">+C535/D535</f>
        <v>134302.52317808219</v>
      </c>
      <c r="I535" s="169">
        <f t="shared" ref="I535:I562" si="268">MROUND(H535,1000)</f>
        <v>134000</v>
      </c>
      <c r="J535" s="112" t="s">
        <v>62</v>
      </c>
    </row>
    <row r="536" spans="1:10" x14ac:dyDescent="0.25">
      <c r="A536" s="72">
        <f t="shared" ca="1" si="263"/>
        <v>43151</v>
      </c>
      <c r="B536" s="110">
        <v>700197</v>
      </c>
      <c r="C536" s="110">
        <f>1192000-1384</f>
        <v>1190616</v>
      </c>
      <c r="D536" s="111">
        <f t="shared" si="264"/>
        <v>0.97987734620221012</v>
      </c>
      <c r="E536" s="111">
        <v>28</v>
      </c>
      <c r="F536" s="21">
        <f t="shared" si="265"/>
        <v>1190.616</v>
      </c>
      <c r="G536" s="17">
        <f t="shared" si="266"/>
        <v>1189425.3840000001</v>
      </c>
      <c r="H536" s="46">
        <f t="shared" si="267"/>
        <v>1215066.3596975342</v>
      </c>
      <c r="I536" s="169">
        <f t="shared" si="268"/>
        <v>1215000</v>
      </c>
      <c r="J536" s="112" t="s">
        <v>36</v>
      </c>
    </row>
    <row r="537" spans="1:10" x14ac:dyDescent="0.25">
      <c r="A537" s="72">
        <f t="shared" ca="1" si="263"/>
        <v>43151</v>
      </c>
      <c r="B537" s="110">
        <v>2000265</v>
      </c>
      <c r="C537" s="110">
        <f>1373+353000</f>
        <v>354373</v>
      </c>
      <c r="D537" s="111">
        <f t="shared" si="264"/>
        <v>0.97987734620221012</v>
      </c>
      <c r="E537" s="111">
        <v>28</v>
      </c>
      <c r="F537" s="21">
        <f t="shared" si="265"/>
        <v>354.37299999999999</v>
      </c>
      <c r="G537" s="17">
        <f t="shared" si="266"/>
        <v>354018.62699999998</v>
      </c>
      <c r="H537" s="46">
        <f t="shared" si="267"/>
        <v>361650.36509260273</v>
      </c>
      <c r="I537" s="169">
        <f t="shared" si="268"/>
        <v>362000</v>
      </c>
      <c r="J537" s="112" t="s">
        <v>39</v>
      </c>
    </row>
    <row r="538" spans="1:10" x14ac:dyDescent="0.25">
      <c r="A538" s="72">
        <f t="shared" ca="1" si="263"/>
        <v>43151</v>
      </c>
      <c r="B538" s="110">
        <v>20664</v>
      </c>
      <c r="C538" s="110">
        <f>3696000-400</f>
        <v>3695600</v>
      </c>
      <c r="D538" s="111">
        <f t="shared" si="264"/>
        <v>0.97987734620221012</v>
      </c>
      <c r="E538" s="111">
        <v>28</v>
      </c>
      <c r="F538" s="21">
        <f t="shared" si="265"/>
        <v>3695.6</v>
      </c>
      <c r="G538" s="17">
        <f t="shared" si="266"/>
        <v>3691904.4</v>
      </c>
      <c r="H538" s="46">
        <f t="shared" si="267"/>
        <v>3771492.4366027401</v>
      </c>
      <c r="I538" s="169">
        <f t="shared" si="268"/>
        <v>3771000</v>
      </c>
      <c r="J538" s="112" t="s">
        <v>17</v>
      </c>
    </row>
    <row r="539" spans="1:10" x14ac:dyDescent="0.25">
      <c r="A539" s="72">
        <f t="shared" ca="1" si="263"/>
        <v>43151</v>
      </c>
      <c r="B539" s="113">
        <v>7486</v>
      </c>
      <c r="C539" s="33">
        <v>100000</v>
      </c>
      <c r="D539" s="111">
        <f t="shared" si="264"/>
        <v>0.97987734620221012</v>
      </c>
      <c r="E539" s="111">
        <v>28</v>
      </c>
      <c r="F539" s="21">
        <f t="shared" si="265"/>
        <v>100</v>
      </c>
      <c r="G539" s="17">
        <f t="shared" si="266"/>
        <v>99900</v>
      </c>
      <c r="H539" s="46">
        <f t="shared" si="267"/>
        <v>102053.5890410959</v>
      </c>
      <c r="I539" s="169">
        <f t="shared" si="268"/>
        <v>102000</v>
      </c>
      <c r="J539" s="175"/>
    </row>
    <row r="540" spans="1:10" x14ac:dyDescent="0.25">
      <c r="A540" s="72">
        <f t="shared" ca="1" si="263"/>
        <v>43151</v>
      </c>
      <c r="B540" s="113">
        <v>2718</v>
      </c>
      <c r="C540" s="33">
        <v>823175</v>
      </c>
      <c r="D540" s="111">
        <f t="shared" si="264"/>
        <v>0.97987734620221012</v>
      </c>
      <c r="E540" s="111">
        <v>28</v>
      </c>
      <c r="F540" s="21">
        <f t="shared" si="265"/>
        <v>823.17500000000007</v>
      </c>
      <c r="G540" s="17">
        <f t="shared" si="266"/>
        <v>822351.82499999995</v>
      </c>
      <c r="H540" s="46">
        <f t="shared" si="267"/>
        <v>840079.63158904109</v>
      </c>
      <c r="I540" s="169">
        <f t="shared" si="268"/>
        <v>840000</v>
      </c>
      <c r="J540" s="175"/>
    </row>
    <row r="541" spans="1:10" x14ac:dyDescent="0.25">
      <c r="A541" s="72">
        <f t="shared" ca="1" si="263"/>
        <v>43151</v>
      </c>
      <c r="B541" s="33"/>
      <c r="C541" s="33"/>
      <c r="D541" s="111">
        <f t="shared" si="264"/>
        <v>0.97987734620221012</v>
      </c>
      <c r="E541" s="111">
        <v>28</v>
      </c>
      <c r="F541" s="21">
        <f t="shared" si="265"/>
        <v>0</v>
      </c>
      <c r="G541" s="17">
        <f t="shared" si="266"/>
        <v>0</v>
      </c>
      <c r="H541" s="46">
        <f t="shared" si="267"/>
        <v>0</v>
      </c>
      <c r="I541" s="169">
        <f t="shared" si="268"/>
        <v>0</v>
      </c>
      <c r="J541" s="175"/>
    </row>
    <row r="542" spans="1:10" x14ac:dyDescent="0.25">
      <c r="A542" s="72">
        <f t="shared" ca="1" si="263"/>
        <v>43151</v>
      </c>
      <c r="B542" s="33"/>
      <c r="C542" s="33"/>
      <c r="D542" s="111">
        <f t="shared" si="264"/>
        <v>0.97987734620221012</v>
      </c>
      <c r="E542" s="111">
        <v>28</v>
      </c>
      <c r="F542" s="21">
        <f t="shared" si="265"/>
        <v>0</v>
      </c>
      <c r="G542" s="17">
        <f t="shared" si="266"/>
        <v>0</v>
      </c>
      <c r="H542" s="46">
        <f t="shared" si="267"/>
        <v>0</v>
      </c>
      <c r="I542" s="169">
        <f t="shared" si="268"/>
        <v>0</v>
      </c>
      <c r="J542" s="175"/>
    </row>
    <row r="543" spans="1:10" x14ac:dyDescent="0.25">
      <c r="A543" s="72">
        <f t="shared" ca="1" si="263"/>
        <v>43151</v>
      </c>
      <c r="B543" s="33"/>
      <c r="C543" s="33"/>
      <c r="D543" s="111">
        <f t="shared" si="264"/>
        <v>0.97987734620221012</v>
      </c>
      <c r="E543" s="111">
        <v>28</v>
      </c>
      <c r="F543" s="21">
        <f t="shared" si="265"/>
        <v>0</v>
      </c>
      <c r="G543" s="17">
        <f t="shared" si="266"/>
        <v>0</v>
      </c>
      <c r="H543" s="46">
        <f t="shared" si="267"/>
        <v>0</v>
      </c>
      <c r="I543" s="169">
        <f t="shared" si="268"/>
        <v>0</v>
      </c>
      <c r="J543" s="175"/>
    </row>
    <row r="544" spans="1:10" x14ac:dyDescent="0.25">
      <c r="A544" s="72">
        <f t="shared" ca="1" si="263"/>
        <v>43151</v>
      </c>
      <c r="B544" s="33"/>
      <c r="C544" s="33"/>
      <c r="D544" s="111">
        <f t="shared" si="264"/>
        <v>0.97987734620221012</v>
      </c>
      <c r="E544" s="111">
        <v>28</v>
      </c>
      <c r="F544" s="21">
        <f t="shared" si="265"/>
        <v>0</v>
      </c>
      <c r="G544" s="17">
        <f t="shared" si="266"/>
        <v>0</v>
      </c>
      <c r="H544" s="46">
        <f t="shared" si="267"/>
        <v>0</v>
      </c>
      <c r="I544" s="169">
        <f t="shared" si="268"/>
        <v>0</v>
      </c>
      <c r="J544" s="175"/>
    </row>
    <row r="545" spans="1:9" x14ac:dyDescent="0.25">
      <c r="A545" s="72">
        <f t="shared" ca="1" si="263"/>
        <v>43151</v>
      </c>
      <c r="D545" s="111">
        <f t="shared" si="264"/>
        <v>0.97987734620221012</v>
      </c>
      <c r="E545" s="111">
        <v>28</v>
      </c>
      <c r="F545" s="21">
        <f t="shared" si="265"/>
        <v>0</v>
      </c>
      <c r="G545" s="17">
        <f t="shared" si="266"/>
        <v>0</v>
      </c>
      <c r="H545" s="46">
        <f t="shared" si="267"/>
        <v>0</v>
      </c>
      <c r="I545" s="169">
        <f t="shared" si="268"/>
        <v>0</v>
      </c>
    </row>
    <row r="546" spans="1:9" x14ac:dyDescent="0.25">
      <c r="A546" s="72">
        <f t="shared" ca="1" si="263"/>
        <v>43151</v>
      </c>
      <c r="D546" s="111">
        <f t="shared" si="264"/>
        <v>0.97987734620221012</v>
      </c>
      <c r="E546" s="111">
        <v>28</v>
      </c>
      <c r="F546" s="21">
        <f t="shared" si="265"/>
        <v>0</v>
      </c>
      <c r="G546" s="17">
        <f t="shared" si="266"/>
        <v>0</v>
      </c>
      <c r="H546" s="46">
        <f t="shared" si="267"/>
        <v>0</v>
      </c>
      <c r="I546" s="169">
        <f t="shared" si="268"/>
        <v>0</v>
      </c>
    </row>
    <row r="547" spans="1:9" x14ac:dyDescent="0.25">
      <c r="A547" s="72">
        <f t="shared" ca="1" si="263"/>
        <v>43151</v>
      </c>
      <c r="D547" s="111">
        <f t="shared" si="264"/>
        <v>0.97987734620221012</v>
      </c>
      <c r="E547" s="111">
        <v>28</v>
      </c>
      <c r="F547" s="21">
        <f t="shared" si="265"/>
        <v>0</v>
      </c>
      <c r="G547" s="17">
        <f t="shared" si="266"/>
        <v>0</v>
      </c>
      <c r="H547" s="46">
        <f t="shared" si="267"/>
        <v>0</v>
      </c>
      <c r="I547" s="169">
        <f t="shared" si="268"/>
        <v>0</v>
      </c>
    </row>
    <row r="548" spans="1:9" x14ac:dyDescent="0.25">
      <c r="A548" s="72">
        <f t="shared" ca="1" si="263"/>
        <v>43151</v>
      </c>
      <c r="D548" s="111">
        <f t="shared" si="264"/>
        <v>0.97987734620221012</v>
      </c>
      <c r="E548" s="111">
        <v>28</v>
      </c>
      <c r="F548" s="21">
        <f t="shared" si="265"/>
        <v>0</v>
      </c>
      <c r="G548" s="17">
        <f t="shared" si="266"/>
        <v>0</v>
      </c>
      <c r="H548" s="46">
        <f t="shared" si="267"/>
        <v>0</v>
      </c>
      <c r="I548" s="169">
        <f t="shared" si="268"/>
        <v>0</v>
      </c>
    </row>
    <row r="549" spans="1:9" x14ac:dyDescent="0.25">
      <c r="A549" s="72">
        <f t="shared" ca="1" si="263"/>
        <v>43151</v>
      </c>
      <c r="D549" s="111">
        <f t="shared" si="264"/>
        <v>0.97987734620221012</v>
      </c>
      <c r="E549" s="111">
        <v>28</v>
      </c>
      <c r="F549" s="21">
        <f t="shared" si="265"/>
        <v>0</v>
      </c>
      <c r="G549" s="17">
        <f t="shared" si="266"/>
        <v>0</v>
      </c>
      <c r="H549" s="46">
        <f t="shared" si="267"/>
        <v>0</v>
      </c>
      <c r="I549" s="169">
        <f t="shared" si="268"/>
        <v>0</v>
      </c>
    </row>
    <row r="550" spans="1:9" x14ac:dyDescent="0.25">
      <c r="A550" s="72">
        <f t="shared" ca="1" si="263"/>
        <v>43151</v>
      </c>
      <c r="D550" s="111">
        <f t="shared" si="264"/>
        <v>0.97987734620221012</v>
      </c>
      <c r="E550" s="111">
        <v>28</v>
      </c>
      <c r="F550" s="21">
        <f t="shared" si="265"/>
        <v>0</v>
      </c>
      <c r="G550" s="17">
        <f t="shared" si="266"/>
        <v>0</v>
      </c>
      <c r="H550" s="46">
        <f t="shared" si="267"/>
        <v>0</v>
      </c>
      <c r="I550" s="169">
        <f t="shared" si="268"/>
        <v>0</v>
      </c>
    </row>
    <row r="551" spans="1:9" x14ac:dyDescent="0.25">
      <c r="A551" s="72">
        <f t="shared" ca="1" si="263"/>
        <v>43151</v>
      </c>
      <c r="D551" s="111">
        <f t="shared" si="264"/>
        <v>0.97987734620221012</v>
      </c>
      <c r="E551" s="111">
        <v>28</v>
      </c>
      <c r="F551" s="21">
        <f t="shared" si="265"/>
        <v>0</v>
      </c>
      <c r="G551" s="17">
        <f t="shared" si="266"/>
        <v>0</v>
      </c>
      <c r="H551" s="46">
        <f t="shared" si="267"/>
        <v>0</v>
      </c>
      <c r="I551" s="169">
        <f t="shared" si="268"/>
        <v>0</v>
      </c>
    </row>
    <row r="552" spans="1:9" x14ac:dyDescent="0.25">
      <c r="A552" s="72">
        <f t="shared" ca="1" si="263"/>
        <v>43151</v>
      </c>
      <c r="D552" s="111">
        <f t="shared" si="264"/>
        <v>0.97987734620221012</v>
      </c>
      <c r="E552" s="111">
        <v>28</v>
      </c>
      <c r="F552" s="21">
        <f t="shared" si="265"/>
        <v>0</v>
      </c>
      <c r="G552" s="17">
        <f t="shared" si="266"/>
        <v>0</v>
      </c>
      <c r="H552" s="46">
        <f t="shared" si="267"/>
        <v>0</v>
      </c>
      <c r="I552" s="169">
        <f t="shared" si="268"/>
        <v>0</v>
      </c>
    </row>
    <row r="553" spans="1:9" x14ac:dyDescent="0.25">
      <c r="A553" s="72">
        <f t="shared" ca="1" si="263"/>
        <v>43151</v>
      </c>
      <c r="D553" s="111">
        <f t="shared" si="264"/>
        <v>0.97987734620221012</v>
      </c>
      <c r="E553" s="111">
        <v>28</v>
      </c>
      <c r="F553" s="21">
        <f t="shared" si="265"/>
        <v>0</v>
      </c>
      <c r="G553" s="17">
        <f t="shared" si="266"/>
        <v>0</v>
      </c>
      <c r="H553" s="46">
        <f t="shared" si="267"/>
        <v>0</v>
      </c>
      <c r="I553" s="169">
        <f t="shared" si="268"/>
        <v>0</v>
      </c>
    </row>
    <row r="554" spans="1:9" x14ac:dyDescent="0.25">
      <c r="A554" s="72">
        <f t="shared" ca="1" si="263"/>
        <v>43151</v>
      </c>
      <c r="D554" s="111">
        <f t="shared" si="264"/>
        <v>0.97987734620221012</v>
      </c>
      <c r="E554" s="111">
        <v>28</v>
      </c>
      <c r="F554" s="21">
        <f t="shared" si="265"/>
        <v>0</v>
      </c>
      <c r="G554" s="17">
        <f t="shared" si="266"/>
        <v>0</v>
      </c>
      <c r="H554" s="46">
        <f t="shared" si="267"/>
        <v>0</v>
      </c>
      <c r="I554" s="169">
        <f t="shared" si="268"/>
        <v>0</v>
      </c>
    </row>
    <row r="555" spans="1:9" x14ac:dyDescent="0.25">
      <c r="A555" s="72">
        <f t="shared" ca="1" si="263"/>
        <v>43151</v>
      </c>
      <c r="D555" s="111">
        <f t="shared" si="264"/>
        <v>0.97987734620221012</v>
      </c>
      <c r="E555" s="111">
        <v>28</v>
      </c>
      <c r="F555" s="21">
        <f t="shared" si="265"/>
        <v>0</v>
      </c>
      <c r="G555" s="17">
        <f t="shared" si="266"/>
        <v>0</v>
      </c>
      <c r="H555" s="46">
        <f t="shared" si="267"/>
        <v>0</v>
      </c>
      <c r="I555" s="169">
        <f t="shared" si="268"/>
        <v>0</v>
      </c>
    </row>
    <row r="556" spans="1:9" x14ac:dyDescent="0.25">
      <c r="A556" s="72">
        <f t="shared" ca="1" si="263"/>
        <v>43151</v>
      </c>
      <c r="D556" s="111">
        <f t="shared" si="264"/>
        <v>0.97987734620221012</v>
      </c>
      <c r="E556" s="111">
        <v>28</v>
      </c>
      <c r="F556" s="21">
        <f t="shared" si="265"/>
        <v>0</v>
      </c>
      <c r="G556" s="17">
        <f t="shared" si="266"/>
        <v>0</v>
      </c>
      <c r="H556" s="46">
        <f t="shared" si="267"/>
        <v>0</v>
      </c>
      <c r="I556" s="169">
        <f t="shared" si="268"/>
        <v>0</v>
      </c>
    </row>
    <row r="557" spans="1:9" x14ac:dyDescent="0.25">
      <c r="A557" s="72">
        <f t="shared" ca="1" si="263"/>
        <v>43151</v>
      </c>
      <c r="D557" s="111">
        <f t="shared" si="264"/>
        <v>0.97987734620221012</v>
      </c>
      <c r="E557" s="111">
        <v>28</v>
      </c>
      <c r="F557" s="21">
        <f t="shared" si="265"/>
        <v>0</v>
      </c>
      <c r="G557" s="17">
        <f t="shared" si="266"/>
        <v>0</v>
      </c>
      <c r="H557" s="46">
        <f t="shared" si="267"/>
        <v>0</v>
      </c>
      <c r="I557" s="169">
        <f t="shared" si="268"/>
        <v>0</v>
      </c>
    </row>
    <row r="558" spans="1:9" x14ac:dyDescent="0.25">
      <c r="A558" s="72">
        <f t="shared" ca="1" si="263"/>
        <v>43151</v>
      </c>
      <c r="D558" s="111">
        <f t="shared" si="264"/>
        <v>0.97987734620221012</v>
      </c>
      <c r="E558" s="111">
        <v>28</v>
      </c>
      <c r="F558" s="21">
        <f t="shared" si="265"/>
        <v>0</v>
      </c>
      <c r="G558" s="17">
        <f t="shared" si="266"/>
        <v>0</v>
      </c>
      <c r="H558" s="46">
        <f t="shared" si="267"/>
        <v>0</v>
      </c>
      <c r="I558" s="169">
        <f t="shared" si="268"/>
        <v>0</v>
      </c>
    </row>
    <row r="559" spans="1:9" x14ac:dyDescent="0.25">
      <c r="D559" s="111">
        <f t="shared" si="264"/>
        <v>0.97987734620221012</v>
      </c>
      <c r="E559" s="111">
        <v>28</v>
      </c>
      <c r="F559" s="21">
        <f t="shared" si="265"/>
        <v>0</v>
      </c>
      <c r="G559" s="17">
        <f t="shared" si="266"/>
        <v>0</v>
      </c>
      <c r="H559" s="46">
        <f t="shared" si="267"/>
        <v>0</v>
      </c>
      <c r="I559" s="169">
        <f t="shared" si="268"/>
        <v>0</v>
      </c>
    </row>
    <row r="560" spans="1:9" x14ac:dyDescent="0.25">
      <c r="D560" s="111">
        <f t="shared" si="264"/>
        <v>0.97987734620221012</v>
      </c>
      <c r="E560" s="111">
        <v>28</v>
      </c>
      <c r="F560" s="21">
        <f t="shared" si="265"/>
        <v>0</v>
      </c>
      <c r="G560" s="17">
        <f t="shared" si="266"/>
        <v>0</v>
      </c>
      <c r="H560" s="46">
        <f t="shared" si="267"/>
        <v>0</v>
      </c>
      <c r="I560" s="169">
        <f t="shared" si="268"/>
        <v>0</v>
      </c>
    </row>
    <row r="561" spans="4:9" x14ac:dyDescent="0.25">
      <c r="D561" s="111">
        <f t="shared" si="264"/>
        <v>0.97987734620221012</v>
      </c>
      <c r="E561" s="111">
        <v>28</v>
      </c>
      <c r="F561" s="21">
        <f t="shared" si="265"/>
        <v>0</v>
      </c>
      <c r="G561" s="17">
        <f t="shared" si="266"/>
        <v>0</v>
      </c>
      <c r="H561" s="46">
        <f t="shared" si="267"/>
        <v>0</v>
      </c>
      <c r="I561" s="169">
        <f t="shared" si="268"/>
        <v>0</v>
      </c>
    </row>
    <row r="562" spans="4:9" x14ac:dyDescent="0.25">
      <c r="D562" s="111">
        <f t="shared" si="264"/>
        <v>0.97987734620221012</v>
      </c>
      <c r="E562" s="111">
        <v>28</v>
      </c>
      <c r="F562" s="21">
        <f t="shared" si="265"/>
        <v>0</v>
      </c>
      <c r="G562" s="17">
        <f t="shared" si="266"/>
        <v>0</v>
      </c>
      <c r="H562" s="46">
        <f t="shared" si="267"/>
        <v>0</v>
      </c>
      <c r="I562" s="169">
        <f t="shared" si="26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Agustina Spera</dc:creator>
  <cp:lastModifiedBy>Maria Agustina Spera</cp:lastModifiedBy>
  <dcterms:created xsi:type="dcterms:W3CDTF">2016-04-26T15:39:47Z</dcterms:created>
  <dcterms:modified xsi:type="dcterms:W3CDTF">2018-02-20T17:29:56Z</dcterms:modified>
</cp:coreProperties>
</file>