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Education Data\"/>
    </mc:Choice>
  </mc:AlternateContent>
  <bookViews>
    <workbookView xWindow="0" yWindow="0" windowWidth="10260" windowHeight="5408" activeTab="2"/>
  </bookViews>
  <sheets>
    <sheet name="ALL RAW DATA" sheetId="1" r:id="rId1"/>
    <sheet name="Education Quality" sheetId="2" r:id="rId2"/>
    <sheet name="CareerCollege Rediness" sheetId="3" r:id="rId3"/>
    <sheet name="Determinants oth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2" i="2"/>
  <c r="R2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4" i="3"/>
  <c r="R13" i="3"/>
  <c r="R12" i="3"/>
  <c r="R11" i="3"/>
  <c r="R10" i="3"/>
  <c r="R9" i="3"/>
  <c r="R8" i="3"/>
  <c r="R6" i="3"/>
  <c r="R5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2" i="4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4" i="3"/>
  <c r="Q13" i="3"/>
  <c r="Q12" i="3"/>
  <c r="Q11" i="3"/>
  <c r="Q10" i="3"/>
  <c r="Q9" i="3"/>
  <c r="Q8" i="3"/>
  <c r="Q6" i="3"/>
  <c r="Q5" i="3"/>
  <c r="Q2" i="3"/>
  <c r="M2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K31" i="4"/>
  <c r="I31" i="4"/>
  <c r="G31" i="4"/>
  <c r="E31" i="4"/>
  <c r="C31" i="4"/>
  <c r="K30" i="4"/>
  <c r="I30" i="4"/>
  <c r="G30" i="4"/>
  <c r="E30" i="4"/>
  <c r="C30" i="4"/>
  <c r="G29" i="4"/>
  <c r="G28" i="4"/>
  <c r="G27" i="4"/>
  <c r="G26" i="4"/>
  <c r="G25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M3" i="2"/>
  <c r="M4" i="2"/>
  <c r="M7" i="2"/>
  <c r="M15" i="2"/>
  <c r="M16" i="2"/>
  <c r="K31" i="2"/>
  <c r="K30" i="2"/>
  <c r="M29" i="2" l="1"/>
  <c r="M26" i="2"/>
  <c r="M22" i="2"/>
  <c r="M18" i="2"/>
  <c r="M12" i="2"/>
  <c r="M8" i="2"/>
  <c r="L2" i="2"/>
  <c r="M2" i="2" s="1"/>
  <c r="M25" i="2"/>
  <c r="M21" i="2"/>
  <c r="M17" i="2"/>
  <c r="M11" i="2"/>
  <c r="M6" i="2"/>
  <c r="M28" i="2"/>
  <c r="M24" i="2"/>
  <c r="M20" i="2"/>
  <c r="M14" i="2"/>
  <c r="M10" i="2"/>
  <c r="M5" i="2"/>
  <c r="M27" i="2"/>
  <c r="M23" i="2"/>
  <c r="M19" i="2"/>
  <c r="M13" i="2"/>
  <c r="M9" i="2"/>
  <c r="I31" i="2"/>
  <c r="I30" i="2"/>
  <c r="J26" i="2" s="1"/>
  <c r="G31" i="2"/>
  <c r="E31" i="2"/>
  <c r="C31" i="2"/>
  <c r="G30" i="2"/>
  <c r="E30" i="2"/>
  <c r="C30" i="2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4" i="3"/>
  <c r="D13" i="3"/>
  <c r="D12" i="3"/>
  <c r="D11" i="3"/>
  <c r="D10" i="3"/>
  <c r="D9" i="3"/>
  <c r="D8" i="3"/>
  <c r="D6" i="3"/>
  <c r="D5" i="3"/>
  <c r="D2" i="3"/>
  <c r="O30" i="3"/>
  <c r="M30" i="3"/>
  <c r="K30" i="3"/>
  <c r="I30" i="3"/>
  <c r="G30" i="3"/>
  <c r="E30" i="3"/>
  <c r="C30" i="3"/>
  <c r="O31" i="3"/>
  <c r="P29" i="3" s="1"/>
  <c r="M31" i="3"/>
  <c r="N27" i="3" s="1"/>
  <c r="K31" i="3"/>
  <c r="I31" i="3"/>
  <c r="G31" i="3"/>
  <c r="H28" i="3" s="1"/>
  <c r="E31" i="3"/>
  <c r="F20" i="3" s="1"/>
  <c r="C31" i="3"/>
  <c r="M29" i="1"/>
  <c r="L29" i="1"/>
  <c r="K29" i="1"/>
  <c r="I29" i="1"/>
  <c r="L28" i="1"/>
  <c r="I28" i="1"/>
  <c r="F28" i="1"/>
  <c r="I22" i="1"/>
  <c r="I25" i="1"/>
  <c r="I27" i="1"/>
  <c r="I26" i="1"/>
  <c r="F27" i="1"/>
  <c r="M26" i="1"/>
  <c r="F26" i="1"/>
  <c r="M25" i="1"/>
  <c r="L25" i="1"/>
  <c r="K25" i="1"/>
  <c r="M24" i="1"/>
  <c r="L24" i="1"/>
  <c r="K24" i="1"/>
  <c r="F24" i="1"/>
  <c r="M28" i="1"/>
  <c r="K28" i="1"/>
  <c r="M27" i="1"/>
  <c r="L27" i="1"/>
  <c r="K27" i="1"/>
  <c r="L26" i="1"/>
  <c r="K26" i="1"/>
  <c r="M23" i="1"/>
  <c r="F22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F29" i="1"/>
  <c r="F25" i="1"/>
  <c r="F23" i="1"/>
  <c r="M22" i="1"/>
  <c r="L22" i="1"/>
  <c r="K22" i="1"/>
  <c r="L21" i="1"/>
  <c r="M21" i="1"/>
  <c r="K21" i="1"/>
  <c r="I21" i="1"/>
  <c r="F21" i="1"/>
  <c r="H21" i="1"/>
  <c r="G21" i="1"/>
  <c r="L20" i="1"/>
  <c r="K20" i="1"/>
  <c r="I20" i="1"/>
  <c r="F18" i="1"/>
  <c r="F19" i="1"/>
  <c r="F20" i="1"/>
  <c r="G20" i="1"/>
  <c r="H20" i="1"/>
  <c r="L19" i="1"/>
  <c r="K19" i="1"/>
  <c r="I19" i="1"/>
  <c r="H19" i="1"/>
  <c r="G19" i="1"/>
  <c r="M18" i="1"/>
  <c r="L18" i="1"/>
  <c r="K18" i="1"/>
  <c r="I18" i="1"/>
  <c r="H18" i="1"/>
  <c r="G18" i="1"/>
  <c r="I17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H17" i="1"/>
  <c r="G17" i="1"/>
  <c r="L14" i="1"/>
  <c r="M14" i="1"/>
  <c r="L15" i="1"/>
  <c r="M13" i="1"/>
  <c r="M12" i="1"/>
  <c r="M11" i="1"/>
  <c r="M10" i="1"/>
  <c r="M9" i="1"/>
  <c r="M8" i="1"/>
  <c r="M7" i="1"/>
  <c r="M6" i="1"/>
  <c r="M4" i="1"/>
  <c r="M2" i="1"/>
  <c r="L13" i="1"/>
  <c r="L12" i="1"/>
  <c r="L11" i="1"/>
  <c r="L10" i="1"/>
  <c r="L9" i="1"/>
  <c r="L8" i="1"/>
  <c r="L7" i="1"/>
  <c r="L6" i="1"/>
  <c r="L4" i="1"/>
  <c r="L2" i="1"/>
  <c r="H26" i="2" l="1"/>
  <c r="J29" i="2"/>
  <c r="D3" i="2"/>
  <c r="F29" i="2"/>
  <c r="H29" i="2"/>
  <c r="D2" i="2"/>
  <c r="D26" i="2"/>
  <c r="D22" i="2"/>
  <c r="D18" i="2"/>
  <c r="D14" i="2"/>
  <c r="D10" i="2"/>
  <c r="D6" i="2"/>
  <c r="F2" i="2"/>
  <c r="F6" i="2"/>
  <c r="F10" i="2"/>
  <c r="F14" i="2"/>
  <c r="F18" i="2"/>
  <c r="F22" i="2"/>
  <c r="F26" i="2"/>
  <c r="H2" i="2"/>
  <c r="H6" i="2"/>
  <c r="H10" i="2"/>
  <c r="H14" i="2"/>
  <c r="H18" i="2"/>
  <c r="H22" i="2"/>
  <c r="J2" i="2"/>
  <c r="J6" i="2"/>
  <c r="J10" i="2"/>
  <c r="J14" i="2"/>
  <c r="J18" i="2"/>
  <c r="J22" i="2"/>
  <c r="D29" i="2"/>
  <c r="D25" i="2"/>
  <c r="D21" i="2"/>
  <c r="D17" i="2"/>
  <c r="D13" i="2"/>
  <c r="D9" i="2"/>
  <c r="D5" i="2"/>
  <c r="F3" i="2"/>
  <c r="F7" i="2"/>
  <c r="F11" i="2"/>
  <c r="F15" i="2"/>
  <c r="F19" i="2"/>
  <c r="F23" i="2"/>
  <c r="F27" i="2"/>
  <c r="H3" i="2"/>
  <c r="H7" i="2"/>
  <c r="H11" i="2"/>
  <c r="H15" i="2"/>
  <c r="H19" i="2"/>
  <c r="H23" i="2"/>
  <c r="H27" i="2"/>
  <c r="J3" i="2"/>
  <c r="J7" i="2"/>
  <c r="J11" i="2"/>
  <c r="J15" i="2"/>
  <c r="J19" i="2"/>
  <c r="J23" i="2"/>
  <c r="J27" i="2"/>
  <c r="D28" i="2"/>
  <c r="D24" i="2"/>
  <c r="D20" i="2"/>
  <c r="D16" i="2"/>
  <c r="D12" i="2"/>
  <c r="D8" i="2"/>
  <c r="D4" i="2"/>
  <c r="F4" i="2"/>
  <c r="F8" i="2"/>
  <c r="F12" i="2"/>
  <c r="F16" i="2"/>
  <c r="F20" i="2"/>
  <c r="F24" i="2"/>
  <c r="F28" i="2"/>
  <c r="H4" i="2"/>
  <c r="H8" i="2"/>
  <c r="H12" i="2"/>
  <c r="H16" i="2"/>
  <c r="H20" i="2"/>
  <c r="H24" i="2"/>
  <c r="H28" i="2"/>
  <c r="J4" i="2"/>
  <c r="J8" i="2"/>
  <c r="J12" i="2"/>
  <c r="J16" i="2"/>
  <c r="J20" i="2"/>
  <c r="J24" i="2"/>
  <c r="J28" i="2"/>
  <c r="D27" i="2"/>
  <c r="D23" i="2"/>
  <c r="D19" i="2"/>
  <c r="D15" i="2"/>
  <c r="D11" i="2"/>
  <c r="D7" i="2"/>
  <c r="F5" i="2"/>
  <c r="F9" i="2"/>
  <c r="F13" i="2"/>
  <c r="F17" i="2"/>
  <c r="F21" i="2"/>
  <c r="F25" i="2"/>
  <c r="H5" i="2"/>
  <c r="H9" i="2"/>
  <c r="H13" i="2"/>
  <c r="H17" i="2"/>
  <c r="H21" i="2"/>
  <c r="H25" i="2"/>
  <c r="J5" i="2"/>
  <c r="J9" i="2"/>
  <c r="J13" i="2"/>
  <c r="J17" i="2"/>
  <c r="J21" i="2"/>
  <c r="J25" i="2"/>
  <c r="J27" i="3"/>
  <c r="P11" i="3"/>
  <c r="L29" i="3"/>
  <c r="F22" i="3"/>
  <c r="N26" i="3"/>
  <c r="H2" i="3"/>
  <c r="H19" i="3"/>
  <c r="J12" i="3"/>
  <c r="J28" i="3"/>
  <c r="J24" i="3"/>
  <c r="H23" i="3"/>
  <c r="P2" i="3"/>
  <c r="P19" i="3"/>
  <c r="J8" i="3"/>
  <c r="J29" i="3"/>
  <c r="H11" i="3"/>
  <c r="H27" i="3"/>
  <c r="J20" i="3"/>
  <c r="P23" i="3"/>
  <c r="F14" i="3"/>
  <c r="F26" i="3"/>
  <c r="F24" i="3"/>
  <c r="F28" i="3"/>
  <c r="H5" i="3"/>
  <c r="H9" i="3"/>
  <c r="H13" i="3"/>
  <c r="H17" i="3"/>
  <c r="H21" i="3"/>
  <c r="H25" i="3"/>
  <c r="H29" i="3"/>
  <c r="J6" i="3"/>
  <c r="J10" i="3"/>
  <c r="J14" i="3"/>
  <c r="J18" i="3"/>
  <c r="J22" i="3"/>
  <c r="J26" i="3"/>
  <c r="L2" i="3"/>
  <c r="L11" i="3"/>
  <c r="L19" i="3"/>
  <c r="L23" i="3"/>
  <c r="L27" i="3"/>
  <c r="N8" i="3"/>
  <c r="N12" i="3"/>
  <c r="N20" i="3"/>
  <c r="N24" i="3"/>
  <c r="N28" i="3"/>
  <c r="P5" i="3"/>
  <c r="P9" i="3"/>
  <c r="P13" i="3"/>
  <c r="P17" i="3"/>
  <c r="P21" i="3"/>
  <c r="P25" i="3"/>
  <c r="F5" i="3"/>
  <c r="F9" i="3"/>
  <c r="F13" i="3"/>
  <c r="F17" i="3"/>
  <c r="F21" i="3"/>
  <c r="F25" i="3"/>
  <c r="F29" i="3"/>
  <c r="H6" i="3"/>
  <c r="H10" i="3"/>
  <c r="H14" i="3"/>
  <c r="H18" i="3"/>
  <c r="H22" i="3"/>
  <c r="H26" i="3"/>
  <c r="J2" i="3"/>
  <c r="J11" i="3"/>
  <c r="J19" i="3"/>
  <c r="J23" i="3"/>
  <c r="L8" i="3"/>
  <c r="L12" i="3"/>
  <c r="L20" i="3"/>
  <c r="L24" i="3"/>
  <c r="L28" i="3"/>
  <c r="N5" i="3"/>
  <c r="N9" i="3"/>
  <c r="N13" i="3"/>
  <c r="N17" i="3"/>
  <c r="N21" i="3"/>
  <c r="N25" i="3"/>
  <c r="N29" i="3"/>
  <c r="P6" i="3"/>
  <c r="P10" i="3"/>
  <c r="P14" i="3"/>
  <c r="P18" i="3"/>
  <c r="P22" i="3"/>
  <c r="P26" i="3"/>
  <c r="P27" i="3"/>
  <c r="F10" i="3"/>
  <c r="F18" i="3"/>
  <c r="F2" i="3"/>
  <c r="F11" i="3"/>
  <c r="F19" i="3"/>
  <c r="F23" i="3"/>
  <c r="F27" i="3"/>
  <c r="H8" i="3"/>
  <c r="H12" i="3"/>
  <c r="H20" i="3"/>
  <c r="H24" i="3"/>
  <c r="J5" i="3"/>
  <c r="J9" i="3"/>
  <c r="J13" i="3"/>
  <c r="J17" i="3"/>
  <c r="J21" i="3"/>
  <c r="J25" i="3"/>
  <c r="L6" i="3"/>
  <c r="L10" i="3"/>
  <c r="L14" i="3"/>
  <c r="L18" i="3"/>
  <c r="L22" i="3"/>
  <c r="L26" i="3"/>
  <c r="N2" i="3"/>
  <c r="N11" i="3"/>
  <c r="N19" i="3"/>
  <c r="N23" i="3"/>
  <c r="P8" i="3"/>
  <c r="P12" i="3"/>
  <c r="P20" i="3"/>
  <c r="P24" i="3"/>
  <c r="P28" i="3"/>
  <c r="F6" i="3"/>
  <c r="L5" i="3"/>
  <c r="L9" i="3"/>
  <c r="L13" i="3"/>
  <c r="L17" i="3"/>
  <c r="L21" i="3"/>
  <c r="L25" i="3"/>
  <c r="N6" i="3"/>
  <c r="N10" i="3"/>
  <c r="N14" i="3"/>
  <c r="N18" i="3"/>
  <c r="N22" i="3"/>
  <c r="F8" i="3"/>
  <c r="F12" i="3"/>
  <c r="I16" i="1"/>
  <c r="H16" i="1"/>
  <c r="G16" i="1"/>
  <c r="I15" i="1"/>
  <c r="F15" i="1"/>
  <c r="G15" i="1"/>
  <c r="H15" i="1"/>
  <c r="I14" i="1"/>
  <c r="F14" i="1"/>
  <c r="H14" i="1"/>
  <c r="G14" i="1"/>
  <c r="I12" i="1"/>
  <c r="I13" i="1"/>
  <c r="I11" i="1"/>
  <c r="I10" i="1"/>
  <c r="I9" i="1"/>
  <c r="I8" i="1"/>
  <c r="I7" i="1"/>
  <c r="I6" i="1"/>
  <c r="I5" i="1"/>
  <c r="I4" i="1"/>
  <c r="I3" i="1"/>
  <c r="I2" i="1"/>
  <c r="F13" i="1"/>
  <c r="H13" i="1"/>
  <c r="G13" i="1"/>
  <c r="H11" i="1"/>
  <c r="F12" i="1"/>
  <c r="F11" i="1"/>
  <c r="F10" i="1"/>
  <c r="F9" i="1"/>
  <c r="F8" i="1"/>
  <c r="F7" i="1"/>
  <c r="F2" i="1"/>
  <c r="F4" i="1"/>
  <c r="F6" i="1"/>
  <c r="F5" i="1"/>
  <c r="H12" i="1"/>
  <c r="G12" i="1"/>
  <c r="G11" i="1"/>
  <c r="H10" i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  <c r="F3" i="1"/>
</calcChain>
</file>

<file path=xl/sharedStrings.xml><?xml version="1.0" encoding="utf-8"?>
<sst xmlns="http://schemas.openxmlformats.org/spreadsheetml/2006/main" count="416" uniqueCount="75">
  <si>
    <t>School District</t>
  </si>
  <si>
    <t>Adrian</t>
  </si>
  <si>
    <t>County</t>
  </si>
  <si>
    <t>Malheur</t>
  </si>
  <si>
    <t>Annex</t>
  </si>
  <si>
    <t>Arock</t>
  </si>
  <si>
    <t>Harper</t>
  </si>
  <si>
    <t>Jordan Valley</t>
  </si>
  <si>
    <t>Juntura</t>
  </si>
  <si>
    <t>Nyssa</t>
  </si>
  <si>
    <t>Ontario</t>
  </si>
  <si>
    <t>Vale</t>
  </si>
  <si>
    <t>Fruitland District</t>
  </si>
  <si>
    <t>Payette</t>
  </si>
  <si>
    <t>Payette Joint District</t>
  </si>
  <si>
    <t>Canyon</t>
  </si>
  <si>
    <t>Caldwell District</t>
  </si>
  <si>
    <t>Melba Joint District</t>
  </si>
  <si>
    <t>Middleton District</t>
  </si>
  <si>
    <t>Nampa School District</t>
  </si>
  <si>
    <t>Notus District</t>
  </si>
  <si>
    <t>Parma District</t>
  </si>
  <si>
    <t>Wilder District</t>
  </si>
  <si>
    <t>Washington</t>
  </si>
  <si>
    <t>Cambridge Joint District</t>
  </si>
  <si>
    <t>Midvale District</t>
  </si>
  <si>
    <t>Weiser District</t>
  </si>
  <si>
    <t>% regular attenders</t>
  </si>
  <si>
    <t>student teacher ratio</t>
  </si>
  <si>
    <t>Canyon-Owyhee School Service Agency (COSSA)</t>
  </si>
  <si>
    <t>Heritage Community Charter District</t>
  </si>
  <si>
    <t>Legacy Charter School District</t>
  </si>
  <si>
    <t>Liberty Charter</t>
  </si>
  <si>
    <t>Vallivue School District</t>
  </si>
  <si>
    <t>Victory Charter School</t>
  </si>
  <si>
    <t>Vision Charter School</t>
  </si>
  <si>
    <t>Teacher Salary (pupil)</t>
  </si>
  <si>
    <t>1st and 2nd year teachers</t>
  </si>
  <si>
    <t>student to counselor ratio</t>
  </si>
  <si>
    <t>Total students</t>
  </si>
  <si>
    <t>Total teachers</t>
  </si>
  <si>
    <t>Total counselors</t>
  </si>
  <si>
    <t>Dual enrollment</t>
  </si>
  <si>
    <t>AP classes</t>
  </si>
  <si>
    <t>IB classes</t>
  </si>
  <si>
    <t>Gifted Education</t>
  </si>
  <si>
    <t>Calculus 1</t>
  </si>
  <si>
    <t>ISS</t>
  </si>
  <si>
    <t>OOS</t>
  </si>
  <si>
    <t>Expulsion</t>
  </si>
  <si>
    <t>Title I</t>
  </si>
  <si>
    <t>Chemistry</t>
  </si>
  <si>
    <t>Physics</t>
  </si>
  <si>
    <t>na</t>
  </si>
  <si>
    <t>SD</t>
  </si>
  <si>
    <t>MEAN</t>
  </si>
  <si>
    <t>AP ZSCORE</t>
  </si>
  <si>
    <t>Gifted ZSCORE</t>
  </si>
  <si>
    <t>Dual ZSCORE</t>
  </si>
  <si>
    <t>IB ZSCORE</t>
  </si>
  <si>
    <t>STEM 1 ZSCORE</t>
  </si>
  <si>
    <t>STEM2 ZSCORE</t>
  </si>
  <si>
    <t>STEM3 ZSCORE</t>
  </si>
  <si>
    <t>REG ATTEND Z</t>
  </si>
  <si>
    <t>ISS Z</t>
  </si>
  <si>
    <t>OOS Z</t>
  </si>
  <si>
    <t>EXPULSION Z</t>
  </si>
  <si>
    <t>Source: United States Department of Education. Office for Civil Rights. 2015 Civil Rights Data Collection (CRDC).</t>
  </si>
  <si>
    <t>4 year graduation rate</t>
  </si>
  <si>
    <t>Source: Idaho Department of Education, State-level Four-year Cohort Grad Rate , 2015-2019</t>
  </si>
  <si>
    <t>Source: Oregon Department of Education, Cohort Graduation Rates, 2015-2019</t>
  </si>
  <si>
    <t>GRAD Z</t>
  </si>
  <si>
    <t>INDEX</t>
  </si>
  <si>
    <t>INDEX_overall</t>
  </si>
  <si>
    <t>INDEXoverall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</si>
</sst>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9" fontId="0" fillId="0" borderId="0" xfId="2" applyFont="1"/>
    <xf numFmtId="43" fontId="0" fillId="0" borderId="0" xfId="1" applyFont="1"/>
    <xf numFmtId="8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2" applyNumberFormat="1" applyFont="1"/>
    <xf numFmtId="10" fontId="0" fillId="0" borderId="0" xfId="2" applyNumberFormat="1" applyFont="1"/>
    <xf numFmtId="10" fontId="0" fillId="0" borderId="1" xfId="0" applyNumberFormat="1" applyBorder="1" applyAlignment="1">
      <alignment horizontal="right"/>
    </xf>
    <xf numFmtId="43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L1" zoomScale="80" zoomScaleNormal="115" workbookViewId="0">
      <pane ySplit="1" topLeftCell="A2" activePane="bottomLeft" state="frozen"/>
      <selection pane="bottomLeft" activeCell="V1" sqref="V1:V1048576"/>
    </sheetView>
  </sheetViews>
  <sheetFormatPr defaultRowHeight="14.25" x14ac:dyDescent="0.45"/>
  <cols>
    <col min="1" max="1" width="12.86328125" bestFit="1" customWidth="1"/>
    <col min="2" max="2" width="18.796875" customWidth="1"/>
    <col min="3" max="5" width="12.86328125" customWidth="1"/>
    <col min="6" max="6" width="11.1328125" style="2" customWidth="1"/>
    <col min="7" max="8" width="11.1328125" style="3" customWidth="1"/>
    <col min="9" max="9" width="9.06640625" style="2" customWidth="1"/>
    <col min="10" max="10" width="18.265625" style="3" customWidth="1"/>
    <col min="11" max="13" width="11.1328125" style="2" customWidth="1"/>
    <col min="14" max="15" width="9.06640625" customWidth="1"/>
    <col min="16" max="16" width="18.265625" style="7" customWidth="1"/>
    <col min="17" max="19" width="9.06640625" style="7" customWidth="1"/>
    <col min="20" max="20" width="5.86328125" style="7" customWidth="1"/>
    <col min="21" max="21" width="6.33203125" style="7" bestFit="1" customWidth="1"/>
    <col min="22" max="23" width="9.06640625" style="7"/>
  </cols>
  <sheetData>
    <row r="1" spans="1:22" x14ac:dyDescent="0.45">
      <c r="A1" t="s">
        <v>0</v>
      </c>
      <c r="B1" t="s">
        <v>2</v>
      </c>
      <c r="C1" t="s">
        <v>39</v>
      </c>
      <c r="D1" t="s">
        <v>40</v>
      </c>
      <c r="E1" t="s">
        <v>41</v>
      </c>
      <c r="F1" t="s">
        <v>27</v>
      </c>
      <c r="G1" t="s">
        <v>28</v>
      </c>
      <c r="H1" t="s">
        <v>38</v>
      </c>
      <c r="I1" t="s">
        <v>37</v>
      </c>
      <c r="J1" t="s">
        <v>36</v>
      </c>
      <c r="K1" t="s">
        <v>47</v>
      </c>
      <c r="L1" t="s">
        <v>48</v>
      </c>
      <c r="M1" t="s">
        <v>49</v>
      </c>
      <c r="N1" t="s">
        <v>50</v>
      </c>
      <c r="O1" t="s">
        <v>43</v>
      </c>
      <c r="P1" t="s">
        <v>45</v>
      </c>
      <c r="Q1" t="s">
        <v>42</v>
      </c>
      <c r="R1" t="s">
        <v>44</v>
      </c>
      <c r="S1" t="s">
        <v>46</v>
      </c>
      <c r="T1" t="s">
        <v>51</v>
      </c>
      <c r="U1" t="s">
        <v>52</v>
      </c>
      <c r="V1" s="7" t="s">
        <v>68</v>
      </c>
    </row>
    <row r="2" spans="1:22" x14ac:dyDescent="0.45">
      <c r="A2" t="s">
        <v>1</v>
      </c>
      <c r="B2" t="s">
        <v>3</v>
      </c>
      <c r="C2">
        <v>308</v>
      </c>
      <c r="D2">
        <v>18</v>
      </c>
      <c r="E2">
        <v>0.6</v>
      </c>
      <c r="F2" s="1">
        <f>1-0%</f>
        <v>1</v>
      </c>
      <c r="G2" s="3">
        <f t="shared" ref="G2:G29" si="0">D2/C2</f>
        <v>5.844155844155844E-2</v>
      </c>
      <c r="H2" s="6">
        <f t="shared" ref="H2:H29" si="1">E2/C2</f>
        <v>1.9480519480519481E-3</v>
      </c>
      <c r="I2" s="2">
        <f>1-2.8%</f>
        <v>0.97199999999999998</v>
      </c>
      <c r="J2" s="3">
        <v>3303.83</v>
      </c>
      <c r="K2" s="2">
        <f>1-0%</f>
        <v>1</v>
      </c>
      <c r="L2" s="2">
        <f>1-0%</f>
        <v>1</v>
      </c>
      <c r="M2" s="2">
        <f>1-0%</f>
        <v>1</v>
      </c>
      <c r="N2" s="7">
        <v>1</v>
      </c>
      <c r="O2" s="7">
        <v>0</v>
      </c>
      <c r="P2" s="7">
        <v>0</v>
      </c>
      <c r="Q2" s="7">
        <v>1</v>
      </c>
      <c r="R2" s="7">
        <v>0</v>
      </c>
      <c r="S2" s="7">
        <v>1</v>
      </c>
      <c r="T2" s="7">
        <v>0</v>
      </c>
      <c r="U2" s="7">
        <v>0</v>
      </c>
      <c r="V2" s="9">
        <v>0.93330000000000002</v>
      </c>
    </row>
    <row r="3" spans="1:22" x14ac:dyDescent="0.45">
      <c r="A3" t="s">
        <v>4</v>
      </c>
      <c r="B3" t="s">
        <v>3</v>
      </c>
      <c r="C3">
        <v>82</v>
      </c>
      <c r="D3">
        <v>4.5</v>
      </c>
      <c r="E3">
        <v>0</v>
      </c>
      <c r="F3" s="1">
        <f>100%-17.1%</f>
        <v>0.82899999999999996</v>
      </c>
      <c r="G3" s="3">
        <f t="shared" si="0"/>
        <v>5.4878048780487805E-2</v>
      </c>
      <c r="H3" s="6">
        <f t="shared" si="1"/>
        <v>0</v>
      </c>
      <c r="I3" s="2">
        <f>1-22.2%</f>
        <v>0.77800000000000002</v>
      </c>
      <c r="J3" s="3">
        <v>2306.0100000000002</v>
      </c>
      <c r="K3" s="2">
        <f>1-(16/82)</f>
        <v>0.80487804878048785</v>
      </c>
      <c r="L3" s="2">
        <v>1</v>
      </c>
      <c r="M3" s="2">
        <v>1</v>
      </c>
      <c r="N3" s="7">
        <v>1</v>
      </c>
      <c r="O3" s="7" t="s">
        <v>53</v>
      </c>
      <c r="P3" s="7" t="s">
        <v>53</v>
      </c>
      <c r="Q3" s="7" t="s">
        <v>53</v>
      </c>
      <c r="R3" s="7" t="s">
        <v>53</v>
      </c>
      <c r="S3" s="7" t="s">
        <v>53</v>
      </c>
      <c r="T3" s="7" t="s">
        <v>53</v>
      </c>
      <c r="U3" s="7" t="s">
        <v>53</v>
      </c>
      <c r="V3" s="9" t="s">
        <v>53</v>
      </c>
    </row>
    <row r="4" spans="1:22" x14ac:dyDescent="0.45">
      <c r="A4" t="s">
        <v>5</v>
      </c>
      <c r="B4" t="s">
        <v>3</v>
      </c>
      <c r="C4">
        <v>9</v>
      </c>
      <c r="D4">
        <v>2</v>
      </c>
      <c r="E4">
        <v>0</v>
      </c>
      <c r="F4" s="2">
        <f>1-0</f>
        <v>1</v>
      </c>
      <c r="G4" s="3">
        <f t="shared" si="0"/>
        <v>0.22222222222222221</v>
      </c>
      <c r="H4" s="6">
        <f t="shared" si="1"/>
        <v>0</v>
      </c>
      <c r="I4" s="2">
        <f>1-0%</f>
        <v>1</v>
      </c>
      <c r="J4" s="4">
        <v>8229.11</v>
      </c>
      <c r="K4" s="2">
        <f>1-0%</f>
        <v>1</v>
      </c>
      <c r="L4" s="2">
        <f>1-0%</f>
        <v>1</v>
      </c>
      <c r="M4" s="2">
        <f>1-0%</f>
        <v>1</v>
      </c>
      <c r="N4" s="7">
        <v>0</v>
      </c>
      <c r="O4" s="7" t="s">
        <v>53</v>
      </c>
      <c r="P4" s="7" t="s">
        <v>53</v>
      </c>
      <c r="Q4" s="7" t="s">
        <v>53</v>
      </c>
      <c r="R4" s="7" t="s">
        <v>53</v>
      </c>
      <c r="S4" s="7" t="s">
        <v>53</v>
      </c>
      <c r="T4" s="7" t="s">
        <v>53</v>
      </c>
      <c r="U4" s="7" t="s">
        <v>53</v>
      </c>
      <c r="V4" s="9" t="s">
        <v>53</v>
      </c>
    </row>
    <row r="5" spans="1:22" x14ac:dyDescent="0.45">
      <c r="A5" t="s">
        <v>6</v>
      </c>
      <c r="B5" t="s">
        <v>3</v>
      </c>
      <c r="C5">
        <v>99</v>
      </c>
      <c r="D5">
        <v>9.5</v>
      </c>
      <c r="E5">
        <v>0</v>
      </c>
      <c r="F5" s="5">
        <f>1-32.3%</f>
        <v>0.67700000000000005</v>
      </c>
      <c r="G5" s="3">
        <f t="shared" si="0"/>
        <v>9.5959595959595953E-2</v>
      </c>
      <c r="H5" s="6">
        <f t="shared" si="1"/>
        <v>0</v>
      </c>
      <c r="I5" s="2">
        <f>1-10.6%</f>
        <v>0.89400000000000002</v>
      </c>
      <c r="J5" s="4">
        <v>4188.2299999999996</v>
      </c>
      <c r="K5" s="2">
        <v>1</v>
      </c>
      <c r="L5" s="2">
        <v>0.88</v>
      </c>
      <c r="M5" s="2">
        <v>1</v>
      </c>
      <c r="N5" s="7">
        <v>1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9">
        <v>1</v>
      </c>
    </row>
    <row r="6" spans="1:22" x14ac:dyDescent="0.45">
      <c r="A6" t="s">
        <v>7</v>
      </c>
      <c r="B6" t="s">
        <v>3</v>
      </c>
      <c r="C6">
        <v>77</v>
      </c>
      <c r="D6">
        <v>7</v>
      </c>
      <c r="E6">
        <v>0</v>
      </c>
      <c r="F6" s="2">
        <f>1-5.2%</f>
        <v>0.94799999999999995</v>
      </c>
      <c r="G6" s="3">
        <f t="shared" si="0"/>
        <v>9.0909090909090912E-2</v>
      </c>
      <c r="H6" s="6">
        <f t="shared" si="1"/>
        <v>0</v>
      </c>
      <c r="I6" s="2">
        <f>1-42.9%</f>
        <v>0.57099999999999995</v>
      </c>
      <c r="J6" s="4">
        <v>3587.9</v>
      </c>
      <c r="K6" s="2">
        <f t="shared" ref="K6:M7" si="2">1-(0%)</f>
        <v>1</v>
      </c>
      <c r="L6" s="2">
        <f t="shared" si="2"/>
        <v>1</v>
      </c>
      <c r="M6" s="2">
        <f t="shared" si="2"/>
        <v>1</v>
      </c>
      <c r="N6" s="7">
        <v>1</v>
      </c>
      <c r="O6" s="7">
        <v>0</v>
      </c>
      <c r="P6" s="7">
        <v>1</v>
      </c>
      <c r="Q6" s="7">
        <v>1</v>
      </c>
      <c r="R6" s="7">
        <v>0</v>
      </c>
      <c r="S6" s="7">
        <v>0</v>
      </c>
      <c r="T6" s="7">
        <v>1</v>
      </c>
      <c r="U6" s="7">
        <v>0</v>
      </c>
      <c r="V6" s="9">
        <v>1</v>
      </c>
    </row>
    <row r="7" spans="1:22" x14ac:dyDescent="0.45">
      <c r="A7" t="s">
        <v>8</v>
      </c>
      <c r="B7" t="s">
        <v>3</v>
      </c>
      <c r="C7">
        <v>14</v>
      </c>
      <c r="D7">
        <v>1</v>
      </c>
      <c r="E7">
        <v>0</v>
      </c>
      <c r="F7" s="2">
        <f>1-28.6%</f>
        <v>0.71399999999999997</v>
      </c>
      <c r="G7" s="3">
        <f t="shared" si="0"/>
        <v>7.1428571428571425E-2</v>
      </c>
      <c r="H7" s="6">
        <f t="shared" si="1"/>
        <v>0</v>
      </c>
      <c r="I7" s="2">
        <f>1-0%</f>
        <v>1</v>
      </c>
      <c r="J7" s="4">
        <v>5857.14</v>
      </c>
      <c r="K7" s="2">
        <f t="shared" si="2"/>
        <v>1</v>
      </c>
      <c r="L7" s="2">
        <f t="shared" si="2"/>
        <v>1</v>
      </c>
      <c r="M7" s="2">
        <f t="shared" si="2"/>
        <v>1</v>
      </c>
      <c r="N7" s="7">
        <v>0</v>
      </c>
      <c r="O7" s="7" t="s">
        <v>53</v>
      </c>
      <c r="P7" s="7" t="s">
        <v>53</v>
      </c>
      <c r="Q7" s="7" t="s">
        <v>53</v>
      </c>
      <c r="R7" s="7" t="s">
        <v>53</v>
      </c>
      <c r="S7" s="7" t="s">
        <v>53</v>
      </c>
      <c r="T7" s="7" t="s">
        <v>53</v>
      </c>
      <c r="U7" s="7" t="s">
        <v>53</v>
      </c>
      <c r="V7" s="9" t="s">
        <v>53</v>
      </c>
    </row>
    <row r="8" spans="1:22" x14ac:dyDescent="0.45">
      <c r="A8" t="s">
        <v>9</v>
      </c>
      <c r="B8" t="s">
        <v>3</v>
      </c>
      <c r="C8">
        <v>1151</v>
      </c>
      <c r="D8">
        <v>61</v>
      </c>
      <c r="E8">
        <v>2</v>
      </c>
      <c r="F8" s="2">
        <f>1-24.4%</f>
        <v>0.75600000000000001</v>
      </c>
      <c r="G8" s="3">
        <f t="shared" si="0"/>
        <v>5.2997393570807995E-2</v>
      </c>
      <c r="H8" s="6">
        <f t="shared" si="1"/>
        <v>1.7376194613379669E-3</v>
      </c>
      <c r="I8" s="2">
        <f>1-(0.115+0.098)</f>
        <v>0.78699999999999992</v>
      </c>
      <c r="J8" s="4">
        <v>3244.29</v>
      </c>
      <c r="K8" s="2">
        <f>1-((162+23+2)/1151)</f>
        <v>0.83753258036490008</v>
      </c>
      <c r="L8" s="2">
        <f>1-((162+23+2)/1151)</f>
        <v>0.83753258036490008</v>
      </c>
      <c r="M8" s="2">
        <f>1-((162+23+2)/1151)</f>
        <v>0.83753258036490008</v>
      </c>
      <c r="N8" s="7">
        <v>1</v>
      </c>
      <c r="O8" s="7">
        <v>0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1</v>
      </c>
      <c r="V8" s="9">
        <v>0.79569999999999996</v>
      </c>
    </row>
    <row r="9" spans="1:22" x14ac:dyDescent="0.45">
      <c r="A9" t="s">
        <v>10</v>
      </c>
      <c r="B9" t="s">
        <v>3</v>
      </c>
      <c r="C9">
        <v>2421</v>
      </c>
      <c r="D9">
        <v>135.69999999999999</v>
      </c>
      <c r="E9">
        <v>5</v>
      </c>
      <c r="F9" s="2">
        <f>1-26.4%</f>
        <v>0.73599999999999999</v>
      </c>
      <c r="G9" s="3">
        <f t="shared" si="0"/>
        <v>5.6051218504750096E-2</v>
      </c>
      <c r="H9" s="6">
        <f t="shared" si="1"/>
        <v>2.0652622883106154E-3</v>
      </c>
      <c r="I9" s="2">
        <f>1-(0.059+0.037)</f>
        <v>0.90400000000000003</v>
      </c>
      <c r="J9" s="4">
        <v>2561.09</v>
      </c>
      <c r="K9" s="2">
        <f>1-((164+139+4)/2421)</f>
        <v>0.87319289549772816</v>
      </c>
      <c r="L9" s="2">
        <f>1-((164+139+4)/2421)</f>
        <v>0.87319289549772816</v>
      </c>
      <c r="M9" s="2">
        <f>1-((164+139+4)/2421)</f>
        <v>0.87319289549772816</v>
      </c>
      <c r="N9" s="7">
        <v>1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1</v>
      </c>
      <c r="V9" s="9">
        <v>0.89949999999999997</v>
      </c>
    </row>
    <row r="10" spans="1:22" x14ac:dyDescent="0.45">
      <c r="A10" t="s">
        <v>11</v>
      </c>
      <c r="B10" t="s">
        <v>3</v>
      </c>
      <c r="C10">
        <v>934</v>
      </c>
      <c r="D10">
        <v>52</v>
      </c>
      <c r="E10">
        <v>1</v>
      </c>
      <c r="F10" s="2">
        <f>1-0%</f>
        <v>1</v>
      </c>
      <c r="G10" s="3">
        <f t="shared" si="0"/>
        <v>5.5674518201284794E-2</v>
      </c>
      <c r="H10" s="6">
        <f t="shared" si="1"/>
        <v>1.0706638115631692E-3</v>
      </c>
      <c r="I10" s="2">
        <f>1-(0.039+0.019)</f>
        <v>0.94199999999999995</v>
      </c>
      <c r="J10" s="4">
        <v>4400.95</v>
      </c>
      <c r="K10" s="2">
        <f>1-((6+18+4)/934)</f>
        <v>0.97002141327623126</v>
      </c>
      <c r="L10" s="2">
        <f>1-((6+18+4)/934)</f>
        <v>0.97002141327623126</v>
      </c>
      <c r="M10" s="2">
        <f>1-((6+18+4)/934)</f>
        <v>0.97002141327623126</v>
      </c>
      <c r="N10" s="7">
        <v>1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1</v>
      </c>
      <c r="U10" s="7">
        <v>1</v>
      </c>
      <c r="V10" s="9">
        <v>0.88329999999999997</v>
      </c>
    </row>
    <row r="11" spans="1:22" x14ac:dyDescent="0.45">
      <c r="A11" t="s">
        <v>12</v>
      </c>
      <c r="B11" t="s">
        <v>13</v>
      </c>
      <c r="C11">
        <v>1710</v>
      </c>
      <c r="D11">
        <v>87.4</v>
      </c>
      <c r="E11">
        <v>3</v>
      </c>
      <c r="F11" s="2">
        <f>1-6.5%</f>
        <v>0.93500000000000005</v>
      </c>
      <c r="G11" s="3">
        <f t="shared" si="0"/>
        <v>5.1111111111111114E-2</v>
      </c>
      <c r="H11" s="3">
        <f t="shared" si="1"/>
        <v>1.7543859649122807E-3</v>
      </c>
      <c r="I11" s="2">
        <f>1-(0.046+0.034)</f>
        <v>0.92</v>
      </c>
      <c r="J11" s="4">
        <v>2035.13</v>
      </c>
      <c r="K11" s="2">
        <f>1-((41+56+18)/1710)</f>
        <v>0.93274853801169588</v>
      </c>
      <c r="L11" s="2">
        <f>1-((41+56+18)/1710)</f>
        <v>0.93274853801169588</v>
      </c>
      <c r="M11" s="2">
        <f>1-((41+56+18)/1710)</f>
        <v>0.93274853801169588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1</v>
      </c>
      <c r="T11" s="7">
        <v>0</v>
      </c>
      <c r="U11" s="7">
        <v>1</v>
      </c>
      <c r="V11" s="9">
        <v>0.89500000000000002</v>
      </c>
    </row>
    <row r="12" spans="1:22" x14ac:dyDescent="0.45">
      <c r="A12" t="s">
        <v>14</v>
      </c>
      <c r="B12" t="s">
        <v>13</v>
      </c>
      <c r="C12">
        <v>1575</v>
      </c>
      <c r="D12">
        <v>86.2</v>
      </c>
      <c r="E12">
        <v>3.2</v>
      </c>
      <c r="F12" s="2">
        <f>1-22.9%</f>
        <v>0.77100000000000002</v>
      </c>
      <c r="G12" s="3">
        <f t="shared" si="0"/>
        <v>5.4730158730158733E-2</v>
      </c>
      <c r="H12" s="3">
        <f t="shared" si="1"/>
        <v>2.0317460317460317E-3</v>
      </c>
      <c r="I12" s="2">
        <f>1-(0.023+0.035)</f>
        <v>0.94199999999999995</v>
      </c>
      <c r="J12" s="4">
        <v>2225.8200000000002</v>
      </c>
      <c r="K12" s="2">
        <f>1-((29+14+10)/1575)</f>
        <v>0.96634920634920629</v>
      </c>
      <c r="L12" s="2">
        <f>1-((29+14+10)/1575)</f>
        <v>0.96634920634920629</v>
      </c>
      <c r="M12" s="2">
        <f>1-((29+14+10)/1575)</f>
        <v>0.96634920634920629</v>
      </c>
      <c r="N12" s="7">
        <v>1</v>
      </c>
      <c r="O12" s="7">
        <v>0</v>
      </c>
      <c r="P12" s="7">
        <v>1</v>
      </c>
      <c r="Q12" s="7">
        <v>1</v>
      </c>
      <c r="R12" s="7">
        <v>0</v>
      </c>
      <c r="S12" s="7">
        <v>1</v>
      </c>
      <c r="T12" s="7">
        <v>1</v>
      </c>
      <c r="U12" s="7">
        <v>1</v>
      </c>
      <c r="V12" s="9">
        <v>0.83599999999999997</v>
      </c>
    </row>
    <row r="13" spans="1:22" x14ac:dyDescent="0.45">
      <c r="A13" t="s">
        <v>16</v>
      </c>
      <c r="B13" t="s">
        <v>15</v>
      </c>
      <c r="C13">
        <v>6338</v>
      </c>
      <c r="D13">
        <v>319.7</v>
      </c>
      <c r="E13">
        <v>15.5</v>
      </c>
      <c r="F13" s="2">
        <f>1-0.196</f>
        <v>0.80400000000000005</v>
      </c>
      <c r="G13" s="3">
        <f t="shared" si="0"/>
        <v>5.0441779741243295E-2</v>
      </c>
      <c r="H13" s="3">
        <f t="shared" si="1"/>
        <v>2.4455664247396655E-3</v>
      </c>
      <c r="I13" s="2">
        <f>1-(0.139+0.034)</f>
        <v>0.82699999999999996</v>
      </c>
      <c r="J13" s="4">
        <v>1671.27</v>
      </c>
      <c r="K13" s="2">
        <f>1-((288+308+4)/6338)</f>
        <v>0.90533291259072257</v>
      </c>
      <c r="L13" s="2">
        <f>1-((288+308+4)/6338)</f>
        <v>0.90533291259072257</v>
      </c>
      <c r="M13" s="2">
        <f>1-((288+308+4)/6338)</f>
        <v>0.90533291259072257</v>
      </c>
      <c r="N13" s="7">
        <v>1</v>
      </c>
      <c r="O13" s="7">
        <v>1</v>
      </c>
      <c r="P13" s="7">
        <v>1</v>
      </c>
      <c r="Q13" s="7">
        <v>0</v>
      </c>
      <c r="R13" s="7">
        <v>0</v>
      </c>
      <c r="S13" s="7">
        <v>1</v>
      </c>
      <c r="T13" s="7">
        <v>1</v>
      </c>
      <c r="U13" s="7">
        <v>1</v>
      </c>
      <c r="V13" s="9">
        <v>0.68400000000000005</v>
      </c>
    </row>
    <row r="14" spans="1:22" x14ac:dyDescent="0.45">
      <c r="A14" t="s">
        <v>29</v>
      </c>
      <c r="B14" t="s">
        <v>15</v>
      </c>
      <c r="C14">
        <v>125</v>
      </c>
      <c r="D14">
        <v>10.6</v>
      </c>
      <c r="E14">
        <v>1</v>
      </c>
      <c r="F14" s="2">
        <f>1-0.64</f>
        <v>0.36</v>
      </c>
      <c r="G14" s="3">
        <f t="shared" si="0"/>
        <v>8.48E-2</v>
      </c>
      <c r="H14" s="3">
        <f t="shared" si="1"/>
        <v>8.0000000000000002E-3</v>
      </c>
      <c r="I14" s="2">
        <f>1-(0.019+0.038)</f>
        <v>0.94300000000000006</v>
      </c>
      <c r="J14" s="4">
        <v>2094.96</v>
      </c>
      <c r="K14" s="2">
        <f>1-((116)/125)</f>
        <v>7.1999999999999953E-2</v>
      </c>
      <c r="L14" s="2">
        <f>1-((64)/125)</f>
        <v>0.48799999999999999</v>
      </c>
      <c r="M14" s="2">
        <f>1-((10)/125)</f>
        <v>0.92</v>
      </c>
      <c r="N14" s="7">
        <v>0</v>
      </c>
      <c r="O14" s="7">
        <v>0</v>
      </c>
      <c r="P14" s="7">
        <v>0</v>
      </c>
      <c r="Q14" s="7">
        <v>1</v>
      </c>
      <c r="R14" s="7">
        <v>0</v>
      </c>
      <c r="S14" s="7">
        <v>0</v>
      </c>
      <c r="T14" s="7">
        <v>0</v>
      </c>
      <c r="U14" s="7">
        <v>0</v>
      </c>
      <c r="V14" s="9">
        <v>0.30399999999999999</v>
      </c>
    </row>
    <row r="15" spans="1:22" x14ac:dyDescent="0.45">
      <c r="A15" t="s">
        <v>30</v>
      </c>
      <c r="B15" t="s">
        <v>15</v>
      </c>
      <c r="C15">
        <v>531</v>
      </c>
      <c r="D15">
        <v>24.5</v>
      </c>
      <c r="E15">
        <v>1</v>
      </c>
      <c r="F15" s="2">
        <f>1-0.068</f>
        <v>0.93199999999999994</v>
      </c>
      <c r="G15" s="3">
        <f t="shared" si="0"/>
        <v>4.6139359698681735E-2</v>
      </c>
      <c r="H15" s="3">
        <f t="shared" si="1"/>
        <v>1.8832391713747645E-3</v>
      </c>
      <c r="I15" s="2">
        <f>1-(0.163+0.041)</f>
        <v>0.79600000000000004</v>
      </c>
      <c r="J15" s="4">
        <v>1715.26</v>
      </c>
      <c r="K15" s="2">
        <f>1-((11)/531)</f>
        <v>0.9792843691148776</v>
      </c>
      <c r="L15" s="2">
        <f>1-((17)/531)</f>
        <v>0.967984934086629</v>
      </c>
      <c r="M15" s="2">
        <v>1</v>
      </c>
      <c r="N15" s="7">
        <v>1</v>
      </c>
      <c r="O15" s="7" t="s">
        <v>53</v>
      </c>
      <c r="P15" s="7" t="s">
        <v>53</v>
      </c>
      <c r="Q15" s="7" t="s">
        <v>53</v>
      </c>
      <c r="R15" s="7" t="s">
        <v>53</v>
      </c>
      <c r="S15" s="7" t="s">
        <v>53</v>
      </c>
      <c r="T15" s="7" t="s">
        <v>53</v>
      </c>
      <c r="U15" s="7" t="s">
        <v>53</v>
      </c>
      <c r="V15" s="9" t="s">
        <v>53</v>
      </c>
    </row>
    <row r="16" spans="1:22" x14ac:dyDescent="0.45">
      <c r="A16" t="s">
        <v>31</v>
      </c>
      <c r="B16" t="s">
        <v>15</v>
      </c>
      <c r="C16">
        <v>308</v>
      </c>
      <c r="D16">
        <v>10.7</v>
      </c>
      <c r="E16">
        <v>0</v>
      </c>
      <c r="F16" s="2">
        <v>1</v>
      </c>
      <c r="G16" s="3">
        <f t="shared" si="0"/>
        <v>3.4740259740259738E-2</v>
      </c>
      <c r="H16" s="3">
        <f t="shared" si="1"/>
        <v>0</v>
      </c>
      <c r="I16" s="2">
        <f>1-(0.094+0.094)</f>
        <v>0.81200000000000006</v>
      </c>
      <c r="J16" s="4">
        <v>1529.19</v>
      </c>
      <c r="K16" s="2">
        <v>1</v>
      </c>
      <c r="L16" s="2">
        <v>1</v>
      </c>
      <c r="M16" s="2">
        <v>1</v>
      </c>
      <c r="N16" s="7">
        <v>1</v>
      </c>
      <c r="O16" s="7" t="s">
        <v>53</v>
      </c>
      <c r="P16" s="7" t="s">
        <v>53</v>
      </c>
      <c r="Q16" s="7" t="s">
        <v>53</v>
      </c>
      <c r="R16" s="7" t="s">
        <v>53</v>
      </c>
      <c r="S16" s="7" t="s">
        <v>53</v>
      </c>
      <c r="T16" s="7" t="s">
        <v>53</v>
      </c>
      <c r="U16" s="7" t="s">
        <v>53</v>
      </c>
      <c r="V16" s="9" t="s">
        <v>53</v>
      </c>
    </row>
    <row r="17" spans="1:22" x14ac:dyDescent="0.45">
      <c r="A17" t="s">
        <v>32</v>
      </c>
      <c r="B17" t="s">
        <v>15</v>
      </c>
      <c r="C17">
        <v>428</v>
      </c>
      <c r="D17">
        <v>14.5</v>
      </c>
      <c r="E17">
        <v>0</v>
      </c>
      <c r="F17" s="2">
        <v>1</v>
      </c>
      <c r="G17" s="3">
        <f t="shared" si="0"/>
        <v>3.3878504672897193E-2</v>
      </c>
      <c r="H17" s="3">
        <f t="shared" si="1"/>
        <v>0</v>
      </c>
      <c r="I17" s="2">
        <f>1-(0.069)</f>
        <v>0.93100000000000005</v>
      </c>
      <c r="J17" s="4">
        <v>2233.9899999999998</v>
      </c>
      <c r="K17" s="2">
        <v>1</v>
      </c>
      <c r="L17" s="2">
        <v>1</v>
      </c>
      <c r="M17" s="2">
        <v>1</v>
      </c>
      <c r="N17" s="8">
        <v>1</v>
      </c>
      <c r="O17" s="8">
        <v>0</v>
      </c>
      <c r="P17" s="7">
        <v>0</v>
      </c>
      <c r="Q17" s="7">
        <v>1</v>
      </c>
      <c r="R17" s="7">
        <v>0</v>
      </c>
      <c r="S17" s="7">
        <v>1</v>
      </c>
      <c r="T17" s="7">
        <v>1</v>
      </c>
      <c r="U17" s="7">
        <v>1</v>
      </c>
      <c r="V17" s="10">
        <v>0.96299999999999997</v>
      </c>
    </row>
    <row r="18" spans="1:22" x14ac:dyDescent="0.45">
      <c r="A18" t="s">
        <v>17</v>
      </c>
      <c r="B18" t="s">
        <v>15</v>
      </c>
      <c r="C18">
        <v>820</v>
      </c>
      <c r="D18">
        <v>43.5</v>
      </c>
      <c r="E18">
        <v>1</v>
      </c>
      <c r="F18" s="2">
        <f>1-4.5%</f>
        <v>0.95499999999999996</v>
      </c>
      <c r="G18" s="3">
        <f t="shared" si="0"/>
        <v>5.3048780487804877E-2</v>
      </c>
      <c r="H18" s="3">
        <f t="shared" si="1"/>
        <v>1.2195121951219512E-3</v>
      </c>
      <c r="I18" s="2">
        <f>1-(0.035+0.023)</f>
        <v>0.94199999999999995</v>
      </c>
      <c r="J18" s="4">
        <v>2018.47</v>
      </c>
      <c r="K18" s="2">
        <f>1-(10/820)</f>
        <v>0.98780487804878048</v>
      </c>
      <c r="L18" s="2">
        <f>1-(20/820)</f>
        <v>0.97560975609756095</v>
      </c>
      <c r="M18" s="2">
        <f>1-(6/820)</f>
        <v>0.99268292682926829</v>
      </c>
      <c r="N18" s="8">
        <v>1</v>
      </c>
      <c r="O18" s="8">
        <v>0</v>
      </c>
      <c r="P18" s="7">
        <v>0</v>
      </c>
      <c r="Q18" s="7">
        <v>1</v>
      </c>
      <c r="R18" s="7">
        <v>0</v>
      </c>
      <c r="S18" s="7">
        <v>1</v>
      </c>
      <c r="T18" s="7">
        <v>1</v>
      </c>
      <c r="U18" s="7">
        <v>1</v>
      </c>
      <c r="V18" s="10">
        <v>0.97299999999999998</v>
      </c>
    </row>
    <row r="19" spans="1:22" x14ac:dyDescent="0.45">
      <c r="A19" t="s">
        <v>18</v>
      </c>
      <c r="B19" t="s">
        <v>15</v>
      </c>
      <c r="C19">
        <v>3827</v>
      </c>
      <c r="D19">
        <v>175.5</v>
      </c>
      <c r="E19">
        <v>8.6999999999999993</v>
      </c>
      <c r="F19" s="2">
        <f>1-15.9%</f>
        <v>0.84099999999999997</v>
      </c>
      <c r="G19" s="3">
        <f t="shared" si="0"/>
        <v>4.5858374706036056E-2</v>
      </c>
      <c r="H19" s="3">
        <f t="shared" si="1"/>
        <v>2.2733211392735823E-3</v>
      </c>
      <c r="I19" s="2">
        <f>1-(17.5%+7.4%)</f>
        <v>0.751</v>
      </c>
      <c r="J19" s="4">
        <v>2035.93</v>
      </c>
      <c r="K19" s="2">
        <f>1-(89/3827)</f>
        <v>0.97674418604651159</v>
      </c>
      <c r="L19" s="2">
        <f>1-(88/3827)</f>
        <v>0.97700548732688786</v>
      </c>
      <c r="M19" s="2">
        <v>1</v>
      </c>
      <c r="N19" s="8">
        <v>1</v>
      </c>
      <c r="O19" s="8">
        <v>1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1</v>
      </c>
      <c r="V19" s="10">
        <v>0.82499999999999996</v>
      </c>
    </row>
    <row r="20" spans="1:22" x14ac:dyDescent="0.45">
      <c r="A20" t="s">
        <v>19</v>
      </c>
      <c r="B20" t="s">
        <v>15</v>
      </c>
      <c r="C20">
        <v>15649</v>
      </c>
      <c r="D20">
        <v>778.1</v>
      </c>
      <c r="E20">
        <v>13.5</v>
      </c>
      <c r="F20" s="2">
        <f>1-0.153</f>
        <v>0.84699999999999998</v>
      </c>
      <c r="G20" s="3">
        <f t="shared" si="0"/>
        <v>4.9722026966579333E-2</v>
      </c>
      <c r="H20" s="3">
        <f t="shared" si="1"/>
        <v>8.6267493130551471E-4</v>
      </c>
      <c r="I20" s="2">
        <f>1-(3.5%+5.1%)</f>
        <v>0.91400000000000003</v>
      </c>
      <c r="J20" s="4">
        <v>1833.42</v>
      </c>
      <c r="K20" s="2">
        <f>1-(297/15649)</f>
        <v>0.98102115151127867</v>
      </c>
      <c r="L20" s="2">
        <f>1-(307/15649)</f>
        <v>0.98038213304364497</v>
      </c>
      <c r="M20" s="2">
        <v>1</v>
      </c>
      <c r="N20" s="8">
        <v>1</v>
      </c>
      <c r="O20" s="8">
        <v>1</v>
      </c>
      <c r="P20" s="7">
        <v>0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10">
        <v>0.79500000000000004</v>
      </c>
    </row>
    <row r="21" spans="1:22" x14ac:dyDescent="0.45">
      <c r="A21" t="s">
        <v>20</v>
      </c>
      <c r="B21" t="s">
        <v>15</v>
      </c>
      <c r="C21">
        <v>401</v>
      </c>
      <c r="D21">
        <v>37.4</v>
      </c>
      <c r="E21">
        <v>1.8</v>
      </c>
      <c r="F21" s="2">
        <f>1-0.02</f>
        <v>0.98</v>
      </c>
      <c r="G21" s="3">
        <f t="shared" si="0"/>
        <v>9.3266832917705739E-2</v>
      </c>
      <c r="H21" s="3">
        <f t="shared" si="1"/>
        <v>4.4887780548628431E-3</v>
      </c>
      <c r="I21" s="2">
        <f>1-(5.4%+2.7%)</f>
        <v>0.91900000000000004</v>
      </c>
      <c r="J21" s="4">
        <v>4834.32</v>
      </c>
      <c r="K21" s="2">
        <f>1-(46/401)</f>
        <v>0.88528678304239405</v>
      </c>
      <c r="L21" s="2">
        <f>1-(8/401)</f>
        <v>0.98004987531172072</v>
      </c>
      <c r="M21" s="2">
        <f>1-(0/401)</f>
        <v>1</v>
      </c>
      <c r="N21" s="8">
        <v>1</v>
      </c>
      <c r="O21" s="8">
        <v>0</v>
      </c>
      <c r="P21" s="7">
        <v>1</v>
      </c>
      <c r="Q21" s="7">
        <v>1</v>
      </c>
      <c r="R21" s="7">
        <v>0</v>
      </c>
      <c r="S21" s="7">
        <v>1</v>
      </c>
      <c r="T21" s="7">
        <v>0</v>
      </c>
      <c r="U21" s="7">
        <v>1</v>
      </c>
      <c r="V21" s="10">
        <v>1</v>
      </c>
    </row>
    <row r="22" spans="1:22" x14ac:dyDescent="0.45">
      <c r="A22" t="s">
        <v>33</v>
      </c>
      <c r="B22" t="s">
        <v>15</v>
      </c>
      <c r="C22">
        <v>8670</v>
      </c>
      <c r="D22">
        <v>424</v>
      </c>
      <c r="E22">
        <v>16.100000000000001</v>
      </c>
      <c r="F22" s="2">
        <f>1-0.121</f>
        <v>0.879</v>
      </c>
      <c r="G22" s="3">
        <f t="shared" si="0"/>
        <v>4.8904267589388699E-2</v>
      </c>
      <c r="H22" s="3">
        <f t="shared" si="1"/>
        <v>1.8569780853517879E-3</v>
      </c>
      <c r="I22" s="2">
        <f>1-(7.2%+6.4%)</f>
        <v>0.86399999999999999</v>
      </c>
      <c r="J22" s="4">
        <v>2215.3000000000002</v>
      </c>
      <c r="K22" s="2">
        <f t="shared" ref="K22" si="3">1-(46/401)</f>
        <v>0.88528678304239405</v>
      </c>
      <c r="L22" s="2">
        <f t="shared" ref="L22" si="4">1-(8/401)</f>
        <v>0.98004987531172072</v>
      </c>
      <c r="M22" s="2">
        <f t="shared" ref="M22" si="5">1-(0/401)</f>
        <v>1</v>
      </c>
      <c r="N22" s="8">
        <v>1</v>
      </c>
      <c r="O22" s="8">
        <v>1</v>
      </c>
      <c r="P22" s="7">
        <v>1</v>
      </c>
      <c r="Q22" s="7">
        <v>1</v>
      </c>
      <c r="R22" s="7">
        <v>0</v>
      </c>
      <c r="S22" s="7">
        <v>1</v>
      </c>
      <c r="T22" s="7">
        <v>1</v>
      </c>
      <c r="U22" s="7">
        <v>1</v>
      </c>
      <c r="V22" s="10">
        <v>0.82099999999999995</v>
      </c>
    </row>
    <row r="23" spans="1:22" x14ac:dyDescent="0.45">
      <c r="A23" t="s">
        <v>34</v>
      </c>
      <c r="B23" t="s">
        <v>15</v>
      </c>
      <c r="C23">
        <v>432</v>
      </c>
      <c r="D23">
        <v>16.3</v>
      </c>
      <c r="E23">
        <v>0</v>
      </c>
      <c r="F23" s="2">
        <f t="shared" ref="F23:F29" si="6">1-0.02</f>
        <v>0.98</v>
      </c>
      <c r="G23" s="3">
        <f t="shared" si="0"/>
        <v>3.7731481481481484E-2</v>
      </c>
      <c r="H23" s="3">
        <f t="shared" si="1"/>
        <v>0</v>
      </c>
      <c r="I23" s="2">
        <v>1</v>
      </c>
      <c r="J23" s="4">
        <v>2130.56</v>
      </c>
      <c r="K23" s="2">
        <v>1</v>
      </c>
      <c r="L23" s="2">
        <v>1</v>
      </c>
      <c r="M23" s="2">
        <f>1-(0/C23)</f>
        <v>1</v>
      </c>
      <c r="N23" s="8">
        <v>1</v>
      </c>
      <c r="O23" s="8">
        <v>0</v>
      </c>
      <c r="P23" s="7">
        <v>0</v>
      </c>
      <c r="Q23" s="7">
        <v>1</v>
      </c>
      <c r="R23" s="7">
        <v>0</v>
      </c>
      <c r="S23" s="7">
        <v>1</v>
      </c>
      <c r="T23" s="7">
        <v>1</v>
      </c>
      <c r="U23" s="7">
        <v>1</v>
      </c>
      <c r="V23" s="10">
        <v>1</v>
      </c>
    </row>
    <row r="24" spans="1:22" x14ac:dyDescent="0.45">
      <c r="A24" t="s">
        <v>35</v>
      </c>
      <c r="B24" t="s">
        <v>15</v>
      </c>
      <c r="C24">
        <v>711</v>
      </c>
      <c r="D24">
        <v>29.4</v>
      </c>
      <c r="E24">
        <v>1</v>
      </c>
      <c r="F24" s="2">
        <f>1-0.055</f>
        <v>0.94499999999999995</v>
      </c>
      <c r="G24" s="3">
        <f t="shared" si="0"/>
        <v>4.1350210970464131E-2</v>
      </c>
      <c r="H24" s="3">
        <f t="shared" si="1"/>
        <v>1.4064697609001407E-3</v>
      </c>
      <c r="I24" s="2">
        <v>1</v>
      </c>
      <c r="J24" s="4">
        <v>2370.87</v>
      </c>
      <c r="K24" s="2">
        <f>1-(34/$C24)</f>
        <v>0.95218002812939517</v>
      </c>
      <c r="L24" s="2">
        <f>1-(23/$C24)</f>
        <v>0.96765119549929679</v>
      </c>
      <c r="M24" s="2">
        <f>1-(0/$C24)</f>
        <v>1</v>
      </c>
      <c r="N24" s="8">
        <v>1</v>
      </c>
      <c r="O24" s="8">
        <v>0</v>
      </c>
      <c r="P24" s="7">
        <v>1</v>
      </c>
      <c r="Q24" s="7">
        <v>1</v>
      </c>
      <c r="R24" s="7">
        <v>0</v>
      </c>
      <c r="S24" s="7">
        <v>1</v>
      </c>
      <c r="T24" s="7">
        <v>1</v>
      </c>
      <c r="U24" s="7">
        <v>0</v>
      </c>
      <c r="V24" s="10">
        <v>0.94899999999999995</v>
      </c>
    </row>
    <row r="25" spans="1:22" x14ac:dyDescent="0.45">
      <c r="A25" t="s">
        <v>21</v>
      </c>
      <c r="B25" t="s">
        <v>15</v>
      </c>
      <c r="C25">
        <v>1030</v>
      </c>
      <c r="D25">
        <v>57</v>
      </c>
      <c r="E25">
        <v>3</v>
      </c>
      <c r="F25" s="2">
        <f t="shared" si="6"/>
        <v>0.98</v>
      </c>
      <c r="G25" s="3">
        <f t="shared" si="0"/>
        <v>5.533980582524272E-2</v>
      </c>
      <c r="H25" s="3">
        <f t="shared" si="1"/>
        <v>2.9126213592233011E-3</v>
      </c>
      <c r="I25" s="2">
        <f>1-(10.5%+7%)</f>
        <v>0.82499999999999996</v>
      </c>
      <c r="J25" s="4">
        <v>2081.39</v>
      </c>
      <c r="K25" s="2">
        <f>1-(28/$C25)</f>
        <v>0.97281553398058251</v>
      </c>
      <c r="L25" s="2">
        <f>1-(10/$C25)</f>
        <v>0.99029126213592233</v>
      </c>
      <c r="M25" s="2">
        <f>1-(0/$C25)</f>
        <v>1</v>
      </c>
      <c r="N25" s="8">
        <v>1</v>
      </c>
      <c r="O25" s="8">
        <v>0</v>
      </c>
      <c r="P25" s="7">
        <v>1</v>
      </c>
      <c r="Q25" s="7">
        <v>1</v>
      </c>
      <c r="R25" s="7">
        <v>0</v>
      </c>
      <c r="S25" s="7">
        <v>1</v>
      </c>
      <c r="T25" s="7">
        <v>1</v>
      </c>
      <c r="U25" s="7">
        <v>1</v>
      </c>
      <c r="V25" s="10">
        <v>0.96299999999999997</v>
      </c>
    </row>
    <row r="26" spans="1:22" x14ac:dyDescent="0.45">
      <c r="A26" t="s">
        <v>22</v>
      </c>
      <c r="B26" t="s">
        <v>15</v>
      </c>
      <c r="C26">
        <v>496</v>
      </c>
      <c r="D26">
        <v>25.5</v>
      </c>
      <c r="E26">
        <v>0</v>
      </c>
      <c r="F26" s="2">
        <f>1-0.123</f>
        <v>0.877</v>
      </c>
      <c r="G26" s="3">
        <f t="shared" si="0"/>
        <v>5.1411290322580648E-2</v>
      </c>
      <c r="H26" s="3">
        <f t="shared" si="1"/>
        <v>0</v>
      </c>
      <c r="I26" s="2">
        <f>1-(7.8%+11.8%)</f>
        <v>0.80400000000000005</v>
      </c>
      <c r="J26" s="4">
        <v>3716.2</v>
      </c>
      <c r="K26" s="2">
        <f t="shared" ref="K26:M28" si="7">1-(0/$C26)</f>
        <v>1</v>
      </c>
      <c r="L26" s="2">
        <f t="shared" si="7"/>
        <v>1</v>
      </c>
      <c r="M26" s="2">
        <f>1-(2/$C26)</f>
        <v>0.99596774193548387</v>
      </c>
      <c r="N26" s="8">
        <v>1</v>
      </c>
      <c r="O26" s="8">
        <v>0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10">
        <v>0.88900000000000001</v>
      </c>
    </row>
    <row r="27" spans="1:22" x14ac:dyDescent="0.45">
      <c r="A27" t="s">
        <v>24</v>
      </c>
      <c r="B27" t="s">
        <v>23</v>
      </c>
      <c r="C27">
        <v>118</v>
      </c>
      <c r="D27">
        <v>12.3</v>
      </c>
      <c r="E27">
        <v>0.6</v>
      </c>
      <c r="F27" s="2">
        <f>1-0</f>
        <v>1</v>
      </c>
      <c r="G27" s="3">
        <f t="shared" si="0"/>
        <v>0.10423728813559323</v>
      </c>
      <c r="H27" s="3">
        <f t="shared" si="1"/>
        <v>5.084745762711864E-3</v>
      </c>
      <c r="I27" s="2">
        <f>1-(8.2%)</f>
        <v>0.91800000000000004</v>
      </c>
      <c r="J27" s="4">
        <v>4429.53</v>
      </c>
      <c r="K27" s="2">
        <f t="shared" si="7"/>
        <v>1</v>
      </c>
      <c r="L27" s="2">
        <f t="shared" si="7"/>
        <v>1</v>
      </c>
      <c r="M27" s="2">
        <f t="shared" si="7"/>
        <v>1</v>
      </c>
      <c r="N27" s="8">
        <v>2</v>
      </c>
      <c r="O27" s="8">
        <v>0</v>
      </c>
      <c r="P27" s="7">
        <v>0</v>
      </c>
      <c r="Q27" s="7">
        <v>1</v>
      </c>
      <c r="R27" s="7">
        <v>0</v>
      </c>
      <c r="S27" s="7">
        <v>0</v>
      </c>
      <c r="T27" s="7">
        <v>1</v>
      </c>
      <c r="U27" s="7">
        <v>1</v>
      </c>
      <c r="V27" s="10">
        <v>1</v>
      </c>
    </row>
    <row r="28" spans="1:22" x14ac:dyDescent="0.45">
      <c r="A28" t="s">
        <v>25</v>
      </c>
      <c r="B28" t="s">
        <v>23</v>
      </c>
      <c r="C28">
        <v>127</v>
      </c>
      <c r="D28">
        <v>13.4</v>
      </c>
      <c r="E28">
        <v>0.4</v>
      </c>
      <c r="F28" s="2">
        <f>1-0.102</f>
        <v>0.89800000000000002</v>
      </c>
      <c r="G28" s="3">
        <f t="shared" si="0"/>
        <v>0.10551181102362205</v>
      </c>
      <c r="H28" s="3">
        <f t="shared" si="1"/>
        <v>3.1496062992125988E-3</v>
      </c>
      <c r="I28" s="2">
        <f>1-(10.3%)</f>
        <v>0.89700000000000002</v>
      </c>
      <c r="J28" s="4">
        <v>4633.96</v>
      </c>
      <c r="K28" s="2">
        <f t="shared" si="7"/>
        <v>1</v>
      </c>
      <c r="L28" s="2">
        <f>1-(4/$C28)</f>
        <v>0.96850393700787407</v>
      </c>
      <c r="M28" s="2">
        <f t="shared" si="7"/>
        <v>1</v>
      </c>
      <c r="N28" s="8">
        <v>1</v>
      </c>
      <c r="O28" s="8">
        <v>0</v>
      </c>
      <c r="P28" s="7">
        <v>1</v>
      </c>
      <c r="Q28" s="7">
        <v>1</v>
      </c>
      <c r="R28" s="7">
        <v>0</v>
      </c>
      <c r="S28" s="7">
        <v>1</v>
      </c>
      <c r="T28" s="7">
        <v>0</v>
      </c>
      <c r="U28" s="7">
        <v>1</v>
      </c>
      <c r="V28" s="10">
        <v>0.93799999999999994</v>
      </c>
    </row>
    <row r="29" spans="1:22" x14ac:dyDescent="0.45">
      <c r="A29" t="s">
        <v>26</v>
      </c>
      <c r="B29" t="s">
        <v>23</v>
      </c>
      <c r="C29">
        <v>1537</v>
      </c>
      <c r="D29">
        <v>80.3</v>
      </c>
      <c r="E29">
        <v>5</v>
      </c>
      <c r="F29" s="2">
        <f t="shared" si="6"/>
        <v>0.98</v>
      </c>
      <c r="G29" s="3">
        <f t="shared" si="0"/>
        <v>5.2244632400780741E-2</v>
      </c>
      <c r="H29" s="3">
        <f t="shared" si="1"/>
        <v>3.2530904359141183E-3</v>
      </c>
      <c r="I29" s="2">
        <f>1-(8.1%+6.2%)</f>
        <v>0.85699999999999998</v>
      </c>
      <c r="J29" s="4">
        <v>2196.92</v>
      </c>
      <c r="K29" s="2">
        <f>1-(62/$C29)</f>
        <v>0.95966167859466489</v>
      </c>
      <c r="L29" s="2">
        <f>1-(89/$C29)</f>
        <v>0.94209499024072874</v>
      </c>
      <c r="M29" s="2">
        <f>1-(4/$C29)</f>
        <v>0.99739752765126866</v>
      </c>
      <c r="N29" s="8">
        <v>1</v>
      </c>
      <c r="O29" s="8">
        <v>0</v>
      </c>
      <c r="P29" s="7">
        <v>0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10">
        <v>0.88500000000000001</v>
      </c>
    </row>
    <row r="36" spans="1:1" x14ac:dyDescent="0.45">
      <c r="A36" t="s">
        <v>67</v>
      </c>
    </row>
    <row r="37" spans="1:1" x14ac:dyDescent="0.45">
      <c r="A37" t="s">
        <v>69</v>
      </c>
    </row>
    <row r="38" spans="1:1" x14ac:dyDescent="0.45">
      <c r="A38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N10" sqref="N10"/>
    </sheetView>
  </sheetViews>
  <sheetFormatPr defaultRowHeight="14.25" x14ac:dyDescent="0.45"/>
  <cols>
    <col min="3" max="3" width="16.265625" bestFit="1" customWidth="1"/>
    <col min="4" max="4" width="16.265625" customWidth="1"/>
    <col min="11" max="11" width="9.06640625" style="7"/>
  </cols>
  <sheetData>
    <row r="1" spans="1:14" x14ac:dyDescent="0.45">
      <c r="A1" t="s">
        <v>0</v>
      </c>
      <c r="B1" t="s">
        <v>2</v>
      </c>
      <c r="C1" t="s">
        <v>27</v>
      </c>
      <c r="D1" t="s">
        <v>63</v>
      </c>
      <c r="E1" t="s">
        <v>47</v>
      </c>
      <c r="F1" t="s">
        <v>64</v>
      </c>
      <c r="G1" t="s">
        <v>48</v>
      </c>
      <c r="H1" t="s">
        <v>65</v>
      </c>
      <c r="I1" t="s">
        <v>49</v>
      </c>
      <c r="J1" t="s">
        <v>66</v>
      </c>
      <c r="K1" s="7" t="s">
        <v>68</v>
      </c>
      <c r="L1" s="7" t="s">
        <v>71</v>
      </c>
      <c r="M1" s="7" t="s">
        <v>72</v>
      </c>
    </row>
    <row r="2" spans="1:14" x14ac:dyDescent="0.45">
      <c r="A2" t="s">
        <v>1</v>
      </c>
      <c r="B2" t="s">
        <v>3</v>
      </c>
      <c r="C2" s="1">
        <v>1</v>
      </c>
      <c r="D2" s="7">
        <f>(C2-C$31)/C$30</f>
        <v>0.84859215132296673</v>
      </c>
      <c r="E2" s="2">
        <v>1</v>
      </c>
      <c r="F2" s="7">
        <f>(E2-E$31)/E$30</f>
        <v>0.41706081668470574</v>
      </c>
      <c r="G2" s="2">
        <v>1</v>
      </c>
      <c r="H2" s="7">
        <f>(G2-G$31)/G$30</f>
        <v>0.50463076679079666</v>
      </c>
      <c r="I2" s="2">
        <v>1</v>
      </c>
      <c r="J2" s="7">
        <f>(I2-I$31)/I$30</f>
        <v>0.4991249221819461</v>
      </c>
      <c r="K2" s="9">
        <v>0.93330000000000002</v>
      </c>
      <c r="L2" s="7">
        <f>(K2-K$31)/K$30</f>
        <v>0.22362278679294184</v>
      </c>
      <c r="M2">
        <f>AVERAGE(L2+J2+H2+F2+D2)</f>
        <v>2.4930314437733569</v>
      </c>
      <c r="N2">
        <f>MATCH(M2,PERCENTILE(M$2:M$29,{5,4,3,2,1}/5),-1)</f>
        <v>2</v>
      </c>
    </row>
    <row r="3" spans="1:14" x14ac:dyDescent="0.45">
      <c r="A3" t="s">
        <v>4</v>
      </c>
      <c r="B3" t="s">
        <v>3</v>
      </c>
      <c r="C3" s="1">
        <v>0.82899999999999996</v>
      </c>
      <c r="D3" s="7">
        <f t="shared" ref="D3:D29" si="0">(C3-C$31)/C$30</f>
        <v>-0.35492065096801967</v>
      </c>
      <c r="E3" s="2">
        <v>0.80487804878048785</v>
      </c>
      <c r="F3" s="7">
        <f t="shared" ref="F3" si="1">(E3-E$31)/E$30</f>
        <v>-0.6901949059500645</v>
      </c>
      <c r="G3" s="2">
        <v>1</v>
      </c>
      <c r="H3" s="7">
        <f t="shared" ref="H3" si="2">(G3-G$31)/G$30</f>
        <v>0.50463076679079666</v>
      </c>
      <c r="I3" s="2">
        <v>1</v>
      </c>
      <c r="J3" s="7">
        <f t="shared" ref="J3" si="3">(I3-I$31)/I$30</f>
        <v>0.4991249221819461</v>
      </c>
      <c r="K3" s="9">
        <v>1</v>
      </c>
      <c r="L3" s="7">
        <f t="shared" ref="L3:L29" si="4">(K3-K$31)/K$30</f>
        <v>0.6873557610484371</v>
      </c>
      <c r="M3">
        <f t="shared" ref="M3:M29" si="5">AVERAGE(L3+J3+H3+F3+D3)</f>
        <v>0.64599589310309558</v>
      </c>
      <c r="N3">
        <f>MATCH(M3,PERCENTILE(M$2:M$29,{5,4,3,2,1}/5),-1)</f>
        <v>4</v>
      </c>
    </row>
    <row r="4" spans="1:14" x14ac:dyDescent="0.45">
      <c r="A4" t="s">
        <v>5</v>
      </c>
      <c r="B4" t="s">
        <v>3</v>
      </c>
      <c r="C4" s="2">
        <v>1</v>
      </c>
      <c r="D4" s="7">
        <f t="shared" si="0"/>
        <v>0.84859215132296673</v>
      </c>
      <c r="E4" s="2">
        <v>1</v>
      </c>
      <c r="F4" s="7">
        <f t="shared" ref="F4" si="6">(E4-E$31)/E$30</f>
        <v>0.41706081668470574</v>
      </c>
      <c r="G4" s="2">
        <v>1</v>
      </c>
      <c r="H4" s="7">
        <f t="shared" ref="H4" si="7">(G4-G$31)/G$30</f>
        <v>0.50463076679079666</v>
      </c>
      <c r="I4" s="2">
        <v>1</v>
      </c>
      <c r="J4" s="7">
        <f t="shared" ref="J4" si="8">(I4-I$31)/I$30</f>
        <v>0.4991249221819461</v>
      </c>
      <c r="K4" s="9">
        <v>1</v>
      </c>
      <c r="L4" s="7">
        <f t="shared" si="4"/>
        <v>0.6873557610484371</v>
      </c>
      <c r="M4">
        <f t="shared" si="5"/>
        <v>2.9567644180288521</v>
      </c>
      <c r="N4">
        <f>MATCH(M4,PERCENTILE(M$2:M$29,{5,4,3,2,1}/5),-1)</f>
        <v>1</v>
      </c>
    </row>
    <row r="5" spans="1:14" x14ac:dyDescent="0.45">
      <c r="A5" t="s">
        <v>6</v>
      </c>
      <c r="B5" t="s">
        <v>3</v>
      </c>
      <c r="C5" s="5">
        <v>0.67700000000000005</v>
      </c>
      <c r="D5" s="7">
        <f t="shared" si="0"/>
        <v>-1.4247098085600067</v>
      </c>
      <c r="E5" s="2">
        <v>1</v>
      </c>
      <c r="F5" s="7">
        <f t="shared" ref="F5" si="9">(E5-E$31)/E$30</f>
        <v>0.41706081668470574</v>
      </c>
      <c r="G5" s="2">
        <v>0.88</v>
      </c>
      <c r="H5" s="7">
        <f t="shared" ref="H5" si="10">(G5-G$31)/G$30</f>
        <v>-0.69178509790298925</v>
      </c>
      <c r="I5" s="2">
        <v>1</v>
      </c>
      <c r="J5" s="7">
        <f t="shared" ref="J5" si="11">(I5-I$31)/I$30</f>
        <v>0.4991249221819461</v>
      </c>
      <c r="K5" s="9">
        <v>1</v>
      </c>
      <c r="L5" s="7">
        <f t="shared" si="4"/>
        <v>0.6873557610484371</v>
      </c>
      <c r="M5">
        <f t="shared" si="5"/>
        <v>-0.51295340654790711</v>
      </c>
      <c r="N5">
        <f>MATCH(M5,PERCENTILE(M$2:M$29,{5,4,3,2,1}/5),-1)</f>
        <v>4</v>
      </c>
    </row>
    <row r="6" spans="1:14" x14ac:dyDescent="0.45">
      <c r="A6" t="s">
        <v>7</v>
      </c>
      <c r="B6" t="s">
        <v>3</v>
      </c>
      <c r="C6" s="2">
        <v>0.94799999999999995</v>
      </c>
      <c r="D6" s="7">
        <f t="shared" si="0"/>
        <v>0.48261165004149698</v>
      </c>
      <c r="E6" s="2">
        <v>1</v>
      </c>
      <c r="F6" s="7">
        <f t="shared" ref="F6" si="12">(E6-E$31)/E$30</f>
        <v>0.41706081668470574</v>
      </c>
      <c r="G6" s="2">
        <v>1</v>
      </c>
      <c r="H6" s="7">
        <f t="shared" ref="H6" si="13">(G6-G$31)/G$30</f>
        <v>0.50463076679079666</v>
      </c>
      <c r="I6" s="2">
        <v>1</v>
      </c>
      <c r="J6" s="7">
        <f t="shared" ref="J6" si="14">(I6-I$31)/I$30</f>
        <v>0.4991249221819461</v>
      </c>
      <c r="K6" s="9">
        <v>1</v>
      </c>
      <c r="L6" s="7">
        <f t="shared" si="4"/>
        <v>0.6873557610484371</v>
      </c>
      <c r="M6">
        <f t="shared" si="5"/>
        <v>2.5907839167473825</v>
      </c>
      <c r="N6">
        <f>MATCH(M6,PERCENTILE(M$2:M$29,{5,4,3,2,1}/5),-1)</f>
        <v>1</v>
      </c>
    </row>
    <row r="7" spans="1:14" x14ac:dyDescent="0.45">
      <c r="A7" t="s">
        <v>8</v>
      </c>
      <c r="B7" t="s">
        <v>3</v>
      </c>
      <c r="C7" s="2">
        <v>0.71399999999999997</v>
      </c>
      <c r="D7" s="7">
        <f t="shared" si="0"/>
        <v>-1.1643006057251155</v>
      </c>
      <c r="E7" s="2">
        <v>1</v>
      </c>
      <c r="F7" s="7">
        <f t="shared" ref="F7" si="15">(E7-E$31)/E$30</f>
        <v>0.41706081668470574</v>
      </c>
      <c r="G7" s="2">
        <v>1</v>
      </c>
      <c r="H7" s="7">
        <f t="shared" ref="H7" si="16">(G7-G$31)/G$30</f>
        <v>0.50463076679079666</v>
      </c>
      <c r="I7" s="2">
        <v>1</v>
      </c>
      <c r="J7" s="7">
        <f t="shared" ref="J7" si="17">(I7-I$31)/I$30</f>
        <v>0.4991249221819461</v>
      </c>
      <c r="K7" s="9">
        <v>1</v>
      </c>
      <c r="L7" s="7">
        <f t="shared" si="4"/>
        <v>0.6873557610484371</v>
      </c>
      <c r="M7">
        <f t="shared" si="5"/>
        <v>0.94387166098077002</v>
      </c>
      <c r="N7">
        <f>MATCH(M7,PERCENTILE(M$2:M$29,{5,4,3,2,1}/5),-1)</f>
        <v>3</v>
      </c>
    </row>
    <row r="8" spans="1:14" x14ac:dyDescent="0.45">
      <c r="A8" t="s">
        <v>9</v>
      </c>
      <c r="B8" t="s">
        <v>3</v>
      </c>
      <c r="C8" s="2">
        <v>0.75600000000000001</v>
      </c>
      <c r="D8" s="7">
        <f t="shared" si="0"/>
        <v>-0.86870097007469771</v>
      </c>
      <c r="E8" s="2">
        <v>0.83753258036490008</v>
      </c>
      <c r="F8" s="7">
        <f t="shared" ref="F8" si="18">(E8-E$31)/E$30</f>
        <v>-0.50489070649522316</v>
      </c>
      <c r="G8" s="2">
        <v>0.83753258036490008</v>
      </c>
      <c r="H8" s="7">
        <f t="shared" ref="H8" si="19">(G8-G$31)/G$30</f>
        <v>-1.1151908861033388</v>
      </c>
      <c r="I8" s="2">
        <v>0.83753258036490008</v>
      </c>
      <c r="J8" s="7">
        <f t="shared" ref="J8" si="20">(I8-I$31)/I$30</f>
        <v>-3.2306041870247597</v>
      </c>
      <c r="K8" s="9">
        <v>0.79569999999999996</v>
      </c>
      <c r="L8" s="7">
        <f t="shared" si="4"/>
        <v>-0.73304373880760065</v>
      </c>
      <c r="M8">
        <f t="shared" si="5"/>
        <v>-6.4524304885056196</v>
      </c>
      <c r="N8">
        <f>MATCH(M8,PERCENTILE(M$2:M$29,{5,4,3,2,1}/5),-1)</f>
        <v>5</v>
      </c>
    </row>
    <row r="9" spans="1:14" x14ac:dyDescent="0.45">
      <c r="A9" t="s">
        <v>10</v>
      </c>
      <c r="B9" t="s">
        <v>3</v>
      </c>
      <c r="C9" s="2">
        <v>0.73599999999999999</v>
      </c>
      <c r="D9" s="7">
        <f t="shared" si="0"/>
        <v>-1.0094627013368014</v>
      </c>
      <c r="E9" s="2">
        <v>0.87319289549772816</v>
      </c>
      <c r="F9" s="7">
        <f t="shared" ref="F9" si="21">(E9-E$31)/E$30</f>
        <v>-0.30252963048608433</v>
      </c>
      <c r="G9" s="2">
        <v>0.87319289549772816</v>
      </c>
      <c r="H9" s="7">
        <f t="shared" ref="H9" si="22">(G9-G$31)/G$30</f>
        <v>-0.75965282972921033</v>
      </c>
      <c r="I9" s="2">
        <v>0.87319289549772816</v>
      </c>
      <c r="J9" s="7">
        <f t="shared" ref="J9" si="23">(I9-I$31)/I$30</f>
        <v>-2.4119581120571305</v>
      </c>
      <c r="K9" s="9">
        <v>0.89949999999999997</v>
      </c>
      <c r="L9" s="7">
        <f t="shared" si="4"/>
        <v>-1.1372333594400975E-2</v>
      </c>
      <c r="M9">
        <f t="shared" si="5"/>
        <v>-4.494975607203628</v>
      </c>
      <c r="N9">
        <f>MATCH(M9,PERCENTILE(M$2:M$29,{5,4,3,2,1}/5),-1)</f>
        <v>5</v>
      </c>
    </row>
    <row r="10" spans="1:14" x14ac:dyDescent="0.45">
      <c r="A10" t="s">
        <v>11</v>
      </c>
      <c r="B10" t="s">
        <v>3</v>
      </c>
      <c r="C10" s="2">
        <v>1</v>
      </c>
      <c r="D10" s="7">
        <f t="shared" si="0"/>
        <v>0.84859215132296673</v>
      </c>
      <c r="E10" s="2">
        <v>0.97002141327623126</v>
      </c>
      <c r="F10" s="7">
        <f t="shared" ref="F10" si="24">(E10-E$31)/E$30</f>
        <v>0.24694176293942779</v>
      </c>
      <c r="G10" s="2">
        <v>0.97002141327623126</v>
      </c>
      <c r="H10" s="7">
        <f t="shared" ref="H10" si="25">(G10-G$31)/G$30</f>
        <v>0.20574029381233477</v>
      </c>
      <c r="I10" s="2">
        <v>0.97002141327623126</v>
      </c>
      <c r="J10" s="7">
        <f t="shared" ref="J10" si="26">(I10-I$31)/I$30</f>
        <v>-0.18908695320603344</v>
      </c>
      <c r="K10" s="9">
        <v>0.88329999999999997</v>
      </c>
      <c r="L10" s="7">
        <f t="shared" si="4"/>
        <v>-0.12400313093981358</v>
      </c>
      <c r="M10">
        <f t="shared" si="5"/>
        <v>0.98818412392888222</v>
      </c>
      <c r="N10">
        <f>MATCH(M10,PERCENTILE(M$2:M$29,{5,4,3,2,1}/5),-1)</f>
        <v>3</v>
      </c>
    </row>
    <row r="11" spans="1:14" x14ac:dyDescent="0.45">
      <c r="A11" t="s">
        <v>12</v>
      </c>
      <c r="B11" t="s">
        <v>13</v>
      </c>
      <c r="C11" s="2">
        <v>0.93500000000000005</v>
      </c>
      <c r="D11" s="7">
        <f t="shared" si="0"/>
        <v>0.39111652472113029</v>
      </c>
      <c r="E11" s="2">
        <v>0.93274853801169588</v>
      </c>
      <c r="F11" s="7">
        <f t="shared" ref="F11" si="27">(E11-E$31)/E$30</f>
        <v>3.542991520642029E-2</v>
      </c>
      <c r="G11" s="2">
        <v>0.93274853801169588</v>
      </c>
      <c r="H11" s="7">
        <f t="shared" ref="H11" si="28">(G11-G$31)/G$30</f>
        <v>-0.16587520026468788</v>
      </c>
      <c r="I11" s="2">
        <v>0.93274853801169588</v>
      </c>
      <c r="J11" s="7">
        <f t="shared" ref="J11" si="29">(I11-I$31)/I$30</f>
        <v>-1.0447522193264687</v>
      </c>
      <c r="K11" s="9">
        <v>0.89500000000000002</v>
      </c>
      <c r="L11" s="7">
        <f t="shared" si="4"/>
        <v>-4.2658666190348575E-2</v>
      </c>
      <c r="M11">
        <f t="shared" si="5"/>
        <v>-0.82673964585395443</v>
      </c>
      <c r="N11">
        <f>MATCH(M11,PERCENTILE(M$2:M$29,{5,4,3,2,1}/5),-1)</f>
        <v>5</v>
      </c>
    </row>
    <row r="12" spans="1:14" x14ac:dyDescent="0.45">
      <c r="A12" t="s">
        <v>14</v>
      </c>
      <c r="B12" t="s">
        <v>13</v>
      </c>
      <c r="C12" s="2">
        <v>0.77100000000000002</v>
      </c>
      <c r="D12" s="7">
        <f t="shared" si="0"/>
        <v>-0.76312967162811984</v>
      </c>
      <c r="E12" s="2">
        <v>0.96634920634920629</v>
      </c>
      <c r="F12" s="7">
        <f t="shared" ref="F12" si="30">(E12-E$31)/E$30</f>
        <v>0.22610314324935965</v>
      </c>
      <c r="G12" s="2">
        <v>0.96634920634920629</v>
      </c>
      <c r="H12" s="7">
        <f t="shared" ref="H12" si="31">(G12-G$31)/G$30</f>
        <v>0.16912790526290905</v>
      </c>
      <c r="I12" s="2">
        <v>0.96634920634920629</v>
      </c>
      <c r="J12" s="7">
        <f t="shared" ref="J12" si="32">(I12-I$31)/I$30</f>
        <v>-0.27338900651319714</v>
      </c>
      <c r="K12" s="9">
        <v>0.83599999999999997</v>
      </c>
      <c r="L12" s="7">
        <f t="shared" si="4"/>
        <v>-0.45285724911499997</v>
      </c>
      <c r="M12">
        <f t="shared" si="5"/>
        <v>-1.0941448787440482</v>
      </c>
      <c r="N12">
        <f>MATCH(M12,PERCENTILE(M$2:M$29,{5,4,3,2,1}/5),-1)</f>
        <v>5</v>
      </c>
    </row>
    <row r="13" spans="1:14" x14ac:dyDescent="0.45">
      <c r="A13" t="s">
        <v>16</v>
      </c>
      <c r="B13" t="s">
        <v>15</v>
      </c>
      <c r="C13" s="2">
        <v>0.80400000000000005</v>
      </c>
      <c r="D13" s="7">
        <f t="shared" si="0"/>
        <v>-0.53087281504564865</v>
      </c>
      <c r="E13" s="2">
        <v>0.90533291259072257</v>
      </c>
      <c r="F13" s="7">
        <f t="shared" ref="F13" si="33">(E13-E$31)/E$30</f>
        <v>-0.12014513899562264</v>
      </c>
      <c r="G13" s="2">
        <v>0.90533291259072257</v>
      </c>
      <c r="H13" s="7">
        <f t="shared" ref="H13" si="34">(G13-G$31)/G$30</f>
        <v>-0.43921261021597724</v>
      </c>
      <c r="I13" s="2">
        <v>0.90533291259072257</v>
      </c>
      <c r="J13" s="7">
        <f t="shared" ref="J13" si="35">(I13-I$31)/I$30</f>
        <v>-1.674126751213356</v>
      </c>
      <c r="K13" s="9">
        <v>0.68400000000000005</v>
      </c>
      <c r="L13" s="7">
        <f t="shared" si="4"/>
        <v>-1.509640039022575</v>
      </c>
      <c r="M13">
        <f t="shared" si="5"/>
        <v>-4.2739973544931793</v>
      </c>
      <c r="N13">
        <f>MATCH(M13,PERCENTILE(M$2:M$29,{5,4,3,2,1}/5),-1)</f>
        <v>5</v>
      </c>
    </row>
    <row r="14" spans="1:14" x14ac:dyDescent="0.45">
      <c r="A14" t="s">
        <v>29</v>
      </c>
      <c r="B14" t="s">
        <v>15</v>
      </c>
      <c r="C14" s="2">
        <v>0.36</v>
      </c>
      <c r="D14" s="7">
        <f t="shared" si="0"/>
        <v>-3.65578324906435</v>
      </c>
      <c r="E14" s="2">
        <v>7.1999999999999953E-2</v>
      </c>
      <c r="F14" s="7">
        <f t="shared" ref="F14" si="36">(E14-E$31)/E$30</f>
        <v>-4.8490474001662633</v>
      </c>
      <c r="G14" s="2">
        <v>0.48799999999999999</v>
      </c>
      <c r="H14" s="7">
        <f t="shared" ref="H14" si="37">(G14-G$31)/G$30</f>
        <v>-4.6000769225693565</v>
      </c>
      <c r="I14" s="2">
        <v>0.92</v>
      </c>
      <c r="J14" s="7">
        <f t="shared" ref="J14" si="38">(I14-I$31)/I$30</f>
        <v>-1.3374176252819754</v>
      </c>
      <c r="K14" s="9">
        <v>0.30399999999999999</v>
      </c>
      <c r="L14" s="7">
        <f t="shared" si="4"/>
        <v>-4.1515970137915144</v>
      </c>
      <c r="M14">
        <f t="shared" si="5"/>
        <v>-18.593922210873458</v>
      </c>
      <c r="N14">
        <f>MATCH(M14,PERCENTILE(M$2:M$29,{5,4,3,2,1}/5),-1)</f>
        <v>5</v>
      </c>
    </row>
    <row r="15" spans="1:14" x14ac:dyDescent="0.45">
      <c r="A15" t="s">
        <v>30</v>
      </c>
      <c r="B15" t="s">
        <v>15</v>
      </c>
      <c r="C15" s="2">
        <v>0.93199999999999994</v>
      </c>
      <c r="D15" s="7">
        <f t="shared" si="0"/>
        <v>0.37000226503181394</v>
      </c>
      <c r="E15" s="2">
        <v>0.9792843691148776</v>
      </c>
      <c r="F15" s="7">
        <f t="shared" ref="F15" si="39">(E15-E$31)/E$30</f>
        <v>0.29950612485130618</v>
      </c>
      <c r="G15" s="2">
        <v>0.967984934086629</v>
      </c>
      <c r="H15" s="7">
        <f t="shared" ref="H15" si="40">(G15-G$31)/G$30</f>
        <v>0.1854363270576774</v>
      </c>
      <c r="I15" s="2">
        <v>1</v>
      </c>
      <c r="J15" s="7">
        <f t="shared" ref="J15" si="41">(I15-I$31)/I$30</f>
        <v>0.4991249221819461</v>
      </c>
      <c r="K15" s="9">
        <v>1</v>
      </c>
      <c r="L15" s="7">
        <f t="shared" si="4"/>
        <v>0.6873557610484371</v>
      </c>
      <c r="M15">
        <f t="shared" si="5"/>
        <v>2.0414254001711805</v>
      </c>
      <c r="N15">
        <f>MATCH(M15,PERCENTILE(M$2:M$29,{5,4,3,2,1}/5),-1)</f>
        <v>2</v>
      </c>
    </row>
    <row r="16" spans="1:14" x14ac:dyDescent="0.45">
      <c r="A16" t="s">
        <v>31</v>
      </c>
      <c r="B16" t="s">
        <v>15</v>
      </c>
      <c r="C16" s="2">
        <v>1</v>
      </c>
      <c r="D16" s="7">
        <f t="shared" si="0"/>
        <v>0.84859215132296673</v>
      </c>
      <c r="E16" s="2">
        <v>1</v>
      </c>
      <c r="F16" s="7">
        <f t="shared" ref="F16" si="42">(E16-E$31)/E$30</f>
        <v>0.41706081668470574</v>
      </c>
      <c r="G16" s="2">
        <v>1</v>
      </c>
      <c r="H16" s="7">
        <f t="shared" ref="H16" si="43">(G16-G$31)/G$30</f>
        <v>0.50463076679079666</v>
      </c>
      <c r="I16" s="2">
        <v>1</v>
      </c>
      <c r="J16" s="7">
        <f t="shared" ref="J16" si="44">(I16-I$31)/I$30</f>
        <v>0.4991249221819461</v>
      </c>
      <c r="K16" s="9">
        <v>1</v>
      </c>
      <c r="L16" s="7">
        <f t="shared" si="4"/>
        <v>0.6873557610484371</v>
      </c>
      <c r="M16">
        <f t="shared" si="5"/>
        <v>2.9567644180288521</v>
      </c>
      <c r="N16">
        <f>MATCH(M16,PERCENTILE(M$2:M$29,{5,4,3,2,1}/5),-1)</f>
        <v>1</v>
      </c>
    </row>
    <row r="17" spans="1:14" x14ac:dyDescent="0.45">
      <c r="A17" t="s">
        <v>32</v>
      </c>
      <c r="B17" t="s">
        <v>15</v>
      </c>
      <c r="C17" s="2">
        <v>1</v>
      </c>
      <c r="D17" s="7">
        <f t="shared" si="0"/>
        <v>0.84859215132296673</v>
      </c>
      <c r="E17" s="2">
        <v>1</v>
      </c>
      <c r="F17" s="7">
        <f t="shared" ref="F17" si="45">(E17-E$31)/E$30</f>
        <v>0.41706081668470574</v>
      </c>
      <c r="G17" s="2">
        <v>1</v>
      </c>
      <c r="H17" s="7">
        <f t="shared" ref="H17" si="46">(G17-G$31)/G$30</f>
        <v>0.50463076679079666</v>
      </c>
      <c r="I17" s="2">
        <v>1</v>
      </c>
      <c r="J17" s="7">
        <f t="shared" ref="J17" si="47">(I17-I$31)/I$30</f>
        <v>0.4991249221819461</v>
      </c>
      <c r="K17" s="10">
        <v>0.96299999999999997</v>
      </c>
      <c r="L17" s="7">
        <f t="shared" si="4"/>
        <v>0.43011258192619806</v>
      </c>
      <c r="M17">
        <f t="shared" si="5"/>
        <v>2.6995212389066134</v>
      </c>
      <c r="N17">
        <f>MATCH(M17,PERCENTILE(M$2:M$29,{5,4,3,2,1}/5),-1)</f>
        <v>1</v>
      </c>
    </row>
    <row r="18" spans="1:14" x14ac:dyDescent="0.45">
      <c r="A18" t="s">
        <v>17</v>
      </c>
      <c r="B18" t="s">
        <v>15</v>
      </c>
      <c r="C18" s="2">
        <v>0.95499999999999996</v>
      </c>
      <c r="D18" s="7">
        <f t="shared" si="0"/>
        <v>0.53187825598323324</v>
      </c>
      <c r="E18" s="2">
        <v>0.98780487804878048</v>
      </c>
      <c r="F18" s="7">
        <f t="shared" ref="F18" si="48">(E18-E$31)/E$30</f>
        <v>0.34785733402003249</v>
      </c>
      <c r="G18" s="2">
        <v>0.97560975609756095</v>
      </c>
      <c r="H18" s="7">
        <f t="shared" ref="H18" si="49">(G18-G$31)/G$30</f>
        <v>0.26145681055222209</v>
      </c>
      <c r="I18" s="2">
        <v>0.99268292682926829</v>
      </c>
      <c r="J18" s="7">
        <f t="shared" ref="J18" si="50">(I18-I$31)/I$30</f>
        <v>0.33114846967000183</v>
      </c>
      <c r="K18" s="10">
        <v>0.97299999999999998</v>
      </c>
      <c r="L18" s="7">
        <f t="shared" si="4"/>
        <v>0.49963776547274913</v>
      </c>
      <c r="M18">
        <f t="shared" si="5"/>
        <v>1.9719786356982385</v>
      </c>
      <c r="N18">
        <f>MATCH(M18,PERCENTILE(M$2:M$29,{5,4,3,2,1}/5),-1)</f>
        <v>2</v>
      </c>
    </row>
    <row r="19" spans="1:14" x14ac:dyDescent="0.45">
      <c r="A19" t="s">
        <v>18</v>
      </c>
      <c r="B19" t="s">
        <v>15</v>
      </c>
      <c r="C19" s="2">
        <v>0.84099999999999997</v>
      </c>
      <c r="D19" s="7">
        <f t="shared" si="0"/>
        <v>-0.27046361221075743</v>
      </c>
      <c r="E19" s="2">
        <v>0.97674418604651159</v>
      </c>
      <c r="F19" s="7">
        <f t="shared" ref="F19" si="51">(E19-E$31)/E$30</f>
        <v>0.28509138462649158</v>
      </c>
      <c r="G19" s="2">
        <v>0.97700548732688786</v>
      </c>
      <c r="H19" s="7">
        <f t="shared" ref="H19" si="52">(G19-G$31)/G$30</f>
        <v>0.27537243543234929</v>
      </c>
      <c r="I19" s="2">
        <v>1</v>
      </c>
      <c r="J19" s="7">
        <f t="shared" ref="J19" si="53">(I19-I$31)/I$30</f>
        <v>0.4991249221819461</v>
      </c>
      <c r="K19" s="10">
        <v>0.82499999999999996</v>
      </c>
      <c r="L19" s="7">
        <f t="shared" si="4"/>
        <v>-0.5293349510162062</v>
      </c>
      <c r="M19">
        <f t="shared" si="5"/>
        <v>0.2597901790138234</v>
      </c>
      <c r="N19">
        <f>MATCH(M19,PERCENTILE(M$2:M$29,{5,4,3,2,1}/5),-1)</f>
        <v>4</v>
      </c>
    </row>
    <row r="20" spans="1:14" x14ac:dyDescent="0.45">
      <c r="A20" t="s">
        <v>19</v>
      </c>
      <c r="B20" t="s">
        <v>15</v>
      </c>
      <c r="C20" s="2">
        <v>0.84699999999999998</v>
      </c>
      <c r="D20" s="7">
        <f t="shared" si="0"/>
        <v>-0.22823509283212629</v>
      </c>
      <c r="E20" s="2">
        <v>0.98102115151127867</v>
      </c>
      <c r="F20" s="7">
        <f t="shared" ref="F20" si="54">(E20-E$31)/E$30</f>
        <v>0.30936181886916153</v>
      </c>
      <c r="G20" s="2">
        <v>0.98038213304364497</v>
      </c>
      <c r="H20" s="7">
        <f t="shared" ref="H20" si="55">(G20-G$31)/G$30</f>
        <v>0.30903803964050369</v>
      </c>
      <c r="I20" s="2">
        <v>1</v>
      </c>
      <c r="J20" s="7">
        <f t="shared" ref="J20" si="56">(I20-I$31)/I$30</f>
        <v>0.4991249221819461</v>
      </c>
      <c r="K20" s="10">
        <v>0.79500000000000004</v>
      </c>
      <c r="L20" s="7">
        <f t="shared" si="4"/>
        <v>-0.7379105016558587</v>
      </c>
      <c r="M20">
        <f t="shared" si="5"/>
        <v>0.15137918620362634</v>
      </c>
      <c r="N20">
        <f>MATCH(M20,PERCENTILE(M$2:M$29,{5,4,3,2,1}/5),-1)</f>
        <v>4</v>
      </c>
    </row>
    <row r="21" spans="1:14" x14ac:dyDescent="0.45">
      <c r="A21" t="s">
        <v>20</v>
      </c>
      <c r="B21" t="s">
        <v>15</v>
      </c>
      <c r="C21" s="2">
        <v>0.98</v>
      </c>
      <c r="D21" s="7">
        <f t="shared" si="0"/>
        <v>0.70783042006086305</v>
      </c>
      <c r="E21" s="2">
        <v>0.88528678304239405</v>
      </c>
      <c r="F21" s="7">
        <f t="shared" ref="F21" si="57">(E21-E$31)/E$30</f>
        <v>-0.23390062124832933</v>
      </c>
      <c r="G21" s="2">
        <v>0.98004987531172072</v>
      </c>
      <c r="H21" s="7">
        <f t="shared" ref="H21" si="58">(G21-G$31)/G$30</f>
        <v>0.30572538612682587</v>
      </c>
      <c r="I21" s="2">
        <v>1</v>
      </c>
      <c r="J21" s="7">
        <f t="shared" ref="J21" si="59">(I21-I$31)/I$30</f>
        <v>0.4991249221819461</v>
      </c>
      <c r="K21" s="10">
        <v>1</v>
      </c>
      <c r="L21" s="7">
        <f t="shared" si="4"/>
        <v>0.6873557610484371</v>
      </c>
      <c r="M21">
        <f t="shared" si="5"/>
        <v>1.9661358681697427</v>
      </c>
      <c r="N21">
        <f>MATCH(M21,PERCENTILE(M$2:M$29,{5,4,3,2,1}/5),-1)</f>
        <v>2</v>
      </c>
    </row>
    <row r="22" spans="1:14" x14ac:dyDescent="0.45">
      <c r="A22" t="s">
        <v>33</v>
      </c>
      <c r="B22" t="s">
        <v>15</v>
      </c>
      <c r="C22" s="2">
        <v>0.879</v>
      </c>
      <c r="D22" s="7">
        <f t="shared" si="0"/>
        <v>-3.0163228127602594E-3</v>
      </c>
      <c r="E22" s="2">
        <v>0.88528678304239405</v>
      </c>
      <c r="F22" s="7">
        <f t="shared" ref="F22" si="60">(E22-E$31)/E$30</f>
        <v>-0.23390062124832933</v>
      </c>
      <c r="G22" s="2">
        <v>0.98004987531172072</v>
      </c>
      <c r="H22" s="7">
        <f t="shared" ref="H22" si="61">(G22-G$31)/G$30</f>
        <v>0.30572538612682587</v>
      </c>
      <c r="I22" s="2">
        <v>1</v>
      </c>
      <c r="J22" s="7">
        <f t="shared" ref="J22" si="62">(I22-I$31)/I$30</f>
        <v>0.4991249221819461</v>
      </c>
      <c r="K22" s="10">
        <v>0.82099999999999995</v>
      </c>
      <c r="L22" s="7">
        <f t="shared" si="4"/>
        <v>-0.55714502443482661</v>
      </c>
      <c r="M22">
        <f t="shared" si="5"/>
        <v>1.0788339812855766E-2</v>
      </c>
      <c r="N22">
        <f>MATCH(M22,PERCENTILE(M$2:M$29,{5,4,3,2,1}/5),-1)</f>
        <v>4</v>
      </c>
    </row>
    <row r="23" spans="1:14" x14ac:dyDescent="0.45">
      <c r="A23" t="s">
        <v>34</v>
      </c>
      <c r="B23" t="s">
        <v>15</v>
      </c>
      <c r="C23" s="2">
        <v>0.98</v>
      </c>
      <c r="D23" s="7">
        <f t="shared" si="0"/>
        <v>0.70783042006086305</v>
      </c>
      <c r="E23" s="2">
        <v>1</v>
      </c>
      <c r="F23" s="7">
        <f t="shared" ref="F23" si="63">(E23-E$31)/E$30</f>
        <v>0.41706081668470574</v>
      </c>
      <c r="G23" s="2">
        <v>1</v>
      </c>
      <c r="H23" s="7">
        <f t="shared" ref="H23" si="64">(G23-G$31)/G$30</f>
        <v>0.50463076679079666</v>
      </c>
      <c r="I23" s="2">
        <v>1</v>
      </c>
      <c r="J23" s="7">
        <f t="shared" ref="J23" si="65">(I23-I$31)/I$30</f>
        <v>0.4991249221819461</v>
      </c>
      <c r="K23" s="10">
        <v>1</v>
      </c>
      <c r="L23" s="7">
        <f t="shared" si="4"/>
        <v>0.6873557610484371</v>
      </c>
      <c r="M23">
        <f t="shared" si="5"/>
        <v>2.8160026867667485</v>
      </c>
      <c r="N23">
        <f>MATCH(M23,PERCENTILE(M$2:M$29,{5,4,3,2,1}/5),-1)</f>
        <v>1</v>
      </c>
    </row>
    <row r="24" spans="1:14" x14ac:dyDescent="0.45">
      <c r="A24" t="s">
        <v>35</v>
      </c>
      <c r="B24" t="s">
        <v>15</v>
      </c>
      <c r="C24" s="2">
        <v>0.94499999999999995</v>
      </c>
      <c r="D24" s="7">
        <f t="shared" si="0"/>
        <v>0.4614973903521814</v>
      </c>
      <c r="E24" s="2">
        <v>0.95218002812939517</v>
      </c>
      <c r="F24" s="7">
        <f t="shared" ref="F24" si="66">(E24-E$31)/E$30</f>
        <v>0.14569751194615588</v>
      </c>
      <c r="G24" s="2">
        <v>0.96765119549929679</v>
      </c>
      <c r="H24" s="7">
        <f t="shared" ref="H24" si="67">(G24-G$31)/G$30</f>
        <v>0.18210890921980449</v>
      </c>
      <c r="I24" s="2">
        <v>1</v>
      </c>
      <c r="J24" s="7">
        <f t="shared" ref="J24" si="68">(I24-I$31)/I$30</f>
        <v>0.4991249221819461</v>
      </c>
      <c r="K24" s="10">
        <v>0.94899999999999995</v>
      </c>
      <c r="L24" s="7">
        <f t="shared" si="4"/>
        <v>0.33277732496102652</v>
      </c>
      <c r="M24">
        <f t="shared" si="5"/>
        <v>1.6212060586611146</v>
      </c>
      <c r="N24">
        <f>MATCH(M24,PERCENTILE(M$2:M$29,{5,4,3,2,1}/5),-1)</f>
        <v>3</v>
      </c>
    </row>
    <row r="25" spans="1:14" x14ac:dyDescent="0.45">
      <c r="A25" t="s">
        <v>21</v>
      </c>
      <c r="B25" t="s">
        <v>15</v>
      </c>
      <c r="C25" s="2">
        <v>0.98</v>
      </c>
      <c r="D25" s="7">
        <f t="shared" si="0"/>
        <v>0.70783042006086305</v>
      </c>
      <c r="E25" s="2">
        <v>0.97281553398058251</v>
      </c>
      <c r="F25" s="7">
        <f t="shared" ref="F25" si="69">(E25-E$31)/E$30</f>
        <v>0.26279751940500706</v>
      </c>
      <c r="G25" s="2">
        <v>0.99029126213592233</v>
      </c>
      <c r="H25" s="7">
        <f t="shared" ref="H25" si="70">(G25-G$31)/G$30</f>
        <v>0.40783336673466519</v>
      </c>
      <c r="I25" s="2">
        <v>1</v>
      </c>
      <c r="J25" s="7">
        <f t="shared" ref="J25" si="71">(I25-I$31)/I$30</f>
        <v>0.4991249221819461</v>
      </c>
      <c r="K25" s="10">
        <v>0.96299999999999997</v>
      </c>
      <c r="L25" s="7">
        <f t="shared" si="4"/>
        <v>0.43011258192619806</v>
      </c>
      <c r="M25">
        <f t="shared" si="5"/>
        <v>2.3076988103086795</v>
      </c>
      <c r="N25">
        <f>MATCH(M25,PERCENTILE(M$2:M$29,{5,4,3,2,1}/5),-1)</f>
        <v>2</v>
      </c>
    </row>
    <row r="26" spans="1:14" x14ac:dyDescent="0.45">
      <c r="A26" t="s">
        <v>22</v>
      </c>
      <c r="B26" t="s">
        <v>15</v>
      </c>
      <c r="C26" s="2">
        <v>0.877</v>
      </c>
      <c r="D26" s="7">
        <f t="shared" si="0"/>
        <v>-1.7092495938970637E-2</v>
      </c>
      <c r="E26" s="2">
        <v>1</v>
      </c>
      <c r="F26" s="7">
        <f t="shared" ref="F26" si="72">(E26-E$31)/E$30</f>
        <v>0.41706081668470574</v>
      </c>
      <c r="G26" s="2">
        <v>1</v>
      </c>
      <c r="H26" s="7">
        <f t="shared" ref="H26" si="73">(G26-G$31)/G$30</f>
        <v>0.50463076679079666</v>
      </c>
      <c r="I26" s="2">
        <v>0.99596774193548387</v>
      </c>
      <c r="J26" s="7">
        <f t="shared" ref="J26" si="74">(I26-I$31)/I$30</f>
        <v>0.40655725345896626</v>
      </c>
      <c r="K26" s="10">
        <v>0.88900000000000001</v>
      </c>
      <c r="L26" s="7">
        <f t="shared" si="4"/>
        <v>-8.4373776318279234E-2</v>
      </c>
      <c r="M26">
        <f t="shared" si="5"/>
        <v>1.2267825646772188</v>
      </c>
      <c r="N26">
        <f>MATCH(M26,PERCENTILE(M$2:M$29,{5,4,3,2,1}/5),-1)</f>
        <v>3</v>
      </c>
    </row>
    <row r="27" spans="1:14" x14ac:dyDescent="0.45">
      <c r="A27" t="s">
        <v>24</v>
      </c>
      <c r="B27" t="s">
        <v>23</v>
      </c>
      <c r="C27" s="2">
        <v>1</v>
      </c>
      <c r="D27" s="7">
        <f t="shared" si="0"/>
        <v>0.84859215132296673</v>
      </c>
      <c r="E27" s="2">
        <v>1</v>
      </c>
      <c r="F27" s="7">
        <f t="shared" ref="F27" si="75">(E27-E$31)/E$30</f>
        <v>0.41706081668470574</v>
      </c>
      <c r="G27" s="2">
        <v>1</v>
      </c>
      <c r="H27" s="7">
        <f t="shared" ref="H27" si="76">(G27-G$31)/G$30</f>
        <v>0.50463076679079666</v>
      </c>
      <c r="I27" s="2">
        <v>1</v>
      </c>
      <c r="J27" s="7">
        <f t="shared" ref="J27" si="77">(I27-I$31)/I$30</f>
        <v>0.4991249221819461</v>
      </c>
      <c r="K27" s="10">
        <v>1</v>
      </c>
      <c r="L27" s="7">
        <f t="shared" si="4"/>
        <v>0.6873557610484371</v>
      </c>
      <c r="M27">
        <f t="shared" si="5"/>
        <v>2.9567644180288521</v>
      </c>
      <c r="N27">
        <f>MATCH(M27,PERCENTILE(M$2:M$29,{5,4,3,2,1}/5),-1)</f>
        <v>1</v>
      </c>
    </row>
    <row r="28" spans="1:14" x14ac:dyDescent="0.45">
      <c r="A28" t="s">
        <v>25</v>
      </c>
      <c r="B28" t="s">
        <v>23</v>
      </c>
      <c r="C28" s="2">
        <v>0.89800000000000002</v>
      </c>
      <c r="D28" s="7">
        <f t="shared" si="0"/>
        <v>0.13070732188623832</v>
      </c>
      <c r="E28" s="2">
        <v>1</v>
      </c>
      <c r="F28" s="7">
        <f t="shared" ref="F28" si="78">(E28-E$31)/E$30</f>
        <v>0.41706081668470574</v>
      </c>
      <c r="G28" s="2">
        <v>0.96850393700787407</v>
      </c>
      <c r="H28" s="7">
        <f t="shared" ref="H28" si="79">(G28-G$31)/G$30</f>
        <v>0.19061085479767759</v>
      </c>
      <c r="I28" s="2">
        <v>1</v>
      </c>
      <c r="J28" s="7">
        <f t="shared" ref="J28" si="80">(I28-I$31)/I$30</f>
        <v>0.4991249221819461</v>
      </c>
      <c r="K28" s="10">
        <v>0.93799999999999994</v>
      </c>
      <c r="L28" s="7">
        <f t="shared" si="4"/>
        <v>0.25629962305982035</v>
      </c>
      <c r="M28">
        <f t="shared" si="5"/>
        <v>1.4938035386103881</v>
      </c>
      <c r="N28">
        <f>MATCH(M28,PERCENTILE(M$2:M$29,{5,4,3,2,1}/5),-1)</f>
        <v>3</v>
      </c>
    </row>
    <row r="29" spans="1:14" x14ac:dyDescent="0.45">
      <c r="A29" t="s">
        <v>26</v>
      </c>
      <c r="B29" t="s">
        <v>23</v>
      </c>
      <c r="C29" s="2">
        <v>0.98</v>
      </c>
      <c r="D29" s="7">
        <f t="shared" si="0"/>
        <v>0.70783042006086305</v>
      </c>
      <c r="E29" s="2">
        <v>0.95966167859466489</v>
      </c>
      <c r="F29" s="7">
        <f t="shared" ref="F29" si="81">(E29-E$31)/E$30</f>
        <v>0.18815352594482371</v>
      </c>
      <c r="G29" s="2">
        <v>0.94209499024072874</v>
      </c>
      <c r="H29" s="7">
        <f t="shared" ref="H29" si="82">(G29-G$31)/G$30</f>
        <v>-7.268983588620867E-2</v>
      </c>
      <c r="I29" s="2">
        <v>0.99739752765126866</v>
      </c>
      <c r="J29" s="7">
        <f t="shared" ref="J29" si="83">(I29-I$31)/I$30</f>
        <v>0.43938053221890261</v>
      </c>
      <c r="K29" s="10">
        <v>0.88500000000000001</v>
      </c>
      <c r="L29" s="7">
        <f t="shared" si="4"/>
        <v>-0.11218384973689967</v>
      </c>
      <c r="M29">
        <f t="shared" si="5"/>
        <v>1.1504907926014809</v>
      </c>
      <c r="N29">
        <f>MATCH(M29,PERCENTILE(M$2:M$29,{5,4,3,2,1}/5),-1)</f>
        <v>3</v>
      </c>
    </row>
    <row r="30" spans="1:14" x14ac:dyDescent="0.45">
      <c r="B30" t="s">
        <v>54</v>
      </c>
      <c r="C30">
        <f>_xlfn.STDEV.S(C2:C29)</f>
        <v>0.14208407228779565</v>
      </c>
      <c r="E30">
        <f>_xlfn.STDEV.S(E2:E29)</f>
        <v>0.17622121722271142</v>
      </c>
      <c r="G30">
        <f>_xlfn.STDEV.S(G2:G29)</f>
        <v>0.10029957269975949</v>
      </c>
      <c r="I30">
        <f>_xlfn.STDEV.S(I2:I29)</f>
        <v>4.3560112511671363E-2</v>
      </c>
      <c r="K30">
        <f>_xlfn.STDEV.S(K2:K29)</f>
        <v>0.14383277382222856</v>
      </c>
    </row>
    <row r="31" spans="1:14" x14ac:dyDescent="0.45">
      <c r="B31" t="s">
        <v>55</v>
      </c>
      <c r="C31">
        <f>AVERAGE(C2:C29)</f>
        <v>0.87942857142857156</v>
      </c>
      <c r="E31">
        <f>AVERAGE(E2:E29)</f>
        <v>0.92650503522792305</v>
      </c>
      <c r="G31">
        <f>AVERAGE(G2:G29)</f>
        <v>0.94938574971973111</v>
      </c>
      <c r="I31">
        <f>AVERAGE(I2:I29)</f>
        <v>0.97825806223237521</v>
      </c>
      <c r="K31">
        <f>AVERAGE(K2:K29)</f>
        <v>0.90113571428571437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R2" sqref="R2:R29"/>
    </sheetView>
  </sheetViews>
  <sheetFormatPr defaultRowHeight="14.25" x14ac:dyDescent="0.45"/>
  <sheetData>
    <row r="1" spans="1:18" x14ac:dyDescent="0.45">
      <c r="A1" t="s">
        <v>0</v>
      </c>
      <c r="B1" t="s">
        <v>2</v>
      </c>
      <c r="C1" t="s">
        <v>43</v>
      </c>
      <c r="D1" t="s">
        <v>56</v>
      </c>
      <c r="E1" t="s">
        <v>45</v>
      </c>
      <c r="F1" t="s">
        <v>57</v>
      </c>
      <c r="G1" t="s">
        <v>42</v>
      </c>
      <c r="H1" t="s">
        <v>58</v>
      </c>
      <c r="I1" t="s">
        <v>44</v>
      </c>
      <c r="J1" t="s">
        <v>59</v>
      </c>
      <c r="K1" t="s">
        <v>46</v>
      </c>
      <c r="L1" t="s">
        <v>60</v>
      </c>
      <c r="M1" t="s">
        <v>51</v>
      </c>
      <c r="N1" t="s">
        <v>61</v>
      </c>
      <c r="O1" t="s">
        <v>52</v>
      </c>
      <c r="P1" t="s">
        <v>62</v>
      </c>
      <c r="Q1" t="s">
        <v>74</v>
      </c>
    </row>
    <row r="2" spans="1:18" x14ac:dyDescent="0.45">
      <c r="A2" t="s">
        <v>1</v>
      </c>
      <c r="B2" t="s">
        <v>3</v>
      </c>
      <c r="C2" s="7">
        <v>0</v>
      </c>
      <c r="D2" s="7">
        <f>(C2-C$31)/C$30</f>
        <v>-0.5154614273559055</v>
      </c>
      <c r="E2" s="7">
        <v>0</v>
      </c>
      <c r="F2" s="7">
        <f t="shared" ref="F2:F29" si="0">(E2-E$31)/E$30</f>
        <v>-1.1151135641133441</v>
      </c>
      <c r="G2" s="7">
        <v>1</v>
      </c>
      <c r="H2" s="7">
        <f t="shared" ref="H2:H29" si="1">(G2-G$31)/G$30</f>
        <v>0.37878524373260009</v>
      </c>
      <c r="I2" s="7">
        <v>0</v>
      </c>
      <c r="J2" s="7">
        <f t="shared" ref="J2:J29" si="2">(I2-I$31)/I$30</f>
        <v>-0.30182330673526991</v>
      </c>
      <c r="K2" s="7">
        <v>1</v>
      </c>
      <c r="L2" s="7">
        <f t="shared" ref="L2:L29" si="3">(K2-K$31)/K$30</f>
        <v>0.51546142735590539</v>
      </c>
      <c r="M2" s="7">
        <v>0</v>
      </c>
      <c r="N2" s="7">
        <f t="shared" ref="N2:N29" si="4">(M2-M$31)/M$30</f>
        <v>-1.646251781331225</v>
      </c>
      <c r="O2" s="7">
        <v>0</v>
      </c>
      <c r="P2" s="7">
        <f t="shared" ref="P2:P29" si="5">(O2-O$31)/O$30</f>
        <v>-1.646251781331225</v>
      </c>
      <c r="Q2">
        <f>AVERAGE(P2,N2,L2,J2,H2,F2,D2)</f>
        <v>-0.61866502711120908</v>
      </c>
      <c r="R2">
        <f>MATCH(Q2,PERCENTILE(Q$2:Q$29,{5,4,3,2,1}/5),-1)</f>
        <v>5</v>
      </c>
    </row>
    <row r="3" spans="1:18" x14ac:dyDescent="0.45">
      <c r="A3" t="s">
        <v>4</v>
      </c>
      <c r="B3" t="s">
        <v>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53</v>
      </c>
      <c r="I3" s="7" t="s">
        <v>53</v>
      </c>
      <c r="J3" s="7" t="s">
        <v>53</v>
      </c>
      <c r="K3" s="7" t="s">
        <v>53</v>
      </c>
      <c r="L3" s="7" t="s">
        <v>53</v>
      </c>
      <c r="M3" s="7" t="s">
        <v>53</v>
      </c>
      <c r="N3" s="7" t="s">
        <v>53</v>
      </c>
      <c r="O3" s="7" t="s">
        <v>53</v>
      </c>
      <c r="P3" s="7" t="s">
        <v>53</v>
      </c>
      <c r="Q3" s="7" t="s">
        <v>53</v>
      </c>
      <c r="R3" s="7" t="s">
        <v>53</v>
      </c>
    </row>
    <row r="4" spans="1:18" x14ac:dyDescent="0.45">
      <c r="A4" t="s">
        <v>5</v>
      </c>
      <c r="B4" t="s">
        <v>3</v>
      </c>
      <c r="C4" s="7" t="s">
        <v>53</v>
      </c>
      <c r="D4" s="7" t="s">
        <v>53</v>
      </c>
      <c r="E4" s="7" t="s">
        <v>53</v>
      </c>
      <c r="F4" s="7" t="s">
        <v>53</v>
      </c>
      <c r="G4" s="7" t="s">
        <v>53</v>
      </c>
      <c r="H4" s="7" t="s">
        <v>53</v>
      </c>
      <c r="I4" s="7" t="s">
        <v>53</v>
      </c>
      <c r="J4" s="7" t="s">
        <v>53</v>
      </c>
      <c r="K4" s="7" t="s">
        <v>53</v>
      </c>
      <c r="L4" s="7" t="s">
        <v>53</v>
      </c>
      <c r="M4" s="7" t="s">
        <v>53</v>
      </c>
      <c r="N4" s="7" t="s">
        <v>53</v>
      </c>
      <c r="O4" s="7" t="s">
        <v>53</v>
      </c>
      <c r="P4" s="7" t="s">
        <v>53</v>
      </c>
      <c r="Q4" s="7" t="s">
        <v>53</v>
      </c>
      <c r="R4" s="7" t="s">
        <v>53</v>
      </c>
    </row>
    <row r="5" spans="1:18" x14ac:dyDescent="0.45">
      <c r="A5" t="s">
        <v>6</v>
      </c>
      <c r="B5" t="s">
        <v>3</v>
      </c>
      <c r="C5" s="7">
        <v>0</v>
      </c>
      <c r="D5" s="7">
        <f>(C5-C$31)/C$30</f>
        <v>-0.5154614273559055</v>
      </c>
      <c r="E5" s="7">
        <v>0</v>
      </c>
      <c r="F5" s="7">
        <f t="shared" si="0"/>
        <v>-1.1151135641133441</v>
      </c>
      <c r="G5" s="7">
        <v>1</v>
      </c>
      <c r="H5" s="7">
        <f t="shared" si="1"/>
        <v>0.37878524373260009</v>
      </c>
      <c r="I5" s="7">
        <v>0</v>
      </c>
      <c r="J5" s="7">
        <f t="shared" si="2"/>
        <v>-0.30182330673526991</v>
      </c>
      <c r="K5" s="7">
        <v>0</v>
      </c>
      <c r="L5" s="7">
        <f t="shared" si="3"/>
        <v>-1.8556611384812598</v>
      </c>
      <c r="M5" s="7">
        <v>0</v>
      </c>
      <c r="N5" s="7">
        <f t="shared" si="4"/>
        <v>-1.646251781331225</v>
      </c>
      <c r="O5" s="7">
        <v>0</v>
      </c>
      <c r="P5" s="7">
        <f t="shared" si="5"/>
        <v>-1.646251781331225</v>
      </c>
      <c r="Q5">
        <f t="shared" ref="Q3:Q29" si="6">AVERAGE(P5,N5,L5,J5,H5,F5,D5)</f>
        <v>-0.95739682223080413</v>
      </c>
      <c r="R5">
        <f>MATCH(Q5,PERCENTILE(Q$2:Q$29,{5,4,3,2,1}/5),-1)</f>
        <v>5</v>
      </c>
    </row>
    <row r="6" spans="1:18" x14ac:dyDescent="0.45">
      <c r="A6" t="s">
        <v>7</v>
      </c>
      <c r="B6" t="s">
        <v>3</v>
      </c>
      <c r="C6" s="7">
        <v>0</v>
      </c>
      <c r="D6" s="7">
        <f>(C6-C$31)/C$30</f>
        <v>-0.5154614273559055</v>
      </c>
      <c r="E6" s="7">
        <v>1</v>
      </c>
      <c r="F6" s="7">
        <f t="shared" si="0"/>
        <v>0.8577796647025725</v>
      </c>
      <c r="G6" s="7">
        <v>1</v>
      </c>
      <c r="H6" s="7">
        <f t="shared" si="1"/>
        <v>0.37878524373260009</v>
      </c>
      <c r="I6" s="7">
        <v>0</v>
      </c>
      <c r="J6" s="7">
        <f t="shared" si="2"/>
        <v>-0.30182330673526991</v>
      </c>
      <c r="K6" s="7">
        <v>0</v>
      </c>
      <c r="L6" s="7">
        <f t="shared" si="3"/>
        <v>-1.8556611384812598</v>
      </c>
      <c r="M6" s="7">
        <v>1</v>
      </c>
      <c r="N6" s="7">
        <f t="shared" si="4"/>
        <v>0.5810300404698443</v>
      </c>
      <c r="O6" s="7">
        <v>0</v>
      </c>
      <c r="P6" s="7">
        <f t="shared" si="5"/>
        <v>-1.646251781331225</v>
      </c>
      <c r="Q6">
        <f t="shared" si="6"/>
        <v>-0.35737181499980614</v>
      </c>
      <c r="R6">
        <f>MATCH(Q6,PERCENTILE(Q$2:Q$29,{5,4,3,2,1}/5),-1)</f>
        <v>4</v>
      </c>
    </row>
    <row r="7" spans="1:18" x14ac:dyDescent="0.45">
      <c r="A7" t="s">
        <v>8</v>
      </c>
      <c r="B7" t="s">
        <v>3</v>
      </c>
      <c r="C7" s="7" t="s">
        <v>53</v>
      </c>
      <c r="D7" s="7" t="s">
        <v>53</v>
      </c>
      <c r="E7" s="7" t="s">
        <v>53</v>
      </c>
      <c r="F7" s="7" t="s">
        <v>53</v>
      </c>
      <c r="G7" s="7" t="s">
        <v>53</v>
      </c>
      <c r="H7" s="7" t="s">
        <v>53</v>
      </c>
      <c r="I7" s="7" t="s">
        <v>53</v>
      </c>
      <c r="J7" s="7" t="s">
        <v>53</v>
      </c>
      <c r="K7" s="7" t="s">
        <v>53</v>
      </c>
      <c r="L7" s="7" t="s">
        <v>53</v>
      </c>
      <c r="M7" s="7" t="s">
        <v>53</v>
      </c>
      <c r="N7" s="7" t="s">
        <v>53</v>
      </c>
      <c r="O7" s="7" t="s">
        <v>53</v>
      </c>
      <c r="P7" s="7" t="s">
        <v>53</v>
      </c>
      <c r="Q7" s="7" t="s">
        <v>53</v>
      </c>
      <c r="R7" s="7" t="s">
        <v>53</v>
      </c>
    </row>
    <row r="8" spans="1:18" x14ac:dyDescent="0.45">
      <c r="A8" t="s">
        <v>9</v>
      </c>
      <c r="B8" t="s">
        <v>3</v>
      </c>
      <c r="C8" s="7">
        <v>0</v>
      </c>
      <c r="D8" s="7">
        <f>(C8-C$31)/C$30</f>
        <v>-0.5154614273559055</v>
      </c>
      <c r="E8" s="7">
        <v>1</v>
      </c>
      <c r="F8" s="7">
        <f t="shared" si="0"/>
        <v>0.8577796647025725</v>
      </c>
      <c r="G8" s="7">
        <v>1</v>
      </c>
      <c r="H8" s="7">
        <f t="shared" si="1"/>
        <v>0.37878524373260009</v>
      </c>
      <c r="I8" s="7">
        <v>0</v>
      </c>
      <c r="J8" s="7">
        <f t="shared" si="2"/>
        <v>-0.30182330673526991</v>
      </c>
      <c r="K8" s="7">
        <v>1</v>
      </c>
      <c r="L8" s="7">
        <f t="shared" si="3"/>
        <v>0.51546142735590539</v>
      </c>
      <c r="M8" s="7">
        <v>1</v>
      </c>
      <c r="N8" s="7">
        <f t="shared" si="4"/>
        <v>0.5810300404698443</v>
      </c>
      <c r="O8" s="7">
        <v>1</v>
      </c>
      <c r="P8" s="7">
        <f t="shared" si="5"/>
        <v>0.5810300404698443</v>
      </c>
      <c r="Q8">
        <f t="shared" si="6"/>
        <v>0.29954309751994163</v>
      </c>
      <c r="R8">
        <f>MATCH(Q8,PERCENTILE(Q$2:Q$29,{5,4,3,2,1}/5),-1)</f>
        <v>2</v>
      </c>
    </row>
    <row r="9" spans="1:18" x14ac:dyDescent="0.45">
      <c r="A9" t="s">
        <v>10</v>
      </c>
      <c r="B9" t="s">
        <v>3</v>
      </c>
      <c r="C9" s="7">
        <v>0</v>
      </c>
      <c r="D9" s="7">
        <f t="shared" ref="D9:D29" si="7">(C9-C$31)/C$30</f>
        <v>-0.5154614273559055</v>
      </c>
      <c r="E9" s="7">
        <v>1</v>
      </c>
      <c r="F9" s="7">
        <f t="shared" si="0"/>
        <v>0.8577796647025725</v>
      </c>
      <c r="G9" s="7">
        <v>1</v>
      </c>
      <c r="H9" s="7">
        <f t="shared" si="1"/>
        <v>0.37878524373260009</v>
      </c>
      <c r="I9" s="7">
        <v>0</v>
      </c>
      <c r="J9" s="7">
        <f t="shared" si="2"/>
        <v>-0.30182330673526991</v>
      </c>
      <c r="K9" s="7">
        <v>1</v>
      </c>
      <c r="L9" s="7">
        <f t="shared" si="3"/>
        <v>0.51546142735590539</v>
      </c>
      <c r="M9" s="7">
        <v>1</v>
      </c>
      <c r="N9" s="7">
        <f t="shared" si="4"/>
        <v>0.5810300404698443</v>
      </c>
      <c r="O9" s="7">
        <v>1</v>
      </c>
      <c r="P9" s="7">
        <f t="shared" si="5"/>
        <v>0.5810300404698443</v>
      </c>
      <c r="Q9">
        <f t="shared" si="6"/>
        <v>0.29954309751994163</v>
      </c>
      <c r="R9">
        <f>MATCH(Q9,PERCENTILE(Q$2:Q$29,{5,4,3,2,1}/5),-1)</f>
        <v>2</v>
      </c>
    </row>
    <row r="10" spans="1:18" x14ac:dyDescent="0.45">
      <c r="A10" t="s">
        <v>11</v>
      </c>
      <c r="B10" t="s">
        <v>3</v>
      </c>
      <c r="C10" s="7">
        <v>0</v>
      </c>
      <c r="D10" s="7">
        <f t="shared" si="7"/>
        <v>-0.5154614273559055</v>
      </c>
      <c r="E10" s="7">
        <v>0</v>
      </c>
      <c r="F10" s="7">
        <f t="shared" si="0"/>
        <v>-1.1151135641133441</v>
      </c>
      <c r="G10" s="7">
        <v>0</v>
      </c>
      <c r="H10" s="7">
        <f t="shared" si="1"/>
        <v>-2.5252349582173332</v>
      </c>
      <c r="I10" s="7">
        <v>0</v>
      </c>
      <c r="J10" s="7">
        <f t="shared" si="2"/>
        <v>-0.30182330673526991</v>
      </c>
      <c r="K10" s="7">
        <v>1</v>
      </c>
      <c r="L10" s="7">
        <f t="shared" si="3"/>
        <v>0.51546142735590539</v>
      </c>
      <c r="M10" s="7">
        <v>1</v>
      </c>
      <c r="N10" s="7">
        <f t="shared" si="4"/>
        <v>0.5810300404698443</v>
      </c>
      <c r="O10" s="7">
        <v>1</v>
      </c>
      <c r="P10" s="7">
        <f t="shared" si="5"/>
        <v>0.5810300404698443</v>
      </c>
      <c r="Q10">
        <f t="shared" si="6"/>
        <v>-0.39715882116089407</v>
      </c>
      <c r="R10">
        <f>MATCH(Q10,PERCENTILE(Q$2:Q$29,{5,4,3,2,1}/5),-1)</f>
        <v>5</v>
      </c>
    </row>
    <row r="11" spans="1:18" x14ac:dyDescent="0.45">
      <c r="A11" t="s">
        <v>12</v>
      </c>
      <c r="B11" t="s">
        <v>13</v>
      </c>
      <c r="C11" s="7">
        <v>1</v>
      </c>
      <c r="D11" s="7">
        <f t="shared" si="7"/>
        <v>1.8556611384812598</v>
      </c>
      <c r="E11" s="7">
        <v>1</v>
      </c>
      <c r="F11" s="7">
        <f t="shared" si="0"/>
        <v>0.8577796647025725</v>
      </c>
      <c r="G11" s="7">
        <v>1</v>
      </c>
      <c r="H11" s="7">
        <f t="shared" si="1"/>
        <v>0.37878524373260009</v>
      </c>
      <c r="I11" s="7">
        <v>0</v>
      </c>
      <c r="J11" s="7">
        <f t="shared" si="2"/>
        <v>-0.30182330673526991</v>
      </c>
      <c r="K11" s="7">
        <v>1</v>
      </c>
      <c r="L11" s="7">
        <f t="shared" si="3"/>
        <v>0.51546142735590539</v>
      </c>
      <c r="M11" s="7">
        <v>0</v>
      </c>
      <c r="N11" s="7">
        <f t="shared" si="4"/>
        <v>-1.646251781331225</v>
      </c>
      <c r="O11" s="7">
        <v>1</v>
      </c>
      <c r="P11" s="7">
        <f t="shared" si="5"/>
        <v>0.5810300404698443</v>
      </c>
      <c r="Q11">
        <f t="shared" si="6"/>
        <v>0.32009177523938387</v>
      </c>
      <c r="R11">
        <f>MATCH(Q11,PERCENTILE(Q$2:Q$29,{5,4,3,2,1}/5),-1)</f>
        <v>1</v>
      </c>
    </row>
    <row r="12" spans="1:18" x14ac:dyDescent="0.45">
      <c r="A12" t="s">
        <v>14</v>
      </c>
      <c r="B12" t="s">
        <v>13</v>
      </c>
      <c r="C12" s="7">
        <v>0</v>
      </c>
      <c r="D12" s="7">
        <f t="shared" si="7"/>
        <v>-0.5154614273559055</v>
      </c>
      <c r="E12" s="7">
        <v>1</v>
      </c>
      <c r="F12" s="7">
        <f t="shared" si="0"/>
        <v>0.8577796647025725</v>
      </c>
      <c r="G12" s="7">
        <v>1</v>
      </c>
      <c r="H12" s="7">
        <f t="shared" si="1"/>
        <v>0.37878524373260009</v>
      </c>
      <c r="I12" s="7">
        <v>0</v>
      </c>
      <c r="J12" s="7">
        <f t="shared" si="2"/>
        <v>-0.30182330673526991</v>
      </c>
      <c r="K12" s="7">
        <v>1</v>
      </c>
      <c r="L12" s="7">
        <f t="shared" si="3"/>
        <v>0.51546142735590539</v>
      </c>
      <c r="M12" s="7">
        <v>1</v>
      </c>
      <c r="N12" s="7">
        <f t="shared" si="4"/>
        <v>0.5810300404698443</v>
      </c>
      <c r="O12" s="7">
        <v>1</v>
      </c>
      <c r="P12" s="7">
        <f t="shared" si="5"/>
        <v>0.5810300404698443</v>
      </c>
      <c r="Q12">
        <f t="shared" si="6"/>
        <v>0.29954309751994163</v>
      </c>
      <c r="R12">
        <f>MATCH(Q12,PERCENTILE(Q$2:Q$29,{5,4,3,2,1}/5),-1)</f>
        <v>2</v>
      </c>
    </row>
    <row r="13" spans="1:18" x14ac:dyDescent="0.45">
      <c r="A13" t="s">
        <v>16</v>
      </c>
      <c r="B13" t="s">
        <v>15</v>
      </c>
      <c r="C13" s="7">
        <v>1</v>
      </c>
      <c r="D13" s="7">
        <f t="shared" si="7"/>
        <v>1.8556611384812598</v>
      </c>
      <c r="E13" s="7">
        <v>1</v>
      </c>
      <c r="F13" s="7">
        <f t="shared" si="0"/>
        <v>0.8577796647025725</v>
      </c>
      <c r="G13" s="7">
        <v>0</v>
      </c>
      <c r="H13" s="7">
        <f t="shared" si="1"/>
        <v>-2.5252349582173332</v>
      </c>
      <c r="I13" s="7">
        <v>0</v>
      </c>
      <c r="J13" s="7">
        <f t="shared" si="2"/>
        <v>-0.30182330673526991</v>
      </c>
      <c r="K13" s="7">
        <v>1</v>
      </c>
      <c r="L13" s="7">
        <f t="shared" si="3"/>
        <v>0.51546142735590539</v>
      </c>
      <c r="M13" s="7">
        <v>1</v>
      </c>
      <c r="N13" s="7">
        <f t="shared" si="4"/>
        <v>0.5810300404698443</v>
      </c>
      <c r="O13" s="7">
        <v>1</v>
      </c>
      <c r="P13" s="7">
        <f t="shared" si="5"/>
        <v>0.5810300404698443</v>
      </c>
      <c r="Q13">
        <f t="shared" si="6"/>
        <v>0.22341486378954617</v>
      </c>
      <c r="R13">
        <f>MATCH(Q13,PERCENTILE(Q$2:Q$29,{5,4,3,2,1}/5),-1)</f>
        <v>3</v>
      </c>
    </row>
    <row r="14" spans="1:18" x14ac:dyDescent="0.45">
      <c r="A14" t="s">
        <v>29</v>
      </c>
      <c r="B14" t="s">
        <v>15</v>
      </c>
      <c r="C14" s="7">
        <v>0</v>
      </c>
      <c r="D14" s="7">
        <f t="shared" si="7"/>
        <v>-0.5154614273559055</v>
      </c>
      <c r="E14" s="7">
        <v>0</v>
      </c>
      <c r="F14" s="7">
        <f t="shared" si="0"/>
        <v>-1.1151135641133441</v>
      </c>
      <c r="G14" s="7">
        <v>1</v>
      </c>
      <c r="H14" s="7">
        <f t="shared" si="1"/>
        <v>0.37878524373260009</v>
      </c>
      <c r="I14" s="7">
        <v>0</v>
      </c>
      <c r="J14" s="7">
        <f t="shared" si="2"/>
        <v>-0.30182330673526991</v>
      </c>
      <c r="K14" s="7">
        <v>0</v>
      </c>
      <c r="L14" s="7">
        <f t="shared" si="3"/>
        <v>-1.8556611384812598</v>
      </c>
      <c r="M14" s="7">
        <v>0</v>
      </c>
      <c r="N14" s="7">
        <f t="shared" si="4"/>
        <v>-1.646251781331225</v>
      </c>
      <c r="O14" s="7">
        <v>0</v>
      </c>
      <c r="P14" s="7">
        <f t="shared" si="5"/>
        <v>-1.646251781331225</v>
      </c>
      <c r="Q14">
        <f t="shared" si="6"/>
        <v>-0.95739682223080413</v>
      </c>
      <c r="R14">
        <f>MATCH(Q14,PERCENTILE(Q$2:Q$29,{5,4,3,2,1}/5),-1)</f>
        <v>5</v>
      </c>
    </row>
    <row r="15" spans="1:18" x14ac:dyDescent="0.45">
      <c r="A15" t="s">
        <v>30</v>
      </c>
      <c r="B15" t="s">
        <v>15</v>
      </c>
      <c r="C15" s="7" t="s">
        <v>53</v>
      </c>
      <c r="D15" s="7" t="s">
        <v>53</v>
      </c>
      <c r="E15" s="7" t="s">
        <v>53</v>
      </c>
      <c r="F15" s="7" t="s">
        <v>53</v>
      </c>
      <c r="G15" s="7" t="s">
        <v>53</v>
      </c>
      <c r="H15" s="7" t="s">
        <v>53</v>
      </c>
      <c r="I15" s="7" t="s">
        <v>53</v>
      </c>
      <c r="J15" s="7" t="s">
        <v>53</v>
      </c>
      <c r="K15" s="7" t="s">
        <v>53</v>
      </c>
      <c r="L15" s="7" t="s">
        <v>53</v>
      </c>
      <c r="M15" s="7" t="s">
        <v>53</v>
      </c>
      <c r="N15" s="7" t="s">
        <v>53</v>
      </c>
      <c r="O15" s="7" t="s">
        <v>53</v>
      </c>
      <c r="P15" s="7" t="s">
        <v>53</v>
      </c>
      <c r="Q15" s="7" t="s">
        <v>53</v>
      </c>
      <c r="R15" s="7" t="s">
        <v>53</v>
      </c>
    </row>
    <row r="16" spans="1:18" x14ac:dyDescent="0.45">
      <c r="A16" t="s">
        <v>31</v>
      </c>
      <c r="B16" t="s">
        <v>15</v>
      </c>
      <c r="C16" s="7" t="s">
        <v>53</v>
      </c>
      <c r="D16" s="7" t="s">
        <v>53</v>
      </c>
      <c r="E16" s="7" t="s">
        <v>53</v>
      </c>
      <c r="F16" s="7" t="s">
        <v>53</v>
      </c>
      <c r="G16" s="7" t="s">
        <v>53</v>
      </c>
      <c r="H16" s="7" t="s">
        <v>53</v>
      </c>
      <c r="I16" s="7" t="s">
        <v>53</v>
      </c>
      <c r="J16" s="7" t="s">
        <v>53</v>
      </c>
      <c r="K16" s="7" t="s">
        <v>53</v>
      </c>
      <c r="L16" s="7" t="s">
        <v>53</v>
      </c>
      <c r="M16" s="7" t="s">
        <v>53</v>
      </c>
      <c r="N16" s="7" t="s">
        <v>53</v>
      </c>
      <c r="O16" s="7" t="s">
        <v>53</v>
      </c>
      <c r="P16" s="7" t="s">
        <v>53</v>
      </c>
      <c r="Q16" s="7" t="s">
        <v>53</v>
      </c>
      <c r="R16" s="7" t="s">
        <v>53</v>
      </c>
    </row>
    <row r="17" spans="1:18" x14ac:dyDescent="0.45">
      <c r="A17" t="s">
        <v>32</v>
      </c>
      <c r="B17" t="s">
        <v>15</v>
      </c>
      <c r="C17" s="8">
        <v>0</v>
      </c>
      <c r="D17" s="7">
        <f t="shared" si="7"/>
        <v>-0.5154614273559055</v>
      </c>
      <c r="E17" s="7">
        <v>0</v>
      </c>
      <c r="F17" s="7">
        <f t="shared" si="0"/>
        <v>-1.1151135641133441</v>
      </c>
      <c r="G17" s="7">
        <v>1</v>
      </c>
      <c r="H17" s="7">
        <f t="shared" si="1"/>
        <v>0.37878524373260009</v>
      </c>
      <c r="I17" s="7">
        <v>0</v>
      </c>
      <c r="J17" s="7">
        <f t="shared" si="2"/>
        <v>-0.30182330673526991</v>
      </c>
      <c r="K17" s="7">
        <v>1</v>
      </c>
      <c r="L17" s="7">
        <f t="shared" si="3"/>
        <v>0.51546142735590539</v>
      </c>
      <c r="M17" s="7">
        <v>1</v>
      </c>
      <c r="N17" s="7">
        <f t="shared" si="4"/>
        <v>0.5810300404698443</v>
      </c>
      <c r="O17" s="7">
        <v>1</v>
      </c>
      <c r="P17" s="7">
        <f t="shared" si="5"/>
        <v>0.5810300404698443</v>
      </c>
      <c r="Q17">
        <f t="shared" si="6"/>
        <v>1.7701207689096395E-2</v>
      </c>
      <c r="R17">
        <f>MATCH(Q17,PERCENTILE(Q$2:Q$29,{5,4,3,2,1}/5),-1)</f>
        <v>3</v>
      </c>
    </row>
    <row r="18" spans="1:18" x14ac:dyDescent="0.45">
      <c r="A18" t="s">
        <v>17</v>
      </c>
      <c r="B18" t="s">
        <v>15</v>
      </c>
      <c r="C18" s="8">
        <v>0</v>
      </c>
      <c r="D18" s="7">
        <f t="shared" si="7"/>
        <v>-0.5154614273559055</v>
      </c>
      <c r="E18" s="7">
        <v>0</v>
      </c>
      <c r="F18" s="7">
        <f t="shared" si="0"/>
        <v>-1.1151135641133441</v>
      </c>
      <c r="G18" s="7">
        <v>1</v>
      </c>
      <c r="H18" s="7">
        <f t="shared" si="1"/>
        <v>0.37878524373260009</v>
      </c>
      <c r="I18" s="7">
        <v>0</v>
      </c>
      <c r="J18" s="7">
        <f t="shared" si="2"/>
        <v>-0.30182330673526991</v>
      </c>
      <c r="K18" s="7">
        <v>1</v>
      </c>
      <c r="L18" s="7">
        <f t="shared" si="3"/>
        <v>0.51546142735590539</v>
      </c>
      <c r="M18" s="7">
        <v>1</v>
      </c>
      <c r="N18" s="7">
        <f t="shared" si="4"/>
        <v>0.5810300404698443</v>
      </c>
      <c r="O18" s="7">
        <v>1</v>
      </c>
      <c r="P18" s="7">
        <f t="shared" si="5"/>
        <v>0.5810300404698443</v>
      </c>
      <c r="Q18">
        <f t="shared" si="6"/>
        <v>1.7701207689096395E-2</v>
      </c>
      <c r="R18">
        <f>MATCH(Q18,PERCENTILE(Q$2:Q$29,{5,4,3,2,1}/5),-1)</f>
        <v>3</v>
      </c>
    </row>
    <row r="19" spans="1:18" x14ac:dyDescent="0.45">
      <c r="A19" t="s">
        <v>18</v>
      </c>
      <c r="B19" t="s">
        <v>15</v>
      </c>
      <c r="C19" s="8">
        <v>1</v>
      </c>
      <c r="D19" s="7">
        <f t="shared" si="7"/>
        <v>1.8556611384812598</v>
      </c>
      <c r="E19" s="7">
        <v>1</v>
      </c>
      <c r="F19" s="7">
        <f t="shared" si="0"/>
        <v>0.8577796647025725</v>
      </c>
      <c r="G19" s="7">
        <v>1</v>
      </c>
      <c r="H19" s="7">
        <f t="shared" si="1"/>
        <v>0.37878524373260009</v>
      </c>
      <c r="I19" s="7">
        <v>0</v>
      </c>
      <c r="J19" s="7">
        <f t="shared" si="2"/>
        <v>-0.30182330673526991</v>
      </c>
      <c r="K19" s="7">
        <v>1</v>
      </c>
      <c r="L19" s="7">
        <f t="shared" si="3"/>
        <v>0.51546142735590539</v>
      </c>
      <c r="M19" s="7">
        <v>1</v>
      </c>
      <c r="N19" s="7">
        <f t="shared" si="4"/>
        <v>0.5810300404698443</v>
      </c>
      <c r="O19" s="7">
        <v>1</v>
      </c>
      <c r="P19" s="7">
        <f t="shared" si="5"/>
        <v>0.5810300404698443</v>
      </c>
      <c r="Q19">
        <f t="shared" si="6"/>
        <v>0.63827489263953663</v>
      </c>
      <c r="R19">
        <f>MATCH(Q19,PERCENTILE(Q$2:Q$29,{5,4,3,2,1}/5),-1)</f>
        <v>1</v>
      </c>
    </row>
    <row r="20" spans="1:18" x14ac:dyDescent="0.45">
      <c r="A20" t="s">
        <v>19</v>
      </c>
      <c r="B20" t="s">
        <v>15</v>
      </c>
      <c r="C20" s="8">
        <v>1</v>
      </c>
      <c r="D20" s="7">
        <f t="shared" si="7"/>
        <v>1.8556611384812598</v>
      </c>
      <c r="E20" s="7">
        <v>0</v>
      </c>
      <c r="F20" s="7">
        <f t="shared" si="0"/>
        <v>-1.1151135641133441</v>
      </c>
      <c r="G20" s="7">
        <v>1</v>
      </c>
      <c r="H20" s="7">
        <f t="shared" si="1"/>
        <v>0.37878524373260009</v>
      </c>
      <c r="I20" s="7">
        <v>1</v>
      </c>
      <c r="J20" s="7">
        <f t="shared" si="2"/>
        <v>3.1691447207203347</v>
      </c>
      <c r="K20" s="7">
        <v>1</v>
      </c>
      <c r="L20" s="7">
        <f t="shared" si="3"/>
        <v>0.51546142735590539</v>
      </c>
      <c r="M20" s="7">
        <v>1</v>
      </c>
      <c r="N20" s="7">
        <f t="shared" si="4"/>
        <v>0.5810300404698443</v>
      </c>
      <c r="O20" s="7">
        <v>1</v>
      </c>
      <c r="P20" s="7">
        <f t="shared" si="5"/>
        <v>0.5810300404698443</v>
      </c>
      <c r="Q20">
        <f t="shared" si="6"/>
        <v>0.85228557815949202</v>
      </c>
      <c r="R20">
        <f>MATCH(Q20,PERCENTILE(Q$2:Q$29,{5,4,3,2,1}/5),-1)</f>
        <v>1</v>
      </c>
    </row>
    <row r="21" spans="1:18" x14ac:dyDescent="0.45">
      <c r="A21" t="s">
        <v>20</v>
      </c>
      <c r="B21" t="s">
        <v>15</v>
      </c>
      <c r="C21" s="8">
        <v>0</v>
      </c>
      <c r="D21" s="7">
        <f t="shared" si="7"/>
        <v>-0.5154614273559055</v>
      </c>
      <c r="E21" s="7">
        <v>1</v>
      </c>
      <c r="F21" s="7">
        <f t="shared" si="0"/>
        <v>0.8577796647025725</v>
      </c>
      <c r="G21" s="7">
        <v>1</v>
      </c>
      <c r="H21" s="7">
        <f t="shared" si="1"/>
        <v>0.37878524373260009</v>
      </c>
      <c r="I21" s="7">
        <v>0</v>
      </c>
      <c r="J21" s="7">
        <f t="shared" si="2"/>
        <v>-0.30182330673526991</v>
      </c>
      <c r="K21" s="7">
        <v>1</v>
      </c>
      <c r="L21" s="7">
        <f t="shared" si="3"/>
        <v>0.51546142735590539</v>
      </c>
      <c r="M21" s="7">
        <v>0</v>
      </c>
      <c r="N21" s="7">
        <f t="shared" si="4"/>
        <v>-1.646251781331225</v>
      </c>
      <c r="O21" s="7">
        <v>1</v>
      </c>
      <c r="P21" s="7">
        <f t="shared" si="5"/>
        <v>0.5810300404698443</v>
      </c>
      <c r="Q21">
        <f t="shared" si="6"/>
        <v>-1.8640019880211158E-2</v>
      </c>
      <c r="R21">
        <f>MATCH(Q21,PERCENTILE(Q$2:Q$29,{5,4,3,2,1}/5),-1)</f>
        <v>4</v>
      </c>
    </row>
    <row r="22" spans="1:18" x14ac:dyDescent="0.45">
      <c r="A22" t="s">
        <v>33</v>
      </c>
      <c r="B22" t="s">
        <v>15</v>
      </c>
      <c r="C22" s="8">
        <v>1</v>
      </c>
      <c r="D22" s="7">
        <f t="shared" si="7"/>
        <v>1.8556611384812598</v>
      </c>
      <c r="E22" s="7">
        <v>1</v>
      </c>
      <c r="F22" s="7">
        <f t="shared" si="0"/>
        <v>0.8577796647025725</v>
      </c>
      <c r="G22" s="7">
        <v>1</v>
      </c>
      <c r="H22" s="7">
        <f t="shared" si="1"/>
        <v>0.37878524373260009</v>
      </c>
      <c r="I22" s="7">
        <v>0</v>
      </c>
      <c r="J22" s="7">
        <f t="shared" si="2"/>
        <v>-0.30182330673526991</v>
      </c>
      <c r="K22" s="7">
        <v>1</v>
      </c>
      <c r="L22" s="7">
        <f t="shared" si="3"/>
        <v>0.51546142735590539</v>
      </c>
      <c r="M22" s="7">
        <v>1</v>
      </c>
      <c r="N22" s="7">
        <f t="shared" si="4"/>
        <v>0.5810300404698443</v>
      </c>
      <c r="O22" s="7">
        <v>1</v>
      </c>
      <c r="P22" s="7">
        <f t="shared" si="5"/>
        <v>0.5810300404698443</v>
      </c>
      <c r="Q22">
        <f t="shared" si="6"/>
        <v>0.63827489263953663</v>
      </c>
      <c r="R22">
        <f>MATCH(Q22,PERCENTILE(Q$2:Q$29,{5,4,3,2,1}/5),-1)</f>
        <v>1</v>
      </c>
    </row>
    <row r="23" spans="1:18" x14ac:dyDescent="0.45">
      <c r="A23" t="s">
        <v>34</v>
      </c>
      <c r="B23" t="s">
        <v>15</v>
      </c>
      <c r="C23" s="8">
        <v>0</v>
      </c>
      <c r="D23" s="7">
        <f t="shared" si="7"/>
        <v>-0.5154614273559055</v>
      </c>
      <c r="E23" s="7">
        <v>0</v>
      </c>
      <c r="F23" s="7">
        <f t="shared" si="0"/>
        <v>-1.1151135641133441</v>
      </c>
      <c r="G23" s="7">
        <v>1</v>
      </c>
      <c r="H23" s="7">
        <f t="shared" si="1"/>
        <v>0.37878524373260009</v>
      </c>
      <c r="I23" s="7">
        <v>0</v>
      </c>
      <c r="J23" s="7">
        <f t="shared" si="2"/>
        <v>-0.30182330673526991</v>
      </c>
      <c r="K23" s="7">
        <v>1</v>
      </c>
      <c r="L23" s="7">
        <f t="shared" si="3"/>
        <v>0.51546142735590539</v>
      </c>
      <c r="M23" s="7">
        <v>1</v>
      </c>
      <c r="N23" s="7">
        <f t="shared" si="4"/>
        <v>0.5810300404698443</v>
      </c>
      <c r="O23" s="7">
        <v>1</v>
      </c>
      <c r="P23" s="7">
        <f t="shared" si="5"/>
        <v>0.5810300404698443</v>
      </c>
      <c r="Q23">
        <f t="shared" si="6"/>
        <v>1.7701207689096395E-2</v>
      </c>
      <c r="R23">
        <f>MATCH(Q23,PERCENTILE(Q$2:Q$29,{5,4,3,2,1}/5),-1)</f>
        <v>3</v>
      </c>
    </row>
    <row r="24" spans="1:18" x14ac:dyDescent="0.45">
      <c r="A24" t="s">
        <v>35</v>
      </c>
      <c r="B24" t="s">
        <v>15</v>
      </c>
      <c r="C24" s="8">
        <v>0</v>
      </c>
      <c r="D24" s="7">
        <f t="shared" si="7"/>
        <v>-0.5154614273559055</v>
      </c>
      <c r="E24" s="7">
        <v>1</v>
      </c>
      <c r="F24" s="7">
        <f t="shared" si="0"/>
        <v>0.8577796647025725</v>
      </c>
      <c r="G24" s="7">
        <v>1</v>
      </c>
      <c r="H24" s="7">
        <f t="shared" si="1"/>
        <v>0.37878524373260009</v>
      </c>
      <c r="I24" s="7">
        <v>0</v>
      </c>
      <c r="J24" s="7">
        <f t="shared" si="2"/>
        <v>-0.30182330673526991</v>
      </c>
      <c r="K24" s="7">
        <v>1</v>
      </c>
      <c r="L24" s="7">
        <f t="shared" si="3"/>
        <v>0.51546142735590539</v>
      </c>
      <c r="M24" s="7">
        <v>1</v>
      </c>
      <c r="N24" s="7">
        <f t="shared" si="4"/>
        <v>0.5810300404698443</v>
      </c>
      <c r="O24" s="7">
        <v>0</v>
      </c>
      <c r="P24" s="7">
        <f t="shared" si="5"/>
        <v>-1.646251781331225</v>
      </c>
      <c r="Q24">
        <f t="shared" si="6"/>
        <v>-1.8640019880211158E-2</v>
      </c>
      <c r="R24">
        <f>MATCH(Q24,PERCENTILE(Q$2:Q$29,{5,4,3,2,1}/5),-1)</f>
        <v>4</v>
      </c>
    </row>
    <row r="25" spans="1:18" x14ac:dyDescent="0.45">
      <c r="A25" t="s">
        <v>21</v>
      </c>
      <c r="B25" t="s">
        <v>15</v>
      </c>
      <c r="C25" s="8">
        <v>0</v>
      </c>
      <c r="D25" s="7">
        <f t="shared" si="7"/>
        <v>-0.5154614273559055</v>
      </c>
      <c r="E25" s="7">
        <v>1</v>
      </c>
      <c r="F25" s="7">
        <f t="shared" si="0"/>
        <v>0.8577796647025725</v>
      </c>
      <c r="G25" s="7">
        <v>1</v>
      </c>
      <c r="H25" s="7">
        <f t="shared" si="1"/>
        <v>0.37878524373260009</v>
      </c>
      <c r="I25" s="7">
        <v>0</v>
      </c>
      <c r="J25" s="7">
        <f t="shared" si="2"/>
        <v>-0.30182330673526991</v>
      </c>
      <c r="K25" s="7">
        <v>1</v>
      </c>
      <c r="L25" s="7">
        <f t="shared" si="3"/>
        <v>0.51546142735590539</v>
      </c>
      <c r="M25" s="7">
        <v>1</v>
      </c>
      <c r="N25" s="7">
        <f t="shared" si="4"/>
        <v>0.5810300404698443</v>
      </c>
      <c r="O25" s="7">
        <v>1</v>
      </c>
      <c r="P25" s="7">
        <f t="shared" si="5"/>
        <v>0.5810300404698443</v>
      </c>
      <c r="Q25">
        <f t="shared" si="6"/>
        <v>0.29954309751994163</v>
      </c>
      <c r="R25">
        <f>MATCH(Q25,PERCENTILE(Q$2:Q$29,{5,4,3,2,1}/5),-1)</f>
        <v>2</v>
      </c>
    </row>
    <row r="26" spans="1:18" x14ac:dyDescent="0.45">
      <c r="A26" t="s">
        <v>22</v>
      </c>
      <c r="B26" t="s">
        <v>15</v>
      </c>
      <c r="C26" s="8">
        <v>0</v>
      </c>
      <c r="D26" s="7">
        <f t="shared" si="7"/>
        <v>-0.5154614273559055</v>
      </c>
      <c r="E26" s="7">
        <v>1</v>
      </c>
      <c r="F26" s="7">
        <f t="shared" si="0"/>
        <v>0.8577796647025725</v>
      </c>
      <c r="G26" s="7">
        <v>0</v>
      </c>
      <c r="H26" s="7">
        <f t="shared" si="1"/>
        <v>-2.5252349582173332</v>
      </c>
      <c r="I26" s="7">
        <v>0</v>
      </c>
      <c r="J26" s="7">
        <f t="shared" si="2"/>
        <v>-0.30182330673526991</v>
      </c>
      <c r="K26" s="7">
        <v>0</v>
      </c>
      <c r="L26" s="7">
        <f t="shared" si="3"/>
        <v>-1.8556611384812598</v>
      </c>
      <c r="M26" s="7">
        <v>1</v>
      </c>
      <c r="N26" s="7">
        <f t="shared" si="4"/>
        <v>0.5810300404698443</v>
      </c>
      <c r="O26" s="7">
        <v>0</v>
      </c>
      <c r="P26" s="7">
        <f t="shared" si="5"/>
        <v>-1.646251781331225</v>
      </c>
      <c r="Q26">
        <f t="shared" si="6"/>
        <v>-0.7722318438497966</v>
      </c>
      <c r="R26">
        <f>MATCH(Q26,PERCENTILE(Q$2:Q$29,{5,4,3,2,1}/5),-1)</f>
        <v>5</v>
      </c>
    </row>
    <row r="27" spans="1:18" x14ac:dyDescent="0.45">
      <c r="A27" t="s">
        <v>24</v>
      </c>
      <c r="B27" t="s">
        <v>23</v>
      </c>
      <c r="C27" s="8">
        <v>0</v>
      </c>
      <c r="D27" s="7">
        <f t="shared" si="7"/>
        <v>-0.5154614273559055</v>
      </c>
      <c r="E27" s="7">
        <v>0</v>
      </c>
      <c r="F27" s="7">
        <f t="shared" si="0"/>
        <v>-1.1151135641133441</v>
      </c>
      <c r="G27" s="7">
        <v>1</v>
      </c>
      <c r="H27" s="7">
        <f t="shared" si="1"/>
        <v>0.37878524373260009</v>
      </c>
      <c r="I27" s="7">
        <v>0</v>
      </c>
      <c r="J27" s="7">
        <f t="shared" si="2"/>
        <v>-0.30182330673526991</v>
      </c>
      <c r="K27" s="7">
        <v>0</v>
      </c>
      <c r="L27" s="7">
        <f t="shared" si="3"/>
        <v>-1.8556611384812598</v>
      </c>
      <c r="M27" s="7">
        <v>1</v>
      </c>
      <c r="N27" s="7">
        <f t="shared" si="4"/>
        <v>0.5810300404698443</v>
      </c>
      <c r="O27" s="7">
        <v>1</v>
      </c>
      <c r="P27" s="7">
        <f t="shared" si="5"/>
        <v>0.5810300404698443</v>
      </c>
      <c r="Q27">
        <f t="shared" si="6"/>
        <v>-0.32103058743049867</v>
      </c>
      <c r="R27">
        <f>MATCH(Q27,PERCENTILE(Q$2:Q$29,{5,4,3,2,1}/5),-1)</f>
        <v>4</v>
      </c>
    </row>
    <row r="28" spans="1:18" x14ac:dyDescent="0.45">
      <c r="A28" t="s">
        <v>25</v>
      </c>
      <c r="B28" t="s">
        <v>23</v>
      </c>
      <c r="C28" s="8">
        <v>0</v>
      </c>
      <c r="D28" s="7">
        <f t="shared" si="7"/>
        <v>-0.5154614273559055</v>
      </c>
      <c r="E28" s="7">
        <v>1</v>
      </c>
      <c r="F28" s="7">
        <f t="shared" si="0"/>
        <v>0.8577796647025725</v>
      </c>
      <c r="G28" s="7">
        <v>1</v>
      </c>
      <c r="H28" s="7">
        <f t="shared" si="1"/>
        <v>0.37878524373260009</v>
      </c>
      <c r="I28" s="7">
        <v>0</v>
      </c>
      <c r="J28" s="7">
        <f t="shared" si="2"/>
        <v>-0.30182330673526991</v>
      </c>
      <c r="K28" s="7">
        <v>1</v>
      </c>
      <c r="L28" s="7">
        <f t="shared" si="3"/>
        <v>0.51546142735590539</v>
      </c>
      <c r="M28" s="7">
        <v>0</v>
      </c>
      <c r="N28" s="7">
        <f t="shared" si="4"/>
        <v>-1.646251781331225</v>
      </c>
      <c r="O28" s="7">
        <v>1</v>
      </c>
      <c r="P28" s="7">
        <f t="shared" si="5"/>
        <v>0.5810300404698443</v>
      </c>
      <c r="Q28">
        <f t="shared" si="6"/>
        <v>-1.8640019880211158E-2</v>
      </c>
      <c r="R28">
        <f>MATCH(Q28,PERCENTILE(Q$2:Q$29,{5,4,3,2,1}/5),-1)</f>
        <v>4</v>
      </c>
    </row>
    <row r="29" spans="1:18" x14ac:dyDescent="0.45">
      <c r="A29" t="s">
        <v>26</v>
      </c>
      <c r="B29" t="s">
        <v>23</v>
      </c>
      <c r="C29" s="8">
        <v>0</v>
      </c>
      <c r="D29" s="7">
        <f t="shared" si="7"/>
        <v>-0.5154614273559055</v>
      </c>
      <c r="E29" s="7">
        <v>0</v>
      </c>
      <c r="F29" s="7">
        <f t="shared" si="0"/>
        <v>-1.1151135641133441</v>
      </c>
      <c r="G29" s="7">
        <v>1</v>
      </c>
      <c r="H29" s="7">
        <f t="shared" si="1"/>
        <v>0.37878524373260009</v>
      </c>
      <c r="I29" s="7">
        <v>1</v>
      </c>
      <c r="J29" s="7">
        <f t="shared" si="2"/>
        <v>3.1691447207203347</v>
      </c>
      <c r="K29" s="7">
        <v>1</v>
      </c>
      <c r="L29" s="7">
        <f t="shared" si="3"/>
        <v>0.51546142735590539</v>
      </c>
      <c r="M29" s="7">
        <v>1</v>
      </c>
      <c r="N29" s="7">
        <f t="shared" si="4"/>
        <v>0.5810300404698443</v>
      </c>
      <c r="O29" s="7">
        <v>1</v>
      </c>
      <c r="P29" s="7">
        <f t="shared" si="5"/>
        <v>0.5810300404698443</v>
      </c>
      <c r="Q29">
        <f t="shared" si="6"/>
        <v>0.51355378303989696</v>
      </c>
      <c r="R29">
        <f>MATCH(Q29,PERCENTILE(Q$2:Q$29,{5,4,3,2,1}/5),-1)</f>
        <v>1</v>
      </c>
    </row>
    <row r="30" spans="1:18" x14ac:dyDescent="0.45">
      <c r="B30" t="s">
        <v>54</v>
      </c>
      <c r="C30">
        <f>_xlfn.STDEV.S(C2:C29)</f>
        <v>0.42174116783664994</v>
      </c>
      <c r="E30">
        <f>_xlfn.STDEV.S(E2:E29)</f>
        <v>0.50686980186970187</v>
      </c>
      <c r="G30">
        <f>_xlfn.STDEV.S(G2:G29)</f>
        <v>0.34435022157509099</v>
      </c>
      <c r="I30">
        <f>_xlfn.STDEV.S(I2:I29)</f>
        <v>0.28810406552003037</v>
      </c>
      <c r="K30">
        <f>_xlfn.STDEV.S(K2:K29)</f>
        <v>0.42174116783664994</v>
      </c>
      <c r="M30">
        <f>_xlfn.STDEV.S(M2:M29)</f>
        <v>0.44897775854487959</v>
      </c>
      <c r="O30">
        <f>_xlfn.STDEV.S(O2:O29)</f>
        <v>0.44897775854487959</v>
      </c>
    </row>
    <row r="31" spans="1:18" x14ac:dyDescent="0.45">
      <c r="B31" t="s">
        <v>55</v>
      </c>
      <c r="C31">
        <f>AVERAGE(C2:C29)</f>
        <v>0.21739130434782608</v>
      </c>
      <c r="E31">
        <f>AVERAGE(E2:E29)</f>
        <v>0.56521739130434778</v>
      </c>
      <c r="G31">
        <f>AVERAGE(G2:G29)</f>
        <v>0.86956521739130432</v>
      </c>
      <c r="I31">
        <f>AVERAGE(I2:I29)</f>
        <v>8.6956521739130432E-2</v>
      </c>
      <c r="K31">
        <f>AVERAGE(K2:K29)</f>
        <v>0.78260869565217395</v>
      </c>
      <c r="M31">
        <f>AVERAGE(M2:M29)</f>
        <v>0.73913043478260865</v>
      </c>
      <c r="O31">
        <f>AVERAGE(O2:O29)</f>
        <v>0.73913043478260865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H1" workbookViewId="0">
      <selection activeCell="N2" sqref="N2:N29"/>
    </sheetView>
  </sheetViews>
  <sheetFormatPr defaultRowHeight="14.25" x14ac:dyDescent="0.45"/>
  <cols>
    <col min="1" max="1" width="12.86328125" bestFit="1" customWidth="1"/>
    <col min="2" max="2" width="18.796875" customWidth="1"/>
    <col min="7" max="8" width="9.06640625" style="2" customWidth="1"/>
    <col min="9" max="10" width="18.265625" style="3" customWidth="1"/>
    <col min="11" max="11" width="9.06640625" customWidth="1"/>
  </cols>
  <sheetData>
    <row r="1" spans="1:14" x14ac:dyDescent="0.45">
      <c r="A1" t="s">
        <v>0</v>
      </c>
      <c r="B1" t="s">
        <v>2</v>
      </c>
      <c r="C1" t="s">
        <v>28</v>
      </c>
      <c r="E1" t="s">
        <v>38</v>
      </c>
      <c r="G1" t="s">
        <v>37</v>
      </c>
      <c r="H1"/>
      <c r="I1" t="s">
        <v>36</v>
      </c>
      <c r="J1"/>
      <c r="K1" t="s">
        <v>50</v>
      </c>
      <c r="M1" t="s">
        <v>73</v>
      </c>
    </row>
    <row r="2" spans="1:14" x14ac:dyDescent="0.45">
      <c r="A2" t="s">
        <v>1</v>
      </c>
      <c r="B2" t="s">
        <v>3</v>
      </c>
      <c r="C2" s="11">
        <v>5.844155844155844E-2</v>
      </c>
      <c r="D2" s="7">
        <f>(C2-C$31)/C$30</f>
        <v>-0.20995748942482262</v>
      </c>
      <c r="E2" s="12">
        <v>1.9480519480519481E-3</v>
      </c>
      <c r="F2" s="7">
        <f>(E2-E$31)/E$30</f>
        <v>9.7919831826774884E-2</v>
      </c>
      <c r="G2" s="2">
        <f>1-2.8%</f>
        <v>0.97199999999999998</v>
      </c>
      <c r="H2" s="7">
        <f>(G2-G$31)/G$30</f>
        <v>0.93759884225491263</v>
      </c>
      <c r="I2" s="3">
        <v>3303.83</v>
      </c>
      <c r="J2" s="7">
        <f>(I2-I$31)/I$30</f>
        <v>0.15888404088848876</v>
      </c>
      <c r="K2" s="7">
        <v>1</v>
      </c>
      <c r="L2" s="7">
        <f>(K2-K$31)/K$30</f>
        <v>0.18898223650461352</v>
      </c>
      <c r="M2">
        <f>AVERAGE(L2+J2+H2+F2+D2)</f>
        <v>1.1734274620499672</v>
      </c>
      <c r="N2">
        <f>MATCH(M2,PERCENTILE(M$2:M$29,{5,4,3,2,1}/5),-1)</f>
        <v>1</v>
      </c>
    </row>
    <row r="3" spans="1:14" x14ac:dyDescent="0.45">
      <c r="A3" t="s">
        <v>4</v>
      </c>
      <c r="B3" t="s">
        <v>3</v>
      </c>
      <c r="C3" s="11">
        <v>5.4878048780487805E-2</v>
      </c>
      <c r="D3" s="7">
        <f t="shared" ref="D3:D29" si="0">(C3-C$31)/C$30</f>
        <v>-0.30664613095654097</v>
      </c>
      <c r="E3" s="12">
        <v>0</v>
      </c>
      <c r="F3" s="7">
        <f t="shared" ref="F3:F29" si="1">(E3-E$31)/E$30</f>
        <v>-0.94912086701766285</v>
      </c>
      <c r="G3" s="2">
        <f>1-22.2%</f>
        <v>0.77800000000000002</v>
      </c>
      <c r="H3" s="7">
        <f t="shared" ref="H3:H29" si="2">(G3-G$31)/G$30</f>
        <v>-1.0947383130238864</v>
      </c>
      <c r="I3" s="3">
        <v>2306.0100000000002</v>
      </c>
      <c r="J3" s="7">
        <f t="shared" ref="J3:J29" si="3">(I3-I$31)/I$30</f>
        <v>-0.49141259018324157</v>
      </c>
      <c r="K3" s="7">
        <v>1</v>
      </c>
      <c r="L3" s="7">
        <f t="shared" ref="L3:L29" si="4">(K3-K$31)/K$30</f>
        <v>0.18898223650461352</v>
      </c>
      <c r="M3">
        <f t="shared" ref="M3:M29" si="5">AVERAGE(L3+J3+H3+F3+D3)</f>
        <v>-2.6529356646767179</v>
      </c>
      <c r="N3">
        <f>MATCH(M3,PERCENTILE(M$2:M$29,{5,4,3,2,1}/5),-1)</f>
        <v>5</v>
      </c>
    </row>
    <row r="4" spans="1:14" x14ac:dyDescent="0.45">
      <c r="A4" t="s">
        <v>5</v>
      </c>
      <c r="B4" t="s">
        <v>3</v>
      </c>
      <c r="C4" s="11">
        <v>0.22222222222222221</v>
      </c>
      <c r="D4" s="7">
        <f t="shared" si="0"/>
        <v>4.233900222850254</v>
      </c>
      <c r="E4" s="12">
        <v>0</v>
      </c>
      <c r="F4" s="7">
        <f t="shared" si="1"/>
        <v>-0.94912086701766285</v>
      </c>
      <c r="G4" s="2">
        <f>1-0%</f>
        <v>1</v>
      </c>
      <c r="H4" s="7">
        <f t="shared" si="2"/>
        <v>1.2309258543570076</v>
      </c>
      <c r="I4" s="4">
        <v>8229.11</v>
      </c>
      <c r="J4" s="7">
        <f t="shared" si="3"/>
        <v>3.3687745933778888</v>
      </c>
      <c r="K4" s="7">
        <v>0</v>
      </c>
      <c r="L4" s="7">
        <f t="shared" si="4"/>
        <v>-2.4567690745599768</v>
      </c>
      <c r="M4">
        <f t="shared" si="5"/>
        <v>5.4277107290075106</v>
      </c>
      <c r="N4">
        <f>MATCH(M4,PERCENTILE(M$2:M$29,{5,4,3,2,1}/5),-1)</f>
        <v>1</v>
      </c>
    </row>
    <row r="5" spans="1:14" x14ac:dyDescent="0.45">
      <c r="A5" t="s">
        <v>6</v>
      </c>
      <c r="B5" t="s">
        <v>3</v>
      </c>
      <c r="C5" s="11">
        <v>9.5959595959595953E-2</v>
      </c>
      <c r="D5" s="7">
        <f t="shared" si="0"/>
        <v>0.80801872660294816</v>
      </c>
      <c r="E5" s="12">
        <v>0</v>
      </c>
      <c r="F5" s="7">
        <f t="shared" si="1"/>
        <v>-0.94912086701766285</v>
      </c>
      <c r="G5" s="2">
        <f>1-10.6%</f>
        <v>0.89400000000000002</v>
      </c>
      <c r="H5" s="7">
        <f t="shared" si="2"/>
        <v>0.12047359425622051</v>
      </c>
      <c r="I5" s="4">
        <v>4188.2299999999996</v>
      </c>
      <c r="J5" s="7">
        <f t="shared" si="3"/>
        <v>0.73526288729348988</v>
      </c>
      <c r="K5" s="7">
        <v>1</v>
      </c>
      <c r="L5" s="7">
        <f t="shared" si="4"/>
        <v>0.18898223650461352</v>
      </c>
      <c r="M5">
        <f t="shared" si="5"/>
        <v>0.90361657763960934</v>
      </c>
      <c r="N5">
        <f>MATCH(M5,PERCENTILE(M$2:M$29,{5,4,3,2,1}/5),-1)</f>
        <v>2</v>
      </c>
    </row>
    <row r="6" spans="1:14" x14ac:dyDescent="0.45">
      <c r="A6" t="s">
        <v>7</v>
      </c>
      <c r="B6" t="s">
        <v>3</v>
      </c>
      <c r="C6" s="11">
        <v>9.0909090909090912E-2</v>
      </c>
      <c r="D6" s="7">
        <f t="shared" si="0"/>
        <v>0.6709834667530562</v>
      </c>
      <c r="E6" s="12">
        <v>0</v>
      </c>
      <c r="F6" s="7">
        <f t="shared" si="1"/>
        <v>-0.94912086701766285</v>
      </c>
      <c r="G6" s="2">
        <f>1-42.9%</f>
        <v>0.57099999999999995</v>
      </c>
      <c r="H6" s="7">
        <f t="shared" si="2"/>
        <v>-3.2632630096358017</v>
      </c>
      <c r="I6" s="4">
        <v>3587.9</v>
      </c>
      <c r="J6" s="7">
        <f t="shared" si="3"/>
        <v>0.34401739559028527</v>
      </c>
      <c r="K6" s="7">
        <v>1</v>
      </c>
      <c r="L6" s="7">
        <f t="shared" si="4"/>
        <v>0.18898223650461352</v>
      </c>
      <c r="M6">
        <f t="shared" si="5"/>
        <v>-3.0084007778055093</v>
      </c>
      <c r="N6">
        <f>MATCH(M6,PERCENTILE(M$2:M$29,{5,4,3,2,1}/5),-1)</f>
        <v>5</v>
      </c>
    </row>
    <row r="7" spans="1:14" x14ac:dyDescent="0.45">
      <c r="A7" t="s">
        <v>8</v>
      </c>
      <c r="B7" t="s">
        <v>3</v>
      </c>
      <c r="C7" s="11">
        <v>7.1428571428571425E-2</v>
      </c>
      <c r="D7" s="7">
        <f t="shared" si="0"/>
        <v>0.14241889304632879</v>
      </c>
      <c r="E7" s="12">
        <v>0</v>
      </c>
      <c r="F7" s="7">
        <f t="shared" si="1"/>
        <v>-0.94912086701766285</v>
      </c>
      <c r="G7" s="2">
        <f>1-0%</f>
        <v>1</v>
      </c>
      <c r="H7" s="7">
        <f t="shared" si="2"/>
        <v>1.2309258543570076</v>
      </c>
      <c r="I7" s="4">
        <v>5857.14</v>
      </c>
      <c r="J7" s="7">
        <f t="shared" si="3"/>
        <v>1.8229205315198256</v>
      </c>
      <c r="K7" s="7">
        <v>0</v>
      </c>
      <c r="L7" s="7">
        <f t="shared" si="4"/>
        <v>-2.4567690745599768</v>
      </c>
      <c r="M7">
        <f t="shared" si="5"/>
        <v>-0.20962466265447768</v>
      </c>
      <c r="N7">
        <f>MATCH(M7,PERCENTILE(M$2:M$29,{5,4,3,2,1}/5),-1)</f>
        <v>3</v>
      </c>
    </row>
    <row r="8" spans="1:14" x14ac:dyDescent="0.45">
      <c r="A8" t="s">
        <v>9</v>
      </c>
      <c r="B8" t="s">
        <v>3</v>
      </c>
      <c r="C8" s="11">
        <v>5.2997393570807995E-2</v>
      </c>
      <c r="D8" s="7">
        <f t="shared" si="0"/>
        <v>-0.35767391387515318</v>
      </c>
      <c r="E8" s="12">
        <v>1.7376194613379669E-3</v>
      </c>
      <c r="F8" s="7">
        <f t="shared" si="1"/>
        <v>-1.5183608853496034E-2</v>
      </c>
      <c r="G8" s="2">
        <f>1-(0.115+0.098)</f>
        <v>0.78699999999999992</v>
      </c>
      <c r="H8" s="7">
        <f t="shared" si="2"/>
        <v>-1.0004546305624997</v>
      </c>
      <c r="I8" s="4">
        <v>3244.29</v>
      </c>
      <c r="J8" s="7">
        <f t="shared" si="3"/>
        <v>0.12008078838401821</v>
      </c>
      <c r="K8" s="7">
        <v>1</v>
      </c>
      <c r="L8" s="7">
        <f t="shared" si="4"/>
        <v>0.18898223650461352</v>
      </c>
      <c r="M8">
        <f t="shared" si="5"/>
        <v>-1.0642491284025173</v>
      </c>
      <c r="N8">
        <f>MATCH(M8,PERCENTILE(M$2:M$29,{5,4,3,2,1}/5),-1)</f>
        <v>4</v>
      </c>
    </row>
    <row r="9" spans="1:14" x14ac:dyDescent="0.45">
      <c r="A9" t="s">
        <v>10</v>
      </c>
      <c r="B9" t="s">
        <v>3</v>
      </c>
      <c r="C9" s="11">
        <v>5.6051218504750096E-2</v>
      </c>
      <c r="D9" s="7">
        <f t="shared" si="0"/>
        <v>-0.27481453859010369</v>
      </c>
      <c r="E9" s="12">
        <v>2.0652622883106154E-3</v>
      </c>
      <c r="F9" s="7">
        <f t="shared" si="1"/>
        <v>0.16091815006923929</v>
      </c>
      <c r="G9" s="2">
        <f>1-(0.059+0.037)</f>
        <v>0.90400000000000003</v>
      </c>
      <c r="H9" s="7">
        <f t="shared" si="2"/>
        <v>0.22523324143554016</v>
      </c>
      <c r="I9" s="4">
        <v>2561.09</v>
      </c>
      <c r="J9" s="7">
        <f t="shared" si="3"/>
        <v>-0.32517252218122017</v>
      </c>
      <c r="K9" s="7">
        <v>1</v>
      </c>
      <c r="L9" s="7">
        <f t="shared" si="4"/>
        <v>0.18898223650461352</v>
      </c>
      <c r="M9">
        <f t="shared" si="5"/>
        <v>-2.4853432761930888E-2</v>
      </c>
      <c r="N9">
        <f>MATCH(M9,PERCENTILE(M$2:M$29,{5,4,3,2,1}/5),-1)</f>
        <v>2</v>
      </c>
    </row>
    <row r="10" spans="1:14" x14ac:dyDescent="0.45">
      <c r="A10" t="s">
        <v>11</v>
      </c>
      <c r="B10" t="s">
        <v>3</v>
      </c>
      <c r="C10" s="11">
        <v>5.5674518201284794E-2</v>
      </c>
      <c r="D10" s="7">
        <f t="shared" si="0"/>
        <v>-0.28503554093634209</v>
      </c>
      <c r="E10" s="12">
        <v>1.0706638115631692E-3</v>
      </c>
      <c r="F10" s="7">
        <f t="shared" si="1"/>
        <v>-0.37365952646790046</v>
      </c>
      <c r="G10" s="2">
        <f>1-(0.039+0.019)</f>
        <v>0.94199999999999995</v>
      </c>
      <c r="H10" s="7">
        <f t="shared" si="2"/>
        <v>0.62331990071695365</v>
      </c>
      <c r="I10" s="4">
        <v>4400.95</v>
      </c>
      <c r="J10" s="7">
        <f t="shared" si="3"/>
        <v>0.87389620729266682</v>
      </c>
      <c r="K10" s="7">
        <v>1</v>
      </c>
      <c r="L10" s="7">
        <f t="shared" si="4"/>
        <v>0.18898223650461352</v>
      </c>
      <c r="M10">
        <f t="shared" si="5"/>
        <v>1.0275032771099912</v>
      </c>
      <c r="N10">
        <f>MATCH(M10,PERCENTILE(M$2:M$29,{5,4,3,2,1}/5),-1)</f>
        <v>2</v>
      </c>
    </row>
    <row r="11" spans="1:14" x14ac:dyDescent="0.45">
      <c r="A11" t="s">
        <v>12</v>
      </c>
      <c r="B11" t="s">
        <v>13</v>
      </c>
      <c r="C11" s="11">
        <v>5.1111111111111114E-2</v>
      </c>
      <c r="D11" s="7">
        <f t="shared" si="0"/>
        <v>-0.40885438086409465</v>
      </c>
      <c r="E11" s="11">
        <v>1.7543859649122807E-3</v>
      </c>
      <c r="F11" s="7">
        <f t="shared" si="1"/>
        <v>-6.1719335554206679E-3</v>
      </c>
      <c r="G11" s="2">
        <f>1-(0.046+0.034)</f>
        <v>0.92</v>
      </c>
      <c r="H11" s="7">
        <f t="shared" si="2"/>
        <v>0.39284867692245162</v>
      </c>
      <c r="I11" s="4">
        <v>2035.13</v>
      </c>
      <c r="J11" s="7">
        <f t="shared" si="3"/>
        <v>-0.6679497927094592</v>
      </c>
      <c r="K11" s="7">
        <v>1</v>
      </c>
      <c r="L11" s="7">
        <f t="shared" si="4"/>
        <v>0.18898223650461352</v>
      </c>
      <c r="M11">
        <f t="shared" si="5"/>
        <v>-0.50114519370190935</v>
      </c>
      <c r="N11">
        <f>MATCH(M11,PERCENTILE(M$2:M$29,{5,4,3,2,1}/5),-1)</f>
        <v>3</v>
      </c>
    </row>
    <row r="12" spans="1:14" x14ac:dyDescent="0.45">
      <c r="A12" t="s">
        <v>14</v>
      </c>
      <c r="B12" t="s">
        <v>13</v>
      </c>
      <c r="C12" s="11">
        <v>5.4730158730158733E-2</v>
      </c>
      <c r="D12" s="7">
        <f t="shared" si="0"/>
        <v>-0.31065882894880043</v>
      </c>
      <c r="E12" s="11">
        <v>2.0317460317460317E-3</v>
      </c>
      <c r="F12" s="7">
        <f t="shared" si="1"/>
        <v>0.14290380259194327</v>
      </c>
      <c r="G12" s="2">
        <f>1-(0.023+0.035)</f>
        <v>0.94199999999999995</v>
      </c>
      <c r="H12" s="7">
        <f t="shared" si="2"/>
        <v>0.62331990071695365</v>
      </c>
      <c r="I12" s="4">
        <v>2225.8200000000002</v>
      </c>
      <c r="J12" s="7">
        <f t="shared" si="3"/>
        <v>-0.54367380648041153</v>
      </c>
      <c r="K12" s="7">
        <v>1</v>
      </c>
      <c r="L12" s="7">
        <f t="shared" si="4"/>
        <v>0.18898223650461352</v>
      </c>
      <c r="M12">
        <f t="shared" si="5"/>
        <v>0.10087330438429848</v>
      </c>
      <c r="N12">
        <f>MATCH(M12,PERCENTILE(M$2:M$29,{5,4,3,2,1}/5),-1)</f>
        <v>2</v>
      </c>
    </row>
    <row r="13" spans="1:14" x14ac:dyDescent="0.45">
      <c r="A13" t="s">
        <v>16</v>
      </c>
      <c r="B13" t="s">
        <v>15</v>
      </c>
      <c r="C13" s="11">
        <v>5.0441779741243295E-2</v>
      </c>
      <c r="D13" s="7">
        <f t="shared" si="0"/>
        <v>-0.42701533650680779</v>
      </c>
      <c r="E13" s="11">
        <v>2.4455664247396655E-3</v>
      </c>
      <c r="F13" s="7">
        <f t="shared" si="1"/>
        <v>0.36532435657635881</v>
      </c>
      <c r="G13" s="2">
        <f>1-(0.139+0.034)</f>
        <v>0.82699999999999996</v>
      </c>
      <c r="H13" s="7">
        <f t="shared" si="2"/>
        <v>-0.58141604184522111</v>
      </c>
      <c r="I13" s="4">
        <v>1671.27</v>
      </c>
      <c r="J13" s="7">
        <f t="shared" si="3"/>
        <v>-0.90508367675844592</v>
      </c>
      <c r="K13" s="7">
        <v>1</v>
      </c>
      <c r="L13" s="7">
        <f t="shared" si="4"/>
        <v>0.18898223650461352</v>
      </c>
      <c r="M13">
        <f t="shared" si="5"/>
        <v>-1.3592084620295024</v>
      </c>
      <c r="N13">
        <f>MATCH(M13,PERCENTILE(M$2:M$29,{5,4,3,2,1}/5),-1)</f>
        <v>4</v>
      </c>
    </row>
    <row r="14" spans="1:14" x14ac:dyDescent="0.45">
      <c r="A14" t="s">
        <v>29</v>
      </c>
      <c r="B14" t="s">
        <v>15</v>
      </c>
      <c r="C14" s="11">
        <v>8.48E-2</v>
      </c>
      <c r="D14" s="7">
        <f t="shared" si="0"/>
        <v>0.5052256164386264</v>
      </c>
      <c r="E14" s="11">
        <v>8.0000000000000002E-3</v>
      </c>
      <c r="F14" s="7">
        <f t="shared" si="1"/>
        <v>3.3507262695701616</v>
      </c>
      <c r="G14" s="2">
        <f>1-(0.019+0.038)</f>
        <v>0.94300000000000006</v>
      </c>
      <c r="H14" s="7">
        <f t="shared" si="2"/>
        <v>0.63379586543488675</v>
      </c>
      <c r="I14" s="4">
        <v>2094.96</v>
      </c>
      <c r="J14" s="7">
        <f t="shared" si="3"/>
        <v>-0.62895754216625333</v>
      </c>
      <c r="K14" s="7">
        <v>0</v>
      </c>
      <c r="L14" s="7">
        <f t="shared" si="4"/>
        <v>-2.4567690745599768</v>
      </c>
      <c r="M14">
        <f t="shared" si="5"/>
        <v>1.4040211347174443</v>
      </c>
      <c r="N14">
        <f>MATCH(M14,PERCENTILE(M$2:M$29,{5,4,3,2,1}/5),-1)</f>
        <v>1</v>
      </c>
    </row>
    <row r="15" spans="1:14" x14ac:dyDescent="0.45">
      <c r="A15" t="s">
        <v>30</v>
      </c>
      <c r="B15" t="s">
        <v>15</v>
      </c>
      <c r="C15" s="11">
        <v>4.6139359698681735E-2</v>
      </c>
      <c r="D15" s="7">
        <f t="shared" si="0"/>
        <v>-0.54375281971293776</v>
      </c>
      <c r="E15" s="11">
        <v>1.8832391713747645E-3</v>
      </c>
      <c r="F15" s="7">
        <f t="shared" si="1"/>
        <v>6.3084202800563163E-2</v>
      </c>
      <c r="G15" s="2">
        <f>1-(0.163+0.041)</f>
        <v>0.79600000000000004</v>
      </c>
      <c r="H15" s="7">
        <f t="shared" si="2"/>
        <v>-0.90617094810111087</v>
      </c>
      <c r="I15" s="4">
        <v>1715.26</v>
      </c>
      <c r="J15" s="7">
        <f t="shared" si="3"/>
        <v>-0.87641462943443416</v>
      </c>
      <c r="K15" s="7">
        <v>1</v>
      </c>
      <c r="L15" s="7">
        <f t="shared" si="4"/>
        <v>0.18898223650461352</v>
      </c>
      <c r="M15">
        <f t="shared" si="5"/>
        <v>-2.074271957943306</v>
      </c>
      <c r="N15">
        <f>MATCH(M15,PERCENTILE(M$2:M$29,{5,4,3,2,1}/5),-1)</f>
        <v>5</v>
      </c>
    </row>
    <row r="16" spans="1:14" x14ac:dyDescent="0.45">
      <c r="A16" t="s">
        <v>31</v>
      </c>
      <c r="B16" t="s">
        <v>15</v>
      </c>
      <c r="C16" s="11">
        <v>3.4740259740259738E-2</v>
      </c>
      <c r="D16" s="7">
        <f t="shared" si="0"/>
        <v>-0.85304438743467403</v>
      </c>
      <c r="E16" s="11">
        <v>0</v>
      </c>
      <c r="F16" s="7">
        <f t="shared" si="1"/>
        <v>-0.94912086701766285</v>
      </c>
      <c r="G16" s="2">
        <f>1-(0.094+0.094)</f>
        <v>0.81200000000000006</v>
      </c>
      <c r="H16" s="7">
        <f t="shared" si="2"/>
        <v>-0.73855551261419949</v>
      </c>
      <c r="I16" s="4">
        <v>1529.19</v>
      </c>
      <c r="J16" s="7">
        <f t="shared" si="3"/>
        <v>-0.99767968139121677</v>
      </c>
      <c r="K16" s="7">
        <v>1</v>
      </c>
      <c r="L16" s="7">
        <f t="shared" si="4"/>
        <v>0.18898223650461352</v>
      </c>
      <c r="M16">
        <f t="shared" si="5"/>
        <v>-3.3494182119531395</v>
      </c>
      <c r="N16">
        <f>MATCH(M16,PERCENTILE(M$2:M$29,{5,4,3,2,1}/5),-1)</f>
        <v>5</v>
      </c>
    </row>
    <row r="17" spans="1:14" x14ac:dyDescent="0.45">
      <c r="A17" t="s">
        <v>32</v>
      </c>
      <c r="B17" t="s">
        <v>15</v>
      </c>
      <c r="C17" s="11">
        <v>3.3878504672897193E-2</v>
      </c>
      <c r="D17" s="7">
        <f t="shared" si="0"/>
        <v>-0.87642637169210558</v>
      </c>
      <c r="E17" s="11">
        <v>0</v>
      </c>
      <c r="F17" s="7">
        <f t="shared" si="1"/>
        <v>-0.94912086701766285</v>
      </c>
      <c r="G17" s="2">
        <f>1-(0.069)</f>
        <v>0.93100000000000005</v>
      </c>
      <c r="H17" s="7">
        <f t="shared" si="2"/>
        <v>0.50808428881970324</v>
      </c>
      <c r="I17" s="4">
        <v>2233.9899999999998</v>
      </c>
      <c r="J17" s="7">
        <f t="shared" si="3"/>
        <v>-0.53834927552707745</v>
      </c>
      <c r="K17" s="8">
        <v>1</v>
      </c>
      <c r="L17" s="7">
        <f t="shared" si="4"/>
        <v>0.18898223650461352</v>
      </c>
      <c r="M17">
        <f t="shared" si="5"/>
        <v>-1.6668299889125291</v>
      </c>
      <c r="N17">
        <f>MATCH(M17,PERCENTILE(M$2:M$29,{5,4,3,2,1}/5),-1)</f>
        <v>5</v>
      </c>
    </row>
    <row r="18" spans="1:14" x14ac:dyDescent="0.45">
      <c r="A18" t="s">
        <v>17</v>
      </c>
      <c r="B18" t="s">
        <v>15</v>
      </c>
      <c r="C18" s="11">
        <v>5.3048780487804877E-2</v>
      </c>
      <c r="D18" s="7">
        <f t="shared" si="0"/>
        <v>-0.35627963360948978</v>
      </c>
      <c r="E18" s="11">
        <v>1.2195121951219512E-3</v>
      </c>
      <c r="F18" s="7">
        <f t="shared" si="1"/>
        <v>-0.2936563644890311</v>
      </c>
      <c r="G18" s="2">
        <f>1-(0.035+0.023)</f>
        <v>0.94199999999999995</v>
      </c>
      <c r="H18" s="7">
        <f t="shared" si="2"/>
        <v>0.62331990071695365</v>
      </c>
      <c r="I18" s="4">
        <v>2018.47</v>
      </c>
      <c r="J18" s="7">
        <f t="shared" si="3"/>
        <v>-0.67880740417611152</v>
      </c>
      <c r="K18" s="8">
        <v>1</v>
      </c>
      <c r="L18" s="7">
        <f t="shared" si="4"/>
        <v>0.18898223650461352</v>
      </c>
      <c r="M18">
        <f t="shared" si="5"/>
        <v>-0.5164412650530652</v>
      </c>
      <c r="N18">
        <f>MATCH(M18,PERCENTILE(M$2:M$29,{5,4,3,2,1}/5),-1)</f>
        <v>3</v>
      </c>
    </row>
    <row r="19" spans="1:14" x14ac:dyDescent="0.45">
      <c r="A19" t="s">
        <v>18</v>
      </c>
      <c r="B19" t="s">
        <v>15</v>
      </c>
      <c r="C19" s="11">
        <v>4.5858374706036056E-2</v>
      </c>
      <c r="D19" s="7">
        <f t="shared" si="0"/>
        <v>-0.55137678030619963</v>
      </c>
      <c r="E19" s="11">
        <v>2.2733211392735823E-3</v>
      </c>
      <c r="F19" s="7">
        <f t="shared" si="1"/>
        <v>0.27274580688859756</v>
      </c>
      <c r="G19" s="2">
        <f>1-(17.5%+7.4%)</f>
        <v>0.751</v>
      </c>
      <c r="H19" s="7">
        <f t="shared" si="2"/>
        <v>-1.3775893604080494</v>
      </c>
      <c r="I19" s="4">
        <v>2035.93</v>
      </c>
      <c r="J19" s="7">
        <f t="shared" si="3"/>
        <v>-0.66742841880949988</v>
      </c>
      <c r="K19" s="8">
        <v>1</v>
      </c>
      <c r="L19" s="7">
        <f t="shared" si="4"/>
        <v>0.18898223650461352</v>
      </c>
      <c r="M19">
        <f t="shared" si="5"/>
        <v>-2.134666516130538</v>
      </c>
      <c r="N19">
        <f>MATCH(M19,PERCENTILE(M$2:M$29,{5,4,3,2,1}/5),-1)</f>
        <v>5</v>
      </c>
    </row>
    <row r="20" spans="1:14" x14ac:dyDescent="0.45">
      <c r="A20" t="s">
        <v>19</v>
      </c>
      <c r="B20" t="s">
        <v>15</v>
      </c>
      <c r="C20" s="11">
        <v>4.9722026966579333E-2</v>
      </c>
      <c r="D20" s="7">
        <f t="shared" si="0"/>
        <v>-0.44654437519055168</v>
      </c>
      <c r="E20" s="11">
        <v>8.6267493130551471E-4</v>
      </c>
      <c r="F20" s="7">
        <f t="shared" si="1"/>
        <v>-0.48544957537014843</v>
      </c>
      <c r="G20" s="2">
        <f>1-(3.5%+5.1%)</f>
        <v>0.91400000000000003</v>
      </c>
      <c r="H20" s="7">
        <f t="shared" si="2"/>
        <v>0.32999288861485981</v>
      </c>
      <c r="I20" s="4">
        <v>1833.42</v>
      </c>
      <c r="J20" s="7">
        <f t="shared" si="3"/>
        <v>-0.79940770441044606</v>
      </c>
      <c r="K20" s="8">
        <v>1</v>
      </c>
      <c r="L20" s="7">
        <f t="shared" si="4"/>
        <v>0.18898223650461352</v>
      </c>
      <c r="M20">
        <f t="shared" si="5"/>
        <v>-1.212426529851673</v>
      </c>
      <c r="N20">
        <f>MATCH(M20,PERCENTILE(M$2:M$29,{5,4,3,2,1}/5),-1)</f>
        <v>4</v>
      </c>
    </row>
    <row r="21" spans="1:14" x14ac:dyDescent="0.45">
      <c r="A21" t="s">
        <v>20</v>
      </c>
      <c r="B21" t="s">
        <v>15</v>
      </c>
      <c r="C21" s="11">
        <v>9.3266832917705739E-2</v>
      </c>
      <c r="D21" s="7">
        <f t="shared" si="0"/>
        <v>0.73495603693734501</v>
      </c>
      <c r="E21" s="11">
        <v>4.4887780548628431E-3</v>
      </c>
      <c r="F21" s="7">
        <f t="shared" si="1"/>
        <v>1.4635115662298697</v>
      </c>
      <c r="G21" s="2">
        <f>1-(5.4%+2.7%)</f>
        <v>0.91900000000000004</v>
      </c>
      <c r="H21" s="7">
        <f t="shared" si="2"/>
        <v>0.38237271220451963</v>
      </c>
      <c r="I21" s="4">
        <v>4834.32</v>
      </c>
      <c r="J21" s="7">
        <f t="shared" si="3"/>
        <v>1.1563309660743666</v>
      </c>
      <c r="K21" s="8">
        <v>1</v>
      </c>
      <c r="L21" s="7">
        <f t="shared" si="4"/>
        <v>0.18898223650461352</v>
      </c>
      <c r="M21">
        <f t="shared" si="5"/>
        <v>3.9261535179507145</v>
      </c>
      <c r="N21">
        <f>MATCH(M21,PERCENTILE(M$2:M$29,{5,4,3,2,1}/5),-1)</f>
        <v>1</v>
      </c>
    </row>
    <row r="22" spans="1:14" x14ac:dyDescent="0.45">
      <c r="A22" t="s">
        <v>33</v>
      </c>
      <c r="B22" t="s">
        <v>15</v>
      </c>
      <c r="C22" s="11">
        <v>4.8904267589388699E-2</v>
      </c>
      <c r="D22" s="7">
        <f t="shared" si="0"/>
        <v>-0.46873262520265657</v>
      </c>
      <c r="E22" s="11">
        <v>1.8569780853517879E-3</v>
      </c>
      <c r="F22" s="7">
        <f t="shared" si="1"/>
        <v>4.8969370858115362E-2</v>
      </c>
      <c r="G22" s="2">
        <f>1-(7.2%+6.4%)</f>
        <v>0.86399999999999999</v>
      </c>
      <c r="H22" s="7">
        <f t="shared" si="2"/>
        <v>-0.19380534728173845</v>
      </c>
      <c r="I22" s="4">
        <v>2215.3000000000002</v>
      </c>
      <c r="J22" s="7">
        <f t="shared" si="3"/>
        <v>-0.55052987326487623</v>
      </c>
      <c r="K22" s="8">
        <v>1</v>
      </c>
      <c r="L22" s="7">
        <f t="shared" si="4"/>
        <v>0.18898223650461352</v>
      </c>
      <c r="M22">
        <f t="shared" si="5"/>
        <v>-0.97511623838654238</v>
      </c>
      <c r="N22">
        <f>MATCH(M22,PERCENTILE(M$2:M$29,{5,4,3,2,1}/5),-1)</f>
        <v>4</v>
      </c>
    </row>
    <row r="23" spans="1:14" x14ac:dyDescent="0.45">
      <c r="A23" t="s">
        <v>34</v>
      </c>
      <c r="B23" t="s">
        <v>15</v>
      </c>
      <c r="C23" s="11">
        <v>3.7731481481481484E-2</v>
      </c>
      <c r="D23" s="7">
        <f t="shared" si="0"/>
        <v>-0.77188362341643424</v>
      </c>
      <c r="E23" s="11">
        <v>0</v>
      </c>
      <c r="F23" s="7">
        <f t="shared" si="1"/>
        <v>-0.94912086701766285</v>
      </c>
      <c r="G23" s="2">
        <v>1</v>
      </c>
      <c r="H23" s="7">
        <f t="shared" si="2"/>
        <v>1.2309258543570076</v>
      </c>
      <c r="I23" s="4">
        <v>2130.56</v>
      </c>
      <c r="J23" s="7">
        <f t="shared" si="3"/>
        <v>-0.60575640361806482</v>
      </c>
      <c r="K23" s="8">
        <v>1</v>
      </c>
      <c r="L23" s="7">
        <f t="shared" si="4"/>
        <v>0.18898223650461352</v>
      </c>
      <c r="M23">
        <f t="shared" si="5"/>
        <v>-0.90685280319054073</v>
      </c>
      <c r="N23">
        <f>MATCH(M23,PERCENTILE(M$2:M$29,{5,4,3,2,1}/5),-1)</f>
        <v>3</v>
      </c>
    </row>
    <row r="24" spans="1:14" x14ac:dyDescent="0.45">
      <c r="A24" t="s">
        <v>35</v>
      </c>
      <c r="B24" t="s">
        <v>15</v>
      </c>
      <c r="C24" s="11">
        <v>4.1350210970464131E-2</v>
      </c>
      <c r="D24" s="7">
        <f t="shared" si="0"/>
        <v>-0.67369670331829168</v>
      </c>
      <c r="E24" s="11">
        <v>1.4064697609001407E-3</v>
      </c>
      <c r="F24" s="7">
        <f t="shared" si="1"/>
        <v>-0.19317024525468388</v>
      </c>
      <c r="G24" s="2">
        <v>1</v>
      </c>
      <c r="H24" s="7">
        <f t="shared" si="2"/>
        <v>1.2309258543570076</v>
      </c>
      <c r="I24" s="4">
        <v>2370.87</v>
      </c>
      <c r="J24" s="7">
        <f t="shared" si="3"/>
        <v>-0.44914220124404186</v>
      </c>
      <c r="K24" s="8">
        <v>1</v>
      </c>
      <c r="L24" s="7">
        <f t="shared" si="4"/>
        <v>0.18898223650461352</v>
      </c>
      <c r="M24">
        <f t="shared" si="5"/>
        <v>0.10389894104460373</v>
      </c>
      <c r="N24">
        <f>MATCH(M24,PERCENTILE(M$2:M$29,{5,4,3,2,1}/5),-1)</f>
        <v>2</v>
      </c>
    </row>
    <row r="25" spans="1:14" x14ac:dyDescent="0.45">
      <c r="A25" t="s">
        <v>21</v>
      </c>
      <c r="B25" t="s">
        <v>15</v>
      </c>
      <c r="C25" s="11">
        <v>5.533980582524272E-2</v>
      </c>
      <c r="D25" s="7">
        <f t="shared" si="0"/>
        <v>-0.29411728562667033</v>
      </c>
      <c r="E25" s="11">
        <v>2.9126213592233011E-3</v>
      </c>
      <c r="F25" s="7">
        <f t="shared" si="1"/>
        <v>0.61635745940994313</v>
      </c>
      <c r="G25" s="2">
        <f>1-(10.5%+7%)</f>
        <v>0.82499999999999996</v>
      </c>
      <c r="H25" s="7">
        <f t="shared" si="2"/>
        <v>-0.6023679712810851</v>
      </c>
      <c r="I25" s="4">
        <v>2081.39</v>
      </c>
      <c r="J25" s="7">
        <f t="shared" si="3"/>
        <v>-0.63780134694431301</v>
      </c>
      <c r="K25" s="8">
        <v>1</v>
      </c>
      <c r="L25" s="7">
        <f t="shared" si="4"/>
        <v>0.18898223650461352</v>
      </c>
      <c r="M25">
        <f t="shared" si="5"/>
        <v>-0.72894690793751171</v>
      </c>
      <c r="N25">
        <f>MATCH(M25,PERCENTILE(M$2:M$29,{5,4,3,2,1}/5),-1)</f>
        <v>3</v>
      </c>
    </row>
    <row r="26" spans="1:14" x14ac:dyDescent="0.45">
      <c r="A26" t="s">
        <v>22</v>
      </c>
      <c r="B26" t="s">
        <v>15</v>
      </c>
      <c r="C26" s="11">
        <v>5.1411290322580648E-2</v>
      </c>
      <c r="D26" s="7">
        <f t="shared" si="0"/>
        <v>-0.40070962388753251</v>
      </c>
      <c r="E26" s="11">
        <v>0</v>
      </c>
      <c r="F26" s="7">
        <f t="shared" si="1"/>
        <v>-0.94912086701766285</v>
      </c>
      <c r="G26" s="2">
        <f>1-(7.8%+11.8%)</f>
        <v>0.80400000000000005</v>
      </c>
      <c r="H26" s="7">
        <f t="shared" si="2"/>
        <v>-0.82236323035765524</v>
      </c>
      <c r="I26" s="4">
        <v>3716.2</v>
      </c>
      <c r="J26" s="7">
        <f t="shared" si="3"/>
        <v>0.42763273479625713</v>
      </c>
      <c r="K26" s="8">
        <v>1</v>
      </c>
      <c r="L26" s="7">
        <f t="shared" si="4"/>
        <v>0.18898223650461352</v>
      </c>
      <c r="M26">
        <f t="shared" si="5"/>
        <v>-1.55557874996198</v>
      </c>
      <c r="N26">
        <f>MATCH(M26,PERCENTILE(M$2:M$29,{5,4,3,2,1}/5),-1)</f>
        <v>4</v>
      </c>
    </row>
    <row r="27" spans="1:14" x14ac:dyDescent="0.45">
      <c r="A27" t="s">
        <v>24</v>
      </c>
      <c r="B27" t="s">
        <v>23</v>
      </c>
      <c r="C27" s="11">
        <v>0.10423728813559323</v>
      </c>
      <c r="D27" s="7">
        <f t="shared" si="0"/>
        <v>1.032617194865399</v>
      </c>
      <c r="E27" s="11">
        <v>5.084745762711864E-3</v>
      </c>
      <c r="F27" s="7">
        <f t="shared" si="1"/>
        <v>1.7838328214915473</v>
      </c>
      <c r="G27" s="2">
        <f>1-(8.2%)</f>
        <v>0.91800000000000004</v>
      </c>
      <c r="H27" s="7">
        <f t="shared" si="2"/>
        <v>0.37189674748658769</v>
      </c>
      <c r="I27" s="4">
        <v>4429.53</v>
      </c>
      <c r="J27" s="7">
        <f t="shared" si="3"/>
        <v>0.89252228986871263</v>
      </c>
      <c r="K27" s="8">
        <v>2</v>
      </c>
      <c r="L27" s="7">
        <f t="shared" si="4"/>
        <v>2.8347335475692037</v>
      </c>
      <c r="M27">
        <f t="shared" si="5"/>
        <v>6.9156026012814493</v>
      </c>
      <c r="N27">
        <f>MATCH(M27,PERCENTILE(M$2:M$29,{5,4,3,2,1}/5),-1)</f>
        <v>1</v>
      </c>
    </row>
    <row r="28" spans="1:14" x14ac:dyDescent="0.45">
      <c r="A28" t="s">
        <v>25</v>
      </c>
      <c r="B28" t="s">
        <v>23</v>
      </c>
      <c r="C28" s="11">
        <v>0.10551181102362205</v>
      </c>
      <c r="D28" s="7">
        <f t="shared" si="0"/>
        <v>1.0671988007442406</v>
      </c>
      <c r="E28" s="11">
        <v>3.1496062992125988E-3</v>
      </c>
      <c r="F28" s="7">
        <f t="shared" si="1"/>
        <v>0.74373233636337055</v>
      </c>
      <c r="G28" s="2">
        <f>1-(10.3%)</f>
        <v>0.89700000000000002</v>
      </c>
      <c r="H28" s="7">
        <f t="shared" si="2"/>
        <v>0.15190148841001641</v>
      </c>
      <c r="I28" s="4">
        <v>4633.96</v>
      </c>
      <c r="J28" s="7">
        <f t="shared" si="3"/>
        <v>1.0257528728295613</v>
      </c>
      <c r="K28" s="8">
        <v>1</v>
      </c>
      <c r="L28" s="7">
        <f t="shared" si="4"/>
        <v>0.18898223650461352</v>
      </c>
      <c r="M28">
        <f t="shared" si="5"/>
        <v>3.1775677348518023</v>
      </c>
      <c r="N28">
        <f>MATCH(M28,PERCENTILE(M$2:M$29,{5,4,3,2,1}/5),-1)</f>
        <v>1</v>
      </c>
    </row>
    <row r="29" spans="1:14" x14ac:dyDescent="0.45">
      <c r="A29" t="s">
        <v>26</v>
      </c>
      <c r="B29" t="s">
        <v>23</v>
      </c>
      <c r="C29" s="11">
        <v>5.2244632400780741E-2</v>
      </c>
      <c r="D29" s="7">
        <f t="shared" si="0"/>
        <v>-0.37809856873799275</v>
      </c>
      <c r="E29" s="11">
        <v>3.2530904359141183E-3</v>
      </c>
      <c r="F29" s="7">
        <f t="shared" si="1"/>
        <v>0.79935308247315695</v>
      </c>
      <c r="G29" s="2">
        <f>1-(8.1%+6.2%)</f>
        <v>0.85699999999999998</v>
      </c>
      <c r="H29" s="7">
        <f t="shared" si="2"/>
        <v>-0.26713710030726218</v>
      </c>
      <c r="I29" s="4">
        <v>2196.92</v>
      </c>
      <c r="J29" s="7">
        <f t="shared" si="3"/>
        <v>-0.56250843861644106</v>
      </c>
      <c r="K29" s="8">
        <v>1</v>
      </c>
      <c r="L29" s="7">
        <f t="shared" si="4"/>
        <v>0.18898223650461352</v>
      </c>
      <c r="M29">
        <f t="shared" si="5"/>
        <v>-0.21940878868392555</v>
      </c>
      <c r="N29">
        <f>MATCH(M29,PERCENTILE(M$2:M$29,{5,4,3,2,1}/5),-1)</f>
        <v>3</v>
      </c>
    </row>
    <row r="30" spans="1:14" x14ac:dyDescent="0.45">
      <c r="B30" t="s">
        <v>54</v>
      </c>
      <c r="C30">
        <f>_xlfn.STDEV.S(C2:C29)</f>
        <v>3.6855514821786374E-2</v>
      </c>
      <c r="E30">
        <f>_xlfn.STDEV.S(E2:E29)</f>
        <v>1.8605312574782506E-3</v>
      </c>
      <c r="G30">
        <f>_xlfn.STDEV.S(G2:G29)</f>
        <v>9.5456602511105867E-2</v>
      </c>
      <c r="H30"/>
      <c r="I30">
        <f>_xlfn.STDEV.S(I2:I29)</f>
        <v>1534.4074570331522</v>
      </c>
      <c r="J30"/>
      <c r="K30">
        <f>_xlfn.STDEV.S(K2:K29)</f>
        <v>0.37796447300922725</v>
      </c>
    </row>
    <row r="31" spans="1:14" x14ac:dyDescent="0.45">
      <c r="B31" t="s">
        <v>55</v>
      </c>
      <c r="C31">
        <f>AVERAGE(C2:C29)</f>
        <v>6.6179649805000046E-2</v>
      </c>
      <c r="E31">
        <f>AVERAGE(E2:E29)</f>
        <v>1.7658690402112198E-3</v>
      </c>
      <c r="G31">
        <f>AVERAGE(G2:G29)</f>
        <v>0.88249999999999973</v>
      </c>
      <c r="H31"/>
      <c r="I31">
        <f>AVERAGE(I2:I29)</f>
        <v>3060.0371428571425</v>
      </c>
      <c r="J31"/>
      <c r="K31">
        <f>AVERAGE(K2:K29)</f>
        <v>0.9285714285714286</v>
      </c>
    </row>
    <row r="32" spans="1:14" x14ac:dyDescent="0.45">
      <c r="G32"/>
      <c r="H32"/>
      <c r="I32"/>
      <c r="J32"/>
      <c r="K32" s="7"/>
    </row>
    <row r="33" spans="1:6" x14ac:dyDescent="0.45">
      <c r="C33" s="11"/>
      <c r="D33" s="11"/>
      <c r="E33" s="11"/>
      <c r="F33" s="11"/>
    </row>
    <row r="34" spans="1:6" x14ac:dyDescent="0.45">
      <c r="C34" s="11"/>
      <c r="D34" s="11"/>
      <c r="E34" s="11"/>
      <c r="F34" s="11"/>
    </row>
    <row r="35" spans="1:6" x14ac:dyDescent="0.45">
      <c r="C35" s="11"/>
      <c r="D35" s="11"/>
      <c r="E35" s="11"/>
      <c r="F35" s="11"/>
    </row>
    <row r="36" spans="1:6" x14ac:dyDescent="0.45">
      <c r="A36" t="s">
        <v>67</v>
      </c>
      <c r="C36" s="11"/>
      <c r="D36" s="11"/>
      <c r="E36" s="11"/>
      <c r="F36" s="11"/>
    </row>
    <row r="37" spans="1:6" x14ac:dyDescent="0.45">
      <c r="A37" t="s">
        <v>69</v>
      </c>
      <c r="C37" s="11"/>
      <c r="D37" s="11"/>
      <c r="E37" s="11"/>
      <c r="F37" s="11"/>
    </row>
    <row r="38" spans="1:6" x14ac:dyDescent="0.45">
      <c r="A38" t="s">
        <v>70</v>
      </c>
      <c r="C38" s="11"/>
      <c r="D38" s="11"/>
      <c r="E38" s="11"/>
      <c r="F3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RAW DATA</vt:lpstr>
      <vt:lpstr>Education Quality</vt:lpstr>
      <vt:lpstr>CareerCollege Rediness</vt:lpstr>
      <vt:lpstr>Determinants other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2020-07-14T22:21:47Z</dcterms:created>
  <dcterms:modified xsi:type="dcterms:W3CDTF">2020-07-24T06:12:01Z</dcterms:modified>
</cp:coreProperties>
</file>