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7.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drawings/drawing9.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omments20.xml" ContentType="application/vnd.openxmlformats-officedocument.spreadsheetml.comments+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DieseArbeitsmappe" defaultThemeVersion="124226"/>
  <mc:AlternateContent xmlns:mc="http://schemas.openxmlformats.org/markup-compatibility/2006">
    <mc:Choice Requires="x15">
      <x15ac:absPath xmlns:x15ac="http://schemas.microsoft.com/office/spreadsheetml/2010/11/ac" url="C:\Users\loics\Documents\Centrale Lyon\EPSA\2022\GIT\ELIZ-2021\RC_Rendus_Compet\SES\"/>
    </mc:Choice>
  </mc:AlternateContent>
  <xr:revisionPtr revIDLastSave="0" documentId="13_ncr:1_{31404FAF-53F4-480B-A7E1-479830A60F3D}" xr6:coauthVersionLast="47" xr6:coauthVersionMax="47" xr10:uidLastSave="{00000000-0000-0000-0000-000000000000}"/>
  <bookViews>
    <workbookView xWindow="-108" yWindow="-108" windowWidth="23256" windowHeight="12456" tabRatio="878" firstSheet="29" activeTab="33"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23" i="32" s="1"/>
  <c r="C6" i="32"/>
  <c r="D6" i="32" s="1"/>
  <c r="C7" i="32"/>
  <c r="C20" i="32" s="1"/>
  <c r="C17" i="32"/>
  <c r="C18" i="32"/>
  <c r="C19" i="32"/>
  <c r="D21" i="7"/>
  <c r="E21" i="7" s="1"/>
  <c r="U25" i="14"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F36" i="6"/>
  <c r="BH60" i="72"/>
  <c r="J8" i="63" s="1"/>
  <c r="J7" i="63" s="1"/>
  <c r="C20" i="76"/>
  <c r="C21" i="76" s="1"/>
  <c r="D8" i="76"/>
  <c r="D7" i="76"/>
  <c r="O5" i="3"/>
  <c r="P9" i="3" s="1"/>
  <c r="G34" i="6"/>
  <c r="C17" i="8"/>
  <c r="K5" i="34"/>
  <c r="C21" i="8"/>
  <c r="C18" i="8"/>
  <c r="C19" i="8" s="1"/>
  <c r="C28" i="12"/>
  <c r="C26" i="12"/>
  <c r="F32" i="6"/>
  <c r="F33" i="6"/>
  <c r="C17" i="7"/>
  <c r="C17" i="1"/>
  <c r="F35" i="13"/>
  <c r="D11" i="76"/>
  <c r="D9" i="76"/>
  <c r="D10" i="76"/>
  <c r="D19" i="8"/>
  <c r="F28" i="6"/>
  <c r="F25" i="6"/>
  <c r="F29" i="6"/>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D25" i="32" s="1"/>
  <c r="C28" i="13"/>
  <c r="E28" i="13"/>
  <c r="L11" i="13"/>
  <c r="AE28" i="14"/>
  <c r="AF28" i="14"/>
  <c r="N18" i="3"/>
  <c r="P18" i="3"/>
  <c r="F26" i="6"/>
  <c r="F31" i="6"/>
  <c r="F30" i="6"/>
  <c r="F35" i="6"/>
  <c r="F27" i="6"/>
  <c r="F34" i="6"/>
  <c r="J12" i="13"/>
  <c r="L10" i="13"/>
  <c r="L12" i="13"/>
  <c r="I7" i="63"/>
  <c r="I10" i="63"/>
  <c r="G26" i="13"/>
  <c r="P19" i="3"/>
  <c r="N19" i="3"/>
  <c r="AP38" i="14"/>
  <c r="G34" i="39"/>
  <c r="C26" i="39"/>
  <c r="I26" i="3"/>
  <c r="I29" i="3" s="1"/>
  <c r="P20" i="3"/>
  <c r="P21" i="3"/>
  <c r="P22" i="3"/>
  <c r="J26" i="3"/>
  <c r="J30" i="3" s="1"/>
  <c r="H18" i="63"/>
  <c r="H16" i="63" l="1"/>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H26" i="6" s="1"/>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P10" i="3" l="1"/>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<sst xmlns="http://schemas.openxmlformats.org/spreadsheetml/2006/main" count="3396" uniqueCount="929">
  <si>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</si>
  <si>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</si>
  <si>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</si>
  <si>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</si>
  <si>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</si>
  <si>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</si>
  <si>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</si>
  <si>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</si>
  <si>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</si>
  <si>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</si>
  <si>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</si>
  <si>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</si>
  <si>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</si>
  <si>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</si>
  <si>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</si>
  <si>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</si>
  <si>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</si>
  <si>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</si>
  <si>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</si>
  <si>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</si>
  <si>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</si>
  <si>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</si>
  <si>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</si>
  <si>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</si>
  <si>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</si>
  <si>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</si>
  <si>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</si>
  <si>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</si>
  <si>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</si>
  <si>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</si>
  <si>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</si>
  <si>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</si>
  <si>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</si>
  <si>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</si>
  <si>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</si>
  <si>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</si>
  <si>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</si>
  <si>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</si>
  <si>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</si>
  <si>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</si>
  <si>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</si>
  <si>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</si>
  <si>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</si>
  <si>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</si>
  <si>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</si>
  <si>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</si>
  <si>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</si>
  <si>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</si>
  <si>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</si>
  <si>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</si>
  <si>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</si>
  <si>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</si>
  <si>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</si>
  <si>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</si>
  <si>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</si>
  <si>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</si>
  <si>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</si>
  <si>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</si>
  <si>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</si>
  <si>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</si>
  <si>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</si>
  <si>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</si>
  <si>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</si>
  <si>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</si>
  <si>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</si>
  <si>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</si>
  <si>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</si>
  <si>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</si>
  <si>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</si>
  <si>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</si>
  <si>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</si>
  <si>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</si>
  <si>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</si>
  <si>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</si>
  <si>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</si>
  <si>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</si>
  <si>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</si>
  <si>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</si>
  <si>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</si>
  <si>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</si>
  <si>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</si>
  <si>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</si>
  <si>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</si>
  <si>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</si>
  <si>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</si>
  <si>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</si>
  <si>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</si>
  <si>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</si>
  <si>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</si>
  <si>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</si>
  <si>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</si>
  <si>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</si>
  <si>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</si>
  <si>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</si>
  <si>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</si>
  <si>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</si>
  <si>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</si>
  <si>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</si>
  <si>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</si>
  <si>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</si>
  <si>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</si>
  <si>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</si>
  <si>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</si>
  <si>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</si>
  <si>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</si>
  <si>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</si>
  <si>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</si>
  <si>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</si>
  <si>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</si>
  <si>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</si>
  <si>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</si>
  <si>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</si>
  <si>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</si>
  <si>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</si>
  <si>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</si>
  <si>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</si>
  <si>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</si>
  <si>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</si>
  <si>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</si>
  <si>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</si>
  <si>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</si>
  <si>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</si>
  <si>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</si>
  <si>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</si>
  <si>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</si>
  <si>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</si>
  <si>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</si>
  <si>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</si>
  <si>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</si>
  <si>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</si>
  <si>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</si>
  <si>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</si>
  <si>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</si>
  <si>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</si>
  <si>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</si>
  <si>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</si>
  <si>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</si>
  <si>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</si>
  <si>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</si>
  <si>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</si>
  <si>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</si>
  <si>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</si>
  <si>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</si>
  <si>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</si>
  <si>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</si>
  <si>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</si>
  <si>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</si>
  <si>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</si>
  <si>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</si>
  <si>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</si>
  <si>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</si>
  <si>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</si>
  <si>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</si>
  <si>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</si>
  <si>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</si>
  <si>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</si>
  <si>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</si>
  <si>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</si>
  <si>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</si>
  <si>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</si>
  <si>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</si>
  <si>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</si>
  <si>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</si>
  <si>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</si>
  <si>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</si>
  <si>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</si>
  <si>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</si>
  <si>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</si>
  <si>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</si>
  <si>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</si>
  <si>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</si>
  <si>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</si>
  <si>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</si>
  <si>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</si>
  <si>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</si>
  <si>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</si>
  <si>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</si>
  <si>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</si>
  <si>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</si>
  <si>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</si>
  <si>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</si>
  <si>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</si>
  <si>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</si>
  <si>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</si>
  <si>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</si>
  <si>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</si>
  <si>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</si>
  <si>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</si>
  <si>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</si>
  <si>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</si>
  <si>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</si>
  <si>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</si>
  <si>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</si>
  <si>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</si>
  <si>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</si>
  <si>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</si>
  <si>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</si>
  <si>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</si>
  <si>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</si>
  <si>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</si>
  <si>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</si>
  <si>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</si>
  <si>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</si>
  <si>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</si>
  <si>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</si>
  <si>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</si>
  <si>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</si>
  <si>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</si>
  <si>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</si>
  <si>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</si>
  <si>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</si>
  <si>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</si>
  <si>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</si>
  <si>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</si>
  <si>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</si>
  <si>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</si>
  <si>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</si>
  <si>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</si>
  <si>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</si>
  <si>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</si>
  <si>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</si>
  <si>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</si>
  <si>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</si>
  <si>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</si>
  <si>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</si>
  <si>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</si>
  <si>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</si>
  <si>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</si>
  <si>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</si>
  <si>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</si>
  <si>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</si>
  <si>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</si>
  <si>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</si>
  <si>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</si>
  <si>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</si>
  <si>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</si>
  <si>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</si>
  <si>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</si>
  <si>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</si>
  <si>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</si>
  <si>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</si>
  <si>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</si>
  <si>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</si>
  <si>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</si>
  <si>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</si>
  <si>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</si>
  <si>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</si>
  <si>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</si>
  <si>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</si>
  <si>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</si>
  <si>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</si>
  <si>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</si>
  <si>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</si>
  <si>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</si>
  <si>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</si>
  <si>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</si>
  <si>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</si>
  <si>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</si>
  <si>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</si>
  <si>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</si>
  <si>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</si>
  <si>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</si>
  <si>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</si>
  <si>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</si>
  <si>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</si>
  <si>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</si>
  <si>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</si>
  <si>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</si>
  <si>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</si>
  <si>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</si>
  <si>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</si>
  <si>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</si>
  <si>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</si>
  <si>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</si>
  <si>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</si>
  <si>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</si>
  <si>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</si>
  <si>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</si>
  <si>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</si>
  <si>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</si>
  <si>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</si>
  <si>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</si>
  <si>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</si>
  <si>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</si>
  <si>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</si>
  <si>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</si>
  <si>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</si>
  <si>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</si>
  <si>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</si>
  <si>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</si>
  <si>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</si>
  <si>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</si>
  <si>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</si>
  <si>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</si>
  <si>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</si>
  <si>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</si>
  <si>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</si>
  <si>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</si>
  <si>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</si>
  <si>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</si>
  <si>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</si>
  <si>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</si>
  <si>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</si>
  <si>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</si>
  <si>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</si>
  <si>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</si>
  <si>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</si>
  <si>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</si>
  <si>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</si>
  <si>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</si>
  <si>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</si>
  <si>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</si>
  <si>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</si>
  <si>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</si>
  <si>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</si>
  <si>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</si>
  <si>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</si>
  <si>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</si>
  <si>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</si>
  <si>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</si>
  <si>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</si>
  <si>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</si>
  <si>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</si>
  <si>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</si>
  <si>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</si>
  <si>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</si>
  <si>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</si>
  <si>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</si>
  <si>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</si>
  <si>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</si>
  <si>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</si>
  <si>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</si>
  <si>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</si>
  <si>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</si>
  <si>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</si>
  <si>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</si>
  <si>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</si>
  <si>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</si>
  <si>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</si>
  <si>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</si>
  <si>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</si>
  <si>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</si>
  <si>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</si>
  <si>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</si>
  <si>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</si>
  <si>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</si>
  <si>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</si>
  <si>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</si>
  <si>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</si>
  <si>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</si>
  <si>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</si>
  <si>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</si>
  <si>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</si>
  <si>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</si>
  <si>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</si>
  <si>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</si>
  <si>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</si>
  <si>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</si>
  <si>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</si>
  <si>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</si>
  <si>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</si>
  <si>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</si>
  <si>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</si>
  <si>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</si>
  <si>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</si>
  <si>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</si>
  <si>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</si>
  <si>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</si>
  <si>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</si>
  <si>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</si>
  <si>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</si>
  <si>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</si>
  <si>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</si>
  <si>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</si>
  <si>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</si>
  <si>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</si>
  <si>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</si>
  <si>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</si>
  <si>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</si>
  <si>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</si>
  <si>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</si>
  <si>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</si>
  <si>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</si>
  <si>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</si>
  <si>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</si>
  <si>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</si>
  <si>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</si>
  <si>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</si>
  <si>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</si>
  <si>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</si>
  <si>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</si>
  <si>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</si>
  <si>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</si>
  <si>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</si>
  <si>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</si>
  <si>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</si>
  <si>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</si>
  <si>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</si>
  <si>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</si>
  <si>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</si>
  <si>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</si>
  <si>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</si>
  <si>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</si>
  <si>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</si>
  <si>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</si>
  <si>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</si>
  <si>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</si>
  <si>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</si>
  <si>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</si>
  <si>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</si>
  <si>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</si>
  <si>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</si>
  <si>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</si>
  <si>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</si>
  <si>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</si>
  <si>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</si>
  <si>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</si>
  <si>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</si>
  <si>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</si>
  <si>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</si>
  <si>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</si>
  <si>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</si>
  <si>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</si>
  <si>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</si>
  <si>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</si>
  <si>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</si>
  <si>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</si>
  <si>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</si>
  <si>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</si>
  <si>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</si>
  <si>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</si>
  <si>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</si>
  <si>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</si>
  <si>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</si>
  <si>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</si>
  <si>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</si>
  <si>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</si>
  <si>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</si>
  <si>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</si>
  <si>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</si>
  <si>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</si>
  <si>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</si>
  <si>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</si>
  <si>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</si>
  <si>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</si>
  <si>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</si>
  <si>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</si>
  <si>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</si>
  <si>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</si>
  <si>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</si>
  <si>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</si>
  <si>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</si>
  <si>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</si>
  <si>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</si>
  <si>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</si>
  <si>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</si>
  <si>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</si>
  <si>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</si>
  <si>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</si>
  <si>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</si>
  <si>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</si>
  <si>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</si>
  <si>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</si>
  <si>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</si>
  <si>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</si>
  <si>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</si>
  <si>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</si>
  <si>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</si>
  <si>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</si>
  <si>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</si>
  <si>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</si>
  <si>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</si>
  <si>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</si>
  <si>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</si>
  <si>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</si>
  <si>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</si>
  <si>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</si>
  <si>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</si>
  <si>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</si>
  <si>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</si>
  <si>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</si>
  <si>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</si>
  <si>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</si>
  <si>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</si>
  <si>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</si>
  <si>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</si>
  <si>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</si>
  <si>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</si>
  <si>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</si>
  <si>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</si>
  <si>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</si>
  <si>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</si>
  <si>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</si>
  <si>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</si>
  <si>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</si>
  <si>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</si>
  <si>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</si>
  <si>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</si>
  <si>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</si>
  <si>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</si>
  <si>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</si>
  <si>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</si>
  <si>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</si>
  <si>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</si>
  <si>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</si>
  <si>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</si>
  <si>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</si>
  <si>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</si>
  <si>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</si>
  <si>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</si>
  <si>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</si>
  <si>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</si>
  <si>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</si>
  <si>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</si>
  <si>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</si>
  <si>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</si>
  <si>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</si>
  <si>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</si>
  <si>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</si>
  <si>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</si>
  <si>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</si>
  <si>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</si>
  <si>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</si>
  <si>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</si>
  <si>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</si>
  <si>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</si>
  <si>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</si>
  <si>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</si>
  <si>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</si>
  <si>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</si>
  <si>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</si>
  <si>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</si>
  <si>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</si>
  <si>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</si>
  <si>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</si>
  <si>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</si>
  <si>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</si>
  <si>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</si>
  <si>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</si>
  <si>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</si>
  <si>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</si>
  <si>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</si>
  <si>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</si>
  <si>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</si>
  <si>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</si>
  <si>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</si>
  <si>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</si>
  <si>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</si>
  <si>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</si>
  <si>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</si>
  <si>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</si>
  <si>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</si>
  <si>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</si>
  <si>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</si>
  <si>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</si>
  <si>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</si>
  <si>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</si>
  <si>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</si>
  <si>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</si>
  <si>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</si>
  <si>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</si>
  <si>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</si>
  <si>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</si>
  <si>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</si>
  <si>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</si>
  <si>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</si>
  <si>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</si>
  <si>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</si>
  <si>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</si>
  <si>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</si>
  <si>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</si>
  <si>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</si>
  <si>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</si>
  <si>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</si>
  <si>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</si>
  <si>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</si>
  <si>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</si>
  <si>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</si>
  <si>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</si>
  <si>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</si>
  <si>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</si>
  <si>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</si>
  <si>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</si>
  <si>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</si>
  <si>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</si>
  <si>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</si>
  <si>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</si>
  <si>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</si>
  <si>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</si>
  <si>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</si>
  <si>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</si>
  <si>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</si>
  <si>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</si>
  <si>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</si>
  <si>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</si>
  <si>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</si>
  <si>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</si>
  <si>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</si>
  <si>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</si>
  <si>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</si>
  <si>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</si>
  <si>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</si>
  <si>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</si>
  <si>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</si>
  <si>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</si>
  <si>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</si>
  <si>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</si>
  <si>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</si>
  <si>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</si>
  <si>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</si>
  <si>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</si>
  <si>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</si>
  <si>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</si>
  <si>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</si>
  <si>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</si>
  <si>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</si>
  <si>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</si>
  <si>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</si>
  <si>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</si>
  <si>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</si>
  <si>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</si>
  <si>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</si>
  <si>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</si>
  <si>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</si>
  <si>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</si>
  <si>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</si>
  <si>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</si>
  <si>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</si>
  <si>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</si>
  <si>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</si>
  <si>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</si>
  <si>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</si>
  <si>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</si>
  <si>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</si>
  <si>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</si>
  <si>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</si>
  <si>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</si>
  <si>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</si>
  <si>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</si>
  <si>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</si>
  <si>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</si>
  <si>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</si>
  <si>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</si>
  <si>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</si>
  <si>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</si>
  <si>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</si>
  <si>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</si>
  <si>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</si>
  <si>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</si>
  <si>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</si>
  <si>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</si>
  <si>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</si>
  <si>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</si>
  <si>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</si>
  <si>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</si>
  <si>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</si>
  <si>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</si>
  <si>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</si>
  <si>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</si>
  <si>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</si>
  <si>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</si>
  <si>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</si>
  <si>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</si>
  <si>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</si>
  <si>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</si>
  <si>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</si>
  <si>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</si>
  <si>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</si>
  <si>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</si>
  <si>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</si>
  <si>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</si>
  <si>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</si>
  <si>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</si>
  <si>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</si>
  <si>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</si>
  <si>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</si>
  <si>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</si>
  <si>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</si>
  <si>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</si>
  <si>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</si>
  <si>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</si>
  <si>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</si>
  <si>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</si>
  <si>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</si>
  <si>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</si>
  <si>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</si>
  <si>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</si>
  <si>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</si>
  <si>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</si>
  <si>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</si>
  <si>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</si>
  <si>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</si>
  <si>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</si>
  <si>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</si>
  <si>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</si>
  <si>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</si>
  <si>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</si>
  <si>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</si>
  <si>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</si>
  <si>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</si>
  <si>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</si>
  <si>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</si>
  <si>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</si>
  <si>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</si>
  <si>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</si>
  <si>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</si>
  <si>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</si>
  <si>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</si>
  <si>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</si>
  <si>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</si>
  <si>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</si>
  <si>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</si>
  <si>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</si>
  <si>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</si>
  <si>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</si>
  <si>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</si>
  <si>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</si>
  <si>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</si>
  <si>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</si>
  <si>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</si>
  <si>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</si>
  <si>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</si>
  <si>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</si>
  <si>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</si>
  <si>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</si>
  <si>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</si>
  <si>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</si>
  <si>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</si>
  <si>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</si>
  <si>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</si>
  <si>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</si>
  <si>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</si>
  <si>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</si>
  <si>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</si>
  <si>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</si>
  <si>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</si>
  <si>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</si>
  <si>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</si>
  <si>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</si>
  <si>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</si>
  <si>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</si>
  <si>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</si>
  <si>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</si>
  <si>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</si>
  <si>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</si>
  <si>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</si>
  <si>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</si>
  <si>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</si>
  <si>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</si>
  <si>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</si>
  <si>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</si>
  <si>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</si>
  <si>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</si>
  <si>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</si>
  <si>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</si>
  <si>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</si>
  <si>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</si>
  <si>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</si>
  <si>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</si>
  <si>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</si>
  <si>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</si>
  <si>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</si>
  <si>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</si>
  <si>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</si>
  <si>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</si>
  <si>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</si>
  <si>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</si>
  <si>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</si>
  <si>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</si>
  <si>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</si>
  <si>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</si>
  <si>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</si>
  <si>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</si>
  <si>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</si>
  <si>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</si>
  <si>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</si>
  <si>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</si>
  <si>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</si>
  <si>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</si>
  <si>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</si>
  <si>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</si>
  <si>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</si>
  <si>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</si>
  <si>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</si>
  <si>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</si>
  <si>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</si>
  <si>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</si>
  <si>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</si>
  <si>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</si>
  <si>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</si>
  <si>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</si>
  <si>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</si>
  <si>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</si>
  <si>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</si>
  <si>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</si>
  <si>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</si>
  <si>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</si>
  <si>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</si>
  <si>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</si>
  <si>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</si>
  <si>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</si>
  <si>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</si>
  <si>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</si>
  <si>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</si>
  <si>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</si>
  <si>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</si>
  <si>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</si>
  <si>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</si>
  <si>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</si>
  <si>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</si>
  <si>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</si>
  <si>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</si>
  <si>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</si>
  <si>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</si>
  <si>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</si>
  <si>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</si>
  <si>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</si>
  <si>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</si>
  <si>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</si>
  <si>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</si>
  <si>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</si>
  <si>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</si>
  <si>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</si>
  <si>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</si>
  <si>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</si>
  <si>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</si>
  <si>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</si>
  <si>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</si>
  <si>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</si>
  <si>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</si>
  <si>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</si>
  <si>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</si>
  <si>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</si>
  <si>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</si>
  <si>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</si>
  <si>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</si>
  <si>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</si>
  <si>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</si>
  <si>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</si>
  <si>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</si>
  <si>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</si>
  <si>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</si>
  <si>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</si>
  <si>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</si>
  <si>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</si>
  <si>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</si>
  <si>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</si>
  <si>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</si>
  <si>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</si>
  <si>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</si>
  <si>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</si>
  <si>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</si>
  <si>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</si>
  <si>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</si>
  <si>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</si>
  <si>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</si>
  <si>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</si>
  <si>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</si>
  <si>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</si>
  <si>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</si>
  <si>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</si>
  <si>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</si>
  <si>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</si>
  <si>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</si>
  <si>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</si>
  <si>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</si>
  <si>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</si>
  <si>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</si>
  <si>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</si>
  <si>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</si>
  <si>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</si>
  <si>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</si>
  <si>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</si>
  <si>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</si>
  <si>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</si>
  <si>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</si>
  <si>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</si>
  <si>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</si>
  <si>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</si>
  <si>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</si>
  <si>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</si>
  <si>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</si>
  <si>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</si>
  <si>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</si>
  <si>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</si>
  <si>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</si>
  <si>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</si>
  <si>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</si>
  <si>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</si>
  <si>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</si>
  <si>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</si>
  <si>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</si>
  <si>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</si>
  <si>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</si>
  <si>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</si>
  <si>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</si>
  <si>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</si>
  <si>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</si>
  <si>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</si>
  <si>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</si>
  <si>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</si>
  <si>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</si>
  <si>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</si>
  <si>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</si>
  <si>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</si>
  <si>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</si>
  <si>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</si>
  <si>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</si>
  <si>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</si>
  <si>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</si>
  <si>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</si>
  <si>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</si>
  <si>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</si>
  <si>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</si>
  <si>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</si>
  <si>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</si>
  <si>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t>
  </si>
  <si>
    <t>---------------------------</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</si>
  <si>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</si>
  <si>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</si>
  <si>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</si>
  <si>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</si>
  <si>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</si>
  <si>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</si>
  <si>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</si>
  <si>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</si>
  <si>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</si>
  <si>
    <t>0,8 x Re for hard steel.</t>
  </si>
  <si>
    <t>15CrMo4 and Steel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</si>
</sst>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4">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0" fillId="4" borderId="1" xfId="0" applyFill="1" applyBorder="1" applyAlignment="1">
      <alignment horizontal="center"/>
    </xf>
    <xf numFmtId="0" fontId="0" fillId="4" borderId="1" xfId="0" applyFill="1" applyBorder="1"/>
    <xf numFmtId="0" fontId="1" fillId="0" borderId="11" xfId="0" applyFont="1" applyBorder="1" applyAlignment="1">
      <alignment horizontal="center"/>
    </xf>
    <xf numFmtId="0" fontId="1" fillId="0" borderId="12" xfId="0" applyFont="1" applyBorder="1" applyAlignment="1">
      <alignment horizontal="center"/>
    </xf>
    <xf numFmtId="0" fontId="6" fillId="0" borderId="1" xfId="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6" fillId="0" borderId="1" xfId="1" applyBorder="1" applyAlignment="1" applyProtection="1">
      <alignment horizontal="left" wrapText="1"/>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3" fillId="0" borderId="0" xfId="0" applyFont="1" applyAlignment="1">
      <alignment horizontal="center"/>
    </xf>
    <xf numFmtId="0" fontId="6" fillId="0" borderId="0" xfId="1" applyAlignment="1" applyProtection="1">
      <alignment horizontal="left"/>
    </xf>
    <xf numFmtId="0" fontId="1" fillId="0" borderId="8" xfId="0" applyFont="1" applyBorder="1"/>
    <xf numFmtId="0" fontId="1"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0" fillId="0" borderId="15" xfId="0" applyBorder="1" applyAlignment="1">
      <alignment horizontal="center"/>
    </xf>
    <xf numFmtId="0" fontId="1" fillId="0" borderId="15" xfId="0" applyFont="1" applyBorder="1" applyAlignment="1">
      <alignment horizontal="center"/>
    </xf>
    <xf numFmtId="0" fontId="6" fillId="0" borderId="0" xfId="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71" xfId="0" applyBorder="1" applyAlignment="1">
      <alignment horizontal="center" wrapText="1"/>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9"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164" fontId="0" fillId="20" borderId="11" xfId="0" applyNumberFormat="1" applyFill="1" applyBorder="1"/>
    <xf numFmtId="164" fontId="0" fillId="20" borderId="12" xfId="0" applyNumberFormat="1" applyFill="1" applyBorder="1"/>
    <xf numFmtId="164" fontId="4" fillId="20" borderId="11" xfId="9" applyNumberFormat="1" applyFill="1" applyBorder="1"/>
    <xf numFmtId="164" fontId="4" fillId="20" borderId="12" xfId="9" applyNumberFormat="1" applyFill="1" applyBorder="1"/>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1" fillId="19" borderId="1" xfId="0" applyFont="1" applyFill="1" applyBorder="1" applyAlignment="1">
      <alignment horizontal="center"/>
    </xf>
    <xf numFmtId="0" fontId="0" fillId="19" borderId="1" xfId="0" applyFill="1" applyBorder="1" applyAlignment="1">
      <alignment horizontal="center"/>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xf>
    <xf numFmtId="0" fontId="1" fillId="19" borderId="1" xfId="0" applyFont="1" applyFill="1" applyBorder="1" applyAlignment="1">
      <alignment horizontal="left"/>
    </xf>
    <xf numFmtId="0" fontId="1" fillId="19" borderId="1" xfId="0" applyFont="1" applyFill="1" applyBorder="1" applyAlignment="1">
      <alignment horizontal="center" vertical="center" wrapText="1"/>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4" fillId="0" borderId="0" xfId="4" applyAlignment="1">
      <alignment horizontal="center" vertical="top" wrapText="1"/>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0" fontId="4" fillId="0" borderId="1" xfId="4" applyBorder="1" applyAlignment="1">
      <alignment horizontal="center"/>
    </xf>
    <xf numFmtId="0" fontId="1" fillId="0" borderId="1" xfId="4" applyFont="1" applyBorder="1"/>
    <xf numFmtId="0" fontId="4" fillId="0" borderId="1" xfId="4" applyBorder="1"/>
    <xf numFmtId="0" fontId="4" fillId="0" borderId="1" xfId="4" applyBorder="1" applyAlignment="1">
      <alignment horizontal="center" wrapText="1"/>
    </xf>
    <xf numFmtId="49" fontId="4" fillId="20" borderId="10" xfId="4" applyNumberFormat="1" applyFill="1" applyBorder="1" applyAlignment="1" applyProtection="1">
      <alignment horizontal="center" vertical="top" wrapText="1"/>
      <protection locked="0"/>
    </xf>
    <xf numFmtId="49" fontId="4" fillId="20" borderId="11" xfId="4" applyNumberFormat="1" applyFill="1" applyBorder="1" applyAlignment="1" applyProtection="1">
      <alignment horizontal="center" vertical="top" wrapText="1"/>
      <protection locked="0"/>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1" fillId="0" borderId="3" xfId="4" applyFont="1" applyBorder="1" applyAlignment="1">
      <alignment horizontal="center" vertical="top"/>
    </xf>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3" fillId="0" borderId="14" xfId="0" applyFont="1" applyBorder="1" applyAlignment="1">
      <alignment wrapText="1"/>
    </xf>
    <xf numFmtId="0" fontId="0" fillId="0" borderId="15" xfId="0" applyBorder="1" applyAlignment="1">
      <alignment wrapText="1"/>
    </xf>
    <xf numFmtId="0" fontId="7" fillId="0" borderId="0" xfId="0" applyFont="1"/>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0" fontId="0" fillId="0" borderId="9" xfId="0" applyBorder="1" applyAlignment="1">
      <alignment horizontal="center"/>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545">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theme="1"/>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ont>
        <color rgb="FF9C0006"/>
      </font>
      <fill>
        <patternFill patternType="solid">
          <bgColor rgb="FFD0CECE"/>
        </patternFill>
      </fill>
    </dxf>
    <dxf>
      <font>
        <color rgb="FF9C0006"/>
      </font>
      <fill>
        <patternFill patternType="solid">
          <bgColor rgb="FFD0CECE"/>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patternType="solid">
          <bgColor rgb="FFFF0000"/>
        </patternFill>
      </fill>
    </dxf>
    <dxf>
      <fill>
        <patternFill patternType="solid">
          <bgColor rgb="FFD0CECE"/>
        </patternFill>
      </fill>
    </dxf>
    <dxf>
      <fill>
        <patternFill patternType="solid">
          <bgColor rgb="FFD0CECE"/>
        </patternFill>
      </fill>
    </dxf>
    <dxf>
      <font>
        <color rgb="FF000000"/>
      </font>
      <fill>
        <patternFill patternType="solid">
          <bgColor rgb="FFFFC000"/>
        </patternFill>
      </fill>
    </dxf>
    <dxf>
      <font>
        <color rgb="FF000000"/>
      </font>
      <fill>
        <patternFill patternType="solid">
          <bgColor rgb="FFFF0000"/>
        </patternFill>
      </fill>
    </dxf>
    <dxf>
      <font>
        <color rgb="FF000000"/>
      </font>
      <fill>
        <patternFill patternType="solid">
          <bgColor rgb="FF00FF00"/>
        </patternFill>
      </fill>
    </dxf>
    <dxf>
      <fill>
        <patternFill patternType="solid">
          <bgColor rgb="FFFFC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patternType="solid">
          <bgColor rgb="FFFFC000"/>
        </patternFill>
      </fill>
    </dxf>
    <dxf>
      <fill>
        <patternFill>
          <bgColor indexed="10"/>
        </patternFill>
      </fill>
    </dxf>
    <dxf>
      <fill>
        <patternFill>
          <bgColor indexed="11"/>
        </patternFill>
      </fill>
    </dxf>
    <dxf>
      <fill>
        <patternFill patternType="solid">
          <bgColor rgb="FFFFC000"/>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patternType="solid">
          <bgColor rgb="FFFFC000"/>
        </patternFill>
      </fill>
    </dxf>
    <dxf>
      <fill>
        <patternFill patternType="solid">
          <bgColor rgb="FFFFC00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ont>
        <color rgb="FF000000"/>
      </font>
      <fill>
        <patternFill patternType="solid">
          <bgColor rgb="FFBFBFBF"/>
        </patternFill>
      </fill>
    </dxf>
    <dxf>
      <fill>
        <patternFill>
          <bgColor indexed="10"/>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3"/>
        </patternFill>
      </fill>
    </dxf>
    <dxf>
      <fill>
        <patternFill>
          <bgColor indexed="10"/>
        </patternFill>
      </fill>
    </dxf>
    <dxf>
      <fill>
        <patternFill>
          <bgColor indexed="11"/>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ont>
        <color rgb="FF000000"/>
      </font>
      <fill>
        <patternFill patternType="solid">
          <bgColor rgb="FFFF0000"/>
        </patternFill>
      </fill>
    </dxf>
    <dxf>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patternType="lightUp"/>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ont>
        <color rgb="FF000000"/>
      </font>
      <fill>
        <patternFill patternType="solid">
          <bgColor rgb="FFFFFFFF"/>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patternType="lightUp"/>
      </fill>
    </dxf>
    <dxf>
      <fill>
        <patternFill patternType="lightUp"/>
      </fill>
    </dxf>
    <dxf>
      <fill>
        <patternFill patternType="lightUp"/>
      </fill>
    </dxf>
    <dxf>
      <fill>
        <patternFill patternType="lightUp"/>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bgColor indexed="11"/>
        </patternFill>
      </fill>
    </dxf>
    <dxf>
      <fill>
        <patternFill>
          <bgColor indexed="10"/>
        </patternFill>
      </fill>
    </dxf>
    <dxf>
      <fill>
        <patternFill>
          <bgColor rgb="FFFFC000"/>
        </patternFill>
      </fill>
    </dxf>
    <dxf>
      <fill>
        <patternFill patternType="lightUp"/>
      </fill>
    </dxf>
    <dxf>
      <fill>
        <patternFill>
          <bgColor indexed="10"/>
        </patternFill>
      </fill>
    </dxf>
    <dxf>
      <fill>
        <patternFill>
          <bgColor indexed="11"/>
        </patternFill>
      </fill>
    </dxf>
    <dxf>
      <fill>
        <patternFill patternType="lightUp"/>
      </fill>
    </dxf>
    <dxf>
      <fill>
        <patternFill>
          <bgColor indexed="10"/>
        </patternFill>
      </fill>
    </dxf>
    <dxf>
      <fill>
        <patternFill>
          <bgColor indexed="11"/>
        </patternFill>
      </fill>
    </dxf>
    <dxf>
      <fill>
        <patternFill>
          <bgColor indexed="52"/>
        </patternFill>
      </fill>
    </dxf>
    <dxf>
      <fill>
        <patternFill>
          <bgColor indexed="11"/>
        </patternFill>
      </fill>
    </dxf>
    <dxf>
      <fill>
        <patternFill>
          <bgColor indexed="10"/>
        </patternFill>
      </fill>
    </dxf>
    <dxf>
      <fill>
        <patternFill patternType="lightUp"/>
      </fill>
    </dxf>
    <dxf>
      <fill>
        <patternFill>
          <bgColor indexed="10"/>
        </patternFill>
      </fill>
    </dxf>
    <dxf>
      <fill>
        <patternFill>
          <bgColor indexed="11"/>
        </patternFill>
      </fill>
    </dxf>
    <dxf>
      <fill>
        <patternFill>
          <bgColor indexed="9"/>
        </patternFill>
      </fill>
    </dxf>
    <dxf>
      <fill>
        <patternFill>
          <bgColor indexed="10"/>
        </patternFill>
      </fill>
    </dxf>
    <dxf>
      <fill>
        <patternFill>
          <bgColor indexed="11"/>
        </patternFill>
      </fill>
    </dxf>
    <dxf>
      <fill>
        <patternFill patternType="lightUp"/>
      </fill>
    </dxf>
    <dxf>
      <fill>
        <patternFill>
          <bgColor rgb="FFFF9933"/>
        </patternFill>
      </fill>
    </dxf>
    <dxf>
      <fill>
        <patternFill>
          <bgColor indexed="11"/>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jpe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3.png"/><Relationship Id="rId13" Type="http://schemas.openxmlformats.org/officeDocument/2006/relationships/image" Target="../media/image38.jpeg"/><Relationship Id="rId3" Type="http://schemas.openxmlformats.org/officeDocument/2006/relationships/image" Target="../media/image28.jpg"/><Relationship Id="rId7" Type="http://schemas.openxmlformats.org/officeDocument/2006/relationships/image" Target="../media/image32.png"/><Relationship Id="rId12" Type="http://schemas.openxmlformats.org/officeDocument/2006/relationships/image" Target="../media/image37.png"/><Relationship Id="rId2" Type="http://schemas.openxmlformats.org/officeDocument/2006/relationships/image" Target="../media/image27.jpg"/><Relationship Id="rId16" Type="http://schemas.openxmlformats.org/officeDocument/2006/relationships/image" Target="../media/image41.png"/><Relationship Id="rId1" Type="http://schemas.openxmlformats.org/officeDocument/2006/relationships/image" Target="../media/image26.png"/><Relationship Id="rId6" Type="http://schemas.openxmlformats.org/officeDocument/2006/relationships/image" Target="../media/image31.png"/><Relationship Id="rId11" Type="http://schemas.openxmlformats.org/officeDocument/2006/relationships/image" Target="../media/image36.jpeg"/><Relationship Id="rId5" Type="http://schemas.openxmlformats.org/officeDocument/2006/relationships/image" Target="../media/image30.jpg"/><Relationship Id="rId15" Type="http://schemas.openxmlformats.org/officeDocument/2006/relationships/image" Target="../media/image40.png"/><Relationship Id="rId10" Type="http://schemas.openxmlformats.org/officeDocument/2006/relationships/image" Target="../media/image35.png"/><Relationship Id="rId4" Type="http://schemas.openxmlformats.org/officeDocument/2006/relationships/image" Target="../media/image29.jpg"/><Relationship Id="rId9" Type="http://schemas.openxmlformats.org/officeDocument/2006/relationships/image" Target="../media/image34.jpeg"/><Relationship Id="rId14" Type="http://schemas.openxmlformats.org/officeDocument/2006/relationships/image" Target="../media/image39.jpeg"/></Relationships>
</file>

<file path=xl/drawings/_rels/drawing12.xml.rels><?xml version="1.0" encoding="UTF-8" standalone="yes"?>
<Relationships xmlns="http://schemas.openxmlformats.org/package/2006/relationships"><Relationship Id="rId8" Type="http://schemas.openxmlformats.org/officeDocument/2006/relationships/image" Target="../media/image49.png"/><Relationship Id="rId3" Type="http://schemas.openxmlformats.org/officeDocument/2006/relationships/image" Target="../media/image44.png"/><Relationship Id="rId7" Type="http://schemas.openxmlformats.org/officeDocument/2006/relationships/image" Target="../media/image48.png"/><Relationship Id="rId2" Type="http://schemas.openxmlformats.org/officeDocument/2006/relationships/image" Target="../media/image43.jpe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6.png"/><Relationship Id="rId1" Type="http://schemas.openxmlformats.org/officeDocument/2006/relationships/image" Target="../media/image55.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8.jpeg"/><Relationship Id="rId2" Type="http://schemas.openxmlformats.org/officeDocument/2006/relationships/image" Target="../media/image57.png"/><Relationship Id="rId1" Type="http://schemas.openxmlformats.org/officeDocument/2006/relationships/image" Target="../media/image55.png"/></Relationships>
</file>

<file path=xl/drawings/_rels/drawing17.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4.png"/><Relationship Id="rId1" Type="http://schemas.openxmlformats.org/officeDocument/2006/relationships/image" Target="../media/image6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2.png"/><Relationship Id="rId2" Type="http://schemas.openxmlformats.org/officeDocument/2006/relationships/image" Target="../media/image66.png"/><Relationship Id="rId1"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68.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1.png"/><Relationship Id="rId2" Type="http://schemas.openxmlformats.org/officeDocument/2006/relationships/image" Target="../media/image70.png"/><Relationship Id="rId1" Type="http://schemas.openxmlformats.org/officeDocument/2006/relationships/image" Target="../media/image69.png"/><Relationship Id="rId4" Type="http://schemas.openxmlformats.org/officeDocument/2006/relationships/image" Target="../media/image7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7.png"/></Relationships>
</file>

<file path=xl/drawings/_rels/drawing26.xml.rels><?xml version="1.0" encoding="UTF-8" standalone="yes"?>
<Relationships xmlns="http://schemas.openxmlformats.org/package/2006/relationships"><Relationship Id="rId3" Type="http://schemas.openxmlformats.org/officeDocument/2006/relationships/image" Target="../media/image80.png"/><Relationship Id="rId7" Type="http://schemas.openxmlformats.org/officeDocument/2006/relationships/image" Target="../media/image84.jpeg"/><Relationship Id="rId2" Type="http://schemas.openxmlformats.org/officeDocument/2006/relationships/image" Target="../media/image79.jpe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jpeg"/><Relationship Id="rId4"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423077"/>
          <a:ext cx="5277523" cy="2903062"/>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707572</xdr:colOff>
      <xdr:row>41</xdr:row>
      <xdr:rowOff>10885</xdr:rowOff>
    </xdr:from>
    <xdr:to>
      <xdr:col>9</xdr:col>
      <xdr:colOff>535710</xdr:colOff>
      <xdr:row>69</xdr:row>
      <xdr:rowOff>157151</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947058" y="6901542"/>
          <a:ext cx="7861795" cy="4718266"/>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39486" y="6727371"/>
          <a:ext cx="8689104" cy="3968214"/>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64326" y="7262949"/>
          <a:ext cx="6228585" cy="43400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186058" y="6803571"/>
          <a:ext cx="440999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39486" y="7043057"/>
          <a:ext cx="6761910"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297180" y="8517883"/>
          <a:ext cx="2960276" cy="4241416"/>
        </a:xfrm>
        <a:prstGeom prst="rect">
          <a:avLst/>
        </a:prstGeom>
      </xdr:spPr>
    </xdr:pic>
    <xdr:clientData/>
  </xdr:twoCellAnchor>
  <xdr:twoCellAnchor editAs="oneCell">
    <xdr:from>
      <xdr:col>2</xdr:col>
      <xdr:colOff>1799864</xdr:colOff>
      <xdr:row>46</xdr:row>
      <xdr:rowOff>51833</xdr:rowOff>
    </xdr:from>
    <xdr:to>
      <xdr:col>3</xdr:col>
      <xdr:colOff>2219456</xdr:colOff>
      <xdr:row>71</xdr:row>
      <xdr:rowOff>163831</xdr:rowOff>
    </xdr:to>
    <xdr:pic>
      <xdr:nvPicPr>
        <xdr:cNvPr id="3" name="Image 2">
          <a:extLst>
            <a:ext uri="{FF2B5EF4-FFF2-40B4-BE49-F238E27FC236}">
              <a16:creationId xmlns:a16="http://schemas.microsoft.com/office/drawing/2014/main" id="{7980522A-C875-4826-A7B3-BE833C541375}"/>
            </a:ext>
          </a:extLst>
        </xdr:cNvPr>
        <xdr:cNvPicPr>
          <a:picLocks noChangeAspect="1"/>
        </xdr:cNvPicPr>
      </xdr:nvPicPr>
      <xdr:blipFill>
        <a:blip xmlns:r="http://schemas.openxmlformats.org/officeDocument/2006/relationships" r:embed="rId2"/>
        <a:stretch>
          <a:fillRect/>
        </a:stretch>
      </xdr:blipFill>
      <xdr:spPr>
        <a:xfrm>
          <a:off x="3570049" y="8568648"/>
          <a:ext cx="2981084" cy="4361614"/>
        </a:xfrm>
        <a:prstGeom prst="rect">
          <a:avLst/>
        </a:prstGeom>
      </xdr:spPr>
    </xdr:pic>
    <xdr:clientData/>
  </xdr:twoCellAnchor>
  <xdr:twoCellAnchor editAs="oneCell">
    <xdr:from>
      <xdr:col>4</xdr:col>
      <xdr:colOff>48525</xdr:colOff>
      <xdr:row>46</xdr:row>
      <xdr:rowOff>0</xdr:rowOff>
    </xdr:from>
    <xdr:to>
      <xdr:col>8</xdr:col>
      <xdr:colOff>9776</xdr:colOff>
      <xdr:row>71</xdr:row>
      <xdr:rowOff>150872</xdr:rowOff>
    </xdr:to>
    <xdr:pic>
      <xdr:nvPicPr>
        <xdr:cNvPr id="4" name="Image 3">
          <a:extLst>
            <a:ext uri="{FF2B5EF4-FFF2-40B4-BE49-F238E27FC236}">
              <a16:creationId xmlns:a16="http://schemas.microsoft.com/office/drawing/2014/main" id="{D13977CB-2ACD-4FAF-BEA5-CB3C77D19570}"/>
            </a:ext>
          </a:extLst>
        </xdr:cNvPr>
        <xdr:cNvPicPr>
          <a:picLocks noChangeAspect="1"/>
        </xdr:cNvPicPr>
      </xdr:nvPicPr>
      <xdr:blipFill>
        <a:blip xmlns:r="http://schemas.openxmlformats.org/officeDocument/2006/relationships" r:embed="rId3"/>
        <a:stretch>
          <a:fillRect/>
        </a:stretch>
      </xdr:blipFill>
      <xdr:spPr>
        <a:xfrm>
          <a:off x="6853185" y="8450580"/>
          <a:ext cx="2978771" cy="4341872"/>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4"/>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5"/>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6"/>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1947664</xdr:colOff>
      <xdr:row>84</xdr:row>
      <xdr:rowOff>151476</xdr:rowOff>
    </xdr:from>
    <xdr:to>
      <xdr:col>14</xdr:col>
      <xdr:colOff>256349</xdr:colOff>
      <xdr:row>96</xdr:row>
      <xdr:rowOff>86074</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70282" y="14934276"/>
          <a:ext cx="8173122" cy="1929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73</xdr:row>
      <xdr:rowOff>143394</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244436" y="13097394"/>
          <a:ext cx="1371600" cy="1269770"/>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281545" y="14367164"/>
          <a:ext cx="1648691" cy="2033847"/>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570411</xdr:colOff>
      <xdr:row>59</xdr:row>
      <xdr:rowOff>47625</xdr:rowOff>
    </xdr:from>
    <xdr:to>
      <xdr:col>3</xdr:col>
      <xdr:colOff>1415143</xdr:colOff>
      <xdr:row>59</xdr:row>
      <xdr:rowOff>133351</xdr:rowOff>
    </xdr:to>
    <xdr:sp macro="" textlink="">
      <xdr:nvSpPr>
        <xdr:cNvPr id="21" name="Rectangle 20">
          <a:extLst>
            <a:ext uri="{FF2B5EF4-FFF2-40B4-BE49-F238E27FC236}">
              <a16:creationId xmlns:a16="http://schemas.microsoft.com/office/drawing/2014/main" id="{A97AEDF7-F103-B4A0-EFA1-7269E46ABC0F}"/>
            </a:ext>
          </a:extLst>
        </xdr:cNvPr>
        <xdr:cNvSpPr/>
      </xdr:nvSpPr>
      <xdr:spPr>
        <a:xfrm>
          <a:off x="4899524" y="10653713"/>
          <a:ext cx="844732" cy="857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198569</xdr:colOff>
      <xdr:row>49</xdr:row>
      <xdr:rowOff>67772</xdr:rowOff>
    </xdr:from>
    <xdr:to>
      <xdr:col>5</xdr:col>
      <xdr:colOff>339968</xdr:colOff>
      <xdr:row>50</xdr:row>
      <xdr:rowOff>29306</xdr:rowOff>
    </xdr:to>
    <xdr:sp macro="" textlink="">
      <xdr:nvSpPr>
        <xdr:cNvPr id="22" name="Rectangle 21">
          <a:extLst>
            <a:ext uri="{FF2B5EF4-FFF2-40B4-BE49-F238E27FC236}">
              <a16:creationId xmlns:a16="http://schemas.microsoft.com/office/drawing/2014/main" id="{0862078B-C7FE-4214-99C8-EF11E2B975CD}"/>
            </a:ext>
          </a:extLst>
        </xdr:cNvPr>
        <xdr:cNvSpPr/>
      </xdr:nvSpPr>
      <xdr:spPr>
        <a:xfrm>
          <a:off x="7009677" y="9094541"/>
          <a:ext cx="1512999" cy="131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2</xdr:col>
      <xdr:colOff>1998783</xdr:colOff>
      <xdr:row>52</xdr:row>
      <xdr:rowOff>50190</xdr:rowOff>
    </xdr:from>
    <xdr:to>
      <xdr:col>2</xdr:col>
      <xdr:colOff>2473516</xdr:colOff>
      <xdr:row>52</xdr:row>
      <xdr:rowOff>128954</xdr:rowOff>
    </xdr:to>
    <xdr:sp macro="" textlink="">
      <xdr:nvSpPr>
        <xdr:cNvPr id="23" name="Rectangle 22">
          <a:extLst>
            <a:ext uri="{FF2B5EF4-FFF2-40B4-BE49-F238E27FC236}">
              <a16:creationId xmlns:a16="http://schemas.microsoft.com/office/drawing/2014/main" id="{B7857C57-1533-4447-B735-EEC1D69A02C9}"/>
            </a:ext>
          </a:extLst>
        </xdr:cNvPr>
        <xdr:cNvSpPr/>
      </xdr:nvSpPr>
      <xdr:spPr>
        <a:xfrm>
          <a:off x="3768968" y="9586913"/>
          <a:ext cx="474733" cy="787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1565029</xdr:colOff>
      <xdr:row>51</xdr:row>
      <xdr:rowOff>149836</xdr:rowOff>
    </xdr:from>
    <xdr:to>
      <xdr:col>3</xdr:col>
      <xdr:colOff>1957754</xdr:colOff>
      <xdr:row>52</xdr:row>
      <xdr:rowOff>64477</xdr:rowOff>
    </xdr:to>
    <xdr:sp macro="" textlink="">
      <xdr:nvSpPr>
        <xdr:cNvPr id="24" name="Rectangle 23">
          <a:extLst>
            <a:ext uri="{FF2B5EF4-FFF2-40B4-BE49-F238E27FC236}">
              <a16:creationId xmlns:a16="http://schemas.microsoft.com/office/drawing/2014/main" id="{4A615C7D-13DD-484D-A9D6-C105B74EE4A8}"/>
            </a:ext>
          </a:extLst>
        </xdr:cNvPr>
        <xdr:cNvSpPr/>
      </xdr:nvSpPr>
      <xdr:spPr>
        <a:xfrm>
          <a:off x="5896706" y="9516574"/>
          <a:ext cx="392725" cy="846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2472637</xdr:colOff>
      <xdr:row>56</xdr:row>
      <xdr:rowOff>80335</xdr:rowOff>
    </xdr:from>
    <xdr:to>
      <xdr:col>9</xdr:col>
      <xdr:colOff>195943</xdr:colOff>
      <xdr:row>69</xdr:row>
      <xdr:rowOff>97971</xdr:rowOff>
    </xdr:to>
    <xdr:sp macro="" textlink="">
      <xdr:nvSpPr>
        <xdr:cNvPr id="25" name="Rectangle 24">
          <a:extLst>
            <a:ext uri="{FF2B5EF4-FFF2-40B4-BE49-F238E27FC236}">
              <a16:creationId xmlns:a16="http://schemas.microsoft.com/office/drawing/2014/main" id="{DFEF8BAE-2758-47D9-8C64-8E8966D4D6C8}"/>
            </a:ext>
          </a:extLst>
        </xdr:cNvPr>
        <xdr:cNvSpPr/>
      </xdr:nvSpPr>
      <xdr:spPr>
        <a:xfrm>
          <a:off x="6794266" y="10062535"/>
          <a:ext cx="3645134" cy="214035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400" b="0" baseline="0"/>
            <a:t>UL94V0 is flame retardant standard.</a:t>
          </a:r>
        </a:p>
        <a:p>
          <a:pPr algn="l"/>
          <a:endParaRPr lang="fr-FR" sz="1400" b="0" baseline="0"/>
        </a:p>
        <a:p>
          <a:pPr algn="l"/>
          <a:r>
            <a:rPr lang="fr-FR" sz="1400" b="0"/>
            <a:t>Our insulating paper is certified EN61340 which deals with the</a:t>
          </a:r>
          <a:r>
            <a:rPr lang="fr-FR" sz="1400" b="0" baseline="0"/>
            <a:t> p</a:t>
          </a:r>
          <a:r>
            <a:rPr lang="fr-FR" sz="1400" b="0"/>
            <a:t>rotection of electronic devices from electrostatic phenomena. This is relevant here since it isolates</a:t>
          </a:r>
          <a:r>
            <a:rPr lang="fr-FR" sz="1400" b="0" baseline="0"/>
            <a:t> the pilot from the HV battery. Moreover our insulating paper is made of Nomex fibre and is therefore "resistant to heat and flames" as it is written on page 2.</a:t>
          </a:r>
          <a:endParaRPr lang="fr-FR" sz="1400" b="0"/>
        </a:p>
        <a:p>
          <a:pPr algn="ctr"/>
          <a:endParaRPr lang="fr-FR" sz="1400" b="0"/>
        </a:p>
      </xdr:txBody>
    </xdr:sp>
    <xdr:clientData/>
  </xdr:twoCellAnchor>
  <xdr:twoCellAnchor editAs="oneCell">
    <xdr:from>
      <xdr:col>3</xdr:col>
      <xdr:colOff>2432696</xdr:colOff>
      <xdr:row>72</xdr:row>
      <xdr:rowOff>69976</xdr:rowOff>
    </xdr:from>
    <xdr:to>
      <xdr:col>12</xdr:col>
      <xdr:colOff>193964</xdr:colOff>
      <xdr:row>84</xdr:row>
      <xdr:rowOff>44943</xdr:rowOff>
    </xdr:to>
    <xdr:pic>
      <xdr:nvPicPr>
        <xdr:cNvPr id="26" name="Image 25">
          <a:extLst>
            <a:ext uri="{FF2B5EF4-FFF2-40B4-BE49-F238E27FC236}">
              <a16:creationId xmlns:a16="http://schemas.microsoft.com/office/drawing/2014/main" id="{314F889D-945D-89D6-78FC-457AF4120CFB}"/>
            </a:ext>
          </a:extLst>
        </xdr:cNvPr>
        <xdr:cNvPicPr>
          <a:picLocks noChangeAspect="1"/>
        </xdr:cNvPicPr>
      </xdr:nvPicPr>
      <xdr:blipFill>
        <a:blip xmlns:r="http://schemas.openxmlformats.org/officeDocument/2006/relationships" r:embed="rId8"/>
        <a:stretch>
          <a:fillRect/>
        </a:stretch>
      </xdr:blipFill>
      <xdr:spPr>
        <a:xfrm>
          <a:off x="6755314" y="12857721"/>
          <a:ext cx="6046286" cy="197002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629382" y="1451467"/>
          <a:ext cx="4782560" cy="3793576"/>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3"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48235" y="4205106"/>
          <a:ext cx="5049826" cy="4415445"/>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88</xdr:row>
      <xdr:rowOff>132865</xdr:rowOff>
    </xdr:from>
    <xdr:to>
      <xdr:col>7</xdr:col>
      <xdr:colOff>27611</xdr:colOff>
      <xdr:row>103</xdr:row>
      <xdr:rowOff>159092</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50266" y="15077030"/>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103</xdr:row>
      <xdr:rowOff>153648</xdr:rowOff>
    </xdr:from>
    <xdr:to>
      <xdr:col>7</xdr:col>
      <xdr:colOff>27612</xdr:colOff>
      <xdr:row>119</xdr:row>
      <xdr:rowOff>9545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50267" y="17652754"/>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119</xdr:row>
      <xdr:rowOff>4102</xdr:rowOff>
    </xdr:from>
    <xdr:to>
      <xdr:col>7</xdr:col>
      <xdr:colOff>27612</xdr:colOff>
      <xdr:row>134</xdr:row>
      <xdr:rowOff>30327</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50267" y="20228478"/>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134</xdr:row>
      <xdr:rowOff>46656</xdr:rowOff>
    </xdr:from>
    <xdr:to>
      <xdr:col>7</xdr:col>
      <xdr:colOff>38496</xdr:colOff>
      <xdr:row>138</xdr:row>
      <xdr:rowOff>101183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5835" y="22825974"/>
          <a:ext cx="5148379" cy="7358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89</xdr:row>
      <xdr:rowOff>44576</xdr:rowOff>
    </xdr:from>
    <xdr:to>
      <xdr:col>3</xdr:col>
      <xdr:colOff>349493</xdr:colOff>
      <xdr:row>103</xdr:row>
      <xdr:rowOff>18945</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425" y="15159070"/>
          <a:ext cx="3314115" cy="2358981"/>
        </a:xfrm>
        <a:prstGeom prst="rect">
          <a:avLst/>
        </a:prstGeom>
      </xdr:spPr>
    </xdr:pic>
    <xdr:clientData/>
  </xdr:twoCellAnchor>
  <xdr:twoCellAnchor editAs="oneCell">
    <xdr:from>
      <xdr:col>1</xdr:col>
      <xdr:colOff>163286</xdr:colOff>
      <xdr:row>119</xdr:row>
      <xdr:rowOff>38473</xdr:rowOff>
    </xdr:from>
    <xdr:to>
      <xdr:col>3</xdr:col>
      <xdr:colOff>209995</xdr:colOff>
      <xdr:row>134</xdr:row>
      <xdr:rowOff>14454</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121" y="20262849"/>
          <a:ext cx="3040921" cy="2530923"/>
        </a:xfrm>
        <a:prstGeom prst="rect">
          <a:avLst/>
        </a:prstGeom>
      </xdr:spPr>
    </xdr:pic>
    <xdr:clientData/>
  </xdr:twoCellAnchor>
  <xdr:twoCellAnchor editAs="oneCell">
    <xdr:from>
      <xdr:col>1</xdr:col>
      <xdr:colOff>107545</xdr:colOff>
      <xdr:row>103</xdr:row>
      <xdr:rowOff>163446</xdr:rowOff>
    </xdr:from>
    <xdr:to>
      <xdr:col>3</xdr:col>
      <xdr:colOff>319155</xdr:colOff>
      <xdr:row>118</xdr:row>
      <xdr:rowOff>155043</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3380" y="17662552"/>
          <a:ext cx="3205822" cy="2546538"/>
        </a:xfrm>
        <a:prstGeom prst="rect">
          <a:avLst/>
        </a:prstGeom>
      </xdr:spPr>
    </xdr:pic>
    <xdr:clientData/>
  </xdr:twoCellAnchor>
  <xdr:twoCellAnchor>
    <xdr:from>
      <xdr:col>8</xdr:col>
      <xdr:colOff>415536</xdr:colOff>
      <xdr:row>134</xdr:row>
      <xdr:rowOff>62983</xdr:rowOff>
    </xdr:from>
    <xdr:to>
      <xdr:col>18</xdr:col>
      <xdr:colOff>5838</xdr:colOff>
      <xdr:row>138</xdr:row>
      <xdr:rowOff>121584</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50171" y="22842301"/>
          <a:ext cx="4879479" cy="7399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104</xdr:row>
      <xdr:rowOff>167009</xdr:rowOff>
    </xdr:from>
    <xdr:to>
      <xdr:col>14</xdr:col>
      <xdr:colOff>50856</xdr:colOff>
      <xdr:row>117</xdr:row>
      <xdr:rowOff>36655</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51423" y="17836444"/>
          <a:ext cx="2907574" cy="2083929"/>
        </a:xfrm>
        <a:prstGeom prst="rect">
          <a:avLst/>
        </a:prstGeom>
      </xdr:spPr>
    </xdr:pic>
    <xdr:clientData/>
  </xdr:twoCellAnchor>
  <xdr:twoCellAnchor editAs="oneCell">
    <xdr:from>
      <xdr:col>8</xdr:col>
      <xdr:colOff>465582</xdr:colOff>
      <xdr:row>89</xdr:row>
      <xdr:rowOff>34742</xdr:rowOff>
    </xdr:from>
    <xdr:to>
      <xdr:col>13</xdr:col>
      <xdr:colOff>477790</xdr:colOff>
      <xdr:row>102</xdr:row>
      <xdr:rowOff>89070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00217" y="15149236"/>
          <a:ext cx="2656797" cy="2268610"/>
        </a:xfrm>
        <a:prstGeom prst="rect">
          <a:avLst/>
        </a:prstGeom>
      </xdr:spPr>
    </xdr:pic>
    <xdr:clientData/>
  </xdr:twoCellAnchor>
  <xdr:twoCellAnchor editAs="oneCell">
    <xdr:from>
      <xdr:col>8</xdr:col>
      <xdr:colOff>403300</xdr:colOff>
      <xdr:row>119</xdr:row>
      <xdr:rowOff>24377</xdr:rowOff>
    </xdr:from>
    <xdr:to>
      <xdr:col>13</xdr:col>
      <xdr:colOff>515486</xdr:colOff>
      <xdr:row>133</xdr:row>
      <xdr:rowOff>105954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7935" y="20248753"/>
          <a:ext cx="2756775" cy="2466189"/>
        </a:xfrm>
        <a:prstGeom prst="rect">
          <a:avLst/>
        </a:prstGeom>
      </xdr:spPr>
    </xdr:pic>
    <xdr:clientData/>
  </xdr:twoCellAnchor>
  <xdr:twoCellAnchor>
    <xdr:from>
      <xdr:col>14</xdr:col>
      <xdr:colOff>348243</xdr:colOff>
      <xdr:row>88</xdr:row>
      <xdr:rowOff>116538</xdr:rowOff>
    </xdr:from>
    <xdr:to>
      <xdr:col>18</xdr:col>
      <xdr:colOff>15635</xdr:colOff>
      <xdr:row>103</xdr:row>
      <xdr:rowOff>142765</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56384" y="15060703"/>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103</xdr:row>
      <xdr:rowOff>137321</xdr:rowOff>
    </xdr:from>
    <xdr:to>
      <xdr:col>18</xdr:col>
      <xdr:colOff>15636</xdr:colOff>
      <xdr:row>118</xdr:row>
      <xdr:rowOff>163547</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56385" y="17636427"/>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118</xdr:row>
      <xdr:rowOff>158104</xdr:rowOff>
    </xdr:from>
    <xdr:to>
      <xdr:col>18</xdr:col>
      <xdr:colOff>15636</xdr:colOff>
      <xdr:row>134</xdr:row>
      <xdr:rowOff>14000</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56385" y="20212151"/>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1</xdr:col>
      <xdr:colOff>141514</xdr:colOff>
      <xdr:row>56</xdr:row>
      <xdr:rowOff>108858</xdr:rowOff>
    </xdr:from>
    <xdr:to>
      <xdr:col>9</xdr:col>
      <xdr:colOff>328855</xdr:colOff>
      <xdr:row>85</xdr:row>
      <xdr:rowOff>59314</xdr:rowOff>
    </xdr:to>
    <xdr:pic>
      <xdr:nvPicPr>
        <xdr:cNvPr id="12" name="Image 11">
          <a:extLst>
            <a:ext uri="{FF2B5EF4-FFF2-40B4-BE49-F238E27FC236}">
              <a16:creationId xmlns:a16="http://schemas.microsoft.com/office/drawing/2014/main" id="{2586659A-DE47-4DB3-F017-EA0B20DCED02}"/>
            </a:ext>
          </a:extLst>
        </xdr:cNvPr>
        <xdr:cNvPicPr>
          <a:picLocks noChangeAspect="1"/>
        </xdr:cNvPicPr>
      </xdr:nvPicPr>
      <xdr:blipFill>
        <a:blip xmlns:r="http://schemas.openxmlformats.org/officeDocument/2006/relationships" r:embed="rId10"/>
        <a:stretch>
          <a:fillRect/>
        </a:stretch>
      </xdr:blipFill>
      <xdr:spPr>
        <a:xfrm>
          <a:off x="435428" y="9285515"/>
          <a:ext cx="6315998" cy="4685742"/>
        </a:xfrm>
        <a:prstGeom prst="rect">
          <a:avLst/>
        </a:prstGeom>
      </xdr:spPr>
    </xdr:pic>
    <xdr:clientData/>
  </xdr:twoCellAnchor>
  <xdr:twoCellAnchor>
    <xdr:from>
      <xdr:col>1</xdr:col>
      <xdr:colOff>130137</xdr:colOff>
      <xdr:row>85</xdr:row>
      <xdr:rowOff>72390</xdr:rowOff>
    </xdr:from>
    <xdr:to>
      <xdr:col>20</xdr:col>
      <xdr:colOff>152400</xdr:colOff>
      <xdr:row>87</xdr:row>
      <xdr:rowOff>132414</xdr:rowOff>
    </xdr:to>
    <xdr:sp macro="" textlink="">
      <xdr:nvSpPr>
        <xdr:cNvPr id="14" name="Rectangle 13">
          <a:extLst>
            <a:ext uri="{FF2B5EF4-FFF2-40B4-BE49-F238E27FC236}">
              <a16:creationId xmlns:a16="http://schemas.microsoft.com/office/drawing/2014/main" id="{CF72908F-91FC-40EE-8101-D269CB7A2A4D}"/>
            </a:ext>
          </a:extLst>
        </xdr:cNvPr>
        <xdr:cNvSpPr/>
      </xdr:nvSpPr>
      <xdr:spPr>
        <a:xfrm>
          <a:off x="424051" y="13984333"/>
          <a:ext cx="11898578" cy="386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The container is then fixed to the frame thanks</a:t>
          </a:r>
          <a:r>
            <a:rPr lang="fr-FR" sz="1200" b="0" baseline="0">
              <a:solidFill>
                <a:sysClr val="windowText" lastClr="000000"/>
              </a:solidFill>
            </a:rPr>
            <a:t> to 4  steel inserts like this one. They are welded to tubes (in blue and orange) directly onto the frame.</a:t>
          </a:r>
          <a:endParaRPr lang="fr-FR" sz="1200" b="0">
            <a:solidFill>
              <a:sysClr val="windowText" lastClr="000000"/>
            </a:solidFill>
          </a:endParaRPr>
        </a:p>
      </xdr:txBody>
    </xdr:sp>
    <xdr:clientData/>
  </xdr:twoCellAnchor>
  <xdr:twoCellAnchor>
    <xdr:from>
      <xdr:col>1</xdr:col>
      <xdr:colOff>1409011</xdr:colOff>
      <xdr:row>74</xdr:row>
      <xdr:rowOff>86166</xdr:rowOff>
    </xdr:from>
    <xdr:to>
      <xdr:col>2</xdr:col>
      <xdr:colOff>433536</xdr:colOff>
      <xdr:row>79</xdr:row>
      <xdr:rowOff>140243</xdr:rowOff>
    </xdr:to>
    <xdr:sp macro="" textlink="">
      <xdr:nvSpPr>
        <xdr:cNvPr id="15" name="Ellipse 14">
          <a:extLst>
            <a:ext uri="{FF2B5EF4-FFF2-40B4-BE49-F238E27FC236}">
              <a16:creationId xmlns:a16="http://schemas.microsoft.com/office/drawing/2014/main" id="{63979452-BD68-4147-9C5A-C048F7C6C863}"/>
            </a:ext>
          </a:extLst>
        </xdr:cNvPr>
        <xdr:cNvSpPr/>
      </xdr:nvSpPr>
      <xdr:spPr>
        <a:xfrm rot="525908">
          <a:off x="1702925" y="12201966"/>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80954</xdr:colOff>
      <xdr:row>61</xdr:row>
      <xdr:rowOff>97052</xdr:rowOff>
    </xdr:from>
    <xdr:to>
      <xdr:col>8</xdr:col>
      <xdr:colOff>8993</xdr:colOff>
      <xdr:row>66</xdr:row>
      <xdr:rowOff>151130</xdr:rowOff>
    </xdr:to>
    <xdr:sp macro="" textlink="">
      <xdr:nvSpPr>
        <xdr:cNvPr id="16" name="Ellipse 15">
          <a:extLst>
            <a:ext uri="{FF2B5EF4-FFF2-40B4-BE49-F238E27FC236}">
              <a16:creationId xmlns:a16="http://schemas.microsoft.com/office/drawing/2014/main" id="{2107C8C5-98C1-46F0-B0FD-282BC61283CC}"/>
            </a:ext>
          </a:extLst>
        </xdr:cNvPr>
        <xdr:cNvSpPr/>
      </xdr:nvSpPr>
      <xdr:spPr>
        <a:xfrm rot="525908">
          <a:off x="4413468" y="10090138"/>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250371</xdr:colOff>
      <xdr:row>64</xdr:row>
      <xdr:rowOff>76200</xdr:rowOff>
    </xdr:from>
    <xdr:to>
      <xdr:col>11</xdr:col>
      <xdr:colOff>174171</xdr:colOff>
      <xdr:row>64</xdr:row>
      <xdr:rowOff>100259</xdr:rowOff>
    </xdr:to>
    <xdr:cxnSp macro="">
      <xdr:nvCxnSpPr>
        <xdr:cNvPr id="18" name="Connecteur droit avec flèche 17">
          <a:extLst>
            <a:ext uri="{FF2B5EF4-FFF2-40B4-BE49-F238E27FC236}">
              <a16:creationId xmlns:a16="http://schemas.microsoft.com/office/drawing/2014/main" id="{20DE4C37-BA64-E317-8A51-A6E8E1CB5A63}"/>
            </a:ext>
          </a:extLst>
        </xdr:cNvPr>
        <xdr:cNvCxnSpPr>
          <a:cxnSpLocks/>
        </xdr:cNvCxnSpPr>
      </xdr:nvCxnSpPr>
      <xdr:spPr>
        <a:xfrm flipH="1" flipV="1">
          <a:off x="5105400" y="10559143"/>
          <a:ext cx="2536371" cy="2405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2198915</xdr:colOff>
      <xdr:row>64</xdr:row>
      <xdr:rowOff>100259</xdr:rowOff>
    </xdr:from>
    <xdr:to>
      <xdr:col>11</xdr:col>
      <xdr:colOff>174171</xdr:colOff>
      <xdr:row>76</xdr:row>
      <xdr:rowOff>141515</xdr:rowOff>
    </xdr:to>
    <xdr:cxnSp macro="">
      <xdr:nvCxnSpPr>
        <xdr:cNvPr id="20" name="Connecteur droit avec flèche 19">
          <a:extLst>
            <a:ext uri="{FF2B5EF4-FFF2-40B4-BE49-F238E27FC236}">
              <a16:creationId xmlns:a16="http://schemas.microsoft.com/office/drawing/2014/main" id="{0F913FB5-C0C9-4F00-B4E0-23AEA12A8595}"/>
            </a:ext>
          </a:extLst>
        </xdr:cNvPr>
        <xdr:cNvCxnSpPr>
          <a:cxnSpLocks/>
        </xdr:cNvCxnSpPr>
      </xdr:nvCxnSpPr>
      <xdr:spPr>
        <a:xfrm flipH="1">
          <a:off x="2492829" y="10583202"/>
          <a:ext cx="5148942" cy="200068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170329</xdr:colOff>
      <xdr:row>58</xdr:row>
      <xdr:rowOff>80683</xdr:rowOff>
    </xdr:from>
    <xdr:to>
      <xdr:col>18</xdr:col>
      <xdr:colOff>78998</xdr:colOff>
      <xdr:row>71</xdr:row>
      <xdr:rowOff>109290</xdr:rowOff>
    </xdr:to>
    <xdr:pic>
      <xdr:nvPicPr>
        <xdr:cNvPr id="40" name="Image 39">
          <a:extLst>
            <a:ext uri="{FF2B5EF4-FFF2-40B4-BE49-F238E27FC236}">
              <a16:creationId xmlns:a16="http://schemas.microsoft.com/office/drawing/2014/main" id="{3A279A57-B57A-E981-F744-BB16914A3729}"/>
            </a:ext>
          </a:extLst>
        </xdr:cNvPr>
        <xdr:cNvPicPr>
          <a:picLocks noChangeAspect="1"/>
        </xdr:cNvPicPr>
      </xdr:nvPicPr>
      <xdr:blipFill>
        <a:blip xmlns:r="http://schemas.openxmlformats.org/officeDocument/2006/relationships" r:embed="rId11"/>
        <a:stretch>
          <a:fillRect/>
        </a:stretch>
      </xdr:blipFill>
      <xdr:spPr>
        <a:xfrm>
          <a:off x="7691717" y="9914965"/>
          <a:ext cx="3611093" cy="2242890"/>
        </a:xfrm>
        <a:prstGeom prst="rect">
          <a:avLst/>
        </a:prstGeom>
      </xdr:spPr>
    </xdr:pic>
    <xdr:clientData/>
  </xdr:twoCellAnchor>
  <xdr:twoCellAnchor>
    <xdr:from>
      <xdr:col>11</xdr:col>
      <xdr:colOff>0</xdr:colOff>
      <xdr:row>71</xdr:row>
      <xdr:rowOff>125507</xdr:rowOff>
    </xdr:from>
    <xdr:to>
      <xdr:col>18</xdr:col>
      <xdr:colOff>188259</xdr:colOff>
      <xdr:row>73</xdr:row>
      <xdr:rowOff>98612</xdr:rowOff>
    </xdr:to>
    <xdr:sp macro="" textlink="">
      <xdr:nvSpPr>
        <xdr:cNvPr id="41" name="Rectangle 40">
          <a:extLst>
            <a:ext uri="{FF2B5EF4-FFF2-40B4-BE49-F238E27FC236}">
              <a16:creationId xmlns:a16="http://schemas.microsoft.com/office/drawing/2014/main" id="{525FC508-D0A2-4BE1-9C43-166D0F6E77E8}"/>
            </a:ext>
          </a:extLst>
        </xdr:cNvPr>
        <xdr:cNvSpPr/>
      </xdr:nvSpPr>
      <xdr:spPr>
        <a:xfrm>
          <a:off x="7521388" y="12174072"/>
          <a:ext cx="3890683" cy="3137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13,5/9 = 1,5</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421341</xdr:colOff>
      <xdr:row>30</xdr:row>
      <xdr:rowOff>107576</xdr:rowOff>
    </xdr:from>
    <xdr:to>
      <xdr:col>6</xdr:col>
      <xdr:colOff>720165</xdr:colOff>
      <xdr:row>63</xdr:row>
      <xdr:rowOff>29296</xdr:rowOff>
    </xdr:to>
    <xdr:pic>
      <xdr:nvPicPr>
        <xdr:cNvPr id="5" name="Image 4">
          <a:extLst>
            <a:ext uri="{FF2B5EF4-FFF2-40B4-BE49-F238E27FC236}">
              <a16:creationId xmlns:a16="http://schemas.microsoft.com/office/drawing/2014/main" id="{396912F1-EBD9-F3D4-F78D-B98800F66D16}"/>
            </a:ext>
          </a:extLst>
        </xdr:cNvPr>
        <xdr:cNvPicPr>
          <a:picLocks noChangeAspect="1"/>
        </xdr:cNvPicPr>
      </xdr:nvPicPr>
      <xdr:blipFill>
        <a:blip xmlns:r="http://schemas.openxmlformats.org/officeDocument/2006/relationships" r:embed="rId1"/>
        <a:stretch>
          <a:fillRect/>
        </a:stretch>
      </xdr:blipFill>
      <xdr:spPr>
        <a:xfrm>
          <a:off x="770965" y="5567082"/>
          <a:ext cx="6072094" cy="5542590"/>
        </a:xfrm>
        <a:prstGeom prst="rect">
          <a:avLst/>
        </a:prstGeom>
      </xdr:spPr>
    </xdr:pic>
    <xdr:clientData/>
  </xdr:twoCellAnchor>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7</xdr:col>
      <xdr:colOff>32767</xdr:colOff>
      <xdr:row>41</xdr:row>
      <xdr:rowOff>143436</xdr:rowOff>
    </xdr:from>
    <xdr:to>
      <xdr:col>8</xdr:col>
      <xdr:colOff>319638</xdr:colOff>
      <xdr:row>44</xdr:row>
      <xdr:rowOff>129540</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6997447" y="7382436"/>
          <a:ext cx="1140311" cy="48902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collar</a:t>
          </a:r>
        </a:p>
      </xdr:txBody>
    </xdr:sp>
    <xdr:clientData/>
  </xdr:twoCellAnchor>
  <xdr:twoCellAnchor>
    <xdr:from>
      <xdr:col>5</xdr:col>
      <xdr:colOff>141889</xdr:colOff>
      <xdr:row>43</xdr:row>
      <xdr:rowOff>52668</xdr:rowOff>
    </xdr:from>
    <xdr:to>
      <xdr:col>7</xdr:col>
      <xdr:colOff>32767</xdr:colOff>
      <xdr:row>44</xdr:row>
      <xdr:rowOff>94592</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1"/>
        </xdr:cNvCxnSpPr>
      </xdr:nvCxnSpPr>
      <xdr:spPr>
        <a:xfrm flipH="1">
          <a:off x="5567329" y="7626948"/>
          <a:ext cx="1430118" cy="209564"/>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25CrMo4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23875" y="1685925"/>
          <a:ext cx="5629275" cy="2992755"/>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757782" y="1388745"/>
          <a:ext cx="2223667" cy="3567462"/>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84095"/>
          <a:ext cx="1264318" cy="2665597"/>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152898" y="1120140"/>
          <a:ext cx="2162177" cy="3806990"/>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66750" y="4583430"/>
          <a:ext cx="5210175" cy="4852035"/>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9753600" y="1139190"/>
          <a:ext cx="2724150" cy="3678555"/>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096125" y="1148715"/>
          <a:ext cx="2581275" cy="3697605"/>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04900" y="3830955"/>
          <a:ext cx="4333875" cy="276415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7.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9.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4" Type="http://schemas.openxmlformats.org/officeDocument/2006/relationships/comments" Target="../comments14.x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2.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printerSettings" Target="../printerSettings/printerSettings3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4140625" defaultRowHeight="13.2"/>
  <cols>
    <col min="1" max="1" width="9.109375" customWidth="1"/>
    <col min="2" max="2" width="11" bestFit="1" customWidth="1"/>
  </cols>
  <sheetData>
    <row r="1" spans="1:16">
      <c r="A1" s="856" t="s">
        <v>0</v>
      </c>
      <c r="B1" s="856"/>
      <c r="C1" s="856"/>
      <c r="D1" s="856"/>
      <c r="E1" s="856"/>
    </row>
    <row r="3" spans="1:16">
      <c r="A3" s="862" t="s">
        <v>1</v>
      </c>
      <c r="B3" s="862"/>
      <c r="C3" s="862"/>
      <c r="D3" s="862"/>
      <c r="E3" s="862"/>
      <c r="F3" s="862"/>
      <c r="G3" s="862"/>
      <c r="H3" s="862"/>
      <c r="I3" s="862"/>
      <c r="J3" s="862"/>
      <c r="K3" s="862"/>
      <c r="L3" s="862"/>
      <c r="M3" s="862"/>
      <c r="N3" s="862"/>
      <c r="O3" s="862"/>
    </row>
    <row r="4" spans="1:16">
      <c r="A4" s="223"/>
      <c r="B4" s="223"/>
      <c r="C4" s="223"/>
      <c r="D4" s="223"/>
      <c r="E4" s="223"/>
      <c r="F4" s="223"/>
      <c r="G4" s="223"/>
      <c r="H4" s="223"/>
      <c r="I4" s="223"/>
      <c r="J4" s="223"/>
      <c r="K4" s="223"/>
      <c r="L4" s="223"/>
      <c r="M4" s="223"/>
      <c r="N4" s="223"/>
      <c r="O4" s="223"/>
    </row>
    <row r="5" spans="1:16">
      <c r="A5" s="260" t="s">
        <v>2</v>
      </c>
      <c r="B5" s="223"/>
      <c r="C5" s="223"/>
      <c r="D5" s="223"/>
      <c r="E5" s="223"/>
      <c r="F5" s="223"/>
      <c r="G5" s="223"/>
      <c r="H5" s="223"/>
      <c r="I5" s="223"/>
      <c r="J5" s="223"/>
      <c r="K5" s="223"/>
      <c r="L5" s="223"/>
      <c r="M5" s="223"/>
      <c r="N5" s="223"/>
      <c r="O5" s="223"/>
    </row>
    <row r="6" spans="1:16">
      <c r="A6" s="260"/>
      <c r="B6" s="223"/>
      <c r="C6" s="223"/>
      <c r="D6" s="223"/>
      <c r="E6" s="223"/>
      <c r="F6" s="223"/>
      <c r="G6" s="223"/>
      <c r="H6" s="223"/>
      <c r="I6" s="223"/>
      <c r="J6" s="223"/>
      <c r="K6" s="223"/>
      <c r="L6" s="223"/>
      <c r="M6" s="223"/>
      <c r="N6" s="223"/>
      <c r="O6" s="223"/>
    </row>
    <row r="7" spans="1:16">
      <c r="A7" s="260" t="s">
        <v>3</v>
      </c>
      <c r="B7" s="223"/>
      <c r="C7" s="223"/>
      <c r="D7" s="223"/>
      <c r="E7" s="223"/>
      <c r="F7" s="223"/>
      <c r="G7" s="223"/>
      <c r="H7" s="223"/>
      <c r="I7" s="223"/>
      <c r="J7" s="223"/>
      <c r="K7" s="223"/>
      <c r="L7" s="223"/>
      <c r="M7" s="223"/>
      <c r="N7" s="223"/>
      <c r="O7" s="223"/>
    </row>
    <row r="8" spans="1:16">
      <c r="A8" s="260"/>
      <c r="B8" s="223"/>
      <c r="C8" s="223"/>
      <c r="D8" s="223"/>
      <c r="E8" s="223"/>
      <c r="F8" s="223"/>
      <c r="G8" s="223"/>
      <c r="H8" s="223"/>
      <c r="I8" s="223"/>
      <c r="J8" s="223"/>
      <c r="K8" s="223"/>
      <c r="L8" s="223"/>
      <c r="M8" s="223"/>
      <c r="N8" s="223"/>
      <c r="O8" s="223"/>
    </row>
    <row r="9" spans="1:16">
      <c r="A9" s="297" t="s">
        <v>4</v>
      </c>
      <c r="B9" s="223"/>
      <c r="C9" s="223"/>
      <c r="D9" s="223"/>
      <c r="E9" s="223"/>
      <c r="F9" s="223"/>
      <c r="G9" s="223"/>
      <c r="H9" s="223"/>
      <c r="I9" s="223"/>
      <c r="J9" s="223"/>
      <c r="K9" s="223"/>
      <c r="L9" s="223"/>
      <c r="M9" s="223"/>
      <c r="N9" s="223"/>
      <c r="O9" s="223"/>
    </row>
    <row r="10" spans="1:16">
      <c r="A10" s="260"/>
      <c r="B10" s="223"/>
      <c r="C10" s="223"/>
      <c r="D10" s="223"/>
      <c r="E10" s="223"/>
      <c r="F10" s="223"/>
      <c r="G10" s="223"/>
      <c r="H10" s="223"/>
      <c r="I10" s="223"/>
      <c r="J10" s="223"/>
      <c r="K10" s="223"/>
      <c r="L10" s="223"/>
      <c r="M10" s="223"/>
      <c r="N10" s="223"/>
      <c r="O10" s="223"/>
    </row>
    <row r="11" spans="1:16">
      <c r="A11" s="862" t="s">
        <v>5</v>
      </c>
      <c r="B11" s="862"/>
      <c r="C11" s="862"/>
      <c r="D11" s="862"/>
      <c r="E11" s="862"/>
      <c r="F11" s="862"/>
      <c r="G11" s="862"/>
      <c r="H11" s="862"/>
      <c r="I11" s="862"/>
      <c r="J11" s="862"/>
      <c r="K11" s="862"/>
      <c r="L11" s="862"/>
      <c r="M11" s="862"/>
      <c r="N11" s="862"/>
      <c r="O11" s="862"/>
      <c r="P11" s="862"/>
    </row>
    <row r="12" spans="1:16">
      <c r="A12" s="862" t="s">
        <v>6</v>
      </c>
      <c r="B12" s="862"/>
      <c r="C12" s="862"/>
      <c r="D12" s="862"/>
      <c r="E12" s="862"/>
      <c r="F12" s="862"/>
      <c r="G12" s="862"/>
      <c r="H12" s="862"/>
      <c r="I12" s="862"/>
      <c r="J12" s="862"/>
      <c r="K12" s="862"/>
      <c r="L12" s="862"/>
      <c r="M12" s="862"/>
      <c r="N12" s="862"/>
      <c r="O12" s="862"/>
      <c r="P12" s="862"/>
    </row>
    <row r="13" spans="1:16" ht="25.5" customHeight="1">
      <c r="A13" s="860" t="s">
        <v>7</v>
      </c>
      <c r="B13" s="860"/>
      <c r="C13" s="860"/>
      <c r="D13" s="860"/>
      <c r="E13" s="860"/>
      <c r="F13" s="860"/>
      <c r="G13" s="860"/>
      <c r="H13" s="860"/>
      <c r="I13" s="860"/>
      <c r="J13" s="860"/>
      <c r="K13" s="860"/>
      <c r="L13" s="860"/>
      <c r="M13" s="860"/>
      <c r="N13" s="860"/>
      <c r="O13" s="860"/>
      <c r="P13" s="860"/>
    </row>
    <row r="14" spans="1:16" ht="39" customHeight="1">
      <c r="A14" s="860" t="s">
        <v>8</v>
      </c>
      <c r="B14" s="860"/>
      <c r="C14" s="860"/>
      <c r="D14" s="860"/>
      <c r="E14" s="860"/>
      <c r="F14" s="860"/>
      <c r="G14" s="860"/>
      <c r="H14" s="860"/>
      <c r="I14" s="860"/>
      <c r="J14" s="860"/>
      <c r="K14" s="860"/>
      <c r="L14" s="860"/>
      <c r="M14" s="860"/>
      <c r="N14" s="860"/>
      <c r="O14" s="860"/>
      <c r="P14" s="860"/>
    </row>
    <row r="15" spans="1:16" ht="25.5" customHeight="1">
      <c r="A15" s="861" t="s">
        <v>9</v>
      </c>
      <c r="B15" s="860"/>
      <c r="C15" s="860"/>
      <c r="D15" s="860"/>
      <c r="E15" s="860"/>
      <c r="F15" s="860"/>
      <c r="G15" s="860"/>
      <c r="H15" s="860"/>
      <c r="I15" s="860"/>
      <c r="J15" s="860"/>
      <c r="K15" s="860"/>
      <c r="L15" s="860"/>
      <c r="M15" s="860"/>
      <c r="N15" s="860"/>
      <c r="O15" s="860"/>
      <c r="P15" s="860"/>
    </row>
    <row r="16" spans="1:16">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c r="A18" s="3" t="s">
        <v>11</v>
      </c>
    </row>
    <row r="19" spans="1:16">
      <c r="A19" s="3" t="s">
        <v>12</v>
      </c>
    </row>
    <row r="20" spans="1:16" ht="13.8" thickBot="1">
      <c r="A20" s="3"/>
    </row>
    <row r="21" spans="1:16" ht="13.8" thickBot="1">
      <c r="B21" s="857" t="s">
        <v>13</v>
      </c>
      <c r="C21" s="858"/>
      <c r="D21" s="858"/>
      <c r="E21" s="858"/>
      <c r="F21" s="858"/>
      <c r="G21" s="858"/>
      <c r="H21" s="858"/>
      <c r="I21" s="859"/>
    </row>
    <row r="23" spans="1:16" s="3" customFormat="1">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workbookViewId="0">
      <selection activeCell="B19" sqref="B19"/>
    </sheetView>
  </sheetViews>
  <sheetFormatPr baseColWidth="10" defaultColWidth="11.44140625" defaultRowHeight="13.2"/>
  <cols>
    <col min="1" max="1" width="19.44140625" style="131" customWidth="1"/>
    <col min="2" max="2" width="109.33203125" style="131" customWidth="1"/>
  </cols>
  <sheetData>
    <row r="1" spans="1:2">
      <c r="A1" s="612" t="s">
        <v>39</v>
      </c>
      <c r="B1" s="613"/>
    </row>
    <row r="2" spans="1:2">
      <c r="A2" s="80"/>
      <c r="B2" s="80"/>
    </row>
    <row r="3" spans="1:2">
      <c r="A3" s="132" t="s">
        <v>40</v>
      </c>
      <c r="B3" s="41" t="s">
        <v>41</v>
      </c>
    </row>
    <row r="4" spans="1:2">
      <c r="A4" s="396" t="s">
        <v>892</v>
      </c>
      <c r="B4" s="397" t="s">
        <v>893</v>
      </c>
    </row>
    <row r="6" spans="1:2">
      <c r="A6" s="854" t="s">
        <v>917</v>
      </c>
      <c r="B6" s="854" t="s">
        <v>916</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B19" s="397"/>
    </row>
    <row r="20" spans="1:2">
      <c r="A20" s="397"/>
    </row>
    <row r="21" spans="1:2">
      <c r="A21" s="397"/>
    </row>
    <row r="22" spans="1:2">
      <c r="B22" s="397"/>
    </row>
    <row r="25" spans="1:2">
      <c r="B25" s="397"/>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4140625" defaultRowHeight="13.2"/>
  <cols>
    <col min="1" max="1" width="19.44140625" style="131" customWidth="1"/>
    <col min="2" max="2" width="109.33203125" style="131" customWidth="1"/>
  </cols>
  <sheetData>
    <row r="1" spans="1:2" ht="12.75" customHeight="1">
      <c r="A1" s="3" t="s">
        <v>42</v>
      </c>
      <c r="B1"/>
    </row>
    <row r="2" spans="1:2">
      <c r="A2" s="80"/>
      <c r="B2" s="80"/>
    </row>
    <row r="3" spans="1:2">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A26" zoomScale="85" zoomScaleNormal="85" zoomScaleSheetLayoutView="100" workbookViewId="0">
      <selection activeCell="G45" sqref="G45:N45"/>
    </sheetView>
  </sheetViews>
  <sheetFormatPr baseColWidth="10" defaultColWidth="11.44140625" defaultRowHeight="13.2"/>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4140625" style="220"/>
  </cols>
  <sheetData>
    <row r="1" spans="1:46">
      <c r="A1" s="943" t="s">
        <v>45</v>
      </c>
      <c r="B1" s="943"/>
      <c r="C1" s="943"/>
      <c r="D1" s="943"/>
      <c r="E1" s="943"/>
      <c r="F1" s="943"/>
      <c r="G1" s="943"/>
      <c r="H1" s="943"/>
      <c r="I1" s="943"/>
      <c r="J1" s="943"/>
      <c r="K1" s="943"/>
      <c r="L1" s="943"/>
      <c r="M1" s="943"/>
      <c r="N1" s="943"/>
      <c r="O1" s="943"/>
      <c r="P1" s="943"/>
      <c r="Q1" s="943"/>
      <c r="R1" s="943"/>
      <c r="S1" s="943"/>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950" t="s">
        <v>46</v>
      </c>
      <c r="B3" s="950"/>
      <c r="C3" s="950"/>
      <c r="D3" s="950"/>
      <c r="E3" s="950"/>
      <c r="F3" s="950"/>
      <c r="G3" s="950"/>
      <c r="H3" s="950"/>
      <c r="I3" s="950"/>
      <c r="J3" s="950"/>
      <c r="K3" s="950"/>
      <c r="L3" s="950"/>
      <c r="M3" s="950"/>
      <c r="N3" s="950"/>
      <c r="O3" s="950"/>
      <c r="P3" s="950"/>
      <c r="Q3" s="950"/>
      <c r="R3" s="950"/>
      <c r="S3" s="950"/>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c r="A4" s="950"/>
      <c r="B4" s="950"/>
      <c r="C4" s="950"/>
      <c r="D4" s="950"/>
      <c r="E4" s="950"/>
      <c r="F4" s="950"/>
      <c r="G4" s="950"/>
      <c r="H4" s="950"/>
      <c r="I4" s="950"/>
      <c r="J4" s="950"/>
      <c r="K4" s="950"/>
      <c r="L4" s="950"/>
      <c r="M4" s="950"/>
      <c r="N4" s="950"/>
      <c r="O4" s="950"/>
      <c r="P4" s="950"/>
      <c r="Q4" s="950"/>
      <c r="R4" s="950"/>
      <c r="S4" s="950"/>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c r="A5" s="950"/>
      <c r="B5" s="950"/>
      <c r="C5" s="950"/>
      <c r="D5" s="950"/>
      <c r="E5" s="950"/>
      <c r="F5" s="950"/>
      <c r="G5" s="950"/>
      <c r="H5" s="950"/>
      <c r="I5" s="950"/>
      <c r="J5" s="950"/>
      <c r="K5" s="950"/>
      <c r="L5" s="950"/>
      <c r="M5" s="950"/>
      <c r="N5" s="950"/>
      <c r="O5" s="950"/>
      <c r="P5" s="950"/>
      <c r="Q5" s="950"/>
      <c r="R5" s="950"/>
      <c r="S5" s="950"/>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c r="A6" s="950"/>
      <c r="B6" s="950"/>
      <c r="C6" s="950"/>
      <c r="D6" s="950"/>
      <c r="E6" s="950"/>
      <c r="F6" s="950"/>
      <c r="G6" s="950"/>
      <c r="H6" s="950"/>
      <c r="I6" s="950"/>
      <c r="J6" s="950"/>
      <c r="K6" s="950"/>
      <c r="L6" s="950"/>
      <c r="M6" s="950"/>
      <c r="N6" s="950"/>
      <c r="O6" s="950"/>
      <c r="P6" s="950"/>
      <c r="Q6" s="950"/>
      <c r="R6" s="950"/>
      <c r="S6" s="950"/>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c r="A7" s="950"/>
      <c r="B7" s="950"/>
      <c r="C7" s="950"/>
      <c r="D7" s="950"/>
      <c r="E7" s="950"/>
      <c r="F7" s="950"/>
      <c r="G7" s="950"/>
      <c r="H7" s="950"/>
      <c r="I7" s="950"/>
      <c r="J7" s="950"/>
      <c r="K7" s="950"/>
      <c r="L7" s="950"/>
      <c r="M7" s="950"/>
      <c r="N7" s="950"/>
      <c r="O7" s="950"/>
      <c r="P7" s="950"/>
      <c r="Q7" s="950"/>
      <c r="R7" s="950"/>
      <c r="S7" s="950"/>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c r="A8" s="950"/>
      <c r="B8" s="950"/>
      <c r="C8" s="950"/>
      <c r="D8" s="950"/>
      <c r="E8" s="950"/>
      <c r="F8" s="950"/>
      <c r="G8" s="950"/>
      <c r="H8" s="950"/>
      <c r="I8" s="950"/>
      <c r="J8" s="950"/>
      <c r="K8" s="950"/>
      <c r="L8" s="950"/>
      <c r="M8" s="950"/>
      <c r="N8" s="950"/>
      <c r="O8" s="950"/>
      <c r="P8" s="950"/>
      <c r="Q8" s="950"/>
      <c r="R8" s="950"/>
      <c r="S8" s="950"/>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c r="A9" s="950"/>
      <c r="B9" s="950"/>
      <c r="C9" s="950"/>
      <c r="D9" s="950"/>
      <c r="E9" s="950"/>
      <c r="F9" s="950"/>
      <c r="G9" s="950"/>
      <c r="H9" s="950"/>
      <c r="I9" s="950"/>
      <c r="J9" s="950"/>
      <c r="K9" s="950"/>
      <c r="L9" s="950"/>
      <c r="M9" s="950"/>
      <c r="N9" s="950"/>
      <c r="O9" s="950"/>
      <c r="P9" s="950"/>
      <c r="Q9" s="950"/>
      <c r="R9" s="950"/>
      <c r="S9" s="950"/>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951" t="s">
        <v>47</v>
      </c>
      <c r="B11" s="951"/>
      <c r="C11" s="951"/>
      <c r="D11" s="951"/>
      <c r="E11" s="951"/>
      <c r="F11" s="951"/>
      <c r="G11" s="951"/>
      <c r="H11" s="951"/>
      <c r="I11" s="951"/>
      <c r="J11" s="951"/>
      <c r="K11" s="951"/>
      <c r="L11" s="951"/>
      <c r="M11" s="951"/>
      <c r="N11" s="951"/>
      <c r="O11" s="951"/>
      <c r="P11" s="951"/>
      <c r="Q11" s="951"/>
      <c r="R11" s="951"/>
      <c r="S11" s="951"/>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951"/>
      <c r="B12" s="951"/>
      <c r="C12" s="951"/>
      <c r="D12" s="951"/>
      <c r="E12" s="951"/>
      <c r="F12" s="951"/>
      <c r="G12" s="951"/>
      <c r="H12" s="951"/>
      <c r="I12" s="951"/>
      <c r="J12" s="951"/>
      <c r="K12" s="951"/>
      <c r="L12" s="951"/>
      <c r="M12" s="951"/>
      <c r="N12" s="951"/>
      <c r="O12" s="951"/>
      <c r="P12" s="951"/>
      <c r="Q12" s="951"/>
      <c r="R12" s="951"/>
      <c r="S12" s="951"/>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c r="A14" s="553" t="s">
        <v>48</v>
      </c>
      <c r="B14" s="553"/>
      <c r="C14" s="553"/>
      <c r="D14" s="947" t="s">
        <v>896</v>
      </c>
      <c r="E14" s="948"/>
      <c r="F14" s="948"/>
      <c r="G14" s="948"/>
      <c r="H14" s="948"/>
      <c r="I14" s="948"/>
      <c r="J14" s="949"/>
      <c r="K14" s="553" t="s">
        <v>49</v>
      </c>
      <c r="L14" s="553"/>
      <c r="M14" s="553"/>
      <c r="N14" s="553"/>
      <c r="O14" s="947" t="s">
        <v>904</v>
      </c>
      <c r="P14" s="948"/>
      <c r="Q14" s="948"/>
      <c r="R14" s="948"/>
      <c r="S14" s="949"/>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c r="A15" s="553" t="s">
        <v>50</v>
      </c>
      <c r="B15" s="553"/>
      <c r="C15" s="553"/>
      <c r="D15" s="947" t="s">
        <v>897</v>
      </c>
      <c r="E15" s="948"/>
      <c r="F15" s="948"/>
      <c r="G15" s="948"/>
      <c r="H15" s="948"/>
      <c r="I15" s="948"/>
      <c r="J15" s="949"/>
      <c r="K15" s="553" t="s">
        <v>51</v>
      </c>
      <c r="L15" s="553"/>
      <c r="M15" s="553"/>
      <c r="N15" s="947" t="s">
        <v>899</v>
      </c>
      <c r="O15" s="948"/>
      <c r="P15" s="948"/>
      <c r="Q15" s="948"/>
      <c r="R15" s="948"/>
      <c r="S15" s="949"/>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c r="A16" s="553" t="s">
        <v>52</v>
      </c>
      <c r="B16" s="553"/>
      <c r="C16" s="553"/>
      <c r="D16" s="947" t="s">
        <v>898</v>
      </c>
      <c r="E16" s="948"/>
      <c r="F16" s="948"/>
      <c r="G16" s="948"/>
      <c r="H16" s="948"/>
      <c r="I16" s="948"/>
      <c r="J16" s="949"/>
      <c r="K16" s="553" t="s">
        <v>51</v>
      </c>
      <c r="L16" s="553"/>
      <c r="M16" s="553"/>
      <c r="N16" s="947" t="s">
        <v>900</v>
      </c>
      <c r="O16" s="948"/>
      <c r="P16" s="948"/>
      <c r="Q16" s="948"/>
      <c r="R16" s="948"/>
      <c r="S16" s="949"/>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c r="A17" s="553" t="s">
        <v>53</v>
      </c>
      <c r="B17" s="553"/>
      <c r="C17" s="553"/>
      <c r="D17" s="919" t="s">
        <v>54</v>
      </c>
      <c r="E17" s="920"/>
      <c r="F17" s="920"/>
      <c r="G17" s="920"/>
      <c r="H17" s="920"/>
      <c r="I17" s="920"/>
      <c r="J17" s="921"/>
      <c r="K17" s="553"/>
      <c r="L17" s="553"/>
      <c r="M17" s="553"/>
      <c r="N17" s="553"/>
      <c r="O17" s="553"/>
      <c r="P17" s="553"/>
      <c r="Q17" s="553"/>
      <c r="R17" s="553"/>
      <c r="S17" s="553"/>
      <c r="T17" s="874" t="s">
        <v>55</v>
      </c>
      <c r="U17" s="925"/>
      <c r="V17" s="925"/>
      <c r="W17" s="925"/>
      <c r="X17" s="925"/>
      <c r="Y17" s="925"/>
      <c r="Z17" s="925"/>
      <c r="AA17" s="925"/>
      <c r="AB17" s="875"/>
      <c r="AC17" s="869" t="s">
        <v>56</v>
      </c>
      <c r="AD17" s="869"/>
      <c r="AE17" s="869"/>
      <c r="AF17" s="869"/>
      <c r="AG17" s="869" t="s">
        <v>57</v>
      </c>
      <c r="AH17" s="869"/>
      <c r="AI17" s="869"/>
      <c r="AJ17" s="869"/>
      <c r="AK17" s="869" t="s">
        <v>58</v>
      </c>
      <c r="AL17" s="869"/>
      <c r="AM17" s="869"/>
      <c r="AN17" s="874"/>
      <c r="AO17" s="927" t="s">
        <v>59</v>
      </c>
      <c r="AP17" s="928"/>
      <c r="AQ17" s="928"/>
      <c r="AR17" s="928"/>
      <c r="AS17" s="928"/>
      <c r="AT17" s="929"/>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11" t="s">
        <v>61</v>
      </c>
      <c r="U18" s="912" t="s">
        <v>62</v>
      </c>
      <c r="V18" s="912" t="s">
        <v>63</v>
      </c>
      <c r="W18" s="912" t="s">
        <v>64</v>
      </c>
      <c r="X18" s="912" t="s">
        <v>65</v>
      </c>
      <c r="Y18" s="912" t="s">
        <v>66</v>
      </c>
      <c r="Z18" s="911" t="s">
        <v>67</v>
      </c>
      <c r="AA18" s="911" t="s">
        <v>68</v>
      </c>
      <c r="AB18" s="911" t="s">
        <v>69</v>
      </c>
      <c r="AC18" s="922" t="s">
        <v>70</v>
      </c>
      <c r="AD18" s="922" t="s">
        <v>71</v>
      </c>
      <c r="AE18" s="922" t="s">
        <v>72</v>
      </c>
      <c r="AF18" s="922" t="s">
        <v>73</v>
      </c>
      <c r="AG18" s="922" t="s">
        <v>70</v>
      </c>
      <c r="AH18" s="922" t="s">
        <v>71</v>
      </c>
      <c r="AI18" s="930" t="s">
        <v>72</v>
      </c>
      <c r="AJ18" s="922" t="s">
        <v>73</v>
      </c>
      <c r="AK18" s="922" t="s">
        <v>70</v>
      </c>
      <c r="AL18" s="922" t="s">
        <v>71</v>
      </c>
      <c r="AM18" s="930" t="s">
        <v>72</v>
      </c>
      <c r="AN18" s="922" t="s">
        <v>73</v>
      </c>
      <c r="AO18" s="923" t="s">
        <v>74</v>
      </c>
      <c r="AP18" s="923" t="s">
        <v>75</v>
      </c>
      <c r="AQ18" s="923" t="s">
        <v>76</v>
      </c>
      <c r="AR18" s="923" t="s">
        <v>77</v>
      </c>
      <c r="AS18" s="923" t="s">
        <v>78</v>
      </c>
      <c r="AT18" s="923" t="s">
        <v>79</v>
      </c>
      <c r="AU18" s="553"/>
    </row>
    <row r="19" spans="1:47">
      <c r="A19" s="884" t="str">
        <f>IF(COUNTIF(A24:B48,"NO")&gt;0,"Yes. Chassis deviates from baseline requirements","No. Chassis does not deviate from baseline requirements")</f>
        <v>Yes. Chassis deviates from baseline requirements</v>
      </c>
      <c r="B19" s="885"/>
      <c r="C19" s="885"/>
      <c r="D19" s="885"/>
      <c r="E19" s="885"/>
      <c r="F19" s="885"/>
      <c r="G19" s="885"/>
      <c r="H19" s="885"/>
      <c r="I19" s="885"/>
      <c r="J19" s="885"/>
      <c r="K19" s="885"/>
      <c r="L19" s="885"/>
      <c r="M19" s="885"/>
      <c r="N19" s="885"/>
      <c r="O19" s="885"/>
      <c r="P19" s="885"/>
      <c r="Q19" s="885"/>
      <c r="R19" s="885"/>
      <c r="S19" s="886"/>
      <c r="T19" s="911"/>
      <c r="U19" s="912"/>
      <c r="V19" s="912"/>
      <c r="W19" s="912"/>
      <c r="X19" s="912"/>
      <c r="Y19" s="912"/>
      <c r="Z19" s="911"/>
      <c r="AA19" s="911"/>
      <c r="AB19" s="911"/>
      <c r="AC19" s="923"/>
      <c r="AD19" s="923"/>
      <c r="AE19" s="923"/>
      <c r="AF19" s="923"/>
      <c r="AG19" s="923"/>
      <c r="AH19" s="923"/>
      <c r="AI19" s="931"/>
      <c r="AJ19" s="923"/>
      <c r="AK19" s="923"/>
      <c r="AL19" s="923"/>
      <c r="AM19" s="931"/>
      <c r="AN19" s="923"/>
      <c r="AO19" s="923"/>
      <c r="AP19" s="923"/>
      <c r="AQ19" s="923"/>
      <c r="AR19" s="923"/>
      <c r="AS19" s="923"/>
      <c r="AT19" s="923"/>
      <c r="AU19" s="553"/>
    </row>
    <row r="20" spans="1:47">
      <c r="A20" s="553"/>
      <c r="B20" s="553"/>
      <c r="C20" s="553"/>
      <c r="D20" s="553"/>
      <c r="E20" s="553"/>
      <c r="F20" s="553"/>
      <c r="G20" s="553"/>
      <c r="H20" s="553"/>
      <c r="I20" s="553"/>
      <c r="J20" s="553"/>
      <c r="K20" s="553"/>
      <c r="L20" s="553"/>
      <c r="M20" s="553"/>
      <c r="N20" s="553"/>
      <c r="O20" s="553"/>
      <c r="P20" s="553"/>
      <c r="Q20" s="553"/>
      <c r="R20" s="553"/>
      <c r="S20" s="553"/>
      <c r="T20" s="911"/>
      <c r="U20" s="912"/>
      <c r="V20" s="912"/>
      <c r="W20" s="912"/>
      <c r="X20" s="912"/>
      <c r="Y20" s="912"/>
      <c r="Z20" s="911"/>
      <c r="AA20" s="911"/>
      <c r="AB20" s="911"/>
      <c r="AC20" s="923"/>
      <c r="AD20" s="923"/>
      <c r="AE20" s="923"/>
      <c r="AF20" s="923"/>
      <c r="AG20" s="923"/>
      <c r="AH20" s="923"/>
      <c r="AI20" s="931"/>
      <c r="AJ20" s="923"/>
      <c r="AK20" s="923"/>
      <c r="AL20" s="923"/>
      <c r="AM20" s="931"/>
      <c r="AN20" s="923"/>
      <c r="AO20" s="923"/>
      <c r="AP20" s="923"/>
      <c r="AQ20" s="923"/>
      <c r="AR20" s="923"/>
      <c r="AS20" s="923"/>
      <c r="AT20" s="923"/>
      <c r="AU20" s="553"/>
    </row>
    <row r="21" spans="1:47" ht="12.75" customHeight="1">
      <c r="A21" s="887" t="s">
        <v>80</v>
      </c>
      <c r="B21" s="888"/>
      <c r="C21" s="887" t="s">
        <v>81</v>
      </c>
      <c r="D21" s="906"/>
      <c r="E21" s="900" t="s">
        <v>82</v>
      </c>
      <c r="F21" s="901"/>
      <c r="G21" s="895" t="s">
        <v>83</v>
      </c>
      <c r="H21" s="895"/>
      <c r="I21" s="895"/>
      <c r="J21" s="895"/>
      <c r="K21" s="895"/>
      <c r="L21" s="895"/>
      <c r="M21" s="895"/>
      <c r="N21" s="895"/>
      <c r="O21" s="900" t="s">
        <v>84</v>
      </c>
      <c r="P21" s="913"/>
      <c r="Q21" s="913"/>
      <c r="R21" s="913"/>
      <c r="S21" s="914"/>
      <c r="T21" s="926"/>
      <c r="U21" s="912"/>
      <c r="V21" s="912"/>
      <c r="W21" s="912"/>
      <c r="X21" s="912"/>
      <c r="Y21" s="912"/>
      <c r="Z21" s="911"/>
      <c r="AA21" s="911"/>
      <c r="AB21" s="911"/>
      <c r="AC21" s="923"/>
      <c r="AD21" s="923"/>
      <c r="AE21" s="923"/>
      <c r="AF21" s="923"/>
      <c r="AG21" s="923"/>
      <c r="AH21" s="923"/>
      <c r="AI21" s="931"/>
      <c r="AJ21" s="923"/>
      <c r="AK21" s="923"/>
      <c r="AL21" s="923"/>
      <c r="AM21" s="931"/>
      <c r="AN21" s="923"/>
      <c r="AO21" s="923"/>
      <c r="AP21" s="923"/>
      <c r="AQ21" s="923"/>
      <c r="AR21" s="923"/>
      <c r="AS21" s="923"/>
      <c r="AT21" s="923"/>
      <c r="AU21" s="553"/>
    </row>
    <row r="22" spans="1:47" ht="12.75" customHeight="1">
      <c r="A22" s="889"/>
      <c r="B22" s="890"/>
      <c r="C22" s="907"/>
      <c r="D22" s="908"/>
      <c r="E22" s="902"/>
      <c r="F22" s="903"/>
      <c r="G22" s="895"/>
      <c r="H22" s="895"/>
      <c r="I22" s="895"/>
      <c r="J22" s="895"/>
      <c r="K22" s="895"/>
      <c r="L22" s="895"/>
      <c r="M22" s="895"/>
      <c r="N22" s="895"/>
      <c r="O22" s="902"/>
      <c r="P22" s="915"/>
      <c r="Q22" s="915"/>
      <c r="R22" s="915"/>
      <c r="S22" s="916"/>
      <c r="T22" s="926"/>
      <c r="U22" s="912"/>
      <c r="V22" s="912"/>
      <c r="W22" s="912"/>
      <c r="X22" s="912"/>
      <c r="Y22" s="912"/>
      <c r="Z22" s="911"/>
      <c r="AA22" s="911"/>
      <c r="AB22" s="911"/>
      <c r="AC22" s="923"/>
      <c r="AD22" s="923"/>
      <c r="AE22" s="923"/>
      <c r="AF22" s="923"/>
      <c r="AG22" s="923"/>
      <c r="AH22" s="923"/>
      <c r="AI22" s="931"/>
      <c r="AJ22" s="923"/>
      <c r="AK22" s="923"/>
      <c r="AL22" s="923"/>
      <c r="AM22" s="931"/>
      <c r="AN22" s="923"/>
      <c r="AO22" s="923"/>
      <c r="AP22" s="923"/>
      <c r="AQ22" s="923"/>
      <c r="AR22" s="923"/>
      <c r="AS22" s="923"/>
      <c r="AT22" s="923"/>
      <c r="AU22" s="553"/>
    </row>
    <row r="23" spans="1:47">
      <c r="A23" s="891"/>
      <c r="B23" s="892"/>
      <c r="C23" s="909"/>
      <c r="D23" s="910"/>
      <c r="E23" s="904"/>
      <c r="F23" s="905"/>
      <c r="G23" s="895"/>
      <c r="H23" s="895"/>
      <c r="I23" s="895"/>
      <c r="J23" s="895"/>
      <c r="K23" s="895"/>
      <c r="L23" s="895"/>
      <c r="M23" s="895"/>
      <c r="N23" s="895"/>
      <c r="O23" s="904"/>
      <c r="P23" s="917"/>
      <c r="Q23" s="917"/>
      <c r="R23" s="917"/>
      <c r="S23" s="918"/>
      <c r="T23" s="926"/>
      <c r="U23" s="912"/>
      <c r="V23" s="912"/>
      <c r="W23" s="912"/>
      <c r="X23" s="912"/>
      <c r="Y23" s="912"/>
      <c r="Z23" s="911"/>
      <c r="AA23" s="911"/>
      <c r="AB23" s="911"/>
      <c r="AC23" s="924"/>
      <c r="AD23" s="924"/>
      <c r="AE23" s="924"/>
      <c r="AF23" s="924"/>
      <c r="AG23" s="924"/>
      <c r="AH23" s="924"/>
      <c r="AI23" s="932"/>
      <c r="AJ23" s="924"/>
      <c r="AK23" s="924"/>
      <c r="AL23" s="924"/>
      <c r="AM23" s="932"/>
      <c r="AN23" s="924"/>
      <c r="AO23" s="924"/>
      <c r="AP23" s="924"/>
      <c r="AQ23" s="924"/>
      <c r="AR23" s="924"/>
      <c r="AS23" s="924"/>
      <c r="AT23" s="924"/>
      <c r="AU23" s="553"/>
    </row>
    <row r="24" spans="1:47" ht="12.75" customHeight="1">
      <c r="A24" s="893" t="str">
        <f>IF(AND('T3.8 Main Hoop Tubing'!D13&gt;='T3.8 Main Hoop Tubing'!C13,'T3.8 Main Hoop Tubing'!D14&gt;='T3.8 Main Hoop Tubing'!C14),"YES","NO")</f>
        <v>NO</v>
      </c>
      <c r="B24" s="894"/>
      <c r="C24" s="893" t="s">
        <v>85</v>
      </c>
      <c r="D24" s="894"/>
      <c r="E24" s="896" t="s">
        <v>86</v>
      </c>
      <c r="F24" s="869"/>
      <c r="G24" s="954" t="s">
        <v>87</v>
      </c>
      <c r="H24" s="954"/>
      <c r="I24" s="954"/>
      <c r="J24" s="954"/>
      <c r="K24" s="954"/>
      <c r="L24" s="954"/>
      <c r="M24" s="954"/>
      <c r="N24" s="954"/>
      <c r="O24" s="877" t="s">
        <v>901</v>
      </c>
      <c r="P24" s="877"/>
      <c r="Q24" s="877"/>
      <c r="R24" s="877"/>
      <c r="S24" s="878"/>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93" t="str">
        <f>IF(AND('T3.9 Front Hoop Tubing'!D4='T3.9 Front Hoop Tubing'!C4,'T3.9 Front Hoop Tubing'!D5='T3.9 Front Hoop Tubing'!C5,'T3.9 Front Hoop Tubing'!D13&gt;='T3.9 Front Hoop Tubing'!C13,'T3.9 Front Hoop Tubing'!D14&gt;='T3.9 Front Hoop Tubing'!C14),"YES","NO")</f>
        <v>NO</v>
      </c>
      <c r="B25" s="894"/>
      <c r="C25" s="893" t="str">
        <f t="shared" ref="C25:C35" si="0">IF(A25="N/A","N/A",IF(A25="YES","NO","YES"))</f>
        <v>YES</v>
      </c>
      <c r="D25" s="894"/>
      <c r="E25" s="896" t="s">
        <v>88</v>
      </c>
      <c r="F25" s="869"/>
      <c r="G25" s="876" t="s">
        <v>89</v>
      </c>
      <c r="H25" s="876"/>
      <c r="I25" s="876"/>
      <c r="J25" s="876"/>
      <c r="K25" s="876"/>
      <c r="L25" s="876"/>
      <c r="M25" s="876"/>
      <c r="N25" s="876"/>
      <c r="O25" s="877" t="s">
        <v>901</v>
      </c>
      <c r="P25" s="877"/>
      <c r="Q25" s="877"/>
      <c r="R25" s="877"/>
      <c r="S25" s="878"/>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93" t="str">
        <f>IF(AND('T3.10 Main Hoop Bracing'!D13&gt;='T3.10 Main Hoop Bracing'!C13,'T3.10 Main Hoop Bracing'!D14&gt;='T3.10 Main Hoop Bracing'!C14,'T3.10 Main Hoop Bracing'!D5='T3.10 Main Hoop Bracing'!C5),"YES","NO")</f>
        <v>NO</v>
      </c>
      <c r="B26" s="894"/>
      <c r="C26" s="893" t="str">
        <f t="shared" si="0"/>
        <v>YES</v>
      </c>
      <c r="D26" s="894"/>
      <c r="E26" s="896" t="s">
        <v>90</v>
      </c>
      <c r="F26" s="869"/>
      <c r="G26" s="876" t="s">
        <v>91</v>
      </c>
      <c r="H26" s="876"/>
      <c r="I26" s="876"/>
      <c r="J26" s="876"/>
      <c r="K26" s="876"/>
      <c r="L26" s="876"/>
      <c r="M26" s="876"/>
      <c r="N26" s="876"/>
      <c r="O26" s="877" t="s">
        <v>901</v>
      </c>
      <c r="P26" s="877"/>
      <c r="Q26" s="877"/>
      <c r="R26" s="877"/>
      <c r="S26" s="878"/>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93" t="str">
        <f>IF(NOT('T3.10.5 T3.5 MHoop Brace Spt'!F2="tubing only"),"N/A",IF(AND('T3.10.5 T3.5 MHoop Brace Spt'!E5='T3.10.5 T3.5 MHoop Brace Spt'!C5,'T3.10.5 T3.5 MHoop Brace Spt'!E15&gt;='T3.10.5 T3.5 MHoop Brace Spt'!C15,'T3.10.5 T3.5 MHoop Brace Spt'!E16&gt;='T3.10.5 T3.5 MHoop Brace Spt'!C16),"YES","NO"))</f>
        <v>NO</v>
      </c>
      <c r="B27" s="894"/>
      <c r="C27" s="893" t="str">
        <f>IF(A27="N/A","N/A",IF(A27="YES","NO","YES"))</f>
        <v>YES</v>
      </c>
      <c r="D27" s="894"/>
      <c r="E27" s="896" t="s">
        <v>92</v>
      </c>
      <c r="F27" s="869"/>
      <c r="G27" s="876" t="s">
        <v>93</v>
      </c>
      <c r="H27" s="876"/>
      <c r="I27" s="876"/>
      <c r="J27" s="876"/>
      <c r="K27" s="876"/>
      <c r="L27" s="876"/>
      <c r="M27" s="876"/>
      <c r="N27" s="876"/>
      <c r="O27" s="877" t="s">
        <v>901</v>
      </c>
      <c r="P27" s="877"/>
      <c r="Q27" s="877"/>
      <c r="R27" s="877"/>
      <c r="S27" s="878"/>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93" t="str">
        <f>IF('T3.11 T3.5 FHoop Bracing'!F2="tubing only",IF(AND('T3.11 T3.5 FHoop Bracing'!E6='T3.11 T3.5 FHoop Bracing'!C6,'T3.11 T3.5 FHoop Bracing'!E15&gt;='T3.11 T3.5 FHoop Bracing'!C15,'T3.11 T3.5 FHoop Bracing'!E16&gt;='T3.11 T3.5 FHoop Bracing'!C16,'T3.11 T3.5 FHoop Bracing'!E5='T3.11 T3.5 FHoop Bracing'!C5),"YES","NO"),"N/A")</f>
        <v>NO</v>
      </c>
      <c r="B28" s="894"/>
      <c r="C28" s="893" t="str">
        <f t="shared" si="0"/>
        <v>YES</v>
      </c>
      <c r="D28" s="894"/>
      <c r="E28" s="896" t="s">
        <v>94</v>
      </c>
      <c r="F28" s="869"/>
      <c r="G28" s="876" t="s">
        <v>95</v>
      </c>
      <c r="H28" s="876"/>
      <c r="I28" s="876"/>
      <c r="J28" s="876"/>
      <c r="K28" s="876"/>
      <c r="L28" s="876"/>
      <c r="M28" s="876"/>
      <c r="N28" s="876"/>
      <c r="O28" s="877" t="s">
        <v>901</v>
      </c>
      <c r="P28" s="877"/>
      <c r="Q28" s="877"/>
      <c r="R28" s="877"/>
      <c r="S28" s="878"/>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93" t="str">
        <f>IF(NOT('T3.13 T3.5 Ft Bulkhead'!F2="tubing only"),"N/A",IF(AND('T3.13 T3.5 Ft Bulkhead'!E5='T3.13 T3.5 Ft Bulkhead'!C5,'T3.13 T3.5 Ft Bulkhead'!E17&gt;='T3.13 T3.5 Ft Bulkhead'!C17,'T3.13 T3.5 Ft Bulkhead'!E18&gt;='T3.13 T3.5 Ft Bulkhead'!C18),"YES","NO"))</f>
        <v>YES</v>
      </c>
      <c r="B29" s="894"/>
      <c r="C29" s="893" t="str">
        <f t="shared" si="0"/>
        <v>NO</v>
      </c>
      <c r="D29" s="894"/>
      <c r="E29" s="896" t="s">
        <v>96</v>
      </c>
      <c r="F29" s="869"/>
      <c r="G29" s="876" t="s">
        <v>97</v>
      </c>
      <c r="H29" s="876"/>
      <c r="I29" s="876"/>
      <c r="J29" s="876"/>
      <c r="K29" s="876"/>
      <c r="L29" s="876"/>
      <c r="M29" s="876"/>
      <c r="N29" s="876"/>
      <c r="O29" s="877" t="s">
        <v>901</v>
      </c>
      <c r="P29" s="877"/>
      <c r="Q29" s="877"/>
      <c r="R29" s="877"/>
      <c r="S29" s="878"/>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93" t="str">
        <f>IF(NOT('T3.14 T3.5 FBH Spt Structure'!F2="tubing only"),"N/A",IF('T3.14 T3.5 FBH Spt Structure'!G17="YES","YES","NO"))</f>
        <v>YES</v>
      </c>
      <c r="B30" s="894"/>
      <c r="C30" s="893" t="str">
        <f t="shared" si="0"/>
        <v>NO</v>
      </c>
      <c r="D30" s="894"/>
      <c r="E30" s="952" t="s">
        <v>98</v>
      </c>
      <c r="F30" s="953"/>
      <c r="G30" s="897" t="s">
        <v>99</v>
      </c>
      <c r="H30" s="897"/>
      <c r="I30" s="897"/>
      <c r="J30" s="897"/>
      <c r="K30" s="897"/>
      <c r="L30" s="897"/>
      <c r="M30" s="897"/>
      <c r="N30" s="897"/>
      <c r="O30" s="898" t="s">
        <v>901</v>
      </c>
      <c r="P30" s="898"/>
      <c r="Q30" s="898"/>
      <c r="R30" s="898"/>
      <c r="S30" s="899"/>
      <c r="T30" s="732" t="str">
        <f>IF($A$30="NO",'T3.14 T3.5 FBH Spt Structure'!$K$27,"NA")</f>
        <v>NA</v>
      </c>
      <c r="U30" s="624" t="str">
        <f>IF($A$30="NO",'T3.14 T3.5 FBH Spt Structure'!$K$28,"NA")</f>
        <v>NA</v>
      </c>
      <c r="V30" s="624" t="str">
        <f>IF($A$30="NO",'T3.14 T3.5 FBH Spt Structure'!$K$29,"NA")</f>
        <v>NA</v>
      </c>
      <c r="W30" s="624" t="str">
        <f>IF($A$30="NO",'T3.14 T3.5 FBH Spt Structure'!$K$30,"NA")</f>
        <v>NA</v>
      </c>
      <c r="X30" s="624" t="str">
        <f>IF($A$30="NO",'T3.14 T3.5 FBH Spt Structure'!$K$31,"NA")</f>
        <v>NA</v>
      </c>
      <c r="Y30" s="624" t="str">
        <f>IF($A$30="NO",'T3.14 T3.5 FBH Spt Structure'!$K$32,"NA")</f>
        <v>NA</v>
      </c>
      <c r="Z30" s="624" t="str">
        <f>IF($A$30="NO",'T3.14 T3.5 FBH Spt Structure'!$K$33,"NA")</f>
        <v>NA</v>
      </c>
      <c r="AA30" s="617" t="str">
        <f>IF($A$30="NO",'T3.14 T3.5 FBH Spt Structure'!$K$34,"NA")</f>
        <v>NA</v>
      </c>
      <c r="AB30" s="624" t="str">
        <f>IF($A$30="NO",'T3.14 T3.5 FBH Spt Structure'!$K$35,"NA")</f>
        <v>NA</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25.4</v>
      </c>
      <c r="AF30" s="625">
        <f>IF('T3.14 T3.5 FBH Spt Structure'!$F$2="tubing only",'T3.14 T3.5 FBH Spt Structure'!$E$16,"")</f>
        <v>1.2</v>
      </c>
      <c r="AG30" s="625" t="str">
        <f>IF('T3.14 T3.5 FBH Spt Structure'!$F$2="tubing only",IF('T3.14 T3.5 FBH Spt Structure'!$F$14&gt;0,'T3.14 T3.5 FBH Spt Structure'!$F$5,""),"")</f>
        <v/>
      </c>
      <c r="AH30" s="625" t="str">
        <f>IF('T3.14 T3.5 FBH Spt Structure'!$F$2="tubing only",IF('T3.14 T3.5 FBH Spt Structure'!$F$14&gt;0,'T3.14 T3.5 FBH Spt Structure'!$F$6,""),"")</f>
        <v/>
      </c>
      <c r="AI30" s="626" t="str">
        <f>IF('T3.14 T3.5 FBH Spt Structure'!$F$2="tubing only",IF('T3.14 T3.5 FBH Spt Structure'!$F$14&gt;0,'T3.14 T3.5 FBH Spt Structure'!$F$15,""),"")</f>
        <v/>
      </c>
      <c r="AJ30" s="625" t="str">
        <f>IF('T3.14 T3.5 FBH Spt Structure'!$F$2="tubing only",IF('T3.14 T3.5 FBH Spt Structure'!$F$14&gt;0,'T3.14 T3.5 FBH Spt Structure'!$F$16,""),"")</f>
        <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93" t="str">
        <f>IF(NOT('T3.15 T3.5 SIS'!F2="tubing only"),"N/A",IF('T3.15 T3.5 SIS'!G17="YES","YES","NO"))</f>
        <v>NO</v>
      </c>
      <c r="B31" s="894"/>
      <c r="C31" s="893" t="str">
        <f t="shared" si="0"/>
        <v>YES</v>
      </c>
      <c r="D31" s="894"/>
      <c r="E31" s="896" t="s">
        <v>100</v>
      </c>
      <c r="F31" s="869"/>
      <c r="G31" s="876" t="s">
        <v>101</v>
      </c>
      <c r="H31" s="876"/>
      <c r="I31" s="876"/>
      <c r="J31" s="876"/>
      <c r="K31" s="876"/>
      <c r="L31" s="876"/>
      <c r="M31" s="876"/>
      <c r="N31" s="876"/>
      <c r="O31" s="877" t="s">
        <v>901</v>
      </c>
      <c r="P31" s="877"/>
      <c r="Q31" s="877"/>
      <c r="R31" s="877"/>
      <c r="S31" s="878"/>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93" t="str">
        <f>IF(AND('T4.5 Shoulder Harness Bar'!F2="tubing only",'T4.5 Shoulder Harness Bar'!E5='T4.5 Shoulder Harness Bar'!C5,'T4.5 Shoulder Harness Bar'!E15&gt;='T4.5 Shoulder Harness Bar'!C15,'T4.5 Shoulder Harness Bar'!E16&gt;='T4.5 Shoulder Harness Bar'!C16),"YES","NO")</f>
        <v>YES</v>
      </c>
      <c r="B32" s="894"/>
      <c r="C32" s="893" t="str">
        <f>IF(A32="N/A","N/A",IF(A32="YES","NO","YES"))</f>
        <v>NO</v>
      </c>
      <c r="D32" s="894"/>
      <c r="E32" s="896" t="s">
        <v>102</v>
      </c>
      <c r="F32" s="869"/>
      <c r="G32" s="876" t="s">
        <v>103</v>
      </c>
      <c r="H32" s="876"/>
      <c r="I32" s="876"/>
      <c r="J32" s="876"/>
      <c r="K32" s="876"/>
      <c r="L32" s="876"/>
      <c r="M32" s="876"/>
      <c r="N32" s="876"/>
      <c r="O32" s="877" t="s">
        <v>901</v>
      </c>
      <c r="P32" s="877"/>
      <c r="Q32" s="877"/>
      <c r="R32" s="877"/>
      <c r="S32" s="878"/>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93" t="str">
        <f>IF('T3.17.3 IA AI Plate'!D23="YES","YES","NO")</f>
        <v>YES</v>
      </c>
      <c r="B33" s="894"/>
      <c r="C33" s="893" t="str">
        <f>IF(A33="N/A","N/A",IF(A33="YES","NO","YES"))</f>
        <v>NO</v>
      </c>
      <c r="D33" s="894"/>
      <c r="E33" s="869" t="s">
        <v>104</v>
      </c>
      <c r="F33" s="869"/>
      <c r="G33" s="876" t="s">
        <v>105</v>
      </c>
      <c r="H33" s="876"/>
      <c r="I33" s="876"/>
      <c r="J33" s="876"/>
      <c r="K33" s="876"/>
      <c r="L33" s="876"/>
      <c r="M33" s="876"/>
      <c r="N33" s="876"/>
      <c r="O33" s="877" t="s">
        <v>903</v>
      </c>
      <c r="P33" s="877"/>
      <c r="Q33" s="877"/>
      <c r="R33" s="877"/>
      <c r="S33" s="878"/>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70" t="str">
        <f>IF('T3.11 T3.5 FHoop Bracing'!F2="tubing only","N/A","NO")</f>
        <v>N/A</v>
      </c>
      <c r="B34" s="871"/>
      <c r="C34" s="870" t="str">
        <f t="shared" si="0"/>
        <v>N/A</v>
      </c>
      <c r="D34" s="871"/>
      <c r="E34" s="896" t="s">
        <v>106</v>
      </c>
      <c r="F34" s="869"/>
      <c r="G34" s="876" t="s">
        <v>107</v>
      </c>
      <c r="H34" s="876"/>
      <c r="I34" s="876"/>
      <c r="J34" s="876"/>
      <c r="K34" s="876"/>
      <c r="L34" s="876"/>
      <c r="M34" s="876"/>
      <c r="N34" s="876"/>
      <c r="O34" s="877" t="s">
        <v>260</v>
      </c>
      <c r="P34" s="877"/>
      <c r="Q34" s="877"/>
      <c r="R34" s="877"/>
      <c r="S34" s="878"/>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70" t="str">
        <f>IF('T3.13 T3.5 Ft Bulkhead'!F2="tubing only","N/A","NO")</f>
        <v>N/A</v>
      </c>
      <c r="B35" s="871"/>
      <c r="C35" s="870" t="str">
        <f t="shared" si="0"/>
        <v>N/A</v>
      </c>
      <c r="D35" s="871"/>
      <c r="E35" s="869" t="s">
        <v>108</v>
      </c>
      <c r="F35" s="869"/>
      <c r="G35" s="876" t="s">
        <v>109</v>
      </c>
      <c r="H35" s="876"/>
      <c r="I35" s="876"/>
      <c r="J35" s="876"/>
      <c r="K35" s="876"/>
      <c r="L35" s="876"/>
      <c r="M35" s="876"/>
      <c r="N35" s="876"/>
      <c r="O35" s="877" t="s">
        <v>260</v>
      </c>
      <c r="P35" s="877"/>
      <c r="Q35" s="877"/>
      <c r="R35" s="877"/>
      <c r="S35" s="878"/>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70" t="str">
        <f>IF('T3.14 T3.5 FBH Spt Structure'!F2="tubing only","N/A","NO")</f>
        <v>N/A</v>
      </c>
      <c r="B36" s="871"/>
      <c r="C36" s="870" t="str">
        <f t="shared" ref="C36:C47" si="1">IF(A36="N/A","N/A",IF(A36="YES","NO","YES"))</f>
        <v>N/A</v>
      </c>
      <c r="D36" s="871"/>
      <c r="E36" s="869" t="s">
        <v>110</v>
      </c>
      <c r="F36" s="869"/>
      <c r="G36" s="876" t="s">
        <v>111</v>
      </c>
      <c r="H36" s="876"/>
      <c r="I36" s="876"/>
      <c r="J36" s="876"/>
      <c r="K36" s="876"/>
      <c r="L36" s="876"/>
      <c r="M36" s="876"/>
      <c r="N36" s="876"/>
      <c r="O36" s="877" t="s">
        <v>260</v>
      </c>
      <c r="P36" s="877"/>
      <c r="Q36" s="877"/>
      <c r="R36" s="877"/>
      <c r="S36" s="878"/>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70" t="str">
        <f>IF('T3.15 T3.5 SIS'!F2="tubing only","N/A","NO")</f>
        <v>N/A</v>
      </c>
      <c r="B37" s="871"/>
      <c r="C37" s="870" t="str">
        <f t="shared" si="1"/>
        <v>N/A</v>
      </c>
      <c r="D37" s="871"/>
      <c r="E37" s="869" t="s">
        <v>112</v>
      </c>
      <c r="F37" s="869"/>
      <c r="G37" s="876" t="s">
        <v>113</v>
      </c>
      <c r="H37" s="876"/>
      <c r="I37" s="876"/>
      <c r="J37" s="876"/>
      <c r="K37" s="876"/>
      <c r="L37" s="876"/>
      <c r="M37" s="876"/>
      <c r="N37" s="876"/>
      <c r="O37" s="877" t="s">
        <v>260</v>
      </c>
      <c r="P37" s="877"/>
      <c r="Q37" s="877"/>
      <c r="R37" s="877"/>
      <c r="S37" s="878"/>
      <c r="T37" s="961" t="str">
        <f>IF($A$37="NO",'T3.15 T3.5 SIS'!$L$27,"NA")</f>
        <v>NA</v>
      </c>
      <c r="U37" s="882" t="str">
        <f>IF($A$37="NO",'T3.15 T3.5 SIS'!$L$28,"NA")</f>
        <v>NA</v>
      </c>
      <c r="V37" s="882" t="str">
        <f>IF($A$37="NO",'T3.15 T3.5 SIS'!$L$29,"NA")</f>
        <v>NA</v>
      </c>
      <c r="W37" s="882" t="str">
        <f>IF($A$37="NO",'T3.15 T3.5 SIS'!$L$30,"NA")</f>
        <v>NA</v>
      </c>
      <c r="X37" s="882" t="str">
        <f>IF($A$37="NO",'T3.15 T3.5 SIS'!$L$31,"NA")</f>
        <v>NA</v>
      </c>
      <c r="Y37" s="882" t="str">
        <f>IF($A$37="NO",'T3.15 T3.5 SIS'!$L$32,"NA")</f>
        <v>NA</v>
      </c>
      <c r="Z37" s="882" t="str">
        <f>IF($A$37="NO",'T3.15 T3.5 SIS'!$L$33,"NA")</f>
        <v>NA</v>
      </c>
      <c r="AA37" s="959" t="str">
        <f>IF($A$37="NO",'T3.15 T3.5 SIS'!$L$34,"NA")</f>
        <v>NA</v>
      </c>
      <c r="AB37" s="882" t="str">
        <f>IF($A$37="NO",'T3.15 T3.5 SIS'!$L$35,"NA")</f>
        <v>NA</v>
      </c>
      <c r="AC37" s="957" t="str">
        <f>IF('T3.15 T3.5 SIS'!$F$2="tubes + composite",'T3.15 T3.5 SIS'!$E$5,"")</f>
        <v/>
      </c>
      <c r="AD37" s="957" t="str">
        <f>IF('T3.15 T3.5 SIS'!$F$2="tubes + composite",'T3.15 T3.5 SIS'!$E$6,"")</f>
        <v/>
      </c>
      <c r="AE37" s="955" t="str">
        <f>IF('T3.15 T3.5 SIS'!$F$2="tubes + composite",'T3.15 T3.5 SIS'!$E$15,"")</f>
        <v/>
      </c>
      <c r="AF37" s="957" t="str">
        <f>IF('T3.15 T3.5 SIS'!$F$2="tubes + composite",'T3.15 T3.5 SIS'!$E$16,"")</f>
        <v/>
      </c>
      <c r="AG37" s="957" t="str">
        <f>IF('T3.15 T3.5 SIS'!$F$2="tubes + composite",IF('T3.15 T3.5 SIS'!$F$14&gt;0,'T3.15 T3.5 SIS'!$F$5,""),"")</f>
        <v/>
      </c>
      <c r="AH37" s="957" t="str">
        <f>IF('T3.15 T3.5 SIS'!$F$2="tubes + composite",IF('T3.15 T3.5 SIS'!$F$14&gt;0,'T3.15 T3.5 SIS'!$F$6,""),"")</f>
        <v/>
      </c>
      <c r="AI37" s="955" t="str">
        <f>IF('T3.15 T3.5 SIS'!$F$2="tubes + composite",IF('T3.15 T3.5 SIS'!$F$14&gt;0,'T3.15 T3.5 SIS'!$F$15,""),"")</f>
        <v/>
      </c>
      <c r="AJ37" s="957" t="str">
        <f>IF('T3.15 T3.5 SIS'!$F$2="tubes + composite",IF('T3.15 T3.5 SIS'!$F$14&gt;0,'T3.15 T3.5 SIS'!$F$16,""),"")</f>
        <v/>
      </c>
      <c r="AK37" s="957" t="str">
        <f>IF('T3.15 T3.5 SIS'!$F$2="tubes + composite",IF('T3.15 T3.5 SIS'!$G$14&gt;0,'T3.15 T3.5 SIS'!$G$5,""),"")</f>
        <v/>
      </c>
      <c r="AL37" s="957" t="str">
        <f>IF('T3.15 T3.5 SIS'!$F$2="tubes + composite",IF('T3.15 T3.5 SIS'!$G$14&gt;0,'T3.15 T3.5 SIS'!$G$6,""),"")</f>
        <v/>
      </c>
      <c r="AM37" s="955" t="str">
        <f>IF('T3.15 T3.5 SIS'!$F$2="tubes + composite",IF('T3.15 T3.5 SIS'!$G$14&gt;0,'T3.15 T3.5 SIS'!$G$15,""),"")</f>
        <v/>
      </c>
      <c r="AN37" s="957"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70" t="str">
        <f>IF('T3.15 T3.5 SIS'!F2="tubing only","N/A","NO")</f>
        <v>N/A</v>
      </c>
      <c r="B38" s="871"/>
      <c r="C38" s="870" t="str">
        <f>IF(A38="N/A","N/A",IF(A38="YES","NO","YES"))</f>
        <v>N/A</v>
      </c>
      <c r="D38" s="871"/>
      <c r="E38" s="869" t="s">
        <v>112</v>
      </c>
      <c r="F38" s="869"/>
      <c r="G38" s="876" t="s">
        <v>114</v>
      </c>
      <c r="H38" s="876"/>
      <c r="I38" s="876"/>
      <c r="J38" s="876"/>
      <c r="K38" s="876"/>
      <c r="L38" s="876"/>
      <c r="M38" s="876"/>
      <c r="N38" s="876"/>
      <c r="O38" s="877" t="s">
        <v>260</v>
      </c>
      <c r="P38" s="877"/>
      <c r="Q38" s="877"/>
      <c r="R38" s="877"/>
      <c r="S38" s="878"/>
      <c r="T38" s="962"/>
      <c r="U38" s="883"/>
      <c r="V38" s="883"/>
      <c r="W38" s="883"/>
      <c r="X38" s="883"/>
      <c r="Y38" s="883"/>
      <c r="Z38" s="883"/>
      <c r="AA38" s="960"/>
      <c r="AB38" s="883"/>
      <c r="AC38" s="958"/>
      <c r="AD38" s="958"/>
      <c r="AE38" s="956"/>
      <c r="AF38" s="958"/>
      <c r="AG38" s="958"/>
      <c r="AH38" s="958"/>
      <c r="AI38" s="956"/>
      <c r="AJ38" s="958"/>
      <c r="AK38" s="958"/>
      <c r="AL38" s="958"/>
      <c r="AM38" s="956"/>
      <c r="AN38" s="958"/>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70" t="str">
        <f>IF('T3.10.5 T3.5 MHoop Brace Spt'!F2="tubing only","N/A","NO")</f>
        <v>N/A</v>
      </c>
      <c r="B39" s="871"/>
      <c r="C39" s="870" t="str">
        <f t="shared" si="1"/>
        <v>N/A</v>
      </c>
      <c r="D39" s="871"/>
      <c r="E39" s="869" t="s">
        <v>115</v>
      </c>
      <c r="F39" s="869"/>
      <c r="G39" s="876" t="s">
        <v>116</v>
      </c>
      <c r="H39" s="876"/>
      <c r="I39" s="876"/>
      <c r="J39" s="876"/>
      <c r="K39" s="876"/>
      <c r="L39" s="876"/>
      <c r="M39" s="876"/>
      <c r="N39" s="876"/>
      <c r="O39" s="877" t="s">
        <v>260</v>
      </c>
      <c r="P39" s="877"/>
      <c r="Q39" s="877"/>
      <c r="R39" s="877"/>
      <c r="S39" s="878"/>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70" t="str">
        <f>IF(A37="no","NO","N/A")</f>
        <v>N/A</v>
      </c>
      <c r="B40" s="871"/>
      <c r="C40" s="870" t="str">
        <f t="shared" si="1"/>
        <v>N/A</v>
      </c>
      <c r="D40" s="871"/>
      <c r="E40" s="868" t="s">
        <v>117</v>
      </c>
      <c r="F40" s="869"/>
      <c r="G40" s="876" t="s">
        <v>118</v>
      </c>
      <c r="H40" s="876"/>
      <c r="I40" s="876"/>
      <c r="J40" s="876"/>
      <c r="K40" s="876"/>
      <c r="L40" s="876"/>
      <c r="M40" s="876"/>
      <c r="N40" s="876"/>
      <c r="O40" s="877" t="s">
        <v>260</v>
      </c>
      <c r="P40" s="877"/>
      <c r="Q40" s="877"/>
      <c r="R40" s="877"/>
      <c r="S40" s="878"/>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70" t="str">
        <f>IF(A36="no","NO","N/A")</f>
        <v>N/A</v>
      </c>
      <c r="B41" s="871"/>
      <c r="C41" s="870" t="str">
        <f t="shared" si="1"/>
        <v>N/A</v>
      </c>
      <c r="D41" s="871"/>
      <c r="E41" s="869" t="s">
        <v>117</v>
      </c>
      <c r="F41" s="869"/>
      <c r="G41" s="876" t="s">
        <v>119</v>
      </c>
      <c r="H41" s="876"/>
      <c r="I41" s="876"/>
      <c r="J41" s="876"/>
      <c r="K41" s="876"/>
      <c r="L41" s="876"/>
      <c r="M41" s="876"/>
      <c r="N41" s="876"/>
      <c r="O41" s="877" t="s">
        <v>260</v>
      </c>
      <c r="P41" s="877"/>
      <c r="Q41" s="877"/>
      <c r="R41" s="877"/>
      <c r="S41" s="878"/>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70" t="s">
        <v>120</v>
      </c>
      <c r="B42" s="871"/>
      <c r="C42" s="870" t="s">
        <v>120</v>
      </c>
      <c r="D42" s="871"/>
      <c r="E42" s="869" t="s">
        <v>121</v>
      </c>
      <c r="F42" s="869"/>
      <c r="G42" s="876" t="s">
        <v>122</v>
      </c>
      <c r="H42" s="876"/>
      <c r="I42" s="876"/>
      <c r="J42" s="876"/>
      <c r="K42" s="876"/>
      <c r="L42" s="876"/>
      <c r="M42" s="876"/>
      <c r="N42" s="876"/>
      <c r="O42" s="877" t="s">
        <v>183</v>
      </c>
      <c r="P42" s="877"/>
      <c r="Q42" s="877"/>
      <c r="R42" s="877"/>
      <c r="S42" s="878"/>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872" t="s">
        <v>120</v>
      </c>
      <c r="B43" s="873"/>
      <c r="C43" s="872" t="s">
        <v>120</v>
      </c>
      <c r="D43" s="873"/>
      <c r="E43" s="869" t="s">
        <v>123</v>
      </c>
      <c r="F43" s="869"/>
      <c r="G43" s="876" t="s">
        <v>124</v>
      </c>
      <c r="H43" s="876"/>
      <c r="I43" s="876"/>
      <c r="J43" s="876"/>
      <c r="K43" s="876"/>
      <c r="L43" s="876"/>
      <c r="M43" s="876"/>
      <c r="N43" s="876"/>
      <c r="O43" s="877" t="s">
        <v>260</v>
      </c>
      <c r="P43" s="877"/>
      <c r="Q43" s="877"/>
      <c r="R43" s="877"/>
      <c r="S43" s="878"/>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70" t="str">
        <f>IF(OR('T4.5 Harness Attachments'!Q34="YES",'T4.5 Harness Attachments'!Q35="YES",'T4.5 Harness Attachments'!Q36="YES",'T4.5 Harness Attachments'!Q37="YES"),"NO","N/A")</f>
        <v>N/A</v>
      </c>
      <c r="B44" s="871"/>
      <c r="C44" s="870" t="str">
        <f t="shared" si="1"/>
        <v>N/A</v>
      </c>
      <c r="D44" s="871"/>
      <c r="E44" s="869" t="s">
        <v>102</v>
      </c>
      <c r="F44" s="869"/>
      <c r="G44" s="876" t="s">
        <v>125</v>
      </c>
      <c r="H44" s="876"/>
      <c r="I44" s="876"/>
      <c r="J44" s="876"/>
      <c r="K44" s="876"/>
      <c r="L44" s="876"/>
      <c r="M44" s="876"/>
      <c r="N44" s="876"/>
      <c r="O44" s="877" t="s">
        <v>928</v>
      </c>
      <c r="P44" s="877"/>
      <c r="Q44" s="877"/>
      <c r="R44" s="877"/>
      <c r="S44" s="878"/>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866" t="s">
        <v>120</v>
      </c>
      <c r="B45" s="867"/>
      <c r="C45" s="866" t="s">
        <v>120</v>
      </c>
      <c r="D45" s="867"/>
      <c r="E45" s="874" t="s">
        <v>126</v>
      </c>
      <c r="F45" s="875"/>
      <c r="G45" s="881" t="str">
        <f>IF($D$17="electric vehicle","Accumulator Container","N/A")</f>
        <v>Accumulator Container</v>
      </c>
      <c r="H45" s="881"/>
      <c r="I45" s="881"/>
      <c r="J45" s="881"/>
      <c r="K45" s="881"/>
      <c r="L45" s="881"/>
      <c r="M45" s="881"/>
      <c r="N45" s="881"/>
      <c r="O45" s="863" t="s">
        <v>182</v>
      </c>
      <c r="P45" s="864"/>
      <c r="Q45" s="864"/>
      <c r="R45" s="864"/>
      <c r="S45" s="865"/>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PA</v>
      </c>
      <c r="AU45" s="553"/>
    </row>
    <row r="46" spans="1:47" ht="12.75" customHeight="1">
      <c r="A46" s="866" t="s">
        <v>120</v>
      </c>
      <c r="B46" s="867"/>
      <c r="C46" s="866" t="s">
        <v>120</v>
      </c>
      <c r="D46" s="867"/>
      <c r="E46" s="874" t="s">
        <v>126</v>
      </c>
      <c r="F46" s="875"/>
      <c r="G46" s="881" t="str">
        <f>IF($D$17="electric vehicle","Accumulator Stack Construction","N/A")</f>
        <v>Accumulator Stack Construction</v>
      </c>
      <c r="H46" s="881"/>
      <c r="I46" s="881"/>
      <c r="J46" s="881"/>
      <c r="K46" s="881"/>
      <c r="L46" s="881"/>
      <c r="M46" s="881"/>
      <c r="N46" s="881"/>
      <c r="O46" s="863" t="s">
        <v>902</v>
      </c>
      <c r="P46" s="864"/>
      <c r="Q46" s="864"/>
      <c r="R46" s="864"/>
      <c r="S46" s="865"/>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879" t="s">
        <v>120</v>
      </c>
      <c r="B47" s="880"/>
      <c r="C47" s="879" t="str">
        <f t="shared" si="1"/>
        <v>N/A</v>
      </c>
      <c r="D47" s="880"/>
      <c r="E47" s="869" t="s">
        <v>127</v>
      </c>
      <c r="F47" s="869"/>
      <c r="G47" s="881" t="str">
        <f>IF(D17="electric vehicle","Accumulator Attachment","N/A")</f>
        <v>Accumulator Attachment</v>
      </c>
      <c r="H47" s="881"/>
      <c r="I47" s="881"/>
      <c r="J47" s="881"/>
      <c r="K47" s="881"/>
      <c r="L47" s="881"/>
      <c r="M47" s="881"/>
      <c r="N47" s="881"/>
      <c r="O47" s="863" t="s">
        <v>182</v>
      </c>
      <c r="P47" s="864"/>
      <c r="Q47" s="864"/>
      <c r="R47" s="864"/>
      <c r="S47" s="865"/>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879" t="str">
        <f>IF(NOT('EV5.5.1&amp;2 EV4.4 ACPS TSPS sidex'!F2="tubing only"),"NO",IF('EV5.5.1&amp;2 EV4.4 ACPS TSPS sidex'!G17="YES","YES","NO"))</f>
        <v>YES</v>
      </c>
      <c r="B48" s="880"/>
      <c r="C48" s="879" t="str">
        <f>IF(A48="N/A","N/A",IF(A48="YES","NO","YES"))</f>
        <v>NO</v>
      </c>
      <c r="D48" s="880"/>
      <c r="E48" s="869" t="s">
        <v>128</v>
      </c>
      <c r="F48" s="869"/>
      <c r="G48" s="881" t="str">
        <f>IF(D17="electric vehicle","Accumulator&amp;Tractive System Protection Side","N/A")</f>
        <v>Accumulator&amp;Tractive System Protection Side</v>
      </c>
      <c r="H48" s="881"/>
      <c r="I48" s="881"/>
      <c r="J48" s="881"/>
      <c r="K48" s="881"/>
      <c r="L48" s="881"/>
      <c r="M48" s="881"/>
      <c r="N48" s="881"/>
      <c r="O48" s="877" t="s">
        <v>901</v>
      </c>
      <c r="P48" s="877"/>
      <c r="Q48" s="877"/>
      <c r="R48" s="877"/>
      <c r="S48" s="878"/>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879" t="str">
        <f>IF(NOT('EV5.5.1&amp;2 EV4.4 ACPS TSPS rearx'!F2="tubing only"),"NO",IF('EV5.5.1&amp;2 EV4.4 ACPS TSPS sidex'!G17="YES","YES","NO"))</f>
        <v>YES</v>
      </c>
      <c r="B49" s="880"/>
      <c r="C49" s="879" t="str">
        <f>IF(A49="N/A","N/A",IF(A49="YES","NO","YES"))</f>
        <v>NO</v>
      </c>
      <c r="D49" s="880"/>
      <c r="E49" s="869" t="s">
        <v>128</v>
      </c>
      <c r="F49" s="869"/>
      <c r="G49" s="881" t="str">
        <f>IF(D17="electric vehicle","Accumulator&amp;Tractive System Protection Rear","N/A")</f>
        <v>Accumulator&amp;Tractive System Protection Rear</v>
      </c>
      <c r="H49" s="881"/>
      <c r="I49" s="881"/>
      <c r="J49" s="881"/>
      <c r="K49" s="881"/>
      <c r="L49" s="881"/>
      <c r="M49" s="881"/>
      <c r="N49" s="881"/>
      <c r="O49" s="877" t="s">
        <v>901</v>
      </c>
      <c r="P49" s="877"/>
      <c r="Q49" s="877"/>
      <c r="R49" s="877"/>
      <c r="S49" s="878"/>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944" t="s">
        <v>130</v>
      </c>
      <c r="C51" s="944"/>
      <c r="D51" s="944"/>
      <c r="E51" s="944"/>
      <c r="F51" s="944"/>
      <c r="G51" s="944"/>
      <c r="H51" s="944"/>
      <c r="I51" s="944"/>
      <c r="J51" s="944"/>
      <c r="K51" s="944"/>
      <c r="L51" s="944"/>
      <c r="M51" s="944"/>
      <c r="N51" s="944"/>
      <c r="O51" s="944"/>
      <c r="P51" s="944"/>
      <c r="Q51" s="944"/>
      <c r="R51" s="944"/>
      <c r="S51" s="944"/>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944" t="s">
        <v>132</v>
      </c>
      <c r="C52" s="944"/>
      <c r="D52" s="944"/>
      <c r="E52" s="944"/>
      <c r="F52" s="944"/>
      <c r="G52" s="944"/>
      <c r="H52" s="944"/>
      <c r="I52" s="944"/>
      <c r="J52" s="944"/>
      <c r="K52" s="944"/>
      <c r="L52" s="944"/>
      <c r="M52" s="944"/>
      <c r="N52" s="944"/>
      <c r="O52" s="944"/>
      <c r="P52" s="944"/>
      <c r="Q52" s="944"/>
      <c r="R52" s="944"/>
      <c r="S52" s="944"/>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944" t="s">
        <v>133</v>
      </c>
      <c r="C53" s="944"/>
      <c r="D53" s="944"/>
      <c r="E53" s="944"/>
      <c r="F53" s="944"/>
      <c r="G53" s="944"/>
      <c r="H53" s="944"/>
      <c r="I53" s="944"/>
      <c r="J53" s="944"/>
      <c r="K53" s="944"/>
      <c r="L53" s="944"/>
      <c r="M53" s="944"/>
      <c r="N53" s="944"/>
      <c r="O53" s="944"/>
      <c r="P53" s="944"/>
      <c r="Q53" s="944"/>
      <c r="R53" s="944"/>
      <c r="S53" s="944"/>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944" t="s">
        <v>134</v>
      </c>
      <c r="C54" s="944"/>
      <c r="D54" s="944"/>
      <c r="E54" s="944"/>
      <c r="F54" s="944"/>
      <c r="G54" s="944"/>
      <c r="H54" s="944"/>
      <c r="I54" s="944"/>
      <c r="J54" s="944"/>
      <c r="K54" s="944"/>
      <c r="L54" s="944"/>
      <c r="M54" s="944"/>
      <c r="N54" s="944"/>
      <c r="O54" s="944"/>
      <c r="P54" s="944"/>
      <c r="Q54" s="944"/>
      <c r="R54" s="944"/>
      <c r="S54" s="944"/>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944" t="s">
        <v>135</v>
      </c>
      <c r="C55" s="944"/>
      <c r="D55" s="944"/>
      <c r="E55" s="944"/>
      <c r="F55" s="944"/>
      <c r="G55" s="944"/>
      <c r="H55" s="944"/>
      <c r="I55" s="944"/>
      <c r="J55" s="944"/>
      <c r="K55" s="944"/>
      <c r="L55" s="944"/>
      <c r="M55" s="944"/>
      <c r="N55" s="944"/>
      <c r="O55" s="944"/>
      <c r="P55" s="944"/>
      <c r="Q55" s="944"/>
      <c r="R55" s="944"/>
      <c r="S55" s="944"/>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944" t="s">
        <v>136</v>
      </c>
      <c r="C56" s="944"/>
      <c r="D56" s="944"/>
      <c r="E56" s="944"/>
      <c r="F56" s="944"/>
      <c r="G56" s="944"/>
      <c r="H56" s="944"/>
      <c r="I56" s="944"/>
      <c r="J56" s="944"/>
      <c r="K56" s="944"/>
      <c r="L56" s="944"/>
      <c r="M56" s="944"/>
      <c r="N56" s="944"/>
      <c r="O56" s="944"/>
      <c r="P56" s="944"/>
      <c r="Q56" s="944"/>
      <c r="R56" s="944"/>
      <c r="S56" s="944"/>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c r="A58" s="943" t="s">
        <v>137</v>
      </c>
      <c r="B58" s="943"/>
      <c r="C58" s="943"/>
      <c r="D58" s="943"/>
      <c r="E58" s="943"/>
      <c r="F58" s="943"/>
      <c r="G58" s="943"/>
      <c r="H58" s="943"/>
      <c r="I58" s="943"/>
      <c r="J58" s="943"/>
      <c r="K58" s="943"/>
      <c r="L58" s="943"/>
      <c r="M58" s="943"/>
      <c r="N58" s="943"/>
      <c r="O58" s="943"/>
      <c r="P58" s="943"/>
      <c r="Q58" s="943"/>
      <c r="R58" s="943"/>
      <c r="S58" s="943"/>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8">
      <c r="A59" s="223" t="s">
        <v>138</v>
      </c>
      <c r="C59" s="164" t="s">
        <v>139</v>
      </c>
      <c r="J59" s="833" t="s">
        <v>140</v>
      </c>
      <c r="T59" s="834"/>
    </row>
    <row r="60" spans="1:47">
      <c r="A60" s="946" t="s">
        <v>141</v>
      </c>
      <c r="B60" s="946"/>
      <c r="C60" s="946"/>
      <c r="D60" s="946"/>
      <c r="E60" s="946"/>
      <c r="F60" s="946"/>
      <c r="G60" s="946"/>
      <c r="H60" s="946"/>
      <c r="I60" s="946"/>
      <c r="J60" s="946"/>
      <c r="K60" s="946"/>
      <c r="L60" s="946"/>
      <c r="M60" s="946"/>
      <c r="N60" s="946"/>
      <c r="O60" s="946"/>
      <c r="P60" s="946"/>
      <c r="Q60" s="946"/>
      <c r="R60" s="946"/>
      <c r="S60" s="946"/>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934"/>
      <c r="B62" s="935"/>
      <c r="C62" s="935"/>
      <c r="D62" s="935"/>
      <c r="E62" s="935"/>
      <c r="F62" s="935"/>
      <c r="G62" s="935"/>
      <c r="H62" s="935"/>
      <c r="I62" s="935"/>
      <c r="J62" s="935"/>
      <c r="K62" s="935"/>
      <c r="L62" s="935"/>
      <c r="M62" s="935"/>
      <c r="N62" s="935"/>
      <c r="O62" s="935"/>
      <c r="P62" s="935"/>
      <c r="Q62" s="935"/>
      <c r="R62" s="935"/>
      <c r="S62" s="936"/>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37"/>
      <c r="B63" s="938"/>
      <c r="C63" s="938"/>
      <c r="D63" s="938"/>
      <c r="E63" s="938"/>
      <c r="F63" s="938"/>
      <c r="G63" s="938"/>
      <c r="H63" s="938"/>
      <c r="I63" s="938"/>
      <c r="J63" s="938"/>
      <c r="K63" s="938"/>
      <c r="L63" s="938"/>
      <c r="M63" s="938"/>
      <c r="N63" s="938"/>
      <c r="O63" s="938"/>
      <c r="P63" s="938"/>
      <c r="Q63" s="938"/>
      <c r="R63" s="938"/>
      <c r="S63" s="939"/>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37"/>
      <c r="B64" s="938"/>
      <c r="C64" s="938"/>
      <c r="D64" s="938"/>
      <c r="E64" s="938"/>
      <c r="F64" s="938"/>
      <c r="G64" s="938"/>
      <c r="H64" s="938"/>
      <c r="I64" s="938"/>
      <c r="J64" s="938"/>
      <c r="K64" s="938"/>
      <c r="L64" s="938"/>
      <c r="M64" s="938"/>
      <c r="N64" s="938"/>
      <c r="O64" s="938"/>
      <c r="P64" s="938"/>
      <c r="Q64" s="938"/>
      <c r="R64" s="938"/>
      <c r="S64" s="939"/>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37"/>
      <c r="B65" s="938"/>
      <c r="C65" s="938"/>
      <c r="D65" s="938"/>
      <c r="E65" s="938"/>
      <c r="F65" s="938"/>
      <c r="G65" s="938"/>
      <c r="H65" s="938"/>
      <c r="I65" s="938"/>
      <c r="J65" s="938"/>
      <c r="K65" s="938"/>
      <c r="L65" s="938"/>
      <c r="M65" s="938"/>
      <c r="N65" s="938"/>
      <c r="O65" s="938"/>
      <c r="P65" s="938"/>
      <c r="Q65" s="938"/>
      <c r="R65" s="938"/>
      <c r="S65" s="939"/>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40"/>
      <c r="B66" s="941"/>
      <c r="C66" s="941"/>
      <c r="D66" s="941"/>
      <c r="E66" s="941"/>
      <c r="F66" s="941"/>
      <c r="G66" s="941"/>
      <c r="H66" s="941"/>
      <c r="I66" s="941"/>
      <c r="J66" s="941"/>
      <c r="K66" s="941"/>
      <c r="L66" s="941"/>
      <c r="M66" s="941"/>
      <c r="N66" s="941"/>
      <c r="O66" s="941"/>
      <c r="P66" s="941"/>
      <c r="Q66" s="941"/>
      <c r="R66" s="941"/>
      <c r="S66" s="942"/>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45"/>
      <c r="E68" s="945"/>
      <c r="F68" s="945"/>
      <c r="G68" s="945"/>
      <c r="H68" s="945"/>
      <c r="I68" s="945"/>
      <c r="J68" s="945"/>
      <c r="K68" s="945"/>
      <c r="L68" s="945"/>
      <c r="M68" s="945"/>
      <c r="N68" s="945"/>
      <c r="O68" s="553" t="s">
        <v>143</v>
      </c>
      <c r="P68" s="941"/>
      <c r="Q68" s="941"/>
      <c r="R68" s="941"/>
      <c r="S68" s="941"/>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c r="A70" s="933" t="s">
        <v>144</v>
      </c>
      <c r="B70" s="933"/>
      <c r="C70" s="933"/>
      <c r="D70" s="933"/>
      <c r="E70" s="933"/>
      <c r="F70" s="933"/>
      <c r="G70" s="933"/>
      <c r="H70" s="933"/>
      <c r="I70" s="933"/>
      <c r="J70" s="933"/>
      <c r="K70" s="933"/>
      <c r="L70" s="933"/>
      <c r="M70" s="933"/>
      <c r="N70" s="933"/>
      <c r="O70" s="933"/>
      <c r="P70" s="933"/>
      <c r="Q70" s="933"/>
      <c r="R70" s="933"/>
      <c r="S70" s="933"/>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c r="A71" s="933"/>
      <c r="B71" s="933"/>
      <c r="C71" s="933"/>
      <c r="D71" s="933"/>
      <c r="E71" s="933"/>
      <c r="F71" s="933"/>
      <c r="G71" s="933"/>
      <c r="H71" s="933"/>
      <c r="I71" s="933"/>
      <c r="J71" s="933"/>
      <c r="K71" s="933"/>
      <c r="L71" s="933"/>
      <c r="M71" s="933"/>
      <c r="N71" s="933"/>
      <c r="O71" s="933"/>
      <c r="P71" s="933"/>
      <c r="Q71" s="933"/>
      <c r="R71" s="933"/>
      <c r="S71" s="933"/>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7:B47"/>
    <mergeCell ref="C47:D47"/>
    <mergeCell ref="E48:F48"/>
    <mergeCell ref="G48:N48"/>
    <mergeCell ref="A48:B48"/>
    <mergeCell ref="C48:D48"/>
    <mergeCell ref="E47:F47"/>
    <mergeCell ref="A49:B49"/>
    <mergeCell ref="C49:D49"/>
    <mergeCell ref="E49:F49"/>
    <mergeCell ref="G47:N47"/>
    <mergeCell ref="G49:N49"/>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s>
  <phoneticPr fontId="2" type="noConversion"/>
  <conditionalFormatting sqref="T29 T24:Z27 U34:Z34 U28:Z29 T35:Z37 AB24:AB32 T30:Z32 AB34:AB37 AB39 T39:Z39">
    <cfRule type="cellIs" dxfId="544" priority="68" stopIfTrue="1" operator="greaterThanOrEqual">
      <formula>100</formula>
    </cfRule>
    <cfRule type="cellIs" dxfId="543" priority="69" stopIfTrue="1" operator="lessThan">
      <formula>100</formula>
    </cfRule>
  </conditionalFormatting>
  <conditionalFormatting sqref="AO30:AQ30 AD39:AF39 AG30:AN31 AO32:AQ32 AC27:AF32 AE36:AQ37 AC36:AD36 AC34:AF35 AO34:AQ35 AS32 AS34:AS37 AS30 AO39:AS39">
    <cfRule type="expression" dxfId="542" priority="70" stopIfTrue="1">
      <formula>AC27=""</formula>
    </cfRule>
  </conditionalFormatting>
  <conditionalFormatting sqref="T28 T34">
    <cfRule type="expression" dxfId="541" priority="71" stopIfTrue="1">
      <formula>T28&gt;=100</formula>
    </cfRule>
    <cfRule type="cellIs" dxfId="540" priority="72" stopIfTrue="1" operator="between">
      <formula>0</formula>
      <formula>99.99</formula>
    </cfRule>
    <cfRule type="expression" dxfId="539" priority="73" stopIfTrue="1">
      <formula>ISBLANK(T28)</formula>
    </cfRule>
  </conditionalFormatting>
  <conditionalFormatting sqref="AA24:AA32 AA34:AA37 AA39">
    <cfRule type="expression" dxfId="538" priority="74" stopIfTrue="1">
      <formula>OR(AA24="NA",AA24&lt;100.01)</formula>
    </cfRule>
    <cfRule type="expression" dxfId="537" priority="75" stopIfTrue="1">
      <formula>AND(NOT(AA24="NA"),AA24&gt;=100.01)</formula>
    </cfRule>
  </conditionalFormatting>
  <conditionalFormatting sqref="AC39 AC37:AD37">
    <cfRule type="expression" dxfId="536" priority="76" stopIfTrue="1">
      <formula>AC37=""</formula>
    </cfRule>
  </conditionalFormatting>
  <conditionalFormatting sqref="T41">
    <cfRule type="expression" dxfId="535" priority="94" stopIfTrue="1">
      <formula>T41="FA"</formula>
    </cfRule>
    <cfRule type="expression" dxfId="534" priority="95" stopIfTrue="1">
      <formula>OR(T41="PA",T41="NA")</formula>
    </cfRule>
    <cfRule type="expression" dxfId="533" priority="96" stopIfTrue="1">
      <formula>T41="CH"</formula>
    </cfRule>
  </conditionalFormatting>
  <conditionalFormatting sqref="AB48:AB49 T48:Z49">
    <cfRule type="cellIs" dxfId="532" priority="63" stopIfTrue="1" operator="greaterThanOrEqual">
      <formula>100</formula>
    </cfRule>
    <cfRule type="cellIs" dxfId="531" priority="64" stopIfTrue="1" operator="lessThan">
      <formula>100</formula>
    </cfRule>
  </conditionalFormatting>
  <conditionalFormatting sqref="AC48:AN48">
    <cfRule type="expression" dxfId="530" priority="65" stopIfTrue="1">
      <formula>AC48=""</formula>
    </cfRule>
  </conditionalFormatting>
  <conditionalFormatting sqref="AA48:AA49">
    <cfRule type="expression" dxfId="529" priority="66" stopIfTrue="1">
      <formula>OR(AA48="NA",AA48&lt;100.01)</formula>
    </cfRule>
    <cfRule type="expression" dxfId="528" priority="67" stopIfTrue="1">
      <formula>AND(NOT(AA48="NA"),AA48&gt;=100.01)</formula>
    </cfRule>
  </conditionalFormatting>
  <conditionalFormatting sqref="AO48:AQ49 AS48:AS49">
    <cfRule type="expression" dxfId="527" priority="62" stopIfTrue="1">
      <formula>AO48=""</formula>
    </cfRule>
  </conditionalFormatting>
  <conditionalFormatting sqref="T33">
    <cfRule type="cellIs" dxfId="526" priority="55" stopIfTrue="1" operator="equal">
      <formula>"CH"</formula>
    </cfRule>
    <cfRule type="expression" dxfId="525" priority="77" stopIfTrue="1">
      <formula>T33="FA"</formula>
    </cfRule>
    <cfRule type="expression" dxfId="524" priority="78" stopIfTrue="1">
      <formula>OR($T$33="PA",$T$33="NA")</formula>
    </cfRule>
  </conditionalFormatting>
  <conditionalFormatting sqref="T40">
    <cfRule type="cellIs" dxfId="523" priority="52" stopIfTrue="1" operator="equal">
      <formula>"CH"</formula>
    </cfRule>
    <cfRule type="expression" dxfId="522" priority="53" stopIfTrue="1">
      <formula>T40="FA"</formula>
    </cfRule>
    <cfRule type="expression" dxfId="521" priority="54" stopIfTrue="1">
      <formula>OR($T$40="PA",$T$40="NA")</formula>
    </cfRule>
  </conditionalFormatting>
  <conditionalFormatting sqref="T44">
    <cfRule type="cellIs" dxfId="520" priority="46" stopIfTrue="1" operator="equal">
      <formula>"CH"</formula>
    </cfRule>
    <cfRule type="expression" dxfId="519" priority="47" stopIfTrue="1">
      <formula>T44="FA"</formula>
    </cfRule>
    <cfRule type="expression" dxfId="518" priority="48" stopIfTrue="1">
      <formula>OR($T$44="PA",$T$44="NA")</formula>
    </cfRule>
  </conditionalFormatting>
  <conditionalFormatting sqref="T43">
    <cfRule type="cellIs" dxfId="517" priority="43" stopIfTrue="1" operator="equal">
      <formula>"CH"</formula>
    </cfRule>
    <cfRule type="expression" dxfId="516" priority="44" stopIfTrue="1">
      <formula>T43="FA"</formula>
    </cfRule>
    <cfRule type="expression" dxfId="515" priority="45" stopIfTrue="1">
      <formula>OR($T$40="PA",$T$40="NA")</formula>
    </cfRule>
  </conditionalFormatting>
  <conditionalFormatting sqref="AR30 AR32 AR34:AR37">
    <cfRule type="expression" dxfId="514" priority="42" stopIfTrue="1">
      <formula>AR30=""</formula>
    </cfRule>
  </conditionalFormatting>
  <conditionalFormatting sqref="AR48:AR49">
    <cfRule type="expression" dxfId="513" priority="41" stopIfTrue="1">
      <formula>AR48=""</formula>
    </cfRule>
  </conditionalFormatting>
  <conditionalFormatting sqref="AO38:AQ38 AS38">
    <cfRule type="expression" dxfId="512" priority="36" stopIfTrue="1">
      <formula>AO38=""</formula>
    </cfRule>
  </conditionalFormatting>
  <conditionalFormatting sqref="AR38">
    <cfRule type="expression" dxfId="511" priority="33" stopIfTrue="1">
      <formula>AR38=""</formula>
    </cfRule>
  </conditionalFormatting>
  <conditionalFormatting sqref="T42">
    <cfRule type="cellIs" dxfId="510" priority="30" operator="equal">
      <formula>"CH"</formula>
    </cfRule>
    <cfRule type="expression" dxfId="509" priority="31" stopIfTrue="1">
      <formula>T42="FA"</formula>
    </cfRule>
    <cfRule type="expression" dxfId="508" priority="32" stopIfTrue="1">
      <formula>OR(#REF!="PA",#REF!="NA")</formula>
    </cfRule>
  </conditionalFormatting>
  <conditionalFormatting sqref="AT32 AT34:AT37 AT30 AT39">
    <cfRule type="expression" dxfId="507" priority="29" stopIfTrue="1">
      <formula>AT30=""</formula>
    </cfRule>
  </conditionalFormatting>
  <conditionalFormatting sqref="AT48:AT49">
    <cfRule type="expression" dxfId="506" priority="28" stopIfTrue="1">
      <formula>AT48=""</formula>
    </cfRule>
  </conditionalFormatting>
  <conditionalFormatting sqref="AT38">
    <cfRule type="expression" dxfId="505" priority="26" stopIfTrue="1">
      <formula>AT38=""</formula>
    </cfRule>
  </conditionalFormatting>
  <conditionalFormatting sqref="AT45">
    <cfRule type="expression" dxfId="504" priority="24" stopIfTrue="1">
      <formula>$AT$45="PA"</formula>
    </cfRule>
    <cfRule type="expression" dxfId="503" priority="25" stopIfTrue="1">
      <formula>AT45="FA"</formula>
    </cfRule>
  </conditionalFormatting>
  <conditionalFormatting sqref="AT47">
    <cfRule type="expression" dxfId="502" priority="22" stopIfTrue="1">
      <formula>$AT$45="PA"</formula>
    </cfRule>
    <cfRule type="expression" dxfId="501" priority="23" stopIfTrue="1">
      <formula>AT47="FA"</formula>
    </cfRule>
  </conditionalFormatting>
  <conditionalFormatting sqref="AT46">
    <cfRule type="expression" dxfId="500" priority="20" stopIfTrue="1">
      <formula>$AT$45="PA"</formula>
    </cfRule>
    <cfRule type="expression" dxfId="499" priority="21" stopIfTrue="1">
      <formula>AT46="FA"</formula>
    </cfRule>
  </conditionalFormatting>
  <conditionalFormatting sqref="T51">
    <cfRule type="cellIs" dxfId="498" priority="19" operator="equal">
      <formula>"yes"</formula>
    </cfRule>
  </conditionalFormatting>
  <conditionalFormatting sqref="T51">
    <cfRule type="cellIs" dxfId="497" priority="18" operator="equal">
      <formula>"No"</formula>
    </cfRule>
  </conditionalFormatting>
  <conditionalFormatting sqref="T51:U51">
    <cfRule type="cellIs" dxfId="496" priority="17" operator="equal">
      <formula>"N/A"</formula>
    </cfRule>
  </conditionalFormatting>
  <conditionalFormatting sqref="T52">
    <cfRule type="cellIs" dxfId="495" priority="16" operator="equal">
      <formula>"yes"</formula>
    </cfRule>
  </conditionalFormatting>
  <conditionalFormatting sqref="T52">
    <cfRule type="cellIs" dxfId="494" priority="15" operator="equal">
      <formula>"No"</formula>
    </cfRule>
  </conditionalFormatting>
  <conditionalFormatting sqref="T52:U52">
    <cfRule type="cellIs" dxfId="493" priority="14" operator="equal">
      <formula>"N/A"</formula>
    </cfRule>
  </conditionalFormatting>
  <conditionalFormatting sqref="T53">
    <cfRule type="cellIs" dxfId="492" priority="13" operator="equal">
      <formula>"yes"</formula>
    </cfRule>
  </conditionalFormatting>
  <conditionalFormatting sqref="T53">
    <cfRule type="cellIs" dxfId="491" priority="12" operator="equal">
      <formula>"No"</formula>
    </cfRule>
  </conditionalFormatting>
  <conditionalFormatting sqref="T53:U53">
    <cfRule type="cellIs" dxfId="490" priority="11" operator="equal">
      <formula>"N/A"</formula>
    </cfRule>
  </conditionalFormatting>
  <conditionalFormatting sqref="T54">
    <cfRule type="cellIs" dxfId="489" priority="10" operator="equal">
      <formula>"yes"</formula>
    </cfRule>
  </conditionalFormatting>
  <conditionalFormatting sqref="T54">
    <cfRule type="cellIs" dxfId="488" priority="9" operator="equal">
      <formula>"No"</formula>
    </cfRule>
  </conditionalFormatting>
  <conditionalFormatting sqref="T54:U54">
    <cfRule type="cellIs" dxfId="487" priority="8" operator="equal">
      <formula>"N/A"</formula>
    </cfRule>
  </conditionalFormatting>
  <conditionalFormatting sqref="T55">
    <cfRule type="cellIs" dxfId="486" priority="7" operator="equal">
      <formula>"yes"</formula>
    </cfRule>
  </conditionalFormatting>
  <conditionalFormatting sqref="T55">
    <cfRule type="cellIs" dxfId="485" priority="6" operator="equal">
      <formula>"No"</formula>
    </cfRule>
  </conditionalFormatting>
  <conditionalFormatting sqref="T55:U55">
    <cfRule type="cellIs" dxfId="484" priority="5" operator="equal">
      <formula>"N/A"</formula>
    </cfRule>
  </conditionalFormatting>
  <conditionalFormatting sqref="T56">
    <cfRule type="cellIs" dxfId="483" priority="4" operator="equal">
      <formula>"yes"</formula>
    </cfRule>
  </conditionalFormatting>
  <conditionalFormatting sqref="T56">
    <cfRule type="cellIs" dxfId="482" priority="3" operator="equal">
      <formula>"No"</formula>
    </cfRule>
  </conditionalFormatting>
  <conditionalFormatting sqref="T56:U56">
    <cfRule type="cellIs" dxfId="481" priority="2" operator="equal">
      <formula>"N/A"</formula>
    </cfRule>
  </conditionalFormatting>
  <conditionalFormatting sqref="AC49:AN49">
    <cfRule type="expression" dxfId="480" priority="1" stopIfTrue="1">
      <formula>AC49=""</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topLeftCell="A17" zoomScale="81" zoomScaleNormal="100" zoomScaleSheetLayoutView="100" workbookViewId="0">
      <selection activeCell="R24" sqref="R24"/>
    </sheetView>
  </sheetViews>
  <sheetFormatPr baseColWidth="10" defaultColWidth="11.44140625" defaultRowHeight="13.2"/>
  <cols>
    <col min="1" max="17" width="5" customWidth="1"/>
    <col min="18" max="19" width="5.5546875" customWidth="1"/>
    <col min="20" max="21" width="5" customWidth="1"/>
    <col min="22" max="22" width="15.6640625" customWidth="1"/>
    <col min="23" max="23" width="11.44140625" style="6" customWidth="1"/>
    <col min="24" max="25" width="15.6640625" customWidth="1"/>
    <col min="26" max="26" width="11.44140625" customWidth="1"/>
    <col min="27" max="27" width="15.6640625" customWidth="1"/>
    <col min="28" max="28" width="11.44140625" customWidth="1"/>
    <col min="29" max="29" width="15.6640625" customWidth="1"/>
    <col min="30" max="39" width="5" customWidth="1"/>
  </cols>
  <sheetData>
    <row r="1" spans="1:39">
      <c r="A1" s="943" t="s">
        <v>145</v>
      </c>
      <c r="B1" s="943"/>
      <c r="C1" s="943"/>
      <c r="D1" s="943"/>
      <c r="E1" s="943"/>
      <c r="F1" s="943"/>
      <c r="G1" s="943"/>
      <c r="H1" s="943"/>
      <c r="I1" s="943"/>
      <c r="J1" s="943"/>
      <c r="K1" s="943"/>
      <c r="L1" s="943"/>
      <c r="M1" s="943"/>
      <c r="N1" s="943"/>
      <c r="O1" s="943"/>
      <c r="P1" s="943"/>
      <c r="Q1" s="943"/>
      <c r="R1" s="943"/>
      <c r="S1" s="943"/>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3.95" customHeight="1">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325"/>
      <c r="U3" s="325"/>
      <c r="V3" s="964" t="s">
        <v>147</v>
      </c>
      <c r="W3" s="963" t="s">
        <v>148</v>
      </c>
      <c r="X3" s="963" t="s">
        <v>149</v>
      </c>
      <c r="Y3" s="970" t="s">
        <v>150</v>
      </c>
      <c r="Z3" s="970" t="s">
        <v>151</v>
      </c>
      <c r="AA3" s="963" t="s">
        <v>152</v>
      </c>
      <c r="AB3" s="963" t="s">
        <v>153</v>
      </c>
      <c r="AC3" s="967" t="s">
        <v>154</v>
      </c>
      <c r="AD3" s="325"/>
      <c r="AE3" s="323"/>
      <c r="AF3" s="26"/>
      <c r="AG3" s="26"/>
      <c r="AH3" s="26"/>
      <c r="AI3" s="26"/>
      <c r="AJ3" s="26"/>
      <c r="AK3" s="26"/>
      <c r="AL3" s="26"/>
      <c r="AM3" s="26"/>
    </row>
    <row r="4" spans="1:39" ht="13.95" customHeight="1">
      <c r="T4" s="325"/>
      <c r="U4" s="325"/>
      <c r="V4" s="965"/>
      <c r="W4" s="923"/>
      <c r="X4" s="923"/>
      <c r="Y4" s="971"/>
      <c r="Z4" s="971"/>
      <c r="AA4" s="923"/>
      <c r="AB4" s="923"/>
      <c r="AC4" s="968"/>
      <c r="AD4" s="325"/>
      <c r="AE4" s="323"/>
      <c r="AF4" s="26"/>
      <c r="AG4" s="26"/>
      <c r="AH4" s="26"/>
      <c r="AI4" s="26"/>
      <c r="AJ4" s="26"/>
      <c r="AK4" s="26"/>
      <c r="AL4" s="26"/>
      <c r="AM4" s="26"/>
    </row>
    <row r="5" spans="1:39" ht="13.95" customHeight="1">
      <c r="A5" s="978" t="s">
        <v>155</v>
      </c>
      <c r="B5" s="978"/>
      <c r="C5" s="978"/>
      <c r="D5" s="978"/>
      <c r="E5" s="978"/>
      <c r="F5" s="978"/>
      <c r="G5" s="978"/>
      <c r="H5" s="978"/>
      <c r="I5" s="978"/>
      <c r="J5" s="978"/>
      <c r="K5" s="978"/>
      <c r="L5" s="978"/>
      <c r="M5" s="978"/>
      <c r="N5" s="978"/>
      <c r="O5" s="978"/>
      <c r="P5" s="978"/>
      <c r="Q5" s="978"/>
      <c r="R5" s="978"/>
      <c r="S5" s="978"/>
      <c r="T5" s="325"/>
      <c r="U5" s="325"/>
      <c r="V5" s="965"/>
      <c r="W5" s="923"/>
      <c r="X5" s="923"/>
      <c r="Y5" s="971"/>
      <c r="Z5" s="971"/>
      <c r="AA5" s="923"/>
      <c r="AB5" s="923"/>
      <c r="AC5" s="968"/>
      <c r="AD5" s="325"/>
      <c r="AE5" s="323"/>
      <c r="AF5" s="26"/>
      <c r="AG5" s="26"/>
      <c r="AH5" s="26"/>
      <c r="AI5" s="26"/>
      <c r="AJ5" s="26"/>
      <c r="AK5" s="26"/>
      <c r="AL5" s="26"/>
      <c r="AM5" s="26"/>
    </row>
    <row r="6" spans="1:39" ht="13.95" customHeight="1">
      <c r="A6" s="978"/>
      <c r="B6" s="978"/>
      <c r="C6" s="978"/>
      <c r="D6" s="978"/>
      <c r="E6" s="978"/>
      <c r="F6" s="978"/>
      <c r="G6" s="978"/>
      <c r="H6" s="978"/>
      <c r="I6" s="978"/>
      <c r="J6" s="978"/>
      <c r="K6" s="978"/>
      <c r="L6" s="978"/>
      <c r="M6" s="978"/>
      <c r="N6" s="978"/>
      <c r="O6" s="978"/>
      <c r="P6" s="978"/>
      <c r="Q6" s="978"/>
      <c r="R6" s="978"/>
      <c r="S6" s="978"/>
      <c r="T6" s="325"/>
      <c r="U6" s="26"/>
      <c r="V6" s="965"/>
      <c r="W6" s="923"/>
      <c r="X6" s="923"/>
      <c r="Y6" s="971"/>
      <c r="Z6" s="971"/>
      <c r="AA6" s="923"/>
      <c r="AB6" s="923"/>
      <c r="AC6" s="968"/>
      <c r="AD6" s="325"/>
      <c r="AE6" s="323"/>
      <c r="AF6" s="26"/>
      <c r="AG6" s="26"/>
      <c r="AH6" s="26"/>
      <c r="AI6" s="26"/>
      <c r="AJ6" s="26"/>
      <c r="AK6" s="26"/>
      <c r="AL6" s="26"/>
      <c r="AM6" s="26"/>
    </row>
    <row r="7" spans="1:39" ht="13.95" customHeight="1" thickBot="1">
      <c r="A7" s="978"/>
      <c r="B7" s="978"/>
      <c r="C7" s="978"/>
      <c r="D7" s="978"/>
      <c r="E7" s="978"/>
      <c r="F7" s="978"/>
      <c r="G7" s="978"/>
      <c r="H7" s="978"/>
      <c r="I7" s="978"/>
      <c r="J7" s="978"/>
      <c r="K7" s="978"/>
      <c r="L7" s="978"/>
      <c r="M7" s="978"/>
      <c r="N7" s="978"/>
      <c r="O7" s="978"/>
      <c r="P7" s="978"/>
      <c r="Q7" s="978"/>
      <c r="R7" s="978"/>
      <c r="S7" s="978"/>
      <c r="T7" s="325"/>
      <c r="U7" s="26"/>
      <c r="V7" s="966"/>
      <c r="W7" s="924"/>
      <c r="X7" s="924"/>
      <c r="Y7" s="972"/>
      <c r="Z7" s="972"/>
      <c r="AA7" s="924"/>
      <c r="AB7" s="924"/>
      <c r="AC7" s="969"/>
      <c r="AD7" s="325"/>
      <c r="AE7" s="323"/>
      <c r="AF7" s="26"/>
      <c r="AG7" s="26"/>
      <c r="AH7" s="26"/>
      <c r="AI7" s="26"/>
      <c r="AJ7" s="26"/>
      <c r="AK7" s="26"/>
      <c r="AL7" s="26"/>
      <c r="AM7" s="26"/>
    </row>
    <row r="8" spans="1:39" ht="13.95" customHeight="1">
      <c r="A8" s="978"/>
      <c r="B8" s="978"/>
      <c r="C8" s="978"/>
      <c r="D8" s="978"/>
      <c r="E8" s="978"/>
      <c r="F8" s="978"/>
      <c r="G8" s="978"/>
      <c r="H8" s="978"/>
      <c r="I8" s="978"/>
      <c r="J8" s="978"/>
      <c r="K8" s="978"/>
      <c r="L8" s="978"/>
      <c r="M8" s="978"/>
      <c r="N8" s="978"/>
      <c r="O8" s="978"/>
      <c r="P8" s="978"/>
      <c r="Q8" s="978"/>
      <c r="R8" s="978"/>
      <c r="S8" s="978"/>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3.95" customHeight="1">
      <c r="A9" s="978"/>
      <c r="B9" s="978"/>
      <c r="C9" s="978"/>
      <c r="D9" s="978"/>
      <c r="E9" s="978"/>
      <c r="F9" s="978"/>
      <c r="G9" s="978"/>
      <c r="H9" s="978"/>
      <c r="I9" s="978"/>
      <c r="J9" s="978"/>
      <c r="K9" s="978"/>
      <c r="L9" s="978"/>
      <c r="M9" s="978"/>
      <c r="N9" s="978"/>
      <c r="O9" s="978"/>
      <c r="P9" s="978"/>
      <c r="Q9" s="978"/>
      <c r="R9" s="978"/>
      <c r="S9" s="978"/>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3.95" customHeight="1">
      <c r="A10" s="821" t="s">
        <v>158</v>
      </c>
      <c r="Q10" s="6"/>
      <c r="R10" s="973" t="s">
        <v>159</v>
      </c>
      <c r="S10" s="973"/>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3.95" customHeight="1">
      <c r="Q11" s="6"/>
      <c r="R11" s="974"/>
      <c r="S11" s="974"/>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3.95" customHeight="1">
      <c r="A12" s="380" t="s">
        <v>162</v>
      </c>
      <c r="Q12" s="64"/>
      <c r="R12" s="975" t="s">
        <v>495</v>
      </c>
      <c r="S12" s="976"/>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3.95" customHeight="1">
      <c r="A13" s="380" t="s">
        <v>164</v>
      </c>
      <c r="Q13" s="64"/>
      <c r="R13" s="975" t="s">
        <v>495</v>
      </c>
      <c r="S13" s="976"/>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3.95" customHeight="1">
      <c r="A14" s="380" t="s">
        <v>166</v>
      </c>
      <c r="Q14" s="64"/>
      <c r="R14" s="975" t="s">
        <v>495</v>
      </c>
      <c r="S14" s="976"/>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3.95" customHeight="1">
      <c r="A15" s="380" t="s">
        <v>168</v>
      </c>
      <c r="Q15" s="64"/>
      <c r="R15" s="975" t="s">
        <v>495</v>
      </c>
      <c r="S15" s="976"/>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3.95" customHeight="1">
      <c r="A16" s="553" t="s">
        <v>170</v>
      </c>
      <c r="Q16" s="64"/>
      <c r="R16" s="975" t="s">
        <v>495</v>
      </c>
      <c r="S16" s="976"/>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75" t="s">
        <v>495</v>
      </c>
      <c r="S17" s="976"/>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79" t="s">
        <v>174</v>
      </c>
      <c r="B18" s="979"/>
      <c r="C18" s="979"/>
      <c r="D18" s="979"/>
      <c r="E18" s="979"/>
      <c r="F18" s="979"/>
      <c r="G18" s="979"/>
      <c r="H18" s="979"/>
      <c r="I18" s="979"/>
      <c r="J18" s="979"/>
      <c r="K18" s="979"/>
      <c r="L18" s="979"/>
      <c r="M18" s="979"/>
      <c r="N18" s="979"/>
      <c r="O18" s="979"/>
      <c r="P18" s="979"/>
      <c r="Q18" s="979"/>
      <c r="R18" s="980" t="s">
        <v>120</v>
      </c>
      <c r="S18" s="981"/>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79" t="s">
        <v>176</v>
      </c>
      <c r="B19" s="979"/>
      <c r="C19" s="979"/>
      <c r="D19" s="979"/>
      <c r="E19" s="979"/>
      <c r="F19" s="979"/>
      <c r="G19" s="979"/>
      <c r="H19" s="979"/>
      <c r="I19" s="979"/>
      <c r="J19" s="979"/>
      <c r="K19" s="979"/>
      <c r="L19" s="979"/>
      <c r="M19" s="979"/>
      <c r="N19" s="979"/>
      <c r="O19" s="979"/>
      <c r="P19" s="979"/>
      <c r="Q19" s="979"/>
      <c r="R19" s="980" t="s">
        <v>495</v>
      </c>
      <c r="S19" s="981"/>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79" t="s">
        <v>178</v>
      </c>
      <c r="B20" s="979"/>
      <c r="C20" s="979"/>
      <c r="D20" s="979"/>
      <c r="E20" s="979"/>
      <c r="F20" s="979"/>
      <c r="G20" s="979"/>
      <c r="H20" s="979"/>
      <c r="I20" s="979"/>
      <c r="J20" s="979"/>
      <c r="K20" s="979"/>
      <c r="L20" s="979"/>
      <c r="M20" s="979"/>
      <c r="N20" s="979"/>
      <c r="O20" s="979"/>
      <c r="P20" s="979"/>
      <c r="Q20" s="979"/>
      <c r="R20" s="980" t="s">
        <v>120</v>
      </c>
      <c r="S20" s="981"/>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8:Q18"/>
    <mergeCell ref="A19:Q19"/>
    <mergeCell ref="A20:Q20"/>
    <mergeCell ref="R18:S18"/>
    <mergeCell ref="R19:S19"/>
    <mergeCell ref="R20:S20"/>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0">
    <cfRule type="cellIs" dxfId="479" priority="17" operator="equal">
      <formula>"yes"</formula>
    </cfRule>
  </conditionalFormatting>
  <conditionalFormatting sqref="R12:R20">
    <cfRule type="cellIs" dxfId="478" priority="2" operator="equal">
      <formula>"No"</formula>
    </cfRule>
  </conditionalFormatting>
  <conditionalFormatting sqref="R12:S20">
    <cfRule type="cellIs" dxfId="477"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zoomScaleNormal="100" zoomScaleSheetLayoutView="100" workbookViewId="0"/>
  </sheetViews>
  <sheetFormatPr baseColWidth="10" defaultColWidth="11.44140625" defaultRowHeight="13.2"/>
  <cols>
    <col min="1" max="1" width="3.33203125" customWidth="1"/>
    <col min="2" max="2" width="24.6640625" customWidth="1"/>
    <col min="3" max="3" width="10.10937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399999999999999">
      <c r="B1" s="47" t="s">
        <v>180</v>
      </c>
    </row>
    <row r="3" spans="2:19">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c r="B20" s="553"/>
      <c r="C20" s="226"/>
      <c r="D20" s="226"/>
      <c r="E20" s="226"/>
      <c r="F20" s="226"/>
      <c r="G20" s="3" t="s">
        <v>211</v>
      </c>
      <c r="H20" s="646"/>
    </row>
    <row r="21" spans="2:9">
      <c r="B21" s="553"/>
      <c r="D21" s="982"/>
      <c r="E21" s="982"/>
      <c r="F21" s="982"/>
      <c r="G21" s="982"/>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A8" sqref="A8"/>
    </sheetView>
  </sheetViews>
  <sheetFormatPr baseColWidth="10" defaultColWidth="11.44140625" defaultRowHeight="13.2"/>
  <cols>
    <col min="1" max="1" width="19.44140625" style="131" customWidth="1"/>
    <col min="2" max="2" width="109.33203125" style="131" customWidth="1"/>
  </cols>
  <sheetData>
    <row r="1" spans="1:2" ht="12.75" customHeight="1">
      <c r="A1" s="983" t="s">
        <v>224</v>
      </c>
      <c r="B1" s="983"/>
    </row>
    <row r="2" spans="1:2">
      <c r="A2" s="391" t="s">
        <v>225</v>
      </c>
      <c r="B2" s="80"/>
    </row>
    <row r="3" spans="1:2">
      <c r="A3" s="132" t="s">
        <v>226</v>
      </c>
      <c r="B3" s="41" t="s">
        <v>227</v>
      </c>
    </row>
    <row r="4" spans="1:2">
      <c r="A4" s="396" t="s">
        <v>905</v>
      </c>
      <c r="B4" s="397" t="s">
        <v>906</v>
      </c>
    </row>
    <row r="5" spans="1:2">
      <c r="A5" s="131" t="s">
        <v>907</v>
      </c>
      <c r="B5" s="131" t="s">
        <v>908</v>
      </c>
    </row>
    <row r="6" spans="1:2">
      <c r="A6" s="397" t="s">
        <v>909</v>
      </c>
      <c r="B6" s="397" t="s">
        <v>918</v>
      </c>
    </row>
    <row r="7" spans="1:2">
      <c r="B7" s="131" t="s">
        <v>919</v>
      </c>
    </row>
    <row r="8" spans="1:2">
      <c r="B8" s="131" t="s">
        <v>920</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topLeftCell="A20" workbookViewId="0">
      <selection activeCell="B30" sqref="B30"/>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228</v>
      </c>
    </row>
    <row r="3" spans="2:9">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E28 E20:E26">
    <cfRule type="cellIs" dxfId="476" priority="2" stopIfTrue="1" operator="greaterThanOrEqual">
      <formula>100</formula>
    </cfRule>
    <cfRule type="cellIs" dxfId="475" priority="3" stopIfTrue="1" operator="lessThan">
      <formula>100</formula>
    </cfRule>
  </conditionalFormatting>
  <conditionalFormatting sqref="E27">
    <cfRule type="cellIs" dxfId="474" priority="4" stopIfTrue="1" operator="greaterThanOrEqual">
      <formula>100.01</formula>
    </cfRule>
    <cfRule type="cellIs" dxfId="473" priority="5" stopIfTrue="1" operator="lessThan">
      <formula>100.01</formula>
    </cfRule>
  </conditionalFormatting>
  <conditionalFormatting sqref="D14">
    <cfRule type="cellIs" dxfId="472" priority="1" stopIfTrue="1" operator="lessThan">
      <formula>2</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250</v>
      </c>
    </row>
    <row r="3" spans="2:9">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E28 E20:E26">
    <cfRule type="cellIs" dxfId="471" priority="3" stopIfTrue="1" operator="greaterThanOrEqual">
      <formula>100</formula>
    </cfRule>
    <cfRule type="cellIs" dxfId="470" priority="4" stopIfTrue="1" operator="lessThan">
      <formula>100</formula>
    </cfRule>
  </conditionalFormatting>
  <conditionalFormatting sqref="E27">
    <cfRule type="cellIs" dxfId="469" priority="5" stopIfTrue="1" operator="greaterThanOrEqual">
      <formula>100.01</formula>
    </cfRule>
    <cfRule type="cellIs" dxfId="468" priority="6" stopIfTrue="1" operator="lessThan">
      <formula>100.01</formula>
    </cfRule>
  </conditionalFormatting>
  <conditionalFormatting sqref="D14">
    <cfRule type="cellIs" dxfId="467" priority="1" stopIfTrue="1" operator="lessThan">
      <formula>2</formula>
    </cfRule>
    <cfRule type="cellIs" dxfId="466" priority="2" stopIfTrue="1" operator="lessThan">
      <formula>1.2</formula>
    </cfRule>
  </conditionalFormatting>
  <dataValidations disablePrompts="1"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workbookViewId="0">
      <selection activeCell="D15" sqref="D15"/>
    </sheetView>
  </sheetViews>
  <sheetFormatPr baseColWidth="10" defaultColWidth="11.44140625" defaultRowHeight="13.2"/>
  <cols>
    <col min="1" max="1" width="5.109375" customWidth="1"/>
    <col min="2" max="2" width="46.109375" customWidth="1"/>
    <col min="3" max="3" width="11.44140625" customWidth="1"/>
    <col min="4" max="4" width="11.6640625" customWidth="1"/>
    <col min="5" max="5" width="5.88671875" customWidth="1"/>
    <col min="6" max="6" width="8.6640625" customWidth="1"/>
    <col min="7" max="7" width="11.44140625" customWidth="1"/>
    <col min="8" max="8" width="12.44140625" bestFit="1" customWidth="1"/>
  </cols>
  <sheetData>
    <row r="1" spans="2:9" ht="15.6">
      <c r="B1" s="1" t="s">
        <v>251</v>
      </c>
    </row>
    <row r="3" spans="2:9">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E28 E20:E26">
    <cfRule type="cellIs" dxfId="465" priority="2" stopIfTrue="1" operator="greaterThanOrEqual">
      <formula>100</formula>
    </cfRule>
    <cfRule type="cellIs" dxfId="464" priority="3" stopIfTrue="1" operator="lessThan">
      <formula>100</formula>
    </cfRule>
  </conditionalFormatting>
  <conditionalFormatting sqref="E27">
    <cfRule type="cellIs" dxfId="463" priority="4" stopIfTrue="1" operator="greaterThanOrEqual">
      <formula>100.01</formula>
    </cfRule>
    <cfRule type="cellIs" dxfId="462" priority="5" stopIfTrue="1" operator="lessThan">
      <formula>100.01</formula>
    </cfRule>
  </conditionalFormatting>
  <conditionalFormatting sqref="D14">
    <cfRule type="cellIs" dxfId="461" priority="1" stopIfTrue="1" operator="lessThan">
      <formula>1.2</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A19" zoomScale="70" zoomScaleNormal="100" zoomScaleSheetLayoutView="70" workbookViewId="0"/>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6640625" customWidth="1"/>
    <col min="9" max="9" width="11.109375" customWidth="1"/>
    <col min="10" max="12" width="11.44140625" customWidth="1"/>
    <col min="13" max="13" width="3.33203125" customWidth="1"/>
  </cols>
  <sheetData>
    <row r="1" spans="2:12" ht="15.6">
      <c r="B1" s="1" t="s">
        <v>252</v>
      </c>
    </row>
    <row r="2" spans="2:12">
      <c r="C2" s="984" t="s">
        <v>253</v>
      </c>
      <c r="D2" s="984"/>
      <c r="E2" s="984"/>
      <c r="F2" s="985" t="s">
        <v>214</v>
      </c>
      <c r="G2" s="986"/>
    </row>
    <row r="4" spans="2:12">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H27:H33 H35">
    <cfRule type="cellIs" dxfId="460" priority="2" stopIfTrue="1" operator="greaterThanOrEqual">
      <formula>100</formula>
    </cfRule>
    <cfRule type="cellIs" dxfId="459" priority="3" stopIfTrue="1" operator="lessThan">
      <formula>100</formula>
    </cfRule>
  </conditionalFormatting>
  <conditionalFormatting sqref="H34">
    <cfRule type="cellIs" dxfId="458" priority="4" stopIfTrue="1" operator="greaterThanOrEqual">
      <formula>100.01</formula>
    </cfRule>
    <cfRule type="cellIs" dxfId="457" priority="5" stopIfTrue="1" operator="lessThan">
      <formula>100.01</formula>
    </cfRule>
  </conditionalFormatting>
  <conditionalFormatting sqref="E16">
    <cfRule type="cellIs" dxfId="456" priority="1" stopIfTrue="1" operator="lessThan">
      <formula>1.2</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18" zoomScale="70" zoomScaleNormal="100" zoomScaleSheetLayoutView="70" workbookViewId="0">
      <selection activeCell="J35" sqref="J35"/>
    </sheetView>
  </sheetViews>
  <sheetFormatPr baseColWidth="10" defaultColWidth="11.44140625" defaultRowHeight="13.2"/>
  <cols>
    <col min="1" max="1" width="3.44140625" style="123" customWidth="1"/>
    <col min="2" max="2" width="45.5546875" style="123" customWidth="1"/>
    <col min="3" max="3" width="11.44140625" style="123" customWidth="1"/>
    <col min="4" max="4" width="3.5546875" style="123" customWidth="1"/>
    <col min="5" max="5" width="11.6640625" style="123" customWidth="1"/>
    <col min="6" max="6" width="15.33203125" style="123" customWidth="1"/>
    <col min="7" max="7" width="11.6640625" style="123" customWidth="1"/>
    <col min="8" max="8" width="6.6640625" style="123" customWidth="1"/>
    <col min="9" max="9" width="11.109375" style="123" customWidth="1"/>
    <col min="10" max="12" width="11.44140625" style="123" customWidth="1"/>
    <col min="13" max="13" width="3.33203125" style="123" customWidth="1"/>
    <col min="14" max="16384" width="11.44140625" style="123"/>
  </cols>
  <sheetData>
    <row r="1" spans="2:12" ht="15.6">
      <c r="B1" s="122" t="s">
        <v>280</v>
      </c>
    </row>
    <row r="2" spans="2:12">
      <c r="C2" s="987" t="s">
        <v>253</v>
      </c>
      <c r="D2" s="988"/>
      <c r="E2" s="989"/>
      <c r="F2" s="990" t="s">
        <v>214</v>
      </c>
      <c r="G2" s="991"/>
    </row>
    <row r="4" spans="2:12">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6">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6">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6">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6">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6">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H27:H33 H35">
    <cfRule type="cellIs" dxfId="455" priority="2" stopIfTrue="1" operator="greaterThanOrEqual">
      <formula>100</formula>
    </cfRule>
    <cfRule type="cellIs" dxfId="454" priority="3" stopIfTrue="1" operator="lessThan">
      <formula>100</formula>
    </cfRule>
  </conditionalFormatting>
  <conditionalFormatting sqref="H34">
    <cfRule type="cellIs" dxfId="453" priority="4" stopIfTrue="1" operator="greaterThanOrEqual">
      <formula>100.01</formula>
    </cfRule>
    <cfRule type="cellIs" dxfId="452" priority="5" stopIfTrue="1" operator="lessThan">
      <formula>100.01</formula>
    </cfRule>
  </conditionalFormatting>
  <conditionalFormatting sqref="E16">
    <cfRule type="cellIs" dxfId="451" priority="1" stopIfTrue="1" operator="lessThan">
      <formula>1.2</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zoomScale="70" zoomScaleNormal="70" zoomScaleSheetLayoutView="100" workbookViewId="0">
      <selection activeCell="E17" sqref="E17"/>
    </sheetView>
  </sheetViews>
  <sheetFormatPr baseColWidth="10" defaultColWidth="11.44140625" defaultRowHeight="13.2"/>
  <cols>
    <col min="1" max="1" width="3.44140625" style="470" customWidth="1"/>
    <col min="2" max="2" width="45.5546875" style="470" customWidth="1"/>
    <col min="3" max="3" width="11.44140625" style="470" customWidth="1"/>
    <col min="4" max="4" width="3.554687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09375" style="470" customWidth="1"/>
    <col min="12" max="12" width="3.88671875" style="470" customWidth="1"/>
    <col min="13" max="13" width="4.33203125" style="470" customWidth="1"/>
    <col min="14" max="14" width="3.33203125" style="470" bestFit="1" customWidth="1"/>
    <col min="15" max="15" width="11.44140625" style="470" customWidth="1"/>
    <col min="16" max="16" width="12.44140625" style="470" bestFit="1" customWidth="1"/>
    <col min="17" max="18" width="11.44140625" style="470" customWidth="1"/>
    <col min="19" max="19" width="11.33203125" style="470" customWidth="1"/>
    <col min="20" max="20" width="3.109375" style="470" customWidth="1"/>
    <col min="21" max="21" width="3.33203125" style="470" customWidth="1"/>
    <col min="22" max="22" width="11.44140625" style="470" customWidth="1"/>
    <col min="23" max="23" width="3.33203125" style="470" customWidth="1"/>
    <col min="24" max="26" width="11.44140625" style="470" customWidth="1"/>
    <col min="27" max="27" width="3" style="470" customWidth="1"/>
    <col min="28" max="16384" width="11.44140625" style="470"/>
  </cols>
  <sheetData>
    <row r="1" spans="2:26" ht="15.6">
      <c r="B1" s="469" t="s">
        <v>284</v>
      </c>
    </row>
    <row r="2" spans="2:26">
      <c r="C2" s="996" t="s">
        <v>253</v>
      </c>
      <c r="D2" s="996"/>
      <c r="E2" s="996"/>
      <c r="F2" s="990" t="s">
        <v>214</v>
      </c>
      <c r="G2" s="991"/>
    </row>
    <row r="4" spans="2:26">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7" t="s">
        <v>287</v>
      </c>
      <c r="P5" s="485" t="s">
        <v>258</v>
      </c>
      <c r="Q5" s="478" t="e">
        <f>F25/2000</f>
        <v>#VALUE!</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8" t="s">
        <v>289</v>
      </c>
      <c r="M6" s="494"/>
      <c r="N6" s="997"/>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999"/>
      <c r="M7" s="494"/>
      <c r="N7" s="997"/>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999"/>
      <c r="M8" s="508"/>
      <c r="N8" s="997"/>
      <c r="P8" s="509" t="s">
        <v>262</v>
      </c>
      <c r="Q8" s="504" t="e">
        <f>Q5*Q6</f>
        <v>#VALUE!</v>
      </c>
      <c r="R8" s="509" t="s">
        <v>263</v>
      </c>
      <c r="S8" s="504" t="e">
        <f>(Q5*Q6^3)/12</f>
        <v>#VALUE!</v>
      </c>
      <c r="U8" s="510"/>
      <c r="V8" s="507"/>
      <c r="W8" s="510"/>
      <c r="X8" s="511"/>
      <c r="Y8" s="512"/>
      <c r="Z8" s="513"/>
    </row>
    <row r="9" spans="2:26" ht="15.6">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999"/>
      <c r="M9" s="508"/>
      <c r="N9" s="997"/>
      <c r="P9" s="509" t="s">
        <v>264</v>
      </c>
      <c r="Q9" s="504" t="e">
        <f>Q5*Q7</f>
        <v>#VALUE!</v>
      </c>
      <c r="R9" s="509" t="s">
        <v>265</v>
      </c>
      <c r="S9" s="504" t="e">
        <f>(Q5*Q7^3)/12</f>
        <v>#VALUE!</v>
      </c>
      <c r="U9" s="514">
        <v>1</v>
      </c>
      <c r="V9" s="507"/>
      <c r="W9" s="514">
        <v>2</v>
      </c>
      <c r="X9" s="515"/>
      <c r="Y9" s="516">
        <v>4</v>
      </c>
      <c r="Z9" s="517"/>
    </row>
    <row r="10" spans="2:26" ht="15.6">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999"/>
      <c r="M10" s="508"/>
      <c r="N10" s="997"/>
      <c r="P10" s="509" t="s">
        <v>293</v>
      </c>
      <c r="Q10" s="504">
        <f>R5*R7</f>
        <v>5.0800000000000002E-5</v>
      </c>
      <c r="R10" s="509" t="s">
        <v>294</v>
      </c>
      <c r="S10" s="504">
        <f>(R5*R7^3)/12</f>
        <v>2.7311773333333335E-9</v>
      </c>
      <c r="U10" s="510"/>
      <c r="V10" s="507"/>
      <c r="W10" s="510"/>
    </row>
    <row r="11" spans="2:26" ht="15.6">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1000"/>
      <c r="M11" s="508"/>
      <c r="N11" s="997"/>
      <c r="P11" s="509" t="s">
        <v>296</v>
      </c>
      <c r="Q11" s="504">
        <f>R6*R7</f>
        <v>5.0800000000000002E-5</v>
      </c>
      <c r="R11" s="509" t="s">
        <v>297</v>
      </c>
      <c r="S11" s="504">
        <f>(R6*R7^3)/12</f>
        <v>2.7311773333333335E-9</v>
      </c>
      <c r="U11" s="510"/>
      <c r="V11" s="507"/>
      <c r="W11" s="510"/>
    </row>
    <row r="12" spans="2:26" ht="15.6">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7"/>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1001" t="s">
        <v>299</v>
      </c>
      <c r="K13" s="1001"/>
      <c r="L13" s="1001"/>
      <c r="M13" s="1001"/>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3" t="s">
        <v>260</v>
      </c>
      <c r="M15" s="994"/>
      <c r="N15" s="995"/>
      <c r="P15" s="485" t="s">
        <v>305</v>
      </c>
      <c r="Q15" s="478" t="e">
        <f>Q14</f>
        <v>#VALUE!</v>
      </c>
      <c r="R15" s="485" t="s">
        <v>306</v>
      </c>
      <c r="S15" s="499" t="e">
        <f>S11+(Q11*($Q$16-Q15)^2)</f>
        <v>#VALUE!</v>
      </c>
      <c r="U15" s="992" t="s">
        <v>307</v>
      </c>
      <c r="V15" s="992"/>
      <c r="W15" s="992"/>
      <c r="X15" s="992" t="s">
        <v>308</v>
      </c>
      <c r="Y15" s="992"/>
      <c r="Z15" s="992"/>
    </row>
    <row r="16" spans="2:26" s="478" customFormat="1" ht="12.75" customHeight="1">
      <c r="B16" s="476" t="s">
        <v>309</v>
      </c>
      <c r="E16" s="479">
        <v>388</v>
      </c>
      <c r="F16" s="499"/>
      <c r="G16" s="481"/>
      <c r="K16" s="485" t="s">
        <v>310</v>
      </c>
      <c r="L16" s="993" t="s">
        <v>260</v>
      </c>
      <c r="M16" s="994"/>
      <c r="N16" s="995"/>
      <c r="P16" s="485" t="s">
        <v>270</v>
      </c>
      <c r="Q16" s="527" t="e">
        <f>(Q8*Q12+Q9*Q13+Q10*Q14+Q11*Q15)/(Q8+Q9+Q10+Q11)</f>
        <v>#VALUE!</v>
      </c>
    </row>
    <row r="17" spans="2:19" s="478" customFormat="1" ht="12.75" customHeight="1">
      <c r="B17" s="476" t="s">
        <v>272</v>
      </c>
      <c r="C17" s="477">
        <v>2</v>
      </c>
      <c r="E17" s="479">
        <v>2.5</v>
      </c>
      <c r="G17" s="481"/>
      <c r="K17" s="485" t="s">
        <v>311</v>
      </c>
      <c r="L17" s="993" t="s">
        <v>260</v>
      </c>
      <c r="M17" s="994"/>
      <c r="N17" s="995"/>
      <c r="R17" s="485" t="s">
        <v>271</v>
      </c>
      <c r="S17" s="524" t="e">
        <f>SUM(S12:S13)</f>
        <v>#VALUE!</v>
      </c>
    </row>
    <row r="18" spans="2:19" s="478" customFormat="1" ht="12.75" customHeight="1">
      <c r="B18" s="476" t="s">
        <v>235</v>
      </c>
      <c r="C18" s="528">
        <v>25.4</v>
      </c>
      <c r="E18" s="479">
        <v>28</v>
      </c>
      <c r="G18" s="481"/>
      <c r="K18" s="485" t="s">
        <v>312</v>
      </c>
      <c r="L18" s="993" t="s">
        <v>260</v>
      </c>
      <c r="M18" s="994"/>
      <c r="N18" s="995"/>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t="e">
        <f>MIN(L15-L17,L16-L18)</f>
        <v>#VALUE!</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t="e">
        <f>(L15+L16)*0.002*0.0015*C13</f>
        <v>#VALUE!</v>
      </c>
      <c r="D39" s="504"/>
      <c r="E39" s="539" t="s">
        <v>120</v>
      </c>
      <c r="F39" s="503" t="str">
        <f>IF(F29="tubing only","",(L15+L16)*0.002*(F24/1000)*F13)</f>
        <v/>
      </c>
      <c r="G39" s="539" t="str">
        <f>IF(F2="tubing only","N/A",F39)</f>
        <v>N/A</v>
      </c>
      <c r="H39" s="540" t="str">
        <f>IF(F2="tubing only","NA",100*G39/C39)</f>
        <v>NA</v>
      </c>
      <c r="P39" s="164" t="s">
        <v>249</v>
      </c>
      <c r="Q39" s="164"/>
      <c r="R39" s="164"/>
      <c r="S39" s="164"/>
    </row>
    <row r="41" spans="2:26">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H30:H36 H38:H39">
    <cfRule type="cellIs" dxfId="450" priority="2" stopIfTrue="1" operator="greaterThanOrEqual">
      <formula>100</formula>
    </cfRule>
    <cfRule type="cellIs" dxfId="449" priority="3" stopIfTrue="1" operator="lessThan">
      <formula>100</formula>
    </cfRule>
  </conditionalFormatting>
  <conditionalFormatting sqref="H37">
    <cfRule type="cellIs" dxfId="448" priority="4" stopIfTrue="1" operator="greaterThanOrEqual">
      <formula>100.01</formula>
    </cfRule>
    <cfRule type="cellIs" dxfId="447" priority="5" stopIfTrue="1" operator="lessThan">
      <formula>100.01</formula>
    </cfRule>
  </conditionalFormatting>
  <conditionalFormatting sqref="E19">
    <cfRule type="cellIs" dxfId="446" priority="1" stopIfTrue="1" operator="lessThan">
      <formula>1.2</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30" zoomScaleNormal="100" zoomScaleSheetLayoutView="100" workbookViewId="0">
      <selection activeCell="G54" sqref="G54"/>
    </sheetView>
  </sheetViews>
  <sheetFormatPr baseColWidth="10" defaultColWidth="11.44140625" defaultRowHeight="13.2"/>
  <cols>
    <col min="1" max="1" width="3.44140625" customWidth="1"/>
    <col min="2" max="2" width="45.6640625" customWidth="1"/>
    <col min="3" max="3" width="11.44140625" customWidth="1"/>
    <col min="4" max="4" width="15.44140625" bestFit="1" customWidth="1"/>
    <col min="5" max="5" width="6.109375" customWidth="1"/>
    <col min="6" max="6" width="8.6640625" customWidth="1"/>
    <col min="7" max="7" width="10" bestFit="1" customWidth="1"/>
    <col min="8" max="15" width="11.44140625" customWidth="1"/>
    <col min="16" max="16" width="3.44140625" customWidth="1"/>
  </cols>
  <sheetData>
    <row r="1" spans="2:9" ht="15.6">
      <c r="B1" s="1" t="s">
        <v>317</v>
      </c>
    </row>
    <row r="3" spans="2:9">
      <c r="B3" s="3" t="s">
        <v>318</v>
      </c>
    </row>
    <row r="4" spans="2:9" ht="12.75" customHeight="1">
      <c r="B4" s="1003" t="s">
        <v>319</v>
      </c>
      <c r="C4" s="1004"/>
      <c r="D4" s="822">
        <v>300.2</v>
      </c>
      <c r="F4" s="730"/>
    </row>
    <row r="5" spans="2:9" ht="12.75" customHeight="1">
      <c r="B5" s="1005" t="s">
        <v>320</v>
      </c>
      <c r="C5" s="1005"/>
      <c r="D5" s="823" t="s">
        <v>495</v>
      </c>
    </row>
    <row r="7" spans="2:9">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2"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2"/>
      <c r="H20" s="1002"/>
      <c r="I20" s="1002"/>
      <c r="J20" s="1002"/>
      <c r="K20" s="1002"/>
    </row>
    <row r="21" spans="2:15">
      <c r="B21" s="374" t="s">
        <v>325</v>
      </c>
      <c r="C21" s="35">
        <v>400</v>
      </c>
      <c r="D21" s="35">
        <f>IF('T3.13 T3.5 Ft Bulkhead'!$F$2="Tubing only",'T3.13 T3.5 Ft Bulkhead'!E15,IF('T3.13 T3.5 Ft Bulkhead'!$F$2="Composite only",'T3.13 T3.5 Ft Bulkhead'!L15,'T3.13 T3.5 Ft Bulkhead'!L15))</f>
        <v>388</v>
      </c>
      <c r="F21" s="1002"/>
      <c r="G21" s="1002"/>
      <c r="H21" s="1002"/>
      <c r="I21" s="1002"/>
      <c r="J21" s="1002"/>
      <c r="K21" s="1002"/>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26">
    <cfRule type="cellIs" dxfId="445" priority="9" stopIfTrue="1" operator="greaterThan">
      <formula>$D$20</formula>
    </cfRule>
    <cfRule type="cellIs" dxfId="444" priority="154" stopIfTrue="1" operator="lessThan">
      <formula>100</formula>
    </cfRule>
  </conditionalFormatting>
  <conditionalFormatting sqref="D27">
    <cfRule type="cellIs" dxfId="443" priority="8" stopIfTrue="1" operator="greaterThan">
      <formula>$D$21</formula>
    </cfRule>
  </conditionalFormatting>
  <conditionalFormatting sqref="F20">
    <cfRule type="expression" dxfId="442" priority="158" stopIfTrue="1">
      <formula>F20="No action required"</formula>
    </cfRule>
    <cfRule type="expression" dxfId="441" priority="159" stopIfTrue="1">
      <formula>I22="T3.17.4 applies"</formula>
    </cfRule>
  </conditionalFormatting>
  <conditionalFormatting sqref="F17">
    <cfRule type="expression" dxfId="440" priority="22" stopIfTrue="1">
      <formula>F17="No action required"</formula>
    </cfRule>
    <cfRule type="expression" dxfId="439" priority="23" stopIfTrue="1">
      <formula>I25="T3.17.4 applies"</formula>
    </cfRule>
  </conditionalFormatting>
  <conditionalFormatting sqref="D4">
    <cfRule type="cellIs" dxfId="438" priority="6" stopIfTrue="1" operator="greaterThan">
      <formula>350</formula>
    </cfRule>
    <cfRule type="cellIs" dxfId="437" priority="7" stopIfTrue="1" operator="lessThan">
      <formula>130</formula>
    </cfRule>
  </conditionalFormatting>
  <conditionalFormatting sqref="D5">
    <cfRule type="cellIs" dxfId="436" priority="5" operator="equal">
      <formula>"yes"</formula>
    </cfRule>
  </conditionalFormatting>
  <conditionalFormatting sqref="D5">
    <cfRule type="cellIs" dxfId="435" priority="4" operator="equal">
      <formula>"No"</formula>
    </cfRule>
  </conditionalFormatting>
  <conditionalFormatting sqref="D5">
    <cfRule type="cellIs" dxfId="434" priority="3" operator="equal">
      <formula>"N/A"</formula>
    </cfRule>
  </conditionalFormatting>
  <conditionalFormatting sqref="D4">
    <cfRule type="cellIs" dxfId="433" priority="2" operator="between">
      <formula>100</formula>
      <formula>350</formula>
    </cfRule>
  </conditionalFormatting>
  <conditionalFormatting sqref="D27">
    <cfRule type="cellIs" dxfId="432" priority="1" operator="lessThan">
      <formula>200</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A33" zoomScaleNormal="100" zoomScaleSheetLayoutView="100" workbookViewId="0">
      <selection activeCell="M35" sqref="M35"/>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8.5546875" bestFit="1" customWidth="1"/>
    <col min="12" max="12" width="11.109375" bestFit="1" customWidth="1"/>
    <col min="13" max="15" width="11.44140625" customWidth="1"/>
    <col min="16" max="16" width="3.44140625" customWidth="1"/>
  </cols>
  <sheetData>
    <row r="1" spans="2:15" ht="15.6">
      <c r="B1" s="1" t="s">
        <v>331</v>
      </c>
    </row>
    <row r="2" spans="2:15">
      <c r="C2" s="984" t="s">
        <v>253</v>
      </c>
      <c r="D2" s="984"/>
      <c r="E2" s="984"/>
      <c r="F2" s="985" t="s">
        <v>214</v>
      </c>
      <c r="G2" s="986"/>
    </row>
    <row r="4" spans="2:15" ht="26.4">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1.2</v>
      </c>
      <c r="E16" s="17">
        <v>1.2</v>
      </c>
      <c r="F16" s="17">
        <v>1.2</v>
      </c>
      <c r="G16" s="17">
        <v>1.2</v>
      </c>
      <c r="H16" s="69"/>
      <c r="J16" s="69"/>
      <c r="L16" s="123"/>
      <c r="O16" s="43"/>
    </row>
    <row r="17" spans="2:19">
      <c r="E17" s="39"/>
      <c r="F17" s="78" t="s">
        <v>336</v>
      </c>
      <c r="G17" s="49" t="str">
        <f>IF(AND(K27&gt;=100,F2="tubing only",NOT(OR(E18="NO",F18="NO",G18="NO"))),"YES","NO")</f>
        <v>YES</v>
      </c>
      <c r="H17" s="69"/>
      <c r="J17" s="69"/>
      <c r="O17" s="43"/>
    </row>
    <row r="18" spans="2:19" ht="12.75" customHeight="1">
      <c r="B18" s="42" t="s">
        <v>273</v>
      </c>
      <c r="E18" s="117" t="str">
        <f>IF(E14=0,"N/A",IF(AND(E5=$C$5,E15&gt;=25.4,E16&gt;=1.2),"YES","NO"))</f>
        <v>YES</v>
      </c>
      <c r="F18" s="118" t="str">
        <f>IF(F14=0,"N/A",IF(AND(F5=$C$5,F15&gt;=25.4,F16&gt;=1.2),"YES","NO"))</f>
        <v>N/A</v>
      </c>
      <c r="G18" s="119" t="str">
        <f>IF(G14=0,"N/A",IF(AND(G5=$C$5,G15&gt;=25.4,G16&gt;=1.2),"YES","NO"))</f>
        <v>N/A</v>
      </c>
      <c r="H18" s="69"/>
      <c r="I18" s="137">
        <f>I19+I20+I21</f>
        <v>24</v>
      </c>
      <c r="J18" s="69"/>
      <c r="O18" s="43"/>
    </row>
    <row r="19" spans="2:19">
      <c r="B19" s="42" t="s">
        <v>274</v>
      </c>
      <c r="E19" s="1006"/>
      <c r="F19" s="1007"/>
      <c r="G19" s="1008"/>
      <c r="H19" s="69"/>
      <c r="I19" s="38">
        <v>20</v>
      </c>
      <c r="J19" s="69"/>
      <c r="O19" s="43"/>
    </row>
    <row r="20" spans="2:19">
      <c r="B20" s="42" t="s">
        <v>275</v>
      </c>
      <c r="E20" s="1006"/>
      <c r="F20" s="1007"/>
      <c r="G20" s="1008"/>
      <c r="H20" s="69"/>
      <c r="I20" s="38">
        <v>2</v>
      </c>
      <c r="J20" s="69"/>
      <c r="O20" s="43"/>
    </row>
    <row r="21" spans="2:19">
      <c r="B21" s="374" t="s">
        <v>276</v>
      </c>
      <c r="E21" s="1006"/>
      <c r="F21" s="1007"/>
      <c r="G21" s="1008"/>
      <c r="H21" s="69"/>
      <c r="I21" s="38">
        <v>2</v>
      </c>
      <c r="J21" s="69"/>
      <c r="O21" s="43"/>
    </row>
    <row r="22" spans="2:19">
      <c r="B22" s="42" t="s">
        <v>277</v>
      </c>
      <c r="E22" s="1006"/>
      <c r="F22" s="1007"/>
      <c r="G22" s="1008"/>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19">
      <c r="B25" s="42" t="s">
        <v>238</v>
      </c>
      <c r="C25" s="35">
        <f>C16/1000</f>
        <v>1.1999999999999999E-3</v>
      </c>
      <c r="E25" s="35">
        <f>IF(E24="no tubes","",IF(E14=0,"",E16/1000))</f>
        <v>1.1999999999999999E-3</v>
      </c>
      <c r="F25" s="35" t="str">
        <f>IF(F24="no tubes","",IF(F14=0,"",F16/1000))</f>
        <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6.6959174567999997E-9</v>
      </c>
      <c r="F26" s="36" t="str">
        <f>IF(F24="no tubes","",IF(F14=0,"",IF(F6="Round",(((F24)^4-((F24-2*F25))^4)*3.142/64),IF(F6="Square",(((F24)^4-((F24-2*F25))^4)/12),""))))</f>
        <v/>
      </c>
      <c r="G26" s="36" t="str">
        <f>IF(G24="no tubes","",IF(G14=0,"",IF(G6="Round",(((G24)^4-((G24-2*G25))^4)*3.142/64),IF(G6="Square",(((G24)^4-((G24-2*G25))^4)/12),""))))</f>
        <v/>
      </c>
      <c r="H26" s="36">
        <f>IF(SUM(E26:G26)&gt;0,SUM(E26:G26),"")</f>
        <v>6.6959174567999997E-9</v>
      </c>
      <c r="I26" s="73" t="str">
        <f>IF($F$2="Tubing only","Tubing Only",O12)</f>
        <v>Tubing Only</v>
      </c>
      <c r="J26" s="36">
        <f t="shared" ref="J26:J35" si="0">IF($F$2="Tubing only",H26,IF($F$2="Composite only",I26,IF($F$2="Tubes + Composite",H26+I26,"No Type Selected")))</f>
        <v>6.6959174567999997E-9</v>
      </c>
      <c r="O26" s="43"/>
      <c r="R26" s="43"/>
      <c r="S26" s="44"/>
    </row>
    <row r="27" spans="2:19">
      <c r="B27" s="42" t="s">
        <v>240</v>
      </c>
      <c r="C27" s="36">
        <f>C8*C26*C14</f>
        <v>4017.5504740799997</v>
      </c>
      <c r="D27" s="43"/>
      <c r="E27" s="36">
        <f>IF(E24="no tubes","",IF(E14=0,"",E8*E26*E14))</f>
        <v>4017.5504740799997</v>
      </c>
      <c r="F27" s="36" t="str">
        <f>IF(F24="no tubes","",IF(F14=0,"",F8*F26*F14))</f>
        <v/>
      </c>
      <c r="G27" s="36" t="str">
        <f>IF(G24="no tubes","",IF(G14=0,"",G8*G26*G14))</f>
        <v/>
      </c>
      <c r="H27" s="36">
        <f t="shared" ref="H27:H35" si="1">IF(SUM(E27:G27)&gt;0,SUM(E27:G27),"")</f>
        <v>4017.5504740799997</v>
      </c>
      <c r="I27" s="73" t="str">
        <f>IF(I26="Tubing Only","",I26*I8)</f>
        <v/>
      </c>
      <c r="J27" s="36">
        <f t="shared" si="0"/>
        <v>4017.5504740799997</v>
      </c>
      <c r="K27" s="40">
        <f>IF(AND(NOT($F$2="tubes + composite"),OR(AND($G$14&gt;0,G27&lt;(C27/3)),AND($F$14&gt;0,F27&lt;(C27/3)),AND($E$14&gt;0,E27&lt;(C27/3)))),0,100*J27/C27)</f>
        <v>100</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273.69555198074272</v>
      </c>
      <c r="F28" s="37" t="str">
        <f>IF(F24="no tubes","",IF(F14=0,"",IF(F6="Round",F14*((F15^2-(F15-2*F16)^2)*PI()/4),IF(F6="Square",F14*(F15^2-(F15-2*F16)^2),""))))</f>
        <v/>
      </c>
      <c r="G28" s="37" t="str">
        <f>IF(G24="no tubes","",IF(G14=0,"",IF(G6="Round",G14*((G15^2-(G15-2*G16)^2)*PI()/4),IF(G6="Square",G14*(G15^2-(G15-2*G16)^2),""))))</f>
        <v/>
      </c>
      <c r="H28" s="37">
        <f t="shared" si="1"/>
        <v>273.69555198074272</v>
      </c>
      <c r="I28" s="37" t="str">
        <f>IF(I26="Tubing Only","",(I18-I19)*I22)</f>
        <v/>
      </c>
      <c r="J28" s="37">
        <f t="shared" si="0"/>
        <v>273.69555198074272</v>
      </c>
      <c r="K28" s="40">
        <f>IF(AND($F$2="tubing only",AND(E5="steel",F5="steel",G5="steel")),100*J28/C28,"NA")</f>
        <v>100</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83477.143354126529</v>
      </c>
      <c r="F29" s="36" t="str">
        <f>IF(F24="no tubes","",IF(F14=0,"",F$28*F9/1000000))</f>
        <v/>
      </c>
      <c r="G29" s="36" t="str">
        <f>IF(G24="no tubes","",IF(G14=0,"",G$28*G9/1000000))</f>
        <v/>
      </c>
      <c r="H29" s="36">
        <f t="shared" si="1"/>
        <v>83477.143354126529</v>
      </c>
      <c r="I29" s="36" t="str">
        <f>IF(I26="Tubing Only","",I28*I9/1000000)</f>
        <v/>
      </c>
      <c r="J29" s="36">
        <f t="shared" si="0"/>
        <v>83477.143354126529</v>
      </c>
      <c r="K29" s="40">
        <f>IF(AND($F$2="tubing only",OR($E$29&lt;(E14/$C$14)*$C$29,$F$29&lt;(F14/$C$14)*$C$29,$G$29&lt;(G14/$C$14)*$C$29)),0,100*J29/C29)</f>
        <v>100</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99898.876472971097</v>
      </c>
      <c r="F30" s="36" t="str">
        <f>IF(F24="no tubes","",IF(F14=0,"",F$28*F10/1000000))</f>
        <v/>
      </c>
      <c r="G30" s="36" t="str">
        <f>IF(G24="no tubes","",IF(G14=0,"",G$28*G10/1000000))</f>
        <v/>
      </c>
      <c r="H30" s="36">
        <f t="shared" si="1"/>
        <v>99898.876472971097</v>
      </c>
      <c r="I30" s="36" t="str">
        <f>IF(I26="Tubing Only","",I28*I10/1000000)</f>
        <v/>
      </c>
      <c r="J30" s="36">
        <f t="shared" si="0"/>
        <v>99898.876472971097</v>
      </c>
      <c r="K30" s="40">
        <f>IF(AND($F$2="tubing only",OR($E$30&lt;(E14/$C$14)*$C$30,$F$30&lt;(F14/$C$14)*$C$30,$G$30&lt;(G14/$C$14)*$C$30)),0,100*J30/C30)</f>
        <v>100.00000000000001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49265.199356533689</v>
      </c>
      <c r="F31" s="36" t="str">
        <f>IF(F24="no tubes","",IF(F14=0,"",F$28*F11/1000000))</f>
        <v/>
      </c>
      <c r="G31" s="36" t="str">
        <f>IF(G24="no tubes","",IF(G14=0,"",G$28*G11/1000000))</f>
        <v/>
      </c>
      <c r="H31" s="36">
        <f t="shared" si="1"/>
        <v>49265.199356533689</v>
      </c>
      <c r="I31" s="36" t="str">
        <f>IF(I26="Tubing Only","",I28*I9/1000000)</f>
        <v/>
      </c>
      <c r="J31" s="36">
        <f t="shared" si="0"/>
        <v>49265.199356533689</v>
      </c>
      <c r="K31" s="40">
        <f>IF(AND($F$2="tubing only",OR($E$31&lt;(E14/$C$14)*$C$31,$F$31&lt;(F14/$C$14)*$C$31,$G$31&lt;(G14/$C$14)*$C$31)),0,100*J31/C31)</f>
        <v>100</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82108.66559422281</v>
      </c>
      <c r="F32" s="36" t="str">
        <f>IF(F24="no tubes","",IF(F14=0,"",F$28*F12/1000000))</f>
        <v/>
      </c>
      <c r="G32" s="36" t="str">
        <f>IF(G24="no tubes","",IF(G14=0,"",G$28*G12/1000000))</f>
        <v/>
      </c>
      <c r="H32" s="36">
        <f t="shared" si="1"/>
        <v>82108.66559422281</v>
      </c>
      <c r="I32" s="36" t="str">
        <f>IF(I26="tubing only","",I28*I10/1000000)</f>
        <v/>
      </c>
      <c r="J32" s="36">
        <f t="shared" si="0"/>
        <v>82108.66559422281</v>
      </c>
      <c r="K32" s="40">
        <f>IF(AND($F$2="tubing only",OR($E$32&lt;(E14/$C$14)*$C$32,$F$32&lt;(F14/$C$14)*$C$32,$G$32&lt;(G14/$C$14)*$C$32)),0,100*J32/C32)</f>
        <v>100</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2309.3006662034645</v>
      </c>
      <c r="F33" s="36" t="str">
        <f>IF(F24="no tubes","",IF(F14=0,"",F14*4*F10*F26/(0.5*F24*1)))</f>
        <v/>
      </c>
      <c r="G33" s="36" t="str">
        <f>IF(G24="no tubes","",IF(G14=0,"",G14*4*G10*G26/(0.5*G24*1)))</f>
        <v/>
      </c>
      <c r="H33" s="36">
        <f t="shared" si="1"/>
        <v>2309.3006662034645</v>
      </c>
      <c r="I33" s="36" t="str">
        <f>IF(I26="tubing only","",4*I10*(I26*2/(I18/1000))/1)</f>
        <v/>
      </c>
      <c r="J33" s="36">
        <f t="shared" si="0"/>
        <v>2309.3006662034645</v>
      </c>
      <c r="K33" s="40">
        <f>IF(AND($F$2="tubing only",OR($E$33&lt;(E14/$C$14)*$C$33,$F$33&lt;(F14/$C$14)*$C$33,$G$33&lt;(G14/$C$14)*$C$33)),0,100*J33/C33)</f>
        <v>100</v>
      </c>
      <c r="L33" t="str">
        <f>IF((99.9&gt;K33)*AND(K33&gt;33.3),"For Composites Only, Additional Proof Required","")</f>
        <v/>
      </c>
    </row>
    <row r="34" spans="2:15">
      <c r="B34" s="42" t="s">
        <v>247</v>
      </c>
      <c r="C34" s="36">
        <f>IF(C14=0,"",C33*1^3/(48*C27))</f>
        <v>1.1975065616797899E-2</v>
      </c>
      <c r="E34" s="36">
        <f>IF(E24="no tubes","",IF(E14=0,"",($C$33*1^3/(48*E27))))</f>
        <v>1.1975065616797899E-2</v>
      </c>
      <c r="F34" s="36" t="str">
        <f>IF(F24="no tubes","",IF(F14=0,"",($C$33*1^3/(48*F27))))</f>
        <v/>
      </c>
      <c r="G34" s="36" t="str">
        <f>IF(G24="no tubes","",IF(G14=0,"",($C$33*1^3/(48*G27))))</f>
        <v/>
      </c>
      <c r="H34" s="36">
        <f>IF(F2="composite only","",$C$33*1^3/(48*H27))</f>
        <v>1.1975065616797899E-2</v>
      </c>
      <c r="I34" s="36" t="str">
        <f>IF(NOT($F$2="tubing only"),$C$33*1^3/(48*I27),"")</f>
        <v/>
      </c>
      <c r="J34" s="36">
        <f>IF($F$2="Tubing only",H34,IF($F$2="Composite only",I34,IF($F$2="Tubes + Composite",$C$33*1^3/(48*J27),"No Type Selected")))</f>
        <v>1.1975065616797899E-2</v>
      </c>
      <c r="K34" s="40">
        <f>IF(AND($F$2="tubing only",J34&gt;1.05*C34),101,100*J34/C34)</f>
        <v>100</v>
      </c>
      <c r="L34" t="str">
        <f>IF((100.1&lt;K34)*AND(K34&lt;300.1),"For Composites Only, Additional Proof Required","")</f>
        <v/>
      </c>
    </row>
    <row r="35" spans="2:15">
      <c r="B35" s="42" t="s">
        <v>248</v>
      </c>
      <c r="C35" s="36">
        <f>0.5*C33*(C33*1^3/(48*C27))</f>
        <v>13.827013503350795</v>
      </c>
      <c r="E35" s="36">
        <f>IF(E24="no tubes","",0.5*E33*(E33*1^3/(48*E27)))</f>
        <v>13.827013503350795</v>
      </c>
      <c r="F35" s="36" t="str">
        <f>IF(F24="no tubes","",0.5*F33*(F33*1^3/(48*F27)))</f>
        <v/>
      </c>
      <c r="G35" s="36" t="str">
        <f>IF(G24="no tubes","",0.5*G33*(G33*1^3/(48*G27)))</f>
        <v/>
      </c>
      <c r="H35" s="36">
        <f t="shared" si="1"/>
        <v>13.827013503350795</v>
      </c>
      <c r="I35" s="36" t="str">
        <f>IF(I26="tubing only","",0.5*I33*(I33*1^3/(48*I27)))</f>
        <v/>
      </c>
      <c r="J35" s="36">
        <f t="shared" si="0"/>
        <v>13.827013503350795</v>
      </c>
      <c r="K35" s="40">
        <f>IF(AND($F$2="tubing only",OR($E$36&lt;$C$36,$F$36&lt;$C$36,$G$36&lt;$C$36)),0,100*J35/C35)</f>
        <v>100</v>
      </c>
      <c r="L35" t="str">
        <f>IF((99.9&gt;K35)*AND(K35&gt;33.3),"For Composites Only, Additional Proof Required","")</f>
        <v/>
      </c>
      <c r="M35" s="164" t="s">
        <v>249</v>
      </c>
      <c r="N35" s="164"/>
    </row>
    <row r="36" spans="2:15">
      <c r="C36" s="326">
        <f>0.99*C27/C14</f>
        <v>1325.7916564463999</v>
      </c>
      <c r="D36" s="50"/>
      <c r="E36" s="326">
        <f>IF(AND($F$2="tubing only",E14&gt;0),E27/E14,9E+99)</f>
        <v>1339.1834913599998</v>
      </c>
      <c r="F36" s="326">
        <f>IF(AND($F$2="tubing only",F14&gt;0),F27/F14,9E+99)</f>
        <v>8.9999999999999999E+99</v>
      </c>
      <c r="G36" s="326">
        <f>IF(AND($F$2="tubing only",G14&gt;0),G27/G14,9E+99)</f>
        <v>8.9999999999999999E+99</v>
      </c>
      <c r="H36" s="553"/>
      <c r="O36" s="164"/>
    </row>
    <row r="37" spans="2: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K28:K32">
    <cfRule type="cellIs" dxfId="431" priority="44" stopIfTrue="1" operator="greaterThanOrEqual">
      <formula>100</formula>
    </cfRule>
    <cfRule type="cellIs" dxfId="430" priority="45" stopIfTrue="1" operator="lessThan">
      <formula>100</formula>
    </cfRule>
  </conditionalFormatting>
  <conditionalFormatting sqref="K34">
    <cfRule type="cellIs" dxfId="429" priority="8" stopIfTrue="1" operator="between">
      <formula>100.1</formula>
      <formula>300</formula>
    </cfRule>
    <cfRule type="cellIs" dxfId="428" priority="46" stopIfTrue="1" operator="greaterThan">
      <formula>300</formula>
    </cfRule>
    <cfRule type="cellIs" dxfId="427" priority="47" stopIfTrue="1" operator="lessThanOrEqual">
      <formula>100</formula>
    </cfRule>
  </conditionalFormatting>
  <conditionalFormatting sqref="K27">
    <cfRule type="cellIs" dxfId="426" priority="48" stopIfTrue="1" operator="greaterThanOrEqual">
      <formula>100</formula>
    </cfRule>
    <cfRule type="cellIs" dxfId="425" priority="49" stopIfTrue="1" operator="lessThan">
      <formula>33.3</formula>
    </cfRule>
    <cfRule type="cellIs" dxfId="424" priority="50" stopIfTrue="1" operator="between">
      <formula>33.3</formula>
      <formula>100</formula>
    </cfRule>
  </conditionalFormatting>
  <conditionalFormatting sqref="E27:E33 E35">
    <cfRule type="cellIs" dxfId="423" priority="36" stopIfTrue="1" operator="lessThan">
      <formula>0.95*$C27*(E$14/$C$14)</formula>
    </cfRule>
  </conditionalFormatting>
  <conditionalFormatting sqref="K33">
    <cfRule type="cellIs" dxfId="422" priority="15" stopIfTrue="1" operator="greaterThanOrEqual">
      <formula>100</formula>
    </cfRule>
    <cfRule type="cellIs" dxfId="421" priority="16" stopIfTrue="1" operator="lessThan">
      <formula>33.3</formula>
    </cfRule>
    <cfRule type="cellIs" dxfId="420" priority="17" stopIfTrue="1" operator="between">
      <formula>33.3</formula>
      <formula>100</formula>
    </cfRule>
  </conditionalFormatting>
  <conditionalFormatting sqref="K35">
    <cfRule type="cellIs" dxfId="419" priority="9" stopIfTrue="1" operator="greaterThanOrEqual">
      <formula>100</formula>
    </cfRule>
    <cfRule type="cellIs" dxfId="418" priority="10" stopIfTrue="1" operator="lessThan">
      <formula>33.3</formula>
    </cfRule>
    <cfRule type="cellIs" dxfId="417" priority="11" stopIfTrue="1" operator="between">
      <formula>33.3</formula>
      <formula>100</formula>
    </cfRule>
  </conditionalFormatting>
  <conditionalFormatting sqref="F27:F33">
    <cfRule type="cellIs" dxfId="416" priority="6" stopIfTrue="1" operator="lessThan">
      <formula>0.95*$C27*(F$14/$C$14)</formula>
    </cfRule>
  </conditionalFormatting>
  <conditionalFormatting sqref="G27:G33">
    <cfRule type="cellIs" dxfId="415" priority="5" stopIfTrue="1" operator="lessThan">
      <formula>0.95*$C27*(G$14/$C$14)</formula>
    </cfRule>
  </conditionalFormatting>
  <conditionalFormatting sqref="F35">
    <cfRule type="cellIs" dxfId="414" priority="4" stopIfTrue="1" operator="lessThan">
      <formula>0.95*$C35*(F$14/$C$14)</formula>
    </cfRule>
  </conditionalFormatting>
  <conditionalFormatting sqref="G35">
    <cfRule type="cellIs" dxfId="413" priority="3" stopIfTrue="1" operator="lessThan">
      <formula>0.95*$C35*(G$14/$C$14)</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zoomScale="70" zoomScaleNormal="100" zoomScaleSheetLayoutView="7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339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925</v>
      </c>
      <c r="F13" s="180" t="s">
        <v>120</v>
      </c>
      <c r="G13" s="180" t="s">
        <v>120</v>
      </c>
      <c r="H13" s="69"/>
      <c r="I13" s="67"/>
      <c r="K13" s="69"/>
      <c r="P13" s="43"/>
    </row>
    <row r="14" spans="2:16">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L28:L33">
    <cfRule type="cellIs" dxfId="412" priority="29" stopIfTrue="1" operator="greaterThanOrEqual">
      <formula>100</formula>
    </cfRule>
    <cfRule type="cellIs" dxfId="411" priority="30" stopIfTrue="1" operator="lessThan">
      <formula>100</formula>
    </cfRule>
  </conditionalFormatting>
  <conditionalFormatting sqref="L34">
    <cfRule type="cellIs" dxfId="410" priority="7" stopIfTrue="1" operator="equal">
      <formula>"NA"</formula>
    </cfRule>
    <cfRule type="cellIs" dxfId="409" priority="20" stopIfTrue="1" operator="between">
      <formula>100.1</formula>
      <formula>200</formula>
    </cfRule>
    <cfRule type="cellIs" dxfId="408" priority="31" stopIfTrue="1" operator="greaterThan">
      <formula>200</formula>
    </cfRule>
    <cfRule type="cellIs" dxfId="407" priority="32" stopIfTrue="1" operator="lessThanOrEqual">
      <formula>100</formula>
    </cfRule>
  </conditionalFormatting>
  <conditionalFormatting sqref="L27">
    <cfRule type="cellIs" dxfId="406" priority="33" stopIfTrue="1" operator="greaterThanOrEqual">
      <formula>100</formula>
    </cfRule>
    <cfRule type="cellIs" dxfId="405" priority="34" stopIfTrue="1" operator="lessThan">
      <formula>50</formula>
    </cfRule>
    <cfRule type="cellIs" dxfId="404" priority="35" stopIfTrue="1" operator="between">
      <formula>50</formula>
      <formula>100</formula>
    </cfRule>
  </conditionalFormatting>
  <conditionalFormatting sqref="E27:E33 E35">
    <cfRule type="cellIs" dxfId="403" priority="19" stopIfTrue="1" operator="lessThan">
      <formula>0.95*$C27*(E$14/$C$14)</formula>
    </cfRule>
  </conditionalFormatting>
  <conditionalFormatting sqref="F27:F33">
    <cfRule type="cellIs" dxfId="402" priority="18" stopIfTrue="1" operator="lessThan">
      <formula>0.95*$C27*(F$14/$C$14)</formula>
    </cfRule>
  </conditionalFormatting>
  <conditionalFormatting sqref="G27:G33">
    <cfRule type="cellIs" dxfId="401" priority="17" stopIfTrue="1" operator="lessThan">
      <formula>0.95*$C27*(G$14/$C$14)</formula>
    </cfRule>
  </conditionalFormatting>
  <conditionalFormatting sqref="F35">
    <cfRule type="cellIs" dxfId="400" priority="16" stopIfTrue="1" operator="lessThan">
      <formula>0.95*$C35*(F$14/$C$14)</formula>
    </cfRule>
  </conditionalFormatting>
  <conditionalFormatting sqref="G35">
    <cfRule type="cellIs" dxfId="399" priority="15" stopIfTrue="1" operator="lessThan">
      <formula>0.95*$C35*(G$14/$C$14)</formula>
    </cfRule>
  </conditionalFormatting>
  <conditionalFormatting sqref="L35">
    <cfRule type="cellIs" dxfId="398" priority="11" stopIfTrue="1" operator="greaterThanOrEqual">
      <formula>100</formula>
    </cfRule>
    <cfRule type="cellIs" dxfId="397" priority="12" stopIfTrue="1" operator="lessThan">
      <formula>100</formula>
    </cfRule>
  </conditionalFormatting>
  <conditionalFormatting sqref="J27">
    <cfRule type="cellIs" dxfId="396" priority="9" stopIfTrue="1" operator="lessThan">
      <formula>$C$27/3</formula>
    </cfRule>
  </conditionalFormatting>
  <conditionalFormatting sqref="I22">
    <cfRule type="cellIs" dxfId="395" priority="5" stopIfTrue="1" operator="greaterThan">
      <formula>320</formula>
    </cfRule>
    <cfRule type="cellIs" dxfId="394" priority="6" stopIfTrue="1" operator="greaterThan">
      <formula>320</formula>
    </cfRule>
  </conditionalFormatting>
  <conditionalFormatting sqref="E16">
    <cfRule type="cellIs" dxfId="393" priority="4" stopIfTrue="1" operator="lessThan">
      <formula>1.2</formula>
    </cfRule>
  </conditionalFormatting>
  <conditionalFormatting sqref="F16:G16">
    <cfRule type="cellIs" dxfId="392" priority="3" stopIfTrue="1" operator="lessThan">
      <formula>1.2</formula>
    </cfRule>
  </conditionalFormatting>
  <conditionalFormatting sqref="I27">
    <cfRule type="cellIs" dxfId="391" priority="1" stopIfTrue="1" operator="lessThan">
      <formula>$C$27*(2/3)</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B39" sqref="B39"/>
    </sheetView>
  </sheetViews>
  <sheetFormatPr baseColWidth="10" defaultColWidth="11.44140625" defaultRowHeight="13.2"/>
  <cols>
    <col min="1" max="1" width="3.44140625" customWidth="1"/>
    <col min="2" max="2" width="45.5546875" customWidth="1"/>
    <col min="3" max="3" width="11.44140625" customWidth="1"/>
    <col min="4" max="4" width="3.5546875" customWidth="1"/>
    <col min="5" max="5" width="11.6640625" customWidth="1"/>
    <col min="6" max="6" width="15.33203125" customWidth="1"/>
    <col min="7" max="7" width="11.6640625" customWidth="1"/>
    <col min="8" max="8" width="6.88671875" customWidth="1"/>
    <col min="9" max="9" width="8.6640625" customWidth="1"/>
    <col min="10" max="12" width="11.44140625" customWidth="1"/>
    <col min="13" max="13" width="3.5546875" customWidth="1"/>
  </cols>
  <sheetData>
    <row r="1" spans="2:12" ht="15.6">
      <c r="B1" s="1" t="s">
        <v>348</v>
      </c>
    </row>
    <row r="2" spans="2:12">
      <c r="C2" s="1009" t="s">
        <v>253</v>
      </c>
      <c r="D2" s="1010"/>
      <c r="E2" s="1011"/>
      <c r="F2" s="985" t="s">
        <v>214</v>
      </c>
      <c r="G2" s="986"/>
    </row>
    <row r="4" spans="2:12">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6">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6">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6">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6">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6">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34">
    <cfRule type="cellIs" dxfId="390" priority="1" stopIfTrue="1" operator="greaterThanOrEqual">
      <formula>100.01</formula>
    </cfRule>
    <cfRule type="cellIs" dxfId="389" priority="2" stopIfTrue="1" operator="lessThan">
      <formula>100.01</formula>
    </cfRule>
  </conditionalFormatting>
  <conditionalFormatting sqref="H27:H28">
    <cfRule type="cellIs" dxfId="388" priority="3" stopIfTrue="1" operator="greaterThanOrEqual">
      <formula>100</formula>
    </cfRule>
    <cfRule type="cellIs" dxfId="387" priority="4" stopIfTrue="1" operator="lessThan">
      <formula>100</formula>
    </cfRule>
  </conditionalFormatting>
  <conditionalFormatting sqref="H29:H33 H35">
    <cfRule type="cellIs" dxfId="386" priority="5" stopIfTrue="1" operator="greaterThan">
      <formula>99.9</formula>
    </cfRule>
    <cfRule type="cellIs" dxfId="385" priority="6" stopIfTrue="1" operator="lessThan">
      <formula>99.9</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4" zoomScale="70" zoomScaleNormal="100" zoomScaleSheetLayoutView="70" workbookViewId="0"/>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349</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84" priority="16" stopIfTrue="1" operator="greaterThanOrEqual">
      <formula>100</formula>
    </cfRule>
    <cfRule type="cellIs" dxfId="383" priority="17" stopIfTrue="1" operator="lessThan">
      <formula>100</formula>
    </cfRule>
  </conditionalFormatting>
  <conditionalFormatting sqref="L34">
    <cfRule type="cellIs" dxfId="382" priority="6" stopIfTrue="1" operator="equal">
      <formula>"NA"</formula>
    </cfRule>
    <cfRule type="cellIs" dxfId="381" priority="15" stopIfTrue="1" operator="between">
      <formula>100.1</formula>
      <formula>200</formula>
    </cfRule>
    <cfRule type="cellIs" dxfId="380" priority="18" stopIfTrue="1" operator="greaterThan">
      <formula>200</formula>
    </cfRule>
    <cfRule type="cellIs" dxfId="379" priority="19" stopIfTrue="1" operator="lessThanOrEqual">
      <formula>100</formula>
    </cfRule>
  </conditionalFormatting>
  <conditionalFormatting sqref="L27">
    <cfRule type="cellIs" dxfId="378" priority="20" stopIfTrue="1" operator="greaterThanOrEqual">
      <formula>100</formula>
    </cfRule>
    <cfRule type="cellIs" dxfId="377" priority="21" stopIfTrue="1" operator="lessThan">
      <formula>50</formula>
    </cfRule>
    <cfRule type="cellIs" dxfId="376" priority="22" stopIfTrue="1" operator="between">
      <formula>50</formula>
      <formula>100</formula>
    </cfRule>
  </conditionalFormatting>
  <conditionalFormatting sqref="E27:E33 E35">
    <cfRule type="cellIs" dxfId="375" priority="14" stopIfTrue="1" operator="lessThan">
      <formula>0.95*$C27*(E$14/$C$14)</formula>
    </cfRule>
  </conditionalFormatting>
  <conditionalFormatting sqref="F27:F33">
    <cfRule type="cellIs" dxfId="374" priority="13" stopIfTrue="1" operator="lessThan">
      <formula>0.95*$C27*(F$14/$C$14)</formula>
    </cfRule>
  </conditionalFormatting>
  <conditionalFormatting sqref="G27:G33">
    <cfRule type="cellIs" dxfId="373" priority="12" stopIfTrue="1" operator="lessThan">
      <formula>0.95*$C27*(G$14/$C$14)</formula>
    </cfRule>
  </conditionalFormatting>
  <conditionalFormatting sqref="F35">
    <cfRule type="cellIs" dxfId="372" priority="11" stopIfTrue="1" operator="lessThan">
      <formula>0.95*$C35*(F$14/$C$14)</formula>
    </cfRule>
  </conditionalFormatting>
  <conditionalFormatting sqref="G35">
    <cfRule type="cellIs" dxfId="371" priority="10" stopIfTrue="1" operator="lessThan">
      <formula>0.95*$C35*(G$14/$C$14)</formula>
    </cfRule>
  </conditionalFormatting>
  <conditionalFormatting sqref="L35">
    <cfRule type="cellIs" dxfId="370" priority="8" stopIfTrue="1" operator="greaterThanOrEqual">
      <formula>100</formula>
    </cfRule>
    <cfRule type="cellIs" dxfId="369" priority="9" stopIfTrue="1" operator="lessThan">
      <formula>100</formula>
    </cfRule>
  </conditionalFormatting>
  <conditionalFormatting sqref="J27">
    <cfRule type="cellIs" dxfId="368" priority="7" stopIfTrue="1" operator="lessThan">
      <formula>$C$27/3</formula>
    </cfRule>
  </conditionalFormatting>
  <conditionalFormatting sqref="I22">
    <cfRule type="cellIs" dxfId="367" priority="4" stopIfTrue="1" operator="greaterThan">
      <formula>320</formula>
    </cfRule>
    <cfRule type="cellIs" dxfId="366" priority="5" stopIfTrue="1" operator="greaterThan">
      <formula>320</formula>
    </cfRule>
  </conditionalFormatting>
  <conditionalFormatting sqref="E16">
    <cfRule type="cellIs" dxfId="365" priority="3" stopIfTrue="1" operator="lessThan">
      <formula>1.2</formula>
    </cfRule>
  </conditionalFormatting>
  <conditionalFormatting sqref="F16:G16">
    <cfRule type="cellIs" dxfId="364" priority="2" stopIfTrue="1" operator="lessThan">
      <formula>1.2</formula>
    </cfRule>
  </conditionalFormatting>
  <conditionalFormatting sqref="I27">
    <cfRule type="cellIs" dxfId="363" priority="1" stopIfTrue="1" operator="lessThan">
      <formula>$C$27*(2/3)</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view="pageBreakPreview" topLeftCell="B1" zoomScaleNormal="100" zoomScaleSheetLayoutView="100" workbookViewId="0">
      <selection activeCell="J40" sqref="J40"/>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5.6640625" customWidth="1"/>
    <col min="10" max="10" width="16" bestFit="1" customWidth="1"/>
    <col min="11" max="11" width="11.6640625" customWidth="1"/>
    <col min="12" max="12" width="6.6640625" customWidth="1"/>
    <col min="13" max="13" width="11.109375" bestFit="1" customWidth="1"/>
    <col min="14" max="16" width="11.44140625" customWidth="1"/>
    <col min="17" max="17" width="4" customWidth="1"/>
  </cols>
  <sheetData>
    <row r="1" spans="2:16" ht="15.6">
      <c r="B1" s="1" t="s">
        <v>350</v>
      </c>
    </row>
    <row r="2" spans="2:16">
      <c r="C2" s="1009" t="s">
        <v>253</v>
      </c>
      <c r="D2" s="1010"/>
      <c r="E2" s="1011"/>
      <c r="F2" s="985" t="s">
        <v>214</v>
      </c>
      <c r="G2" s="986"/>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25.4</v>
      </c>
      <c r="G15" s="17">
        <v>25.4</v>
      </c>
      <c r="H15" s="69"/>
      <c r="I15" s="69"/>
      <c r="K15" s="69"/>
      <c r="M15" s="360" t="s">
        <v>258</v>
      </c>
      <c r="N15">
        <f>J21/1000</f>
        <v>1E-3</v>
      </c>
      <c r="O15" s="141">
        <f>J20/1000</f>
        <v>1E-3</v>
      </c>
    </row>
    <row r="16" spans="2:16">
      <c r="B16" s="42" t="s">
        <v>236</v>
      </c>
      <c r="C16" s="35">
        <v>1.6</v>
      </c>
      <c r="E16" s="17">
        <v>1.5</v>
      </c>
      <c r="F16" s="17">
        <v>1.6</v>
      </c>
      <c r="G16" s="17">
        <v>1.6</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62" priority="16" stopIfTrue="1" operator="greaterThanOrEqual">
      <formula>100</formula>
    </cfRule>
    <cfRule type="cellIs" dxfId="361" priority="17" stopIfTrue="1" operator="lessThan">
      <formula>100</formula>
    </cfRule>
  </conditionalFormatting>
  <conditionalFormatting sqref="L34">
    <cfRule type="cellIs" dxfId="360" priority="6" stopIfTrue="1" operator="equal">
      <formula>"NA"</formula>
    </cfRule>
    <cfRule type="cellIs" dxfId="359" priority="15" stopIfTrue="1" operator="between">
      <formula>100.1</formula>
      <formula>200</formula>
    </cfRule>
    <cfRule type="cellIs" dxfId="358" priority="18" stopIfTrue="1" operator="greaterThan">
      <formula>200</formula>
    </cfRule>
    <cfRule type="cellIs" dxfId="357" priority="19" stopIfTrue="1" operator="lessThanOrEqual">
      <formula>100</formula>
    </cfRule>
  </conditionalFormatting>
  <conditionalFormatting sqref="L27">
    <cfRule type="cellIs" dxfId="356" priority="20" stopIfTrue="1" operator="greaterThanOrEqual">
      <formula>100</formula>
    </cfRule>
    <cfRule type="cellIs" dxfId="355" priority="21" stopIfTrue="1" operator="lessThan">
      <formula>50</formula>
    </cfRule>
    <cfRule type="cellIs" dxfId="354" priority="22" stopIfTrue="1" operator="between">
      <formula>50</formula>
      <formula>100</formula>
    </cfRule>
  </conditionalFormatting>
  <conditionalFormatting sqref="E27:E33 E35">
    <cfRule type="cellIs" dxfId="353" priority="14" stopIfTrue="1" operator="lessThan">
      <formula>0.95*$C27*(E$14/$C$14)</formula>
    </cfRule>
  </conditionalFormatting>
  <conditionalFormatting sqref="F27:F33">
    <cfRule type="cellIs" dxfId="352" priority="13" stopIfTrue="1" operator="lessThan">
      <formula>0.95*$C27*(F$14/$C$14)</formula>
    </cfRule>
  </conditionalFormatting>
  <conditionalFormatting sqref="G27:G33">
    <cfRule type="cellIs" dxfId="351" priority="12" stopIfTrue="1" operator="lessThan">
      <formula>0.95*$C27*(G$14/$C$14)</formula>
    </cfRule>
  </conditionalFormatting>
  <conditionalFormatting sqref="F35">
    <cfRule type="cellIs" dxfId="350" priority="11" stopIfTrue="1" operator="lessThan">
      <formula>0.95*$C35*(F$14/$C$14)</formula>
    </cfRule>
  </conditionalFormatting>
  <conditionalFormatting sqref="G35">
    <cfRule type="cellIs" dxfId="349" priority="10" stopIfTrue="1" operator="lessThan">
      <formula>0.95*$C35*(G$14/$C$14)</formula>
    </cfRule>
  </conditionalFormatting>
  <conditionalFormatting sqref="L35">
    <cfRule type="cellIs" dxfId="348" priority="8" stopIfTrue="1" operator="greaterThanOrEqual">
      <formula>100</formula>
    </cfRule>
    <cfRule type="cellIs" dxfId="347" priority="9" stopIfTrue="1" operator="lessThan">
      <formula>100</formula>
    </cfRule>
  </conditionalFormatting>
  <conditionalFormatting sqref="J27">
    <cfRule type="cellIs" dxfId="346" priority="7" stopIfTrue="1" operator="lessThan">
      <formula>$C$27/3</formula>
    </cfRule>
  </conditionalFormatting>
  <conditionalFormatting sqref="I22">
    <cfRule type="cellIs" dxfId="345" priority="4" stopIfTrue="1" operator="greaterThan">
      <formula>320</formula>
    </cfRule>
    <cfRule type="cellIs" dxfId="344" priority="5" stopIfTrue="1" operator="greaterThan">
      <formula>320</formula>
    </cfRule>
  </conditionalFormatting>
  <conditionalFormatting sqref="E16">
    <cfRule type="cellIs" dxfId="343" priority="3" stopIfTrue="1" operator="lessThan">
      <formula>1.2</formula>
    </cfRule>
  </conditionalFormatting>
  <conditionalFormatting sqref="F16:G16">
    <cfRule type="cellIs" dxfId="342" priority="2" stopIfTrue="1" operator="lessThan">
      <formula>1.2</formula>
    </cfRule>
  </conditionalFormatting>
  <conditionalFormatting sqref="I27">
    <cfRule type="cellIs" dxfId="341" priority="1" stopIfTrue="1" operator="lessThan">
      <formula>$C$27*(2/3)</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G35">
    <cfRule type="cellIs" dxfId="340" priority="5" stopIfTrue="1" operator="lessThan">
      <formula>0.95*$C35*(G$14/$C$14)</formula>
    </cfRule>
  </conditionalFormatting>
  <conditionalFormatting sqref="K28:K33">
    <cfRule type="cellIs" dxfId="339" priority="14" stopIfTrue="1" operator="greaterThanOrEqual">
      <formula>100</formula>
    </cfRule>
    <cfRule type="cellIs" dxfId="338" priority="15" stopIfTrue="1" operator="lessThan">
      <formula>100</formula>
    </cfRule>
  </conditionalFormatting>
  <conditionalFormatting sqref="K34">
    <cfRule type="cellIs" dxfId="337" priority="9" stopIfTrue="1" operator="between">
      <formula>100.1</formula>
      <formula>300</formula>
    </cfRule>
    <cfRule type="cellIs" dxfId="336" priority="16" stopIfTrue="1" operator="greaterThan">
      <formula>300</formula>
    </cfRule>
    <cfRule type="cellIs" dxfId="335" priority="17" stopIfTrue="1" operator="lessThanOrEqual">
      <formula>100</formula>
    </cfRule>
  </conditionalFormatting>
  <conditionalFormatting sqref="K27">
    <cfRule type="cellIs" dxfId="334" priority="18" stopIfTrue="1" operator="greaterThanOrEqual">
      <formula>100</formula>
    </cfRule>
    <cfRule type="cellIs" dxfId="333" priority="19" stopIfTrue="1" operator="lessThan">
      <formula>33.3</formula>
    </cfRule>
    <cfRule type="cellIs" dxfId="332" priority="20" stopIfTrue="1" operator="between">
      <formula>33.3</formula>
      <formula>100</formula>
    </cfRule>
  </conditionalFormatting>
  <conditionalFormatting sqref="E27:E33 E35">
    <cfRule type="cellIs" dxfId="331" priority="13" stopIfTrue="1" operator="lessThan">
      <formula>0.95*$C27*(E$14/$C$14)</formula>
    </cfRule>
  </conditionalFormatting>
  <conditionalFormatting sqref="K35">
    <cfRule type="cellIs" dxfId="330" priority="10" stopIfTrue="1" operator="greaterThanOrEqual">
      <formula>100</formula>
    </cfRule>
    <cfRule type="cellIs" dxfId="329" priority="11" stopIfTrue="1" operator="lessThan">
      <formula>33.3</formula>
    </cfRule>
    <cfRule type="cellIs" dxfId="328" priority="12" stopIfTrue="1" operator="between">
      <formula>33.3</formula>
      <formula>100</formula>
    </cfRule>
  </conditionalFormatting>
  <conditionalFormatting sqref="F27:F33">
    <cfRule type="cellIs" dxfId="327" priority="8" stopIfTrue="1" operator="lessThan">
      <formula>0.95*$C27*(F$14/$C$14)</formula>
    </cfRule>
  </conditionalFormatting>
  <conditionalFormatting sqref="G27:G33">
    <cfRule type="cellIs" dxfId="326" priority="7" stopIfTrue="1" operator="lessThan">
      <formula>0.95*$C27*(G$14/$C$14)</formula>
    </cfRule>
  </conditionalFormatting>
  <conditionalFormatting sqref="F35">
    <cfRule type="cellIs" dxfId="325" priority="6" stopIfTrue="1" operator="lessThan">
      <formula>0.95*$C35*(F$14/$C$14)</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4140625" defaultRowHeight="13.2"/>
  <cols>
    <col min="1" max="1" width="3.44140625" customWidth="1"/>
    <col min="2" max="2" width="45.88671875" customWidth="1"/>
    <col min="3" max="3" width="11.44140625" customWidth="1"/>
    <col min="4" max="4" width="3.5546875" customWidth="1"/>
    <col min="5" max="8" width="11.6640625" customWidth="1"/>
    <col min="9" max="9" width="14.33203125" bestFit="1" customWidth="1"/>
    <col min="10" max="10" width="11.6640625" customWidth="1"/>
    <col min="11" max="11" width="6.109375" customWidth="1"/>
    <col min="12" max="12" width="8.6640625" customWidth="1"/>
  </cols>
  <sheetData>
    <row r="1" spans="2:15" ht="15.6">
      <c r="B1" s="1" t="s">
        <v>351</v>
      </c>
    </row>
    <row r="2" spans="2:15">
      <c r="C2" s="1009" t="s">
        <v>253</v>
      </c>
      <c r="D2" s="1010"/>
      <c r="E2" s="1011"/>
      <c r="F2" s="985" t="s">
        <v>214</v>
      </c>
      <c r="G2" s="986"/>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6">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6">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6">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6">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6">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6"/>
      <c r="F19" s="1007"/>
      <c r="G19" s="1008"/>
      <c r="H19" s="69"/>
      <c r="I19" s="38">
        <v>18</v>
      </c>
      <c r="J19" s="69"/>
      <c r="O19" s="43"/>
    </row>
    <row r="20" spans="2:20" ht="12.75" customHeight="1">
      <c r="B20" s="42" t="s">
        <v>275</v>
      </c>
      <c r="E20" s="1006"/>
      <c r="F20" s="1007"/>
      <c r="G20" s="1008"/>
      <c r="H20" s="69"/>
      <c r="I20" s="38">
        <v>1</v>
      </c>
      <c r="J20" s="69"/>
      <c r="O20" s="43"/>
    </row>
    <row r="21" spans="2:20" ht="12.75" customHeight="1">
      <c r="B21" s="374" t="s">
        <v>276</v>
      </c>
      <c r="E21" s="1006"/>
      <c r="F21" s="1007"/>
      <c r="G21" s="1008"/>
      <c r="H21" s="69"/>
      <c r="I21" s="38">
        <v>1</v>
      </c>
      <c r="J21" s="69"/>
      <c r="O21" s="43"/>
    </row>
    <row r="22" spans="2:20" ht="12.75" customHeight="1">
      <c r="B22" s="42" t="s">
        <v>277</v>
      </c>
      <c r="E22" s="1006"/>
      <c r="F22" s="1007"/>
      <c r="G22" s="1008"/>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c r="B37" s="3" t="s">
        <v>278</v>
      </c>
      <c r="E37" s="43"/>
    </row>
    <row r="38" spans="2:13">
      <c r="B38" s="19"/>
      <c r="C38" s="20"/>
      <c r="D38" s="20"/>
      <c r="E38" s="20"/>
      <c r="F38" s="20"/>
      <c r="G38" s="20"/>
      <c r="H38" s="20"/>
      <c r="I38" s="20"/>
      <c r="J38" s="20"/>
      <c r="K38" s="21"/>
    </row>
    <row r="39" spans="2:13">
      <c r="B39" s="399" t="s">
        <v>352</v>
      </c>
      <c r="C39" s="26"/>
      <c r="D39" s="26"/>
      <c r="E39" s="26"/>
      <c r="F39" s="26"/>
      <c r="G39" s="26"/>
      <c r="H39" s="26"/>
      <c r="I39" s="26"/>
      <c r="J39" s="26"/>
      <c r="K39" s="27"/>
    </row>
    <row r="40" spans="2:13">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G35">
    <cfRule type="cellIs" dxfId="324" priority="1" stopIfTrue="1" operator="lessThan">
      <formula>0.95*$C35*(G$14/$C$14)</formula>
    </cfRule>
  </conditionalFormatting>
  <conditionalFormatting sqref="K28:K33">
    <cfRule type="cellIs" dxfId="323" priority="10" stopIfTrue="1" operator="greaterThanOrEqual">
      <formula>100</formula>
    </cfRule>
    <cfRule type="cellIs" dxfId="322" priority="11" stopIfTrue="1" operator="lessThan">
      <formula>100</formula>
    </cfRule>
  </conditionalFormatting>
  <conditionalFormatting sqref="K34">
    <cfRule type="cellIs" dxfId="321" priority="5" stopIfTrue="1" operator="between">
      <formula>100.1</formula>
      <formula>300</formula>
    </cfRule>
    <cfRule type="cellIs" dxfId="320" priority="12" stopIfTrue="1" operator="greaterThan">
      <formula>300</formula>
    </cfRule>
    <cfRule type="cellIs" dxfId="319" priority="13" stopIfTrue="1" operator="lessThanOrEqual">
      <formula>100</formula>
    </cfRule>
  </conditionalFormatting>
  <conditionalFormatting sqref="K27">
    <cfRule type="cellIs" dxfId="318" priority="14" stopIfTrue="1" operator="greaterThanOrEqual">
      <formula>100</formula>
    </cfRule>
    <cfRule type="cellIs" dxfId="317" priority="15" stopIfTrue="1" operator="lessThan">
      <formula>33.3</formula>
    </cfRule>
    <cfRule type="cellIs" dxfId="316" priority="16" stopIfTrue="1" operator="between">
      <formula>33.3</formula>
      <formula>100</formula>
    </cfRule>
  </conditionalFormatting>
  <conditionalFormatting sqref="E27:E33 E35">
    <cfRule type="cellIs" dxfId="315" priority="9" stopIfTrue="1" operator="lessThan">
      <formula>0.95*$C27*(E$14/$C$14)</formula>
    </cfRule>
  </conditionalFormatting>
  <conditionalFormatting sqref="K35">
    <cfRule type="cellIs" dxfId="314" priority="6" stopIfTrue="1" operator="greaterThanOrEqual">
      <formula>100</formula>
    </cfRule>
    <cfRule type="cellIs" dxfId="313" priority="7" stopIfTrue="1" operator="lessThan">
      <formula>33.3</formula>
    </cfRule>
    <cfRule type="cellIs" dxfId="312" priority="8" stopIfTrue="1" operator="between">
      <formula>33.3</formula>
      <formula>100</formula>
    </cfRule>
  </conditionalFormatting>
  <conditionalFormatting sqref="F27:F33">
    <cfRule type="cellIs" dxfId="311" priority="4" stopIfTrue="1" operator="lessThan">
      <formula>0.95*$C27*(F$14/$C$14)</formula>
    </cfRule>
  </conditionalFormatting>
  <conditionalFormatting sqref="G27:G33">
    <cfRule type="cellIs" dxfId="310" priority="3" stopIfTrue="1" operator="lessThan">
      <formula>0.95*$C27*(G$14/$C$14)</formula>
    </cfRule>
  </conditionalFormatting>
  <conditionalFormatting sqref="F35">
    <cfRule type="cellIs" dxfId="309" priority="2" stopIfTrue="1" operator="lessThan">
      <formula>0.95*$C35*(F$14/$C$14)</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29" zoomScaleNormal="100" zoomScaleSheetLayoutView="100" workbookViewId="0">
      <selection sqref="A1:S1"/>
    </sheetView>
  </sheetViews>
  <sheetFormatPr baseColWidth="10" defaultColWidth="11.44140625" defaultRowHeight="13.2"/>
  <cols>
    <col min="1" max="38" width="5" customWidth="1"/>
  </cols>
  <sheetData>
    <row r="1" spans="1:41">
      <c r="A1" s="1033" t="s">
        <v>354</v>
      </c>
      <c r="B1" s="1034"/>
      <c r="C1" s="1034"/>
      <c r="D1" s="1034"/>
      <c r="E1" s="1034"/>
      <c r="F1" s="1034"/>
      <c r="G1" s="1034"/>
      <c r="H1" s="1034"/>
      <c r="I1" s="1034"/>
      <c r="J1" s="1034"/>
      <c r="K1" s="1034"/>
      <c r="L1" s="1034"/>
      <c r="M1" s="1034"/>
      <c r="N1" s="1034"/>
      <c r="O1" s="1034"/>
      <c r="P1" s="1034"/>
      <c r="Q1" s="1034"/>
      <c r="R1" s="1034"/>
      <c r="S1" s="1035"/>
      <c r="T1" s="1033" t="s">
        <v>355</v>
      </c>
      <c r="U1" s="1034"/>
      <c r="V1" s="1034"/>
      <c r="W1" s="1034"/>
      <c r="X1" s="1034"/>
      <c r="Y1" s="1034"/>
      <c r="Z1" s="1034"/>
      <c r="AA1" s="1034"/>
      <c r="AB1" s="1034"/>
      <c r="AC1" s="1034"/>
      <c r="AD1" s="1034"/>
      <c r="AE1" s="1034"/>
      <c r="AF1" s="1034"/>
      <c r="AG1" s="1034"/>
      <c r="AH1" s="1034"/>
      <c r="AI1" s="1034"/>
      <c r="AJ1" s="1034"/>
      <c r="AK1" s="1034"/>
      <c r="AL1" s="1035"/>
    </row>
    <row r="2" spans="1:41">
      <c r="A2" s="652"/>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19"/>
      <c r="B5" s="1020"/>
      <c r="C5" s="1020"/>
      <c r="D5" s="1020"/>
      <c r="E5" s="1020"/>
      <c r="F5" s="1020"/>
      <c r="G5" s="1020"/>
      <c r="H5" s="1020"/>
      <c r="I5" s="1020"/>
      <c r="J5" s="1020"/>
      <c r="K5" s="1020"/>
      <c r="L5" s="1020"/>
      <c r="M5" s="1020"/>
      <c r="N5" s="1020"/>
      <c r="O5" s="1020"/>
      <c r="P5" s="1020"/>
      <c r="Q5" s="1020"/>
      <c r="R5" s="1020"/>
      <c r="S5" s="1021"/>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14" t="s">
        <v>371</v>
      </c>
      <c r="B47" s="1015"/>
      <c r="C47" s="1012"/>
      <c r="D47" s="1013"/>
      <c r="E47" s="1015" t="s">
        <v>372</v>
      </c>
      <c r="F47" s="1015"/>
      <c r="G47" s="1012"/>
      <c r="H47" s="1013"/>
      <c r="I47" s="8"/>
      <c r="J47" s="10"/>
      <c r="K47" s="10"/>
      <c r="L47" s="10"/>
      <c r="M47" s="87" t="s">
        <v>373</v>
      </c>
      <c r="N47" s="1026">
        <f>IF(C48&gt;0,(((G48-G47)/(C48-C47))^-1-IF(AG56&gt;0,AG56^-1,0))^-1,0)</f>
        <v>0</v>
      </c>
      <c r="O47" s="1027"/>
      <c r="P47" s="1038">
        <f>2/3*((48*'T3.15 T3.5 SIS'!C27/0.000013)/(C57^3))</f>
        <v>196.3827341538462</v>
      </c>
      <c r="Q47" s="1039"/>
      <c r="R47" s="1039"/>
      <c r="S47" s="11"/>
      <c r="T47" s="1014" t="s">
        <v>371</v>
      </c>
      <c r="U47" s="1015"/>
      <c r="V47" s="1036"/>
      <c r="W47" s="1037"/>
      <c r="X47" s="1015" t="s">
        <v>372</v>
      </c>
      <c r="Y47" s="1015"/>
      <c r="Z47" s="1012"/>
      <c r="AA47" s="1013"/>
      <c r="AB47" s="8"/>
      <c r="AC47" s="10"/>
      <c r="AD47" s="10"/>
      <c r="AE47" s="10"/>
      <c r="AF47" s="87" t="s">
        <v>373</v>
      </c>
      <c r="AG47" s="1029">
        <f>IF((V48-V47)&gt;0,(Z48-Z47)/(V48-V47),0)</f>
        <v>0</v>
      </c>
      <c r="AH47" s="1030"/>
      <c r="AI47" s="10"/>
      <c r="AJ47" s="10"/>
      <c r="AK47" s="10"/>
      <c r="AL47" s="11"/>
    </row>
    <row r="48" spans="1:38" ht="14.25" customHeight="1">
      <c r="A48" s="1014" t="s">
        <v>374</v>
      </c>
      <c r="B48" s="1015"/>
      <c r="C48" s="1012"/>
      <c r="D48" s="1013"/>
      <c r="E48" s="1015" t="s">
        <v>375</v>
      </c>
      <c r="F48" s="1015"/>
      <c r="G48" s="1012"/>
      <c r="H48" s="1013"/>
      <c r="I48" s="164" t="str">
        <f>IFERROR(IF(AND(N47&lt;0,G48&gt;G47),"Congrats! You've found an Easter egg!",""),"")</f>
        <v/>
      </c>
      <c r="P48" s="10"/>
      <c r="Q48" s="10"/>
      <c r="R48" s="10"/>
      <c r="S48" s="11"/>
      <c r="T48" s="1014" t="s">
        <v>374</v>
      </c>
      <c r="U48" s="1015"/>
      <c r="V48" s="1036"/>
      <c r="W48" s="1037"/>
      <c r="X48" s="1015" t="s">
        <v>375</v>
      </c>
      <c r="Y48" s="1015"/>
      <c r="Z48" s="1012"/>
      <c r="AA48" s="1013"/>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14" t="s">
        <v>378</v>
      </c>
      <c r="B51" s="1015"/>
      <c r="C51" s="1028"/>
      <c r="D51" s="1028"/>
      <c r="E51" s="8" t="s">
        <v>379</v>
      </c>
      <c r="F51" s="10"/>
      <c r="G51" s="10"/>
      <c r="H51" s="10"/>
      <c r="I51" s="10"/>
      <c r="J51" s="10"/>
      <c r="K51" s="10"/>
      <c r="L51" s="10"/>
      <c r="M51" s="10"/>
      <c r="N51" s="10"/>
      <c r="O51" s="10"/>
      <c r="P51" s="10"/>
      <c r="Q51" s="10"/>
      <c r="R51" s="10"/>
      <c r="S51" s="11"/>
      <c r="T51" s="8"/>
      <c r="U51" s="87" t="s">
        <v>380</v>
      </c>
      <c r="V51" s="1016" t="str">
        <f ca="1">IFERROR(SUMPRODUCT(OFFSET(V71,0,0,AD70-2,1),OFFSET(Y71,0,0,AD70-2,1)),"")</f>
        <v/>
      </c>
      <c r="W51" s="1017"/>
      <c r="X51" s="8"/>
      <c r="Y51" s="8"/>
      <c r="Z51" s="8"/>
      <c r="AA51" s="8"/>
      <c r="AB51" s="8"/>
      <c r="AC51" s="8"/>
      <c r="AI51" s="8"/>
      <c r="AJ51" s="8"/>
      <c r="AK51" s="8"/>
      <c r="AL51" s="85"/>
    </row>
    <row r="52" spans="1:38">
      <c r="A52" s="12"/>
      <c r="B52" s="10"/>
      <c r="C52" s="1018">
        <f>2*PI()*(12.7^4-11.1^4)*365/(C57*12.7)</f>
        <v>4890.8937802226601</v>
      </c>
      <c r="D52" s="1018"/>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4">
      <c r="A54" s="8"/>
      <c r="B54" s="87" t="s">
        <v>380</v>
      </c>
      <c r="C54" s="1016" t="str">
        <f ca="1">IFERROR(SUMPRODUCT(OFFSET(C71,0,0,L70-2,1),OFFSET(F71,0,0,L70-2,1)),"")</f>
        <v/>
      </c>
      <c r="D54" s="1017"/>
      <c r="T54" s="9"/>
      <c r="U54" s="87" t="s">
        <v>383</v>
      </c>
      <c r="V54" s="1043">
        <f>C57</f>
        <v>400</v>
      </c>
      <c r="W54" s="1044"/>
      <c r="X54" s="8" t="s">
        <v>384</v>
      </c>
      <c r="Y54" s="8"/>
      <c r="Z54" s="8"/>
      <c r="AA54" s="8"/>
      <c r="AB54" s="8"/>
      <c r="AC54" s="8"/>
      <c r="AD54" s="8"/>
      <c r="AE54" s="8"/>
      <c r="AF54" s="87" t="s">
        <v>385</v>
      </c>
      <c r="AG54" s="1041">
        <f>V55*(1/64)*PI()*(V56^4-V57^4)*200000</f>
        <v>3229328068.7062287</v>
      </c>
      <c r="AH54" s="1042"/>
      <c r="AI54" s="654">
        <f>AG54*48/V54^3</f>
        <v>2421.9960515296716</v>
      </c>
      <c r="AJ54" s="8"/>
      <c r="AK54" s="8"/>
      <c r="AL54" s="85"/>
    </row>
    <row r="55" spans="1:38" ht="14.4">
      <c r="T55" s="9"/>
      <c r="U55" s="87" t="s">
        <v>386</v>
      </c>
      <c r="V55" s="1047">
        <v>2</v>
      </c>
      <c r="W55" s="1048"/>
      <c r="X55" s="8" t="s">
        <v>387</v>
      </c>
      <c r="Y55" s="8"/>
      <c r="Z55" s="8"/>
      <c r="AA55" s="8"/>
      <c r="AB55" s="8"/>
      <c r="AC55" s="8"/>
      <c r="AD55" s="8"/>
      <c r="AE55" s="8"/>
      <c r="AF55" s="87" t="s">
        <v>388</v>
      </c>
      <c r="AG55" s="1041">
        <f>IF(AG47&gt;0,(AG47*V54^3)/48,AG54)</f>
        <v>3229328068.7062287</v>
      </c>
      <c r="AH55" s="1042"/>
      <c r="AI55" s="654">
        <f>AG55*48/V54^3</f>
        <v>2421.9960515296716</v>
      </c>
      <c r="AJ55" s="305">
        <f>100*AG55/AG54</f>
        <v>100</v>
      </c>
      <c r="AK55" s="8" t="s">
        <v>389</v>
      </c>
      <c r="AL55" s="85"/>
    </row>
    <row r="56" spans="1:38" ht="15">
      <c r="A56" s="86" t="s">
        <v>390</v>
      </c>
      <c r="B56" s="10"/>
      <c r="C56" s="10"/>
      <c r="D56" s="10"/>
      <c r="E56" s="10"/>
      <c r="F56" s="10"/>
      <c r="G56" s="10"/>
      <c r="H56" s="10"/>
      <c r="I56" s="10"/>
      <c r="J56" s="10"/>
      <c r="K56" s="10"/>
      <c r="L56" s="10"/>
      <c r="M56" s="10"/>
      <c r="N56" s="10"/>
      <c r="O56" s="10"/>
      <c r="P56" s="10"/>
      <c r="Q56" s="10"/>
      <c r="R56" s="10"/>
      <c r="S56" s="11"/>
      <c r="T56" s="9"/>
      <c r="U56" s="87" t="s">
        <v>391</v>
      </c>
      <c r="V56" s="1024">
        <v>25.4</v>
      </c>
      <c r="W56" s="1025"/>
      <c r="X56" s="8" t="s">
        <v>392</v>
      </c>
      <c r="Y56" s="8"/>
      <c r="Z56" s="8"/>
      <c r="AA56" s="8"/>
      <c r="AB56" s="8"/>
      <c r="AC56" s="8"/>
      <c r="AD56" s="8"/>
      <c r="AE56" s="8"/>
      <c r="AF56" s="87" t="s">
        <v>393</v>
      </c>
      <c r="AG56" s="1045">
        <f>IF(AJ55&lt;75,0,IF(AG55&gt;=AG54,0,(AI55^-1-AI54^-1)^-1))</f>
        <v>0</v>
      </c>
      <c r="AH56" s="1046"/>
      <c r="AI56" s="8"/>
      <c r="AJ56" s="8"/>
      <c r="AK56" s="8"/>
      <c r="AL56" s="85"/>
    </row>
    <row r="57" spans="1:38" ht="12.75" customHeight="1">
      <c r="A57" s="9"/>
      <c r="B57" s="88" t="s">
        <v>383</v>
      </c>
      <c r="C57" s="1012">
        <v>400</v>
      </c>
      <c r="D57" s="1013"/>
      <c r="E57" s="8" t="s">
        <v>394</v>
      </c>
      <c r="F57" s="10"/>
      <c r="G57" s="10"/>
      <c r="H57" s="10"/>
      <c r="I57" s="10"/>
      <c r="J57" s="10"/>
      <c r="K57" s="10"/>
      <c r="L57" s="10"/>
      <c r="M57" s="10"/>
      <c r="N57" s="10"/>
      <c r="O57" s="10"/>
      <c r="P57" s="10"/>
      <c r="Q57" s="10"/>
      <c r="R57" s="10"/>
      <c r="S57" s="11"/>
      <c r="T57" s="9"/>
      <c r="U57" s="87" t="s">
        <v>395</v>
      </c>
      <c r="V57" s="1024">
        <v>22.4</v>
      </c>
      <c r="W57" s="1025"/>
      <c r="X57" s="8" t="s">
        <v>396</v>
      </c>
      <c r="Y57" s="8"/>
      <c r="Z57" s="8"/>
      <c r="AA57" s="8"/>
      <c r="AB57" s="8"/>
      <c r="AC57" s="8"/>
      <c r="AD57" s="8"/>
      <c r="AE57" s="8"/>
      <c r="AF57" s="8"/>
      <c r="AG57" s="8"/>
      <c r="AH57" s="8"/>
      <c r="AI57" s="8"/>
      <c r="AJ57" s="8"/>
      <c r="AK57" s="8"/>
      <c r="AL57" s="85"/>
    </row>
    <row r="58" spans="1:38">
      <c r="A58" s="1022" t="s">
        <v>397</v>
      </c>
      <c r="B58" s="1023"/>
      <c r="C58" s="1012">
        <v>275</v>
      </c>
      <c r="D58" s="1013"/>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22" t="s">
        <v>399</v>
      </c>
      <c r="B59" s="1023"/>
      <c r="C59" s="1024">
        <v>18</v>
      </c>
      <c r="D59" s="1025"/>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22" t="s">
        <v>401</v>
      </c>
      <c r="B60" s="1023"/>
      <c r="C60" s="1024">
        <v>1</v>
      </c>
      <c r="D60" s="1025"/>
      <c r="E60" s="8" t="s">
        <v>76</v>
      </c>
      <c r="F60" s="8"/>
      <c r="G60" s="8"/>
      <c r="H60" s="8"/>
      <c r="I60" s="8"/>
      <c r="J60" s="8"/>
      <c r="K60" s="8"/>
      <c r="L60" s="8"/>
      <c r="M60" s="8"/>
      <c r="N60" s="8"/>
      <c r="O60" s="10"/>
      <c r="P60" s="10"/>
      <c r="Q60" s="10"/>
      <c r="R60" s="10"/>
      <c r="S60" s="11"/>
      <c r="T60" s="9"/>
      <c r="U60" s="1040" t="str">
        <f>IF(AND(0&lt;$AJ$55,$AJ$55&lt;75),"Rig compliance out of normal bounds, perform and document another rig compliance test!","")</f>
        <v/>
      </c>
      <c r="V60" s="1040"/>
      <c r="W60" s="1040"/>
      <c r="X60" s="1040"/>
      <c r="Y60" s="1040"/>
      <c r="Z60" s="1040"/>
      <c r="AA60" s="1040"/>
      <c r="AB60" s="1040"/>
      <c r="AC60" s="1040"/>
      <c r="AD60" s="1040"/>
      <c r="AE60" s="1040"/>
      <c r="AF60" s="1040"/>
      <c r="AG60" s="1040"/>
      <c r="AH60" s="1040"/>
      <c r="AI60" s="1040"/>
      <c r="AJ60" s="1040"/>
      <c r="AK60" s="1040"/>
      <c r="AL60" s="85"/>
    </row>
    <row r="61" spans="1:38" ht="15.75" customHeight="1">
      <c r="A61" s="1022" t="s">
        <v>402</v>
      </c>
      <c r="B61" s="1023"/>
      <c r="C61" s="1024">
        <v>1</v>
      </c>
      <c r="D61" s="1025"/>
      <c r="E61" s="8" t="s">
        <v>77</v>
      </c>
      <c r="F61" s="8"/>
      <c r="G61" s="8"/>
      <c r="H61" s="8"/>
      <c r="I61" s="8"/>
      <c r="J61" s="8"/>
      <c r="K61" s="8"/>
      <c r="L61" s="8"/>
      <c r="M61" s="8"/>
      <c r="N61" s="8"/>
      <c r="O61" s="10"/>
      <c r="P61" s="10"/>
      <c r="Q61" s="10"/>
      <c r="R61" s="10"/>
      <c r="S61" s="11"/>
      <c r="T61" s="9"/>
      <c r="U61" s="1040"/>
      <c r="V61" s="1040"/>
      <c r="W61" s="1040"/>
      <c r="X61" s="1040"/>
      <c r="Y61" s="1040"/>
      <c r="Z61" s="1040"/>
      <c r="AA61" s="1040"/>
      <c r="AB61" s="1040"/>
      <c r="AC61" s="1040"/>
      <c r="AD61" s="1040"/>
      <c r="AE61" s="1040"/>
      <c r="AF61" s="1040"/>
      <c r="AG61" s="1040"/>
      <c r="AH61" s="1040"/>
      <c r="AI61" s="1040"/>
      <c r="AJ61" s="1040"/>
      <c r="AK61" s="1040"/>
      <c r="AL61" s="85"/>
    </row>
    <row r="62" spans="1:38" ht="14.4">
      <c r="A62" s="90"/>
      <c r="B62" s="87" t="s">
        <v>403</v>
      </c>
      <c r="C62" s="1031">
        <f>(C58*(((C59+C60+C61)^3)-(C59^3)))/12</f>
        <v>49683.333333333336</v>
      </c>
      <c r="D62" s="1032"/>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16">
        <f>IF(C48&gt;0,0.001*((N47*(C48-C47)*C57^3)/(48*C62*(C48-C47))),0)</f>
        <v>0</v>
      </c>
      <c r="D63" s="1017"/>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c r="A64" s="91"/>
      <c r="B64" s="92" t="s">
        <v>407</v>
      </c>
      <c r="C64" s="1029">
        <f>C51*C57*0.5*SUM(C59:D61)/(4*C62)</f>
        <v>0</v>
      </c>
      <c r="D64" s="1030"/>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2.8">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4">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s>
  <phoneticPr fontId="2" type="noConversion"/>
  <conditionalFormatting sqref="N47:O47">
    <cfRule type="cellIs" dxfId="308" priority="13" stopIfTrue="1" operator="equal">
      <formula>0</formula>
    </cfRule>
    <cfRule type="cellIs" dxfId="307" priority="14" stopIfTrue="1" operator="greaterThanOrEqual">
      <formula>$P$47</formula>
    </cfRule>
    <cfRule type="cellIs" dxfId="306" priority="15" stopIfTrue="1" operator="lessThan">
      <formula>$P$47</formula>
    </cfRule>
  </conditionalFormatting>
  <conditionalFormatting sqref="AJ55">
    <cfRule type="cellIs" dxfId="305" priority="1" stopIfTrue="1" operator="greaterThanOrEqual">
      <formula>100</formula>
    </cfRule>
    <cfRule type="cellIs" dxfId="304" priority="8" stopIfTrue="1" operator="lessThan">
      <formula>75</formula>
    </cfRule>
    <cfRule type="cellIs" dxfId="303" priority="9" stopIfTrue="1" operator="greaterThanOrEqual">
      <formula>75</formula>
    </cfRule>
  </conditionalFormatting>
  <conditionalFormatting sqref="C51:D51">
    <cfRule type="cellIs" dxfId="302" priority="5" stopIfTrue="1" operator="greaterThanOrEqual">
      <formula>$C$52</formula>
    </cfRule>
    <cfRule type="cellIs" dxfId="301" priority="6" stopIfTrue="1" operator="between">
      <formula>0.01</formula>
      <formula>$C$52</formula>
    </cfRule>
    <cfRule type="cellIs" dxfId="300" priority="7" stopIfTrue="1" operator="equal">
      <formula>0</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legacy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zoomScaleNormal="100" zoomScaleSheetLayoutView="100" workbookViewId="0">
      <selection sqref="A1:S1"/>
    </sheetView>
  </sheetViews>
  <sheetFormatPr baseColWidth="10" defaultColWidth="11.44140625" defaultRowHeight="13.2"/>
  <cols>
    <col min="1" max="38" width="5" customWidth="1"/>
  </cols>
  <sheetData>
    <row r="1" spans="1:41">
      <c r="A1" s="1033" t="s">
        <v>417</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36"/>
      <c r="W46" s="1037"/>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36"/>
      <c r="W47" s="1037"/>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4">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AJ51">
    <cfRule type="cellIs" dxfId="299" priority="1" stopIfTrue="1" operator="greaterThanOrEqual">
      <formula>100</formula>
    </cfRule>
    <cfRule type="cellIs" dxfId="298" priority="2" stopIfTrue="1" operator="lessThan">
      <formula>75</formula>
    </cfRule>
    <cfRule type="cellIs" dxfId="297"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43" zoomScaleNormal="100" zoomScaleSheetLayoutView="100" workbookViewId="0">
      <selection sqref="A1:S1"/>
    </sheetView>
  </sheetViews>
  <sheetFormatPr baseColWidth="10" defaultColWidth="11.44140625" defaultRowHeight="13.2"/>
  <cols>
    <col min="1" max="38" width="5" customWidth="1"/>
  </cols>
  <sheetData>
    <row r="1" spans="1:41">
      <c r="A1" s="1033" t="s">
        <v>423</v>
      </c>
      <c r="B1" s="1034"/>
      <c r="C1" s="1034"/>
      <c r="D1" s="1034"/>
      <c r="E1" s="1034"/>
      <c r="F1" s="1034"/>
      <c r="G1" s="1034"/>
      <c r="H1" s="1034"/>
      <c r="I1" s="1034"/>
      <c r="J1" s="1034"/>
      <c r="K1" s="1034"/>
      <c r="L1" s="1034"/>
      <c r="M1" s="1034"/>
      <c r="N1" s="1034"/>
      <c r="O1" s="1034"/>
      <c r="P1" s="1034"/>
      <c r="Q1" s="1034"/>
      <c r="R1" s="1034"/>
      <c r="S1" s="1035"/>
      <c r="T1" s="1033" t="s">
        <v>418</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N47" s="1058"/>
      <c r="O47" s="1058"/>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2678019744.2809067</v>
      </c>
      <c r="AH50" s="1042"/>
      <c r="AI50" s="654">
        <f>AG50*48/V50^3</f>
        <v>2008.51480821068</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2</v>
      </c>
      <c r="W51" s="1025"/>
      <c r="X51" s="8" t="s">
        <v>387</v>
      </c>
      <c r="Y51" s="8"/>
      <c r="Z51" s="8"/>
      <c r="AA51" s="8"/>
      <c r="AB51" s="8"/>
      <c r="AC51" s="8"/>
      <c r="AD51" s="8"/>
      <c r="AE51" s="8"/>
      <c r="AF51" s="87" t="s">
        <v>388</v>
      </c>
      <c r="AG51" s="1041">
        <f>IF(AG46&gt;0,(AG46*V50^3)/48,AG50)</f>
        <v>2678019744.2809067</v>
      </c>
      <c r="AH51" s="1042"/>
      <c r="AI51" s="654">
        <f>AG51*48/V50^3</f>
        <v>2008.51480821068</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v>275</v>
      </c>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v>18</v>
      </c>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v>1</v>
      </c>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v>1</v>
      </c>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4">
      <c r="A58" s="90"/>
      <c r="B58" s="87" t="s">
        <v>403</v>
      </c>
      <c r="C58" s="1031">
        <f>(C54*(((C55+C56+C57)^3)-(C55^3)))/12</f>
        <v>49683.333333333336</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9">
        <f>C50*C53*0.5*SUM(C55:D57)/(4*C58)</f>
        <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49"/>
      <c r="I65" s="1049"/>
      <c r="J65" s="717"/>
      <c r="K65" s="717"/>
      <c r="L65" s="717"/>
      <c r="M65" s="717"/>
      <c r="N65" s="717"/>
      <c r="O65" s="717"/>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AJ51">
    <cfRule type="cellIs" dxfId="296" priority="1" stopIfTrue="1" operator="greaterThanOrEqual">
      <formula>100</formula>
    </cfRule>
    <cfRule type="cellIs" dxfId="295" priority="2" stopIfTrue="1" operator="lessThan">
      <formula>75</formula>
    </cfRule>
    <cfRule type="cellIs" dxfId="294"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9" zoomScaleNormal="100" zoomScaleSheetLayoutView="100" workbookViewId="0">
      <selection activeCell="A3" sqref="A3"/>
    </sheetView>
  </sheetViews>
  <sheetFormatPr baseColWidth="10" defaultColWidth="11.44140625" defaultRowHeight="13.2"/>
  <cols>
    <col min="1" max="38" width="5" customWidth="1"/>
  </cols>
  <sheetData>
    <row r="1" spans="1:41">
      <c r="A1" s="1033" t="s">
        <v>428</v>
      </c>
      <c r="B1" s="1034"/>
      <c r="C1" s="1034"/>
      <c r="D1" s="1034"/>
      <c r="E1" s="1034"/>
      <c r="F1" s="1034"/>
      <c r="G1" s="1034"/>
      <c r="H1" s="1034"/>
      <c r="I1" s="1034"/>
      <c r="J1" s="1034"/>
      <c r="K1" s="1034"/>
      <c r="L1" s="1034"/>
      <c r="M1" s="1034"/>
      <c r="N1" s="1034"/>
      <c r="O1" s="1034"/>
      <c r="P1" s="1034"/>
      <c r="Q1" s="1034"/>
      <c r="R1" s="1034"/>
      <c r="S1" s="1035"/>
      <c r="T1" s="1033" t="s">
        <v>429</v>
      </c>
      <c r="U1" s="1034"/>
      <c r="V1" s="1034"/>
      <c r="W1" s="1034"/>
      <c r="X1" s="1034"/>
      <c r="Y1" s="1034"/>
      <c r="Z1" s="1034"/>
      <c r="AA1" s="1034"/>
      <c r="AB1" s="1034"/>
      <c r="AC1" s="1034"/>
      <c r="AD1" s="1034"/>
      <c r="AE1" s="1034"/>
      <c r="AF1" s="1034"/>
      <c r="AG1" s="1034"/>
      <c r="AH1" s="1034"/>
      <c r="AI1" s="1034"/>
      <c r="AJ1" s="1034"/>
      <c r="AK1" s="1034"/>
      <c r="AL1" s="1035"/>
    </row>
    <row r="2" spans="1:41">
      <c r="A2" s="4"/>
      <c r="S2" s="15"/>
      <c r="T2" s="4"/>
      <c r="AL2" s="15"/>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row>
    <row r="4" spans="1:41">
      <c r="A4" s="4"/>
      <c r="S4" s="15"/>
      <c r="T4" s="4"/>
      <c r="AL4" s="15"/>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4" t="s">
        <v>371</v>
      </c>
      <c r="B46" s="1015"/>
      <c r="C46" s="1012"/>
      <c r="D46" s="1013"/>
      <c r="E46" s="1015" t="s">
        <v>372</v>
      </c>
      <c r="F46" s="1015"/>
      <c r="G46" s="1012"/>
      <c r="H46" s="1013"/>
      <c r="I46" s="8"/>
      <c r="J46" s="10"/>
      <c r="K46" s="10"/>
      <c r="L46" s="10"/>
      <c r="M46" s="87" t="s">
        <v>373</v>
      </c>
      <c r="N46" s="1056">
        <f>IF(C47&gt;0,(((G47-G46)/(C47-C46))^-1-IF(AG52&gt;0,AG52^-1,0))^-1,0)</f>
        <v>0</v>
      </c>
      <c r="O46" s="1057"/>
      <c r="P46" s="1038"/>
      <c r="Q46" s="1039"/>
      <c r="R46" s="1039"/>
      <c r="S46" s="11"/>
      <c r="T46" s="1014" t="s">
        <v>371</v>
      </c>
      <c r="U46" s="1015"/>
      <c r="V46" s="1012"/>
      <c r="W46" s="1013"/>
      <c r="X46" s="1015" t="s">
        <v>372</v>
      </c>
      <c r="Y46" s="1015"/>
      <c r="Z46" s="1012"/>
      <c r="AA46" s="1013"/>
      <c r="AB46" s="8"/>
      <c r="AC46" s="10"/>
      <c r="AD46" s="10"/>
      <c r="AE46" s="10"/>
      <c r="AF46" s="87" t="s">
        <v>373</v>
      </c>
      <c r="AG46" s="1029">
        <f>IF((V47-V46)&gt;0,(Z47-Z46)/(V47-V46),0)</f>
        <v>0</v>
      </c>
      <c r="AH46" s="1030"/>
      <c r="AI46" s="10"/>
      <c r="AJ46" s="10"/>
      <c r="AK46" s="10"/>
      <c r="AL46" s="11"/>
    </row>
    <row r="47" spans="1:38" ht="14.25" customHeight="1">
      <c r="A47" s="1014" t="s">
        <v>374</v>
      </c>
      <c r="B47" s="1015"/>
      <c r="C47" s="1012"/>
      <c r="D47" s="1013"/>
      <c r="E47" s="1015" t="s">
        <v>375</v>
      </c>
      <c r="F47" s="1015"/>
      <c r="G47" s="1012"/>
      <c r="H47" s="1013"/>
      <c r="I47" s="164" t="str">
        <f>IFERROR(IF(AND(N46&lt;0,G47&gt;G46),"Congrats! You've found an Easter egg!",""),"")</f>
        <v/>
      </c>
      <c r="P47" s="10"/>
      <c r="Q47" s="10"/>
      <c r="R47" s="10"/>
      <c r="S47" s="11"/>
      <c r="T47" s="1014" t="s">
        <v>374</v>
      </c>
      <c r="U47" s="1015"/>
      <c r="V47" s="1012"/>
      <c r="W47" s="1013"/>
      <c r="X47" s="1015" t="s">
        <v>375</v>
      </c>
      <c r="Y47" s="1015"/>
      <c r="Z47" s="1012"/>
      <c r="AA47" s="1013"/>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4">
      <c r="A50" s="1014" t="s">
        <v>378</v>
      </c>
      <c r="B50" s="1015"/>
      <c r="C50" s="1051"/>
      <c r="D50" s="1052"/>
      <c r="E50" s="8"/>
      <c r="F50" s="10"/>
      <c r="G50" s="10"/>
      <c r="H50" s="10"/>
      <c r="I50" s="10"/>
      <c r="J50" s="10"/>
      <c r="K50" s="10"/>
      <c r="L50" s="10"/>
      <c r="M50" s="10"/>
      <c r="N50" s="10"/>
      <c r="O50" s="10"/>
      <c r="P50" s="10"/>
      <c r="Q50" s="10"/>
      <c r="R50" s="10"/>
      <c r="S50" s="11"/>
      <c r="T50" s="9"/>
      <c r="U50" s="87" t="s">
        <v>383</v>
      </c>
      <c r="V50" s="1043">
        <f>C53</f>
        <v>400</v>
      </c>
      <c r="W50" s="1044"/>
      <c r="X50" s="8" t="s">
        <v>384</v>
      </c>
      <c r="Y50" s="8"/>
      <c r="Z50" s="8"/>
      <c r="AA50" s="8"/>
      <c r="AB50" s="8"/>
      <c r="AC50" s="8"/>
      <c r="AD50" s="8"/>
      <c r="AE50" s="8"/>
      <c r="AF50" s="87" t="s">
        <v>385</v>
      </c>
      <c r="AG50" s="1041">
        <f>V51*(1/64)*PI()*(V52^4-V53^4)*200000</f>
        <v>1339009872.1404533</v>
      </c>
      <c r="AH50" s="1042"/>
      <c r="AI50" s="654">
        <f>AG50*48/V50^3</f>
        <v>1004.25740410534</v>
      </c>
      <c r="AJ50" s="8"/>
      <c r="AK50" s="8"/>
      <c r="AL50" s="85"/>
    </row>
    <row r="51" spans="1:38" ht="14.4">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4">
        <v>1</v>
      </c>
      <c r="W51" s="1025"/>
      <c r="X51" s="8" t="s">
        <v>387</v>
      </c>
      <c r="Y51" s="8"/>
      <c r="Z51" s="8"/>
      <c r="AA51" s="8"/>
      <c r="AB51" s="8"/>
      <c r="AC51" s="8"/>
      <c r="AD51" s="8"/>
      <c r="AE51" s="8"/>
      <c r="AF51" s="87" t="s">
        <v>388</v>
      </c>
      <c r="AG51" s="1041">
        <f>IF(AG46&gt;0,(AG46*V50^3)/48,AG50)</f>
        <v>1339009872.1404533</v>
      </c>
      <c r="AH51" s="1042"/>
      <c r="AI51" s="654">
        <f>AG51*48/V50^3</f>
        <v>1004.25740410534</v>
      </c>
      <c r="AJ51" s="305">
        <f>100*AG51/AG50</f>
        <v>100</v>
      </c>
      <c r="AK51" s="8" t="s">
        <v>389</v>
      </c>
      <c r="AL51" s="85"/>
    </row>
    <row r="52" spans="1:38" ht="15">
      <c r="A52" s="86" t="s">
        <v>390</v>
      </c>
      <c r="B52" s="10"/>
      <c r="C52" s="10"/>
      <c r="D52" s="10"/>
      <c r="E52" s="10"/>
      <c r="F52" s="10"/>
      <c r="G52" s="10"/>
      <c r="H52" s="10"/>
      <c r="I52" s="10"/>
      <c r="J52" s="10"/>
      <c r="K52" s="10"/>
      <c r="L52" s="10"/>
      <c r="M52" s="10"/>
      <c r="N52" s="10"/>
      <c r="O52" s="10"/>
      <c r="P52" s="10"/>
      <c r="Q52" s="10"/>
      <c r="R52" s="10"/>
      <c r="S52" s="11"/>
      <c r="T52" s="9"/>
      <c r="U52" s="87" t="s">
        <v>391</v>
      </c>
      <c r="V52" s="1024">
        <v>25.4</v>
      </c>
      <c r="W52" s="1025"/>
      <c r="X52" s="8" t="s">
        <v>392</v>
      </c>
      <c r="Y52" s="8"/>
      <c r="Z52" s="8"/>
      <c r="AA52" s="8"/>
      <c r="AB52" s="8"/>
      <c r="AC52" s="8"/>
      <c r="AD52" s="8"/>
      <c r="AE52" s="8"/>
      <c r="AF52" s="87" t="s">
        <v>393</v>
      </c>
      <c r="AG52" s="1045">
        <f>IF(AJ51&lt;75,0,IF(AG51&gt;=AG50,0,(AI51^-1-AI50^-1)^-1))</f>
        <v>0</v>
      </c>
      <c r="AH52" s="1046"/>
      <c r="AI52" s="8"/>
      <c r="AJ52" s="8"/>
      <c r="AK52" s="8"/>
      <c r="AL52" s="85"/>
    </row>
    <row r="53" spans="1:38" ht="12.75" customHeight="1">
      <c r="A53" s="9"/>
      <c r="B53" s="88" t="s">
        <v>383</v>
      </c>
      <c r="C53" s="1012">
        <v>400</v>
      </c>
      <c r="D53" s="1013"/>
      <c r="E53" s="8" t="s">
        <v>394</v>
      </c>
      <c r="F53" s="10"/>
      <c r="G53" s="10"/>
      <c r="H53" s="10"/>
      <c r="I53" s="10"/>
      <c r="J53" s="10"/>
      <c r="K53" s="10"/>
      <c r="L53" s="10"/>
      <c r="M53" s="10"/>
      <c r="N53" s="10"/>
      <c r="O53" s="10"/>
      <c r="P53" s="10"/>
      <c r="Q53" s="10"/>
      <c r="R53" s="10"/>
      <c r="S53" s="11"/>
      <c r="T53" s="9"/>
      <c r="U53" s="87" t="s">
        <v>395</v>
      </c>
      <c r="V53" s="1024">
        <v>23</v>
      </c>
      <c r="W53" s="1025"/>
      <c r="X53" s="8" t="s">
        <v>396</v>
      </c>
      <c r="Y53" s="8"/>
      <c r="Z53" s="8"/>
      <c r="AA53" s="8"/>
      <c r="AB53" s="8"/>
      <c r="AC53" s="8"/>
      <c r="AD53" s="8"/>
      <c r="AE53" s="8"/>
      <c r="AF53" s="8"/>
      <c r="AG53" s="8"/>
      <c r="AH53" s="8"/>
      <c r="AI53" s="8"/>
      <c r="AJ53" s="8"/>
      <c r="AK53" s="8"/>
      <c r="AL53" s="85"/>
    </row>
    <row r="54" spans="1:38">
      <c r="A54" s="1022" t="s">
        <v>397</v>
      </c>
      <c r="B54" s="1023"/>
      <c r="C54" s="1012"/>
      <c r="D54" s="1013"/>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2" t="s">
        <v>399</v>
      </c>
      <c r="B55" s="1023"/>
      <c r="C55" s="1024"/>
      <c r="D55" s="1025"/>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2" t="s">
        <v>401</v>
      </c>
      <c r="B56" s="1023"/>
      <c r="C56" s="1024"/>
      <c r="D56" s="1025"/>
      <c r="E56" s="8" t="s">
        <v>76</v>
      </c>
      <c r="F56" s="8"/>
      <c r="G56" s="8"/>
      <c r="H56" s="8"/>
      <c r="I56" s="8"/>
      <c r="J56" s="8"/>
      <c r="K56" s="8"/>
      <c r="L56" s="8"/>
      <c r="M56" s="8"/>
      <c r="N56" s="8"/>
      <c r="O56" s="10"/>
      <c r="P56" s="10"/>
      <c r="Q56" s="10"/>
      <c r="R56" s="10"/>
      <c r="S56" s="11"/>
      <c r="T56" s="9"/>
      <c r="U56" s="1040" t="str">
        <f>IF(AND(0&lt;$AJ$51,$AJ$51&lt;75),"Rig compliance out of normal bounds, perform and document another rig compliance test!","")</f>
        <v/>
      </c>
      <c r="V56" s="1040"/>
      <c r="W56" s="1040"/>
      <c r="X56" s="1040"/>
      <c r="Y56" s="1040"/>
      <c r="Z56" s="1040"/>
      <c r="AA56" s="1040"/>
      <c r="AB56" s="1040"/>
      <c r="AC56" s="1040"/>
      <c r="AD56" s="1040"/>
      <c r="AE56" s="1040"/>
      <c r="AF56" s="1040"/>
      <c r="AG56" s="1040"/>
      <c r="AH56" s="1040"/>
      <c r="AI56" s="1040"/>
      <c r="AJ56" s="1040"/>
      <c r="AK56" s="1040"/>
      <c r="AL56" s="85"/>
    </row>
    <row r="57" spans="1:38" ht="15.75" customHeight="1">
      <c r="A57" s="1022" t="s">
        <v>402</v>
      </c>
      <c r="B57" s="1023"/>
      <c r="C57" s="1024"/>
      <c r="D57" s="1025"/>
      <c r="E57" s="8" t="s">
        <v>77</v>
      </c>
      <c r="F57" s="8"/>
      <c r="G57" s="8"/>
      <c r="H57" s="8"/>
      <c r="I57" s="8"/>
      <c r="J57" s="8"/>
      <c r="K57" s="8"/>
      <c r="L57" s="8"/>
      <c r="M57" s="8"/>
      <c r="N57" s="8"/>
      <c r="O57" s="10"/>
      <c r="P57" s="10"/>
      <c r="Q57" s="10"/>
      <c r="R57" s="10"/>
      <c r="S57" s="11"/>
      <c r="T57" s="9"/>
      <c r="U57" s="1040"/>
      <c r="V57" s="1040"/>
      <c r="W57" s="1040"/>
      <c r="X57" s="1040"/>
      <c r="Y57" s="1040"/>
      <c r="Z57" s="1040"/>
      <c r="AA57" s="1040"/>
      <c r="AB57" s="1040"/>
      <c r="AC57" s="1040"/>
      <c r="AD57" s="1040"/>
      <c r="AE57" s="1040"/>
      <c r="AF57" s="1040"/>
      <c r="AG57" s="1040"/>
      <c r="AH57" s="1040"/>
      <c r="AI57" s="1040"/>
      <c r="AJ57" s="1040"/>
      <c r="AK57" s="1040"/>
      <c r="AL57" s="85"/>
    </row>
    <row r="58" spans="1:38" ht="14.4">
      <c r="A58" s="90"/>
      <c r="B58" s="87" t="s">
        <v>403</v>
      </c>
      <c r="C58" s="1031">
        <f>(C54*(((C55+C56+C57)^3)-(C55^3)))/12</f>
        <v>0</v>
      </c>
      <c r="D58" s="1032"/>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c r="A60" s="91"/>
      <c r="B60" s="92" t="s">
        <v>407</v>
      </c>
      <c r="C60" s="1029" t="e">
        <f>C50*C53*0.5*SUM(C55:D57)/(4*C58)</f>
        <v>#DIV/0!</v>
      </c>
      <c r="D60" s="1030"/>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2.8">
      <c r="A65" s="148"/>
      <c r="B65" s="581"/>
      <c r="C65" s="824" t="s">
        <v>412</v>
      </c>
      <c r="D65" s="825" t="s">
        <v>413</v>
      </c>
      <c r="F65" s="104"/>
      <c r="G65" s="104"/>
      <c r="H65" s="1049"/>
      <c r="I65" s="1049"/>
      <c r="J65" s="717"/>
      <c r="K65" s="717"/>
      <c r="L65" s="717"/>
      <c r="M65" s="717"/>
      <c r="N65" s="717"/>
      <c r="O65" s="104"/>
      <c r="P65" s="104"/>
      <c r="Q65" s="104"/>
      <c r="R65" s="104"/>
      <c r="S65" s="149"/>
      <c r="T65" s="148"/>
      <c r="U65" s="581"/>
      <c r="V65" s="824" t="s">
        <v>412</v>
      </c>
      <c r="W65" s="825" t="s">
        <v>413</v>
      </c>
      <c r="Y65" s="104"/>
      <c r="Z65" s="104"/>
      <c r="AA65" s="1050"/>
      <c r="AB65" s="1050"/>
      <c r="AC65" s="104"/>
      <c r="AD65" s="104"/>
      <c r="AE65" s="104"/>
      <c r="AF65" s="104"/>
      <c r="AG65" s="104"/>
      <c r="AH65" s="104"/>
      <c r="AI65" s="104"/>
      <c r="AJ65" s="104"/>
      <c r="AK65" s="104"/>
      <c r="AL65" s="149"/>
    </row>
    <row r="66" spans="1:38" ht="14.4">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AJ51">
    <cfRule type="cellIs" dxfId="293" priority="1" stopIfTrue="1" operator="greaterThanOrEqual">
      <formula>100</formula>
    </cfRule>
    <cfRule type="cellIs" dxfId="292" priority="2" stopIfTrue="1" operator="lessThan">
      <formula>75</formula>
    </cfRule>
    <cfRule type="cellIs" dxfId="291"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18" zoomScaleNormal="100" zoomScaleSheetLayoutView="100" workbookViewId="0">
      <selection sqref="A1:S1"/>
    </sheetView>
  </sheetViews>
  <sheetFormatPr baseColWidth="10" defaultColWidth="11.44140625" defaultRowHeight="13.2"/>
  <cols>
    <col min="1" max="38" width="5" customWidth="1"/>
  </cols>
  <sheetData>
    <row r="1" spans="1:41">
      <c r="A1" s="943" t="s">
        <v>434</v>
      </c>
      <c r="B1" s="943"/>
      <c r="C1" s="943"/>
      <c r="D1" s="943"/>
      <c r="E1" s="943"/>
      <c r="F1" s="943"/>
      <c r="G1" s="943"/>
      <c r="H1" s="943"/>
      <c r="I1" s="943"/>
      <c r="J1" s="943"/>
      <c r="K1" s="943"/>
      <c r="L1" s="943"/>
      <c r="M1" s="943"/>
      <c r="N1" s="943"/>
      <c r="O1" s="943"/>
      <c r="P1" s="943"/>
      <c r="Q1" s="943"/>
      <c r="R1" s="943"/>
      <c r="S1" s="943"/>
      <c r="T1" s="943" t="s">
        <v>434</v>
      </c>
      <c r="U1" s="943"/>
      <c r="V1" s="943"/>
      <c r="W1" s="943"/>
      <c r="X1" s="943"/>
      <c r="Y1" s="943"/>
      <c r="Z1" s="943"/>
      <c r="AA1" s="943"/>
      <c r="AB1" s="943"/>
      <c r="AC1" s="943"/>
      <c r="AD1" s="943"/>
      <c r="AE1" s="943"/>
      <c r="AF1" s="943"/>
      <c r="AG1" s="943"/>
      <c r="AH1" s="943"/>
      <c r="AI1" s="943"/>
      <c r="AJ1" s="943"/>
      <c r="AK1" s="943"/>
      <c r="AL1" s="943"/>
    </row>
    <row r="2" spans="1:41">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977"/>
      <c r="AM3" s="763" t="s">
        <v>330</v>
      </c>
    </row>
    <row r="5" spans="1:41"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14" t="s">
        <v>442</v>
      </c>
      <c r="B48" s="1015"/>
      <c r="C48" s="1059"/>
      <c r="D48" s="1012"/>
      <c r="E48" s="1013"/>
      <c r="F48" s="229" t="s">
        <v>443</v>
      </c>
      <c r="G48" s="634"/>
      <c r="H48" s="8"/>
      <c r="I48" s="10"/>
      <c r="J48" s="10"/>
      <c r="K48" s="10"/>
      <c r="L48" s="10"/>
      <c r="M48" s="10"/>
      <c r="N48" s="10"/>
      <c r="O48" s="10"/>
      <c r="P48" s="10"/>
      <c r="Q48" s="10"/>
      <c r="R48" s="10"/>
      <c r="S48" s="11"/>
      <c r="T48" s="1014" t="s">
        <v>442</v>
      </c>
      <c r="U48" s="1015"/>
      <c r="V48" s="1059"/>
      <c r="W48" s="1060"/>
      <c r="X48" s="1061"/>
      <c r="Y48" s="229" t="s">
        <v>444</v>
      </c>
      <c r="Z48" s="634"/>
      <c r="AA48" s="8"/>
      <c r="AB48" s="10"/>
      <c r="AC48" s="10"/>
      <c r="AD48" s="10"/>
      <c r="AE48" s="10"/>
      <c r="AF48" s="10"/>
      <c r="AG48" s="10"/>
      <c r="AH48" s="10"/>
      <c r="AI48" s="10"/>
      <c r="AJ48" s="10"/>
      <c r="AK48" s="10"/>
      <c r="AL48" s="11"/>
    </row>
    <row r="49" spans="1:38" ht="12.75" customHeight="1">
      <c r="A49" s="1014" t="s">
        <v>445</v>
      </c>
      <c r="B49" s="1015"/>
      <c r="C49" s="1015"/>
      <c r="D49" s="1012"/>
      <c r="E49" s="1013"/>
      <c r="F49" s="1009" t="str">
        <f>IF(D49&gt;=4000,"PASS","FAIL")</f>
        <v>FAIL</v>
      </c>
      <c r="G49" s="1011"/>
      <c r="H49" s="8"/>
      <c r="I49" s="10"/>
      <c r="J49" s="10"/>
      <c r="K49" s="10"/>
      <c r="L49" s="10"/>
      <c r="M49" s="10"/>
      <c r="N49" s="10"/>
      <c r="O49" s="10"/>
      <c r="P49" s="10"/>
      <c r="Q49" s="10"/>
      <c r="R49" s="10"/>
      <c r="S49" s="11"/>
      <c r="T49" s="1014" t="s">
        <v>445</v>
      </c>
      <c r="U49" s="1015"/>
      <c r="V49" s="1015"/>
      <c r="W49" s="1060"/>
      <c r="X49" s="1061"/>
      <c r="Y49" s="1009" t="str">
        <f>IF(W49&gt;=7500,"PASS","FAIL")</f>
        <v>FAIL</v>
      </c>
      <c r="Z49" s="1011"/>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23" t="s">
        <v>447</v>
      </c>
      <c r="C52" s="1065"/>
      <c r="D52" s="1066"/>
      <c r="E52" s="1067"/>
      <c r="F52" s="8"/>
      <c r="G52" s="8"/>
      <c r="H52" s="8"/>
      <c r="I52" s="8"/>
      <c r="J52" s="8"/>
      <c r="K52" s="8"/>
      <c r="L52" s="8"/>
      <c r="M52" s="8"/>
      <c r="N52" s="8"/>
      <c r="O52" s="10"/>
      <c r="P52" s="10"/>
      <c r="Q52" s="10"/>
      <c r="R52" s="10"/>
      <c r="S52" s="11"/>
      <c r="U52" s="1023" t="s">
        <v>447</v>
      </c>
      <c r="V52" s="1065"/>
      <c r="W52" s="1066"/>
      <c r="X52" s="1067"/>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2" t="s">
        <v>448</v>
      </c>
      <c r="B54" s="1063"/>
      <c r="C54" s="1064"/>
      <c r="D54" s="1068">
        <f>IF(D52&gt;0,D48/(PI()*25*D52),0)</f>
        <v>0</v>
      </c>
      <c r="E54" s="1069"/>
      <c r="F54" s="8" t="s">
        <v>449</v>
      </c>
      <c r="G54" s="8"/>
      <c r="H54" s="8"/>
      <c r="I54" s="8"/>
      <c r="J54" s="8"/>
      <c r="K54" s="8"/>
      <c r="L54" s="8"/>
      <c r="M54" s="8"/>
      <c r="N54" s="8"/>
      <c r="O54" s="8"/>
      <c r="P54" s="10"/>
      <c r="Q54" s="10"/>
      <c r="R54" s="10"/>
      <c r="S54" s="11"/>
      <c r="T54" s="1062" t="s">
        <v>448</v>
      </c>
      <c r="U54" s="1063"/>
      <c r="V54" s="1064"/>
      <c r="W54" s="1068">
        <f>IF(W52&gt;0,W48/(PI()*25*W52),0)</f>
        <v>0</v>
      </c>
      <c r="X54" s="1069"/>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2.8">
      <c r="A60" s="148"/>
      <c r="B60" s="581"/>
      <c r="C60" s="824" t="s">
        <v>412</v>
      </c>
      <c r="D60" s="825" t="s">
        <v>413</v>
      </c>
      <c r="F60" s="104"/>
      <c r="G60" s="104"/>
      <c r="H60" s="1050"/>
      <c r="I60" s="1050"/>
      <c r="J60" s="104"/>
      <c r="K60" s="104"/>
      <c r="L60" s="104"/>
      <c r="M60" s="104"/>
      <c r="N60" s="104"/>
      <c r="O60" s="104"/>
      <c r="P60" s="104"/>
      <c r="Q60" s="104"/>
      <c r="R60" s="104"/>
      <c r="S60" s="149"/>
      <c r="T60" s="148"/>
      <c r="U60" s="581"/>
      <c r="V60" s="824" t="s">
        <v>412</v>
      </c>
      <c r="W60" s="825" t="s">
        <v>413</v>
      </c>
      <c r="Y60" s="104"/>
      <c r="Z60" s="104"/>
      <c r="AA60" s="1050"/>
      <c r="AB60" s="1050"/>
      <c r="AC60" s="104"/>
      <c r="AD60" s="104"/>
      <c r="AE60" s="104"/>
      <c r="AF60" s="104"/>
      <c r="AG60" s="104"/>
      <c r="AH60" s="104"/>
      <c r="AI60" s="104"/>
      <c r="AJ60" s="104"/>
      <c r="AK60" s="104"/>
      <c r="AL60" s="149"/>
    </row>
    <row r="61" spans="1:38" ht="14.4">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290" priority="1" stopIfTrue="1">
      <formula>$D$49&lt;4000</formula>
    </cfRule>
    <cfRule type="expression" dxfId="289" priority="2" stopIfTrue="1">
      <formula>$D$49&gt;=4000</formula>
    </cfRule>
  </conditionalFormatting>
  <conditionalFormatting sqref="Y49:Z49">
    <cfRule type="expression" dxfId="288" priority="3" stopIfTrue="1">
      <formula>$W$49&lt;7500</formula>
    </cfRule>
    <cfRule type="expression" dxfId="287"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topLeftCell="A31" zoomScaleNormal="100" zoomScaleSheetLayoutView="100" workbookViewId="0">
      <selection activeCell="D48" sqref="D48:E48"/>
    </sheetView>
  </sheetViews>
  <sheetFormatPr baseColWidth="10" defaultColWidth="11.44140625" defaultRowHeight="13.2"/>
  <cols>
    <col min="1" max="19" width="5" style="123" customWidth="1"/>
    <col min="20" max="16384" width="11.44140625" style="123"/>
  </cols>
  <sheetData>
    <row r="1" spans="1:22">
      <c r="A1" s="1075" t="s">
        <v>450</v>
      </c>
      <c r="B1" s="1075"/>
      <c r="C1" s="1075"/>
      <c r="D1" s="1075"/>
      <c r="E1" s="1075"/>
      <c r="F1" s="1075"/>
      <c r="G1" s="1075"/>
      <c r="H1" s="1075"/>
      <c r="I1" s="1075"/>
      <c r="J1" s="1075"/>
      <c r="K1" s="1075"/>
      <c r="L1" s="1075"/>
      <c r="M1" s="1075"/>
      <c r="N1" s="1075"/>
      <c r="O1" s="1075"/>
      <c r="P1" s="1075"/>
      <c r="Q1" s="1075"/>
      <c r="R1" s="1075"/>
      <c r="S1" s="1075"/>
    </row>
    <row r="2" spans="1:22">
      <c r="T2" s="164" t="s">
        <v>249</v>
      </c>
      <c r="U2" s="164"/>
      <c r="V2" s="164"/>
    </row>
    <row r="3" spans="1:22">
      <c r="A3" t="s">
        <v>48</v>
      </c>
      <c r="B3"/>
      <c r="C3"/>
      <c r="D3" s="977" t="str">
        <f>IF('Cover Sheet'!$D$14&gt;0,'Cover Sheet'!$D$14,"")</f>
        <v>Ecole Centrale Lyon</v>
      </c>
      <c r="E3" s="977"/>
      <c r="F3" s="977"/>
      <c r="G3" s="977"/>
      <c r="H3" s="977"/>
      <c r="I3" s="977"/>
      <c r="J3" s="977"/>
      <c r="K3" t="s">
        <v>49</v>
      </c>
      <c r="L3"/>
      <c r="M3"/>
      <c r="N3"/>
      <c r="O3" s="977" t="str">
        <f>IF('Cover Sheet'!$O$14&gt;0,'Cover Sheet'!$O$14,"")</f>
        <v>81 FSCH</v>
      </c>
      <c r="P3" s="977"/>
      <c r="Q3" s="977"/>
      <c r="R3" s="977"/>
      <c r="S3" s="977"/>
      <c r="T3" s="763" t="s">
        <v>330</v>
      </c>
    </row>
    <row r="5" spans="1:22" ht="12.75" customHeight="1">
      <c r="A5" s="1053"/>
      <c r="B5" s="1054"/>
      <c r="C5" s="1054"/>
      <c r="D5" s="1054"/>
      <c r="E5" s="1054"/>
      <c r="F5" s="1054"/>
      <c r="G5" s="1054"/>
      <c r="H5" s="1054"/>
      <c r="I5" s="1054"/>
      <c r="J5" s="1054"/>
      <c r="K5" s="1054"/>
      <c r="L5" s="1054"/>
      <c r="M5" s="1054"/>
      <c r="N5" s="1054"/>
      <c r="O5" s="1054"/>
      <c r="P5" s="1054"/>
      <c r="Q5" s="1054"/>
      <c r="R5" s="1054"/>
      <c r="S5" s="1055"/>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6" t="s">
        <v>378</v>
      </c>
      <c r="B48" s="1077"/>
      <c r="C48" s="1078"/>
      <c r="D48" s="1079"/>
      <c r="E48" s="1080"/>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1" t="s">
        <v>447</v>
      </c>
      <c r="C51" s="1082"/>
      <c r="D51" s="1083"/>
      <c r="E51" s="1084"/>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0" t="s">
        <v>448</v>
      </c>
      <c r="B53" s="1071"/>
      <c r="C53" s="1072"/>
      <c r="D53" s="1073">
        <f>IF(D51&gt;0,D48/(PI()*25*D51),0)</f>
        <v>0</v>
      </c>
      <c r="E53" s="1074"/>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2.8">
      <c r="A59" s="148"/>
      <c r="B59" s="581"/>
      <c r="C59" s="824" t="s">
        <v>412</v>
      </c>
      <c r="D59" s="825" t="s">
        <v>413</v>
      </c>
      <c r="E59"/>
      <c r="F59" s="104"/>
      <c r="G59" s="104"/>
      <c r="H59" s="1050"/>
      <c r="I59" s="1050"/>
      <c r="J59" s="104"/>
      <c r="K59" s="104"/>
      <c r="L59" s="104"/>
      <c r="M59" s="104"/>
      <c r="N59" s="104"/>
      <c r="O59" s="104"/>
      <c r="P59" s="104"/>
      <c r="Q59" s="104"/>
      <c r="R59" s="104"/>
      <c r="S59" s="149"/>
    </row>
    <row r="60" spans="1:19" ht="14.4">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6">
      <c r="B1" s="1" t="s">
        <v>455</v>
      </c>
      <c r="N1" s="1"/>
    </row>
    <row r="2" spans="2:32">
      <c r="C2" s="43"/>
      <c r="D2" s="43"/>
    </row>
    <row r="3" spans="2:32">
      <c r="B3" t="s">
        <v>456</v>
      </c>
      <c r="C3" s="103">
        <v>2</v>
      </c>
      <c r="D3" s="3"/>
      <c r="E3" s="164"/>
      <c r="F3" s="141"/>
      <c r="M3" s="164" t="s">
        <v>249</v>
      </c>
      <c r="N3" s="141"/>
      <c r="O3" s="164"/>
      <c r="P3" s="164"/>
    </row>
    <row r="4" spans="2:32">
      <c r="B4" s="141" t="s">
        <v>457</v>
      </c>
      <c r="C4" s="103" t="s">
        <v>323</v>
      </c>
      <c r="D4" s="3"/>
    </row>
    <row r="5" spans="2:32">
      <c r="C5" s="64"/>
      <c r="D5" s="3"/>
    </row>
    <row r="6" spans="2:32">
      <c r="B6" s="15"/>
      <c r="C6" s="340"/>
      <c r="D6" s="341"/>
      <c r="E6" s="58"/>
      <c r="F6" s="2"/>
      <c r="G6" s="1085" t="s">
        <v>458</v>
      </c>
      <c r="H6" s="1086"/>
      <c r="I6" s="767" t="s">
        <v>459</v>
      </c>
      <c r="J6" s="768"/>
      <c r="K6" s="341" t="s">
        <v>459</v>
      </c>
      <c r="L6" s="136"/>
    </row>
    <row r="7" spans="2:32">
      <c r="B7" s="15"/>
      <c r="C7" s="342" t="s">
        <v>460</v>
      </c>
      <c r="D7" s="343"/>
      <c r="E7" s="261" t="s">
        <v>461</v>
      </c>
      <c r="F7" s="79"/>
      <c r="G7" s="1087"/>
      <c r="H7" s="1088"/>
      <c r="I7" s="769" t="s">
        <v>462</v>
      </c>
      <c r="J7" s="770"/>
      <c r="K7" s="766" t="s">
        <v>463</v>
      </c>
      <c r="L7" s="81"/>
    </row>
    <row r="8" spans="2:32">
      <c r="B8" s="41" t="s">
        <v>464</v>
      </c>
      <c r="C8" s="1102" t="str">
        <f>IF(AND(D10="PASS",D11="PASS",D14="PASS",D15="PASS",D26="PASS",D18="PASS",D27="PASS", D28="pass"),"PASS","FAIL")</f>
        <v>FAIL</v>
      </c>
      <c r="D8" s="1103"/>
      <c r="E8" s="1102" t="str">
        <f>IF(AND(F10="PASS",F11="PASS",F12="PASS",F14="PASS",F15="PASS",F26="PASS",F18="PASS",F27="PASS",F28="pass"),"PASS","FAIL")</f>
        <v>FAIL</v>
      </c>
      <c r="F8" s="1103"/>
      <c r="G8" s="1089" t="str">
        <f>IF(C4="YES",IF(AND(H10="PASS",H11="PASS",H14="PASS",H15="PASS",H26="PASS",H18="PASS",H27="PASS"),"PASS","FAIL"),"N/A")</f>
        <v>FAIL</v>
      </c>
      <c r="H8" s="1090"/>
      <c r="I8" s="1104" t="str">
        <f>IF($C$3&lt;=2,"N/A",IF(AND(J10="PASS",J11="PASS",J14="PASS",J15="PASS",J26="PASS",J18="PASS",J27="PASS",J28="pass"),"PASS","FAIL"))</f>
        <v>N/A</v>
      </c>
      <c r="J8" s="1105"/>
      <c r="K8" s="1102" t="str">
        <f>IF($C$3&lt;=3,"N/A",IF(AND(L10="PASS",L11="PASS",L14="PASS",L15="PASS",L26="PASS",L18="PASS",L27="PASS",L28="pass"),"PASS","FAIL"))</f>
        <v>N/A</v>
      </c>
      <c r="L8" s="1103"/>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1"/>
      <c r="H13" s="1092"/>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3" t="s">
        <v>484</v>
      </c>
      <c r="C29" s="1094"/>
      <c r="D29" s="1094"/>
      <c r="E29" s="1094"/>
      <c r="F29" s="1094"/>
      <c r="G29" s="1094"/>
      <c r="H29" s="1094"/>
      <c r="I29" s="1094"/>
      <c r="J29" s="1094"/>
      <c r="K29" s="1094"/>
      <c r="L29" s="1095"/>
      <c r="M29" s="323"/>
      <c r="N29" s="323"/>
      <c r="O29" s="26"/>
      <c r="P29" s="26"/>
      <c r="Q29" s="26"/>
      <c r="R29" s="26"/>
      <c r="S29" s="26"/>
      <c r="T29" s="26"/>
      <c r="U29" s="26"/>
      <c r="V29" s="26"/>
      <c r="W29" s="26"/>
      <c r="X29" s="26"/>
      <c r="Y29" s="26"/>
      <c r="Z29" s="26"/>
      <c r="AA29" s="26"/>
      <c r="AB29" s="26"/>
      <c r="AC29" s="26"/>
      <c r="AD29" s="26"/>
      <c r="AE29" s="26"/>
      <c r="AF29" s="27"/>
    </row>
    <row r="30" spans="2:32">
      <c r="B30" s="1096"/>
      <c r="C30" s="1097"/>
      <c r="D30" s="1097"/>
      <c r="E30" s="1097"/>
      <c r="F30" s="1097"/>
      <c r="G30" s="1097"/>
      <c r="H30" s="1097"/>
      <c r="I30" s="1097"/>
      <c r="J30" s="1097"/>
      <c r="K30" s="1097"/>
      <c r="L30" s="1098"/>
      <c r="M30" s="323"/>
      <c r="N30" s="776"/>
      <c r="O30" s="26"/>
      <c r="P30" s="26"/>
      <c r="Q30" s="26"/>
      <c r="R30" s="26"/>
      <c r="S30" s="26"/>
      <c r="T30" s="26"/>
      <c r="U30" s="26"/>
      <c r="V30" s="26"/>
      <c r="W30" s="26"/>
      <c r="X30" s="26"/>
      <c r="Y30" s="26"/>
      <c r="Z30" s="26"/>
      <c r="AA30" s="26"/>
      <c r="AB30" s="26"/>
      <c r="AC30" s="26"/>
      <c r="AD30" s="26"/>
      <c r="AE30" s="26"/>
      <c r="AF30" s="27"/>
    </row>
    <row r="31" spans="2:32">
      <c r="B31" s="1099"/>
      <c r="C31" s="1100"/>
      <c r="D31" s="1100"/>
      <c r="E31" s="1100"/>
      <c r="F31" s="1100"/>
      <c r="G31" s="1100"/>
      <c r="H31" s="1100"/>
      <c r="I31" s="1100"/>
      <c r="J31" s="1100"/>
      <c r="K31" s="1100"/>
      <c r="L31" s="1101"/>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D10:D11 D18 C8 F10:H12 E8 J10:J11 L10:L11 F14:H15 J14:J15 L14:L15 D14:D15 D26:D28 F26:H28 J26:J28 L26:L28">
    <cfRule type="expression" dxfId="286" priority="17" stopIfTrue="1">
      <formula>C8="PASS"</formula>
    </cfRule>
    <cfRule type="expression" dxfId="285" priority="18" stopIfTrue="1">
      <formula>C8="FAIL"</formula>
    </cfRule>
  </conditionalFormatting>
  <conditionalFormatting sqref="G8:I8 K8">
    <cfRule type="expression" dxfId="284" priority="19" stopIfTrue="1">
      <formula>G8="PASS"</formula>
    </cfRule>
    <cfRule type="expression" dxfId="283" priority="20" stopIfTrue="1">
      <formula>G8="FAIL"</formula>
    </cfRule>
    <cfRule type="expression" dxfId="282" priority="21" stopIfTrue="1">
      <formula>G8="N/A"</formula>
    </cfRule>
  </conditionalFormatting>
  <conditionalFormatting sqref="F18:H18">
    <cfRule type="expression" dxfId="281" priority="15" stopIfTrue="1">
      <formula>F18="PASS"</formula>
    </cfRule>
    <cfRule type="expression" dxfId="280" priority="16" stopIfTrue="1">
      <formula>F18="FAIL"</formula>
    </cfRule>
  </conditionalFormatting>
  <conditionalFormatting sqref="J18">
    <cfRule type="expression" dxfId="279" priority="13" stopIfTrue="1">
      <formula>J18="PASS"</formula>
    </cfRule>
    <cfRule type="expression" dxfId="278" priority="14" stopIfTrue="1">
      <formula>J18="FAIL"</formula>
    </cfRule>
  </conditionalFormatting>
  <conditionalFormatting sqref="L18">
    <cfRule type="expression" dxfId="277" priority="11" stopIfTrue="1">
      <formula>L18="PASS"</formula>
    </cfRule>
    <cfRule type="expression" dxfId="276" priority="12" stopIfTrue="1">
      <formula>L18="FAIL"</formula>
    </cfRule>
  </conditionalFormatting>
  <conditionalFormatting sqref="H10:H11 H14:H15 H18 H26:H28">
    <cfRule type="expression" dxfId="275" priority="1" stopIfTrue="1">
      <formula>H10="PASS"</formula>
    </cfRule>
    <cfRule type="expression" dxfId="274" priority="2" stopIfTrue="1">
      <formula>H10="FAIL"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workbookViewId="0"/>
  </sheetViews>
  <sheetFormatPr baseColWidth="10" defaultColWidth="11.44140625" defaultRowHeight="13.2"/>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6">
      <c r="B1" s="1" t="s">
        <v>486</v>
      </c>
    </row>
    <row r="2" spans="2:31">
      <c r="C2" s="43"/>
      <c r="D2" s="43"/>
    </row>
    <row r="3" spans="2:31">
      <c r="B3" t="s">
        <v>456</v>
      </c>
      <c r="C3" s="103">
        <v>3</v>
      </c>
      <c r="D3" s="3"/>
      <c r="M3" s="164" t="s">
        <v>249</v>
      </c>
      <c r="N3" s="164"/>
      <c r="O3" s="164"/>
    </row>
    <row r="4" spans="2:31">
      <c r="B4" t="s">
        <v>487</v>
      </c>
      <c r="C4" s="103" t="s">
        <v>182</v>
      </c>
      <c r="D4" s="3"/>
    </row>
    <row r="6" spans="2:31">
      <c r="C6" s="1109" t="s">
        <v>460</v>
      </c>
      <c r="D6" s="1110"/>
      <c r="E6" s="1109" t="s">
        <v>461</v>
      </c>
      <c r="F6" s="1113"/>
      <c r="G6" s="1109" t="s">
        <v>488</v>
      </c>
      <c r="H6" s="1110"/>
      <c r="I6" s="767" t="s">
        <v>459</v>
      </c>
      <c r="J6" s="782"/>
      <c r="K6" s="780" t="s">
        <v>459</v>
      </c>
      <c r="L6" s="734"/>
      <c r="M6" s="3"/>
      <c r="N6" s="3"/>
    </row>
    <row r="7" spans="2:31">
      <c r="C7" s="1111"/>
      <c r="D7" s="1112"/>
      <c r="E7" s="1111"/>
      <c r="F7" s="1114"/>
      <c r="G7" s="1111"/>
      <c r="H7" s="1112"/>
      <c r="I7" s="769" t="s">
        <v>462</v>
      </c>
      <c r="J7" s="783"/>
      <c r="K7" s="781" t="s">
        <v>463</v>
      </c>
      <c r="L7" s="735"/>
      <c r="M7" s="3"/>
      <c r="N7" s="3"/>
    </row>
    <row r="8" spans="2:31" ht="12.75" customHeight="1">
      <c r="B8" s="57" t="s">
        <v>464</v>
      </c>
      <c r="C8" s="1102" t="str">
        <f>IF($C$3=0,"LAMINATED",IF(AND(D10="PASS",D11="PASS",D14="PASS",D15="PASS",D26="PASS",D18="PASS",D27="PASS",D28="pass"),"PASS","FAIL"))</f>
        <v>FAIL</v>
      </c>
      <c r="D8" s="1103"/>
      <c r="E8" s="1102" t="str">
        <f>IF($C$3=0,"LAMINATED",IF(AND(F10="PASS",F11="PASS",F12="PASS",F14="PASS",F15="PASS",F26="PASS",F18="PASS",F27="PASS",F28="pass"),"PASS","FAIL"))</f>
        <v>FAIL</v>
      </c>
      <c r="F8" s="1103"/>
      <c r="G8" s="1102" t="str">
        <f>IF($C$3=0,"LAMINATED",IF(AND(H10="PASS",H11="PASS",H12="PASS",H14="PASS",H15="PASS",H26="PASS",H18="PASS",H27="PASS",H28="pass"),"PASS","FAIL"))</f>
        <v>FAIL</v>
      </c>
      <c r="H8" s="1103"/>
      <c r="I8" s="1089" t="str">
        <f>IF($C$3&lt;=3,"N/A",IF(AND(J10="PASS",J11="PASS",J14="PASS",J15="PASS",J26="PASS",J18="PASS",J27="PASS",J28="pass"),"PASS","FAIL"))</f>
        <v>N/A</v>
      </c>
      <c r="J8" s="1115"/>
      <c r="K8" s="1089" t="str">
        <f>IF($C$3&lt;=4,"N/A",IF(AND(L10="PASS",L11="PASS",L14="PASS",L15="PASS",L26="PASS",L18="PASS",L27="PASS",L28="pass"),"PASS","FAIL"))</f>
        <v>N/A</v>
      </c>
      <c r="L8" s="1115"/>
      <c r="M8" s="779"/>
      <c r="N8" s="779"/>
      <c r="O8" s="20"/>
      <c r="P8" s="20"/>
      <c r="Q8" s="20"/>
      <c r="R8" s="20"/>
      <c r="S8" s="20"/>
      <c r="T8" s="20"/>
      <c r="U8" s="20"/>
      <c r="V8" s="20"/>
      <c r="W8" s="20"/>
      <c r="X8" s="20"/>
      <c r="Y8" s="20"/>
      <c r="Z8" s="20"/>
      <c r="AA8" s="20"/>
      <c r="AB8" s="20"/>
      <c r="AC8" s="20"/>
      <c r="AD8" s="20"/>
      <c r="AE8" s="21"/>
    </row>
    <row r="9" spans="2:31" ht="12.75" customHeight="1">
      <c r="B9" s="4"/>
      <c r="C9" s="1116"/>
      <c r="D9" s="1117"/>
      <c r="E9" s="1116"/>
      <c r="F9" s="1117"/>
      <c r="G9" s="1116"/>
      <c r="H9" s="1117"/>
      <c r="I9" s="1116"/>
      <c r="J9" s="1117"/>
      <c r="K9" s="1091"/>
      <c r="L9" s="1106"/>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8"/>
      <c r="D12" s="1119"/>
      <c r="E12" s="25"/>
      <c r="F12" s="60" t="str">
        <f>IF(OR(E12&gt;=50,E12=""),"FAIL","PASS")</f>
        <v>FAIL</v>
      </c>
      <c r="G12" s="1118"/>
      <c r="H12" s="1119"/>
      <c r="I12" s="1118"/>
      <c r="J12" s="1119"/>
      <c r="K12" s="1118"/>
      <c r="L12" s="1119"/>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7"/>
      <c r="D13" s="1108"/>
      <c r="E13" s="1107"/>
      <c r="F13" s="1108"/>
      <c r="G13" s="1107"/>
      <c r="H13" s="1108"/>
      <c r="I13" s="1107"/>
      <c r="J13" s="1108"/>
      <c r="K13" s="1107"/>
      <c r="L13" s="1108"/>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3" t="s">
        <v>489</v>
      </c>
      <c r="C29" s="1094"/>
      <c r="D29" s="1094"/>
      <c r="E29" s="1094"/>
      <c r="F29" s="1094"/>
      <c r="G29" s="1094"/>
      <c r="H29" s="1094"/>
      <c r="I29" s="1094"/>
      <c r="J29" s="1094"/>
      <c r="K29" s="1094"/>
      <c r="L29" s="1095"/>
      <c r="M29" s="26"/>
      <c r="N29" s="26"/>
      <c r="O29" s="26"/>
      <c r="P29" s="26"/>
      <c r="Q29" s="26"/>
      <c r="R29" s="26"/>
      <c r="S29" s="26"/>
      <c r="T29" s="26"/>
      <c r="U29" s="26"/>
      <c r="V29" s="26"/>
      <c r="W29" s="26"/>
      <c r="X29" s="26"/>
      <c r="Y29" s="26"/>
      <c r="Z29" s="26"/>
      <c r="AA29" s="26"/>
      <c r="AB29" s="26"/>
      <c r="AC29" s="26"/>
      <c r="AD29" s="26"/>
      <c r="AE29" s="27"/>
    </row>
    <row r="30" spans="2:31">
      <c r="B30" s="1096"/>
      <c r="C30" s="1097"/>
      <c r="D30" s="1097"/>
      <c r="E30" s="1097"/>
      <c r="F30" s="1097"/>
      <c r="G30" s="1097"/>
      <c r="H30" s="1097"/>
      <c r="I30" s="1097"/>
      <c r="J30" s="1097"/>
      <c r="K30" s="1097"/>
      <c r="L30" s="1098"/>
      <c r="M30" s="26"/>
      <c r="N30" s="26"/>
      <c r="O30" s="26"/>
      <c r="P30" s="26"/>
      <c r="Q30" s="26"/>
      <c r="R30" s="26"/>
      <c r="S30" s="26"/>
      <c r="T30" s="26"/>
      <c r="U30" s="26"/>
      <c r="V30" s="26"/>
      <c r="W30" s="26"/>
      <c r="X30" s="26"/>
      <c r="Y30" s="26"/>
      <c r="Z30" s="26"/>
      <c r="AA30" s="26"/>
      <c r="AB30" s="26"/>
      <c r="AC30" s="26"/>
      <c r="AD30" s="26"/>
      <c r="AE30" s="27"/>
    </row>
    <row r="31" spans="2:31">
      <c r="B31" s="1099"/>
      <c r="C31" s="1100"/>
      <c r="D31" s="1100"/>
      <c r="E31" s="1100"/>
      <c r="F31" s="1100"/>
      <c r="G31" s="1100"/>
      <c r="H31" s="1100"/>
      <c r="I31" s="1100"/>
      <c r="J31" s="1100"/>
      <c r="K31" s="1100"/>
      <c r="L31" s="1101"/>
      <c r="M31" s="26"/>
      <c r="N31" s="26"/>
      <c r="O31" s="26"/>
      <c r="P31" s="26"/>
      <c r="Q31" s="26"/>
      <c r="R31" s="26"/>
      <c r="S31" s="26"/>
      <c r="T31" s="26"/>
      <c r="U31" s="26"/>
      <c r="V31" s="26"/>
      <c r="W31" s="26"/>
      <c r="X31" s="26"/>
      <c r="Y31" s="26"/>
      <c r="Z31" s="26"/>
      <c r="AA31" s="26"/>
      <c r="AB31" s="26"/>
      <c r="AC31" s="26"/>
      <c r="AD31" s="26"/>
      <c r="AE31" s="27"/>
    </row>
    <row r="32" spans="2:31" s="104" customFormat="1">
      <c r="B32" s="1096" t="s">
        <v>490</v>
      </c>
      <c r="C32" s="1097"/>
      <c r="D32" s="1097"/>
      <c r="E32" s="1097"/>
      <c r="F32" s="1097"/>
      <c r="G32" s="1097"/>
      <c r="H32" s="1097"/>
      <c r="I32" s="1097"/>
      <c r="J32" s="1097"/>
      <c r="K32" s="1097"/>
      <c r="L32" s="1098"/>
      <c r="M32" s="26"/>
      <c r="N32" s="26"/>
      <c r="O32" s="26"/>
      <c r="P32" s="26"/>
      <c r="Q32" s="26"/>
      <c r="R32" s="26"/>
      <c r="S32" s="26"/>
      <c r="T32" s="26"/>
      <c r="U32" s="26"/>
      <c r="V32" s="26"/>
      <c r="W32" s="26"/>
      <c r="X32" s="26"/>
      <c r="Y32" s="26"/>
      <c r="Z32" s="26"/>
      <c r="AA32" s="26"/>
      <c r="AB32" s="26"/>
      <c r="AC32" s="26"/>
      <c r="AD32" s="26"/>
      <c r="AE32" s="27"/>
    </row>
    <row r="33" spans="2:31" s="104" customFormat="1">
      <c r="B33" s="1099"/>
      <c r="C33" s="1100"/>
      <c r="D33" s="1100"/>
      <c r="E33" s="1100"/>
      <c r="F33" s="1100"/>
      <c r="G33" s="1100"/>
      <c r="H33" s="1100"/>
      <c r="I33" s="1100"/>
      <c r="J33" s="1100"/>
      <c r="K33" s="1100"/>
      <c r="L33" s="1101"/>
      <c r="M33" s="26"/>
      <c r="N33" s="26"/>
      <c r="O33" s="26"/>
      <c r="P33" s="26"/>
      <c r="Q33" s="26"/>
      <c r="R33" s="26"/>
      <c r="S33" s="26"/>
      <c r="T33" s="26"/>
      <c r="U33" s="26"/>
      <c r="V33" s="26"/>
      <c r="W33" s="26"/>
      <c r="X33" s="26"/>
      <c r="Y33" s="26"/>
      <c r="Z33" s="26"/>
      <c r="AA33" s="26"/>
      <c r="AB33" s="26"/>
      <c r="AC33" s="26"/>
      <c r="AD33" s="26"/>
      <c r="AE33" s="27"/>
    </row>
    <row r="34" spans="2:31" s="104" customFormat="1">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D10:D11 D18 C8 L18 F18 E8 F10:F12 J18 J10:J11 L10:L11 D26:D28 F26:F28 J26:J28 L26:L28 D14:D15 L14:L15 J14:J15 F14:F15 H18 G8 H10:H11 H26:H28 H14:H15">
    <cfRule type="expression" dxfId="273" priority="5" stopIfTrue="1">
      <formula>C8="PASS"</formula>
    </cfRule>
    <cfRule type="expression" dxfId="272" priority="6" stopIfTrue="1">
      <formula>C8="FAIL"</formula>
    </cfRule>
  </conditionalFormatting>
  <conditionalFormatting sqref="I8:L8">
    <cfRule type="expression" dxfId="271" priority="7" stopIfTrue="1">
      <formula>I8="PASS"</formula>
    </cfRule>
    <cfRule type="expression" dxfId="270" priority="8" stopIfTrue="1">
      <formula>I8="FAIL"</formula>
    </cfRule>
    <cfRule type="expression" dxfId="269" priority="9" stopIfTrue="1">
      <formula>I8="N/A"</formula>
    </cfRule>
  </conditionalFormatting>
  <conditionalFormatting sqref="C8:D8">
    <cfRule type="cellIs" dxfId="268" priority="4" stopIfTrue="1" operator="equal">
      <formula>"laminated"</formula>
    </cfRule>
  </conditionalFormatting>
  <conditionalFormatting sqref="E8:H8">
    <cfRule type="cellIs" dxfId="267" priority="3" stopIfTrue="1" operator="equal">
      <formula>"laminated"</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4140625" defaultRowHeight="13.2"/>
  <cols>
    <col min="1" max="1" width="4.33203125" customWidth="1"/>
    <col min="2" max="2" width="31.44140625" customWidth="1"/>
    <col min="3" max="4" width="7" customWidth="1"/>
    <col min="5" max="8" width="11.44140625" customWidth="1"/>
    <col min="11" max="11" width="31.44140625" customWidth="1"/>
    <col min="12" max="13" width="7" customWidth="1"/>
    <col min="14" max="17" width="11.44140625" customWidth="1"/>
    <col min="20" max="20" width="31.44140625" customWidth="1"/>
    <col min="21" max="22" width="7" customWidth="1"/>
    <col min="23" max="26" width="11.44140625" customWidth="1"/>
  </cols>
  <sheetData>
    <row r="1" spans="2:28" ht="15.6">
      <c r="B1" s="1" t="s">
        <v>492</v>
      </c>
    </row>
    <row r="2" spans="2:28" ht="15.6">
      <c r="B2" s="1"/>
    </row>
    <row r="3" spans="2:28">
      <c r="B3" t="s">
        <v>493</v>
      </c>
      <c r="F3" s="802" t="str">
        <f>IF('T3.13 T3.5 Ft Bulkhead'!F2="tubing only","N/A","YES")</f>
        <v>N/A</v>
      </c>
      <c r="I3" s="164" t="s">
        <v>249</v>
      </c>
      <c r="K3" s="164"/>
    </row>
    <row r="4" spans="2:28">
      <c r="B4" t="s">
        <v>494</v>
      </c>
      <c r="F4" s="803" t="s">
        <v>495</v>
      </c>
      <c r="K4" s="164"/>
    </row>
    <row r="5" spans="2:28">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c r="B24" s="742" t="s">
        <v>501</v>
      </c>
      <c r="C24" s="1140" t="str">
        <f>IF('T3.13 T3.5 Ft Bulkhead'!F2="tubing only","N/A",IF(AND(D29="PASS",D30="PASS",D31="PASS",D48="PASS",D44="PASS",D49="PASS",D50="pass"),"PASS",IF(AND(D29="PASS",D30="PASS",D31="PASS",D48="N/A",D44="PASS",D49="PASS",D50="pass"),"PASS",IF(AND(OR(D29="PASS",D29="CHECK"),OR(D30="PASS",D30="CHECK"),D31="PASS",OR(D48="N/A",D48="PASS"),D44="PASS",D49="PASS",D50="pass"),"CHECK","FAIL"))))</f>
        <v>N/A</v>
      </c>
      <c r="D24" s="1141"/>
      <c r="E24" s="1142"/>
      <c r="F24" s="1142"/>
      <c r="G24" s="1139"/>
      <c r="H24" s="1139"/>
      <c r="I24" s="20"/>
      <c r="J24" s="794"/>
      <c r="K24" s="742" t="s">
        <v>502</v>
      </c>
      <c r="L24" s="1102" t="str">
        <f>IF($F$4="NO","N/A",IF(AND(M29="PASS",M30="PASS",M31="PASS",M40="PASS",M50="PASS",M57="PASS",M58="PASS",M59 ="PASS",M60="PASS"),"PASS",IF(AND(OR(M29="PASS",M29="CHECK"),OR(M30="PASS",M30="CHECK"),M31="PASS",M40="PASS",M50="PASS",M57="PASS",M58="PASS",M59 ="PASS",M60="PASS"),"CHECK","FAIL")))</f>
        <v>FAIL</v>
      </c>
      <c r="M24" s="1103"/>
      <c r="N24" s="20"/>
      <c r="O24" s="20"/>
      <c r="P24" s="20"/>
      <c r="Q24" s="20"/>
      <c r="R24" s="20"/>
      <c r="S24" s="20"/>
      <c r="T24" s="742" t="s">
        <v>502</v>
      </c>
      <c r="U24" s="1102" t="str">
        <f>IF($F$4="NO","N/A",IF(AND(V29="PASS",V30="PASS",V31="PASS",V40="PASS",V50="PASS",V57="PASS",V58="PASS",V59 ="PASS",V60="PASS"),"PASS",IF(AND(OR(V29="PASS",V29="CHECK"),OR(V30="PASS",V30="CHECK"),V31="PASS",V40="PASS",V50="PASS",V57="PASS",V58="PASS",V59 ="PASS",V60="PASS"),"CHECK","FAIL")))</f>
        <v>FAIL</v>
      </c>
      <c r="V24" s="1103"/>
      <c r="W24" s="20"/>
      <c r="X24" s="20"/>
      <c r="Y24" s="20"/>
      <c r="Z24" s="20"/>
      <c r="AA24" s="20"/>
      <c r="AB24" s="21"/>
    </row>
    <row r="25" spans="2:28">
      <c r="B25" s="1126"/>
      <c r="C25" s="1127"/>
      <c r="D25" s="1128"/>
      <c r="E25" s="217"/>
      <c r="F25" s="26"/>
      <c r="G25" s="26"/>
      <c r="H25" s="26"/>
      <c r="I25" s="26"/>
      <c r="J25" s="685"/>
      <c r="K25" s="1126"/>
      <c r="L25" s="1127"/>
      <c r="M25" s="1128"/>
      <c r="N25" s="26"/>
      <c r="O25" s="26"/>
      <c r="P25" s="26"/>
      <c r="Q25" s="26"/>
      <c r="R25" s="26"/>
      <c r="S25" s="26"/>
      <c r="T25" s="1126"/>
      <c r="U25" s="1127"/>
      <c r="V25" s="1128"/>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20"/>
      <c r="C28" s="1121"/>
      <c r="D28" s="1092"/>
      <c r="E28" s="217"/>
      <c r="F28" s="26"/>
      <c r="G28" s="26"/>
      <c r="H28" s="26"/>
      <c r="I28" s="26"/>
      <c r="J28" s="685"/>
      <c r="K28" s="1120"/>
      <c r="L28" s="1121"/>
      <c r="M28" s="1092"/>
      <c r="N28" s="26"/>
      <c r="O28" s="26"/>
      <c r="P28" s="26"/>
      <c r="Q28" s="26"/>
      <c r="R28" s="26"/>
      <c r="S28" s="26"/>
      <c r="T28" s="1120"/>
      <c r="U28" s="1121"/>
      <c r="V28" s="1092"/>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29"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0"/>
      <c r="D33" s="1131"/>
      <c r="E33" s="26"/>
      <c r="F33" s="853"/>
      <c r="G33" s="26"/>
      <c r="H33" s="219"/>
      <c r="I33" s="26"/>
      <c r="J33" s="685"/>
      <c r="K33" s="1129"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0"/>
      <c r="M33" s="1131"/>
      <c r="N33" s="323"/>
      <c r="O33" s="323"/>
      <c r="P33" s="323"/>
      <c r="Q33" s="26"/>
      <c r="R33" s="323"/>
      <c r="S33" s="323"/>
      <c r="T33" s="1129"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0"/>
      <c r="V33" s="1131"/>
      <c r="W33" s="323"/>
      <c r="X33" s="323"/>
      <c r="Y33" s="323"/>
      <c r="Z33" s="26"/>
      <c r="AA33" s="26"/>
      <c r="AB33" s="27"/>
    </row>
    <row r="34" spans="2:28">
      <c r="B34" s="1132"/>
      <c r="C34" s="1133"/>
      <c r="D34" s="1134"/>
      <c r="E34" s="26"/>
      <c r="F34" s="219" t="s">
        <v>507</v>
      </c>
      <c r="G34" s="26"/>
      <c r="H34" s="219"/>
      <c r="I34" s="26"/>
      <c r="J34" s="685"/>
      <c r="K34" s="1132"/>
      <c r="L34" s="1133"/>
      <c r="M34" s="1134"/>
      <c r="N34" s="323"/>
      <c r="O34" s="323"/>
      <c r="P34" s="323"/>
      <c r="Q34" s="26"/>
      <c r="R34" s="323"/>
      <c r="S34" s="323"/>
      <c r="T34" s="1132"/>
      <c r="U34" s="1133"/>
      <c r="V34" s="1134"/>
      <c r="W34" s="323"/>
      <c r="X34" s="323"/>
      <c r="Y34" s="323"/>
      <c r="Z34" s="26"/>
      <c r="AA34" s="26"/>
      <c r="AB34" s="27"/>
    </row>
    <row r="35" spans="2:28">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c r="B36" s="804"/>
      <c r="C36" s="805"/>
      <c r="D36" s="806"/>
      <c r="E36" s="26"/>
      <c r="F36" s="219"/>
      <c r="G36" s="26"/>
      <c r="H36" s="219"/>
      <c r="I36" s="26"/>
      <c r="J36" s="685"/>
      <c r="K36" s="1143" t="s">
        <v>508</v>
      </c>
      <c r="L36" s="1144"/>
      <c r="M36" s="1145"/>
      <c r="N36" s="323"/>
      <c r="O36" s="323"/>
      <c r="P36" s="323"/>
      <c r="Q36" s="26"/>
      <c r="R36" s="323"/>
      <c r="S36" s="323"/>
      <c r="T36" s="1143" t="s">
        <v>508</v>
      </c>
      <c r="U36" s="1144"/>
      <c r="V36" s="1145"/>
      <c r="W36" s="323"/>
      <c r="X36" s="323"/>
      <c r="Y36" s="323"/>
      <c r="Z36" s="26"/>
      <c r="AA36" s="26"/>
      <c r="AB36" s="27"/>
    </row>
    <row r="37" spans="2:28">
      <c r="B37" s="804"/>
      <c r="C37" s="805"/>
      <c r="D37" s="806"/>
      <c r="E37" s="26"/>
      <c r="F37" s="219"/>
      <c r="G37" s="26"/>
      <c r="H37" s="219"/>
      <c r="I37" s="26"/>
      <c r="J37" s="685"/>
      <c r="K37" s="402" t="s">
        <v>475</v>
      </c>
      <c r="L37" s="1135" t="s">
        <v>185</v>
      </c>
      <c r="M37" s="1136"/>
      <c r="N37" s="323"/>
      <c r="O37" s="323"/>
      <c r="P37" s="323"/>
      <c r="Q37" s="26"/>
      <c r="R37" s="323"/>
      <c r="S37" s="323"/>
      <c r="T37" s="402" t="s">
        <v>475</v>
      </c>
      <c r="U37" s="1135" t="s">
        <v>185</v>
      </c>
      <c r="V37" s="1136"/>
      <c r="W37" s="323"/>
      <c r="X37" s="323"/>
      <c r="Y37" s="323"/>
      <c r="Z37" s="26"/>
      <c r="AA37" s="26"/>
      <c r="AB37" s="27"/>
    </row>
    <row r="38" spans="2:28">
      <c r="B38" s="804"/>
      <c r="C38" s="805"/>
      <c r="D38" s="806"/>
      <c r="E38" s="26"/>
      <c r="F38" s="219"/>
      <c r="G38" s="26"/>
      <c r="H38" s="219"/>
      <c r="I38" s="26"/>
      <c r="J38" s="685"/>
      <c r="K38" s="39" t="s">
        <v>477</v>
      </c>
      <c r="L38" s="1122" t="str">
        <f>HLOOKUP(L37,MaterialData!$C$3:$O$4,2,FALSE)</f>
        <v>T3.5_Laminate</v>
      </c>
      <c r="M38" s="1123"/>
      <c r="N38" s="323"/>
      <c r="O38" s="323"/>
      <c r="P38" s="323"/>
      <c r="Q38" s="26"/>
      <c r="R38" s="323"/>
      <c r="S38" s="323"/>
      <c r="T38" s="39" t="s">
        <v>477</v>
      </c>
      <c r="U38" s="1122" t="str">
        <f>HLOOKUP(U37,MaterialData!$C$3:$O$4,2,FALSE)</f>
        <v>T3.5_Laminate</v>
      </c>
      <c r="V38" s="1123"/>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c r="B46" s="775" t="s">
        <v>474</v>
      </c>
      <c r="C46" s="99"/>
      <c r="D46" s="743"/>
      <c r="E46" s="216"/>
      <c r="F46" s="218"/>
      <c r="G46" s="216"/>
      <c r="H46" s="218"/>
      <c r="I46" s="26"/>
      <c r="J46" s="685"/>
      <c r="K46" s="1143" t="s">
        <v>513</v>
      </c>
      <c r="L46" s="1144"/>
      <c r="M46" s="1145"/>
      <c r="N46" s="254"/>
      <c r="O46" s="323"/>
      <c r="P46" s="323"/>
      <c r="Q46" s="26"/>
      <c r="R46" s="323"/>
      <c r="S46" s="323"/>
      <c r="T46" s="1143" t="s">
        <v>513</v>
      </c>
      <c r="U46" s="1144"/>
      <c r="V46" s="1145"/>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35" t="s">
        <v>185</v>
      </c>
      <c r="M47" s="1136"/>
      <c r="N47" s="254"/>
      <c r="O47" s="323"/>
      <c r="P47" s="323"/>
      <c r="Q47" s="26"/>
      <c r="R47" s="323"/>
      <c r="S47" s="323"/>
      <c r="T47" s="402" t="s">
        <v>475</v>
      </c>
      <c r="U47" s="1135" t="s">
        <v>185</v>
      </c>
      <c r="V47" s="1136"/>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2" t="str">
        <f>HLOOKUP(L47,MaterialData!$C$3:$O$4,2,FALSE)</f>
        <v>T3.5_Laminate</v>
      </c>
      <c r="M48" s="1123"/>
      <c r="N48" s="254"/>
      <c r="O48" s="323"/>
      <c r="P48" s="323"/>
      <c r="Q48" s="26"/>
      <c r="R48" s="323"/>
      <c r="S48" s="323"/>
      <c r="T48" s="39" t="s">
        <v>477</v>
      </c>
      <c r="U48" s="1122" t="str">
        <f>HLOOKUP(U47,MaterialData!$C$3:$O$4,2,FALSE)</f>
        <v>T3.5_Laminate</v>
      </c>
      <c r="V48" s="1123"/>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37" t="s">
        <v>514</v>
      </c>
      <c r="C51" s="1113"/>
      <c r="D51" s="1138"/>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7"/>
      <c r="C52" s="1125"/>
      <c r="D52" s="1088"/>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4">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5" t="s">
        <v>514</v>
      </c>
      <c r="L61" s="1124"/>
      <c r="M61" s="1086"/>
      <c r="N61" s="323"/>
      <c r="O61" s="323"/>
      <c r="P61" s="323"/>
      <c r="Q61" s="26"/>
      <c r="R61" s="26"/>
      <c r="S61" s="26"/>
      <c r="T61" s="1085" t="s">
        <v>514</v>
      </c>
      <c r="U61" s="1124"/>
      <c r="V61" s="1086"/>
      <c r="W61" s="26"/>
      <c r="X61" s="26"/>
      <c r="Y61" s="26"/>
      <c r="Z61" s="26"/>
      <c r="AA61" s="26"/>
      <c r="AB61" s="27"/>
    </row>
    <row r="62" spans="2:28" s="104" customFormat="1">
      <c r="B62" s="25"/>
      <c r="C62" s="26"/>
      <c r="D62" s="26"/>
      <c r="E62" s="26"/>
      <c r="F62" s="26"/>
      <c r="G62" s="26"/>
      <c r="H62" s="26"/>
      <c r="I62" s="26"/>
      <c r="J62" s="26"/>
      <c r="K62" s="1087"/>
      <c r="L62" s="1125"/>
      <c r="M62" s="1088"/>
      <c r="N62" s="323"/>
      <c r="O62" s="323"/>
      <c r="P62" s="323"/>
      <c r="Q62" s="26"/>
      <c r="R62" s="26"/>
      <c r="S62" s="26"/>
      <c r="T62" s="1087"/>
      <c r="U62" s="1125"/>
      <c r="V62" s="1088"/>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D44 D48:D49 F29:F30 F52:F53 F48 F43 D29:D32 D39 V57:V60">
    <cfRule type="expression" dxfId="266" priority="259" stopIfTrue="1">
      <formula>D29="PASS"</formula>
    </cfRule>
    <cfRule type="expression" dxfId="265" priority="260" stopIfTrue="1">
      <formula>D29="FAIL"</formula>
    </cfRule>
  </conditionalFormatting>
  <conditionalFormatting sqref="C24:F24">
    <cfRule type="expression" dxfId="264" priority="261" stopIfTrue="1">
      <formula>C24="PASS"</formula>
    </cfRule>
    <cfRule type="expression" dxfId="263" priority="262" stopIfTrue="1">
      <formula>C24="FAIL"</formula>
    </cfRule>
    <cfRule type="expression" dxfId="262" priority="263" stopIfTrue="1">
      <formula>C24="N/A"</formula>
    </cfRule>
  </conditionalFormatting>
  <conditionalFormatting sqref="D50">
    <cfRule type="expression" dxfId="261" priority="255" stopIfTrue="1">
      <formula>D50="PASS"</formula>
    </cfRule>
    <cfRule type="expression" dxfId="260" priority="256" stopIfTrue="1">
      <formula>D50="FAIL"</formula>
    </cfRule>
  </conditionalFormatting>
  <conditionalFormatting sqref="D26">
    <cfRule type="expression" dxfId="259" priority="195" stopIfTrue="1">
      <formula>D26="PASS"</formula>
    </cfRule>
    <cfRule type="expression" dxfId="258" priority="196" stopIfTrue="1">
      <formula>D26="FAIL"</formula>
    </cfRule>
  </conditionalFormatting>
  <conditionalFormatting sqref="D27">
    <cfRule type="expression" dxfId="257" priority="193" stopIfTrue="1">
      <formula>D27="PASS"</formula>
    </cfRule>
    <cfRule type="expression" dxfId="256" priority="194" stopIfTrue="1">
      <formula>D27="FAIL"</formula>
    </cfRule>
  </conditionalFormatting>
  <conditionalFormatting sqref="F3">
    <cfRule type="expression" dxfId="255" priority="168" stopIfTrue="1">
      <formula>F3="PASS"</formula>
    </cfRule>
    <cfRule type="expression" dxfId="254" priority="169" stopIfTrue="1">
      <formula>F3="FAIL"</formula>
    </cfRule>
    <cfRule type="expression" dxfId="253" priority="170" stopIfTrue="1">
      <formula>F3="N/A"</formula>
    </cfRule>
  </conditionalFormatting>
  <conditionalFormatting sqref="F4">
    <cfRule type="expression" dxfId="252" priority="165" stopIfTrue="1">
      <formula>F4="PASS"</formula>
    </cfRule>
    <cfRule type="expression" dxfId="251" priority="166" stopIfTrue="1">
      <formula>F4="FAIL"</formula>
    </cfRule>
    <cfRule type="expression" dxfId="250" priority="167" stopIfTrue="1">
      <formula>F4="N/A"</formula>
    </cfRule>
  </conditionalFormatting>
  <conditionalFormatting sqref="F5">
    <cfRule type="expression" dxfId="249" priority="159" stopIfTrue="1">
      <formula>F5="PASS"</formula>
    </cfRule>
    <cfRule type="expression" dxfId="248" priority="160" stopIfTrue="1">
      <formula>F5="FAIL"</formula>
    </cfRule>
    <cfRule type="expression" dxfId="247" priority="161" stopIfTrue="1">
      <formula>F5="N/A"</formula>
    </cfRule>
  </conditionalFormatting>
  <conditionalFormatting sqref="V40">
    <cfRule type="expression" dxfId="246" priority="132" stopIfTrue="1">
      <formula>V40="PASS"</formula>
    </cfRule>
    <cfRule type="expression" dxfId="245" priority="133" stopIfTrue="1">
      <formula>V40="FAIL"</formula>
    </cfRule>
  </conditionalFormatting>
  <conditionalFormatting sqref="V32">
    <cfRule type="expression" dxfId="244" priority="101" stopIfTrue="1">
      <formula>V32="PASS"</formula>
    </cfRule>
    <cfRule type="expression" dxfId="243" priority="102" stopIfTrue="1">
      <formula>V32="FAIL"</formula>
    </cfRule>
  </conditionalFormatting>
  <conditionalFormatting sqref="V26">
    <cfRule type="expression" dxfId="242" priority="97" stopIfTrue="1">
      <formula>V26="PASS"</formula>
    </cfRule>
    <cfRule type="expression" dxfId="241" priority="98" stopIfTrue="1">
      <formula>V26="FAIL"</formula>
    </cfRule>
  </conditionalFormatting>
  <conditionalFormatting sqref="V27">
    <cfRule type="expression" dxfId="240" priority="95" stopIfTrue="1">
      <formula>V27="PASS"</formula>
    </cfRule>
    <cfRule type="expression" dxfId="239" priority="96" stopIfTrue="1">
      <formula>V27="FAIL"</formula>
    </cfRule>
  </conditionalFormatting>
  <conditionalFormatting sqref="V50">
    <cfRule type="expression" dxfId="238" priority="93" stopIfTrue="1">
      <formula>V50="PASS"</formula>
    </cfRule>
    <cfRule type="expression" dxfId="237" priority="94" stopIfTrue="1">
      <formula>V50="FAIL"</formula>
    </cfRule>
  </conditionalFormatting>
  <conditionalFormatting sqref="M57:M60">
    <cfRule type="expression" dxfId="236" priority="86" stopIfTrue="1">
      <formula>M57="PASS"</formula>
    </cfRule>
    <cfRule type="expression" dxfId="235" priority="87" stopIfTrue="1">
      <formula>M57="FAIL"</formula>
    </cfRule>
  </conditionalFormatting>
  <conditionalFormatting sqref="M40">
    <cfRule type="expression" dxfId="234" priority="84" stopIfTrue="1">
      <formula>M40="PASS"</formula>
    </cfRule>
    <cfRule type="expression" dxfId="233" priority="85" stopIfTrue="1">
      <formula>M40="FAIL"</formula>
    </cfRule>
  </conditionalFormatting>
  <conditionalFormatting sqref="L24:M24">
    <cfRule type="expression" dxfId="232" priority="42">
      <formula>L24="CHECK"</formula>
    </cfRule>
    <cfRule type="expression" dxfId="231" priority="83" stopIfTrue="1">
      <formula>L24="FAIL"</formula>
    </cfRule>
  </conditionalFormatting>
  <conditionalFormatting sqref="L24:M24">
    <cfRule type="expression" dxfId="230" priority="81">
      <formula>L24="N/A"</formula>
    </cfRule>
  </conditionalFormatting>
  <conditionalFormatting sqref="L24:M24">
    <cfRule type="expression" dxfId="229" priority="82" stopIfTrue="1">
      <formula>L24="PASS"</formula>
    </cfRule>
  </conditionalFormatting>
  <conditionalFormatting sqref="M32">
    <cfRule type="expression" dxfId="228" priority="79" stopIfTrue="1">
      <formula>M32="PASS"</formula>
    </cfRule>
    <cfRule type="expression" dxfId="227" priority="80" stopIfTrue="1">
      <formula>M32="FAIL"</formula>
    </cfRule>
  </conditionalFormatting>
  <conditionalFormatting sqref="M26">
    <cfRule type="expression" dxfId="226" priority="75" stopIfTrue="1">
      <formula>M26="PASS"</formula>
    </cfRule>
    <cfRule type="expression" dxfId="225" priority="76" stopIfTrue="1">
      <formula>M26="FAIL"</formula>
    </cfRule>
  </conditionalFormatting>
  <conditionalFormatting sqref="M27">
    <cfRule type="expression" dxfId="224" priority="73" stopIfTrue="1">
      <formula>M27="PASS"</formula>
    </cfRule>
    <cfRule type="expression" dxfId="223" priority="74" stopIfTrue="1">
      <formula>M27="FAIL"</formula>
    </cfRule>
  </conditionalFormatting>
  <conditionalFormatting sqref="M50">
    <cfRule type="expression" dxfId="222" priority="71" stopIfTrue="1">
      <formula>M50="PASS"</formula>
    </cfRule>
    <cfRule type="expression" dxfId="221" priority="72" stopIfTrue="1">
      <formula>M50="FAIL"</formula>
    </cfRule>
  </conditionalFormatting>
  <conditionalFormatting sqref="L41">
    <cfRule type="expression" dxfId="220" priority="70">
      <formula>OR(L37="Steel",L37="Aluminium 1",L37="Aluminium 2")</formula>
    </cfRule>
  </conditionalFormatting>
  <conditionalFormatting sqref="L44">
    <cfRule type="expression" dxfId="219" priority="69">
      <formula>OR(L37="Steel",L37="Aluminium 1",L37="Aluminium 2")</formula>
    </cfRule>
  </conditionalFormatting>
  <conditionalFormatting sqref="D29">
    <cfRule type="expression" dxfId="218" priority="65">
      <formula>D29="CHECK"</formula>
    </cfRule>
  </conditionalFormatting>
  <conditionalFormatting sqref="D30">
    <cfRule type="expression" dxfId="217" priority="64">
      <formula>D30="CHECK"</formula>
    </cfRule>
  </conditionalFormatting>
  <conditionalFormatting sqref="C24:D24">
    <cfRule type="expression" dxfId="216" priority="63" stopIfTrue="1">
      <formula>C24="CHECK"</formula>
    </cfRule>
  </conditionalFormatting>
  <conditionalFormatting sqref="L51">
    <cfRule type="expression" dxfId="215" priority="47">
      <formula>OR(L47="Steel",L47="Aluminium 1",L47="Aluminium 2")</formula>
    </cfRule>
  </conditionalFormatting>
  <conditionalFormatting sqref="L54">
    <cfRule type="expression" dxfId="214" priority="46">
      <formula>OR(L47="Steel",L47="Aluminium 1",L47="Aluminium 2")</formula>
    </cfRule>
  </conditionalFormatting>
  <conditionalFormatting sqref="U24:V24">
    <cfRule type="expression" dxfId="213" priority="21">
      <formula>U24="CHECK"</formula>
    </cfRule>
    <cfRule type="expression" dxfId="212" priority="24" stopIfTrue="1">
      <formula>U24="FAIL"</formula>
    </cfRule>
  </conditionalFormatting>
  <conditionalFormatting sqref="U24:V24">
    <cfRule type="expression" dxfId="211" priority="22">
      <formula>U24="N/A"</formula>
    </cfRule>
  </conditionalFormatting>
  <conditionalFormatting sqref="U24:V24">
    <cfRule type="expression" dxfId="210" priority="23" stopIfTrue="1">
      <formula>U24="PASS"</formula>
    </cfRule>
  </conditionalFormatting>
  <conditionalFormatting sqref="M29">
    <cfRule type="expression" dxfId="209" priority="19" stopIfTrue="1">
      <formula>M29="PASS"</formula>
    </cfRule>
    <cfRule type="expression" dxfId="208" priority="20" stopIfTrue="1">
      <formula>M29="FAIL"</formula>
    </cfRule>
  </conditionalFormatting>
  <conditionalFormatting sqref="M29">
    <cfRule type="expression" dxfId="207" priority="18">
      <formula>M29="CHECK"</formula>
    </cfRule>
  </conditionalFormatting>
  <conditionalFormatting sqref="V29">
    <cfRule type="expression" dxfId="206" priority="16" stopIfTrue="1">
      <formula>V29="PASS"</formula>
    </cfRule>
    <cfRule type="expression" dxfId="205" priority="17" stopIfTrue="1">
      <formula>V29="FAIL"</formula>
    </cfRule>
  </conditionalFormatting>
  <conditionalFormatting sqref="V29">
    <cfRule type="expression" dxfId="204" priority="15">
      <formula>V29="CHECK"</formula>
    </cfRule>
  </conditionalFormatting>
  <conditionalFormatting sqref="U41">
    <cfRule type="expression" dxfId="203" priority="14">
      <formula>OR(U37="Steel",U37="Aluminium 1",U37="Aluminium 2")</formula>
    </cfRule>
  </conditionalFormatting>
  <conditionalFormatting sqref="U44">
    <cfRule type="expression" dxfId="202" priority="13">
      <formula>OR(U37="Steel",U37="Aluminium 1",U37="Aluminium 2")</formula>
    </cfRule>
  </conditionalFormatting>
  <conditionalFormatting sqref="U51">
    <cfRule type="expression" dxfId="201" priority="12">
      <formula>OR(U47="Steel",U47="Aluminium 1",U47="Aluminium 2")</formula>
    </cfRule>
  </conditionalFormatting>
  <conditionalFormatting sqref="U54">
    <cfRule type="expression" dxfId="200" priority="11">
      <formula>OR(U47="Steel",U47="Aluminium 1",U47="Aluminium 2")</formula>
    </cfRule>
  </conditionalFormatting>
  <conditionalFormatting sqref="M30">
    <cfRule type="expression" dxfId="199" priority="9" stopIfTrue="1">
      <formula>M30="PASS"</formula>
    </cfRule>
    <cfRule type="expression" dxfId="198" priority="10" stopIfTrue="1">
      <formula>M30="FAIL"</formula>
    </cfRule>
  </conditionalFormatting>
  <conditionalFormatting sqref="M30">
    <cfRule type="expression" dxfId="197" priority="8">
      <formula>M30="CHECK"</formula>
    </cfRule>
  </conditionalFormatting>
  <conditionalFormatting sqref="V30">
    <cfRule type="expression" dxfId="196" priority="6" stopIfTrue="1">
      <formula>V30="PASS"</formula>
    </cfRule>
    <cfRule type="expression" dxfId="195" priority="7" stopIfTrue="1">
      <formula>V30="FAIL"</formula>
    </cfRule>
  </conditionalFormatting>
  <conditionalFormatting sqref="V30">
    <cfRule type="expression" dxfId="194" priority="5">
      <formula>V30="CHECK"</formula>
    </cfRule>
  </conditionalFormatting>
  <conditionalFormatting sqref="M31">
    <cfRule type="expression" dxfId="193" priority="3" stopIfTrue="1">
      <formula>M31="PASS"</formula>
    </cfRule>
    <cfRule type="expression" dxfId="192" priority="4" stopIfTrue="1">
      <formula>M31="FAIL"</formula>
    </cfRule>
  </conditionalFormatting>
  <conditionalFormatting sqref="V31">
    <cfRule type="expression" dxfId="191" priority="1" stopIfTrue="1">
      <formula>V31="PASS"</formula>
    </cfRule>
    <cfRule type="expression" dxfId="190" priority="2" stopIfTrue="1">
      <formula>V31="FAIL"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Normal="100" zoomScaleSheetLayoutView="100" workbookViewId="0">
      <selection activeCell="AM2" sqref="AM2"/>
    </sheetView>
  </sheetViews>
  <sheetFormatPr baseColWidth="10" defaultColWidth="11.44140625" defaultRowHeight="13.2"/>
  <cols>
    <col min="1" max="38" width="5" customWidth="1"/>
  </cols>
  <sheetData>
    <row r="1" spans="1:41">
      <c r="A1" s="1033" t="s">
        <v>515</v>
      </c>
      <c r="B1" s="1034"/>
      <c r="C1" s="1034"/>
      <c r="D1" s="1034"/>
      <c r="E1" s="1034"/>
      <c r="F1" s="1034"/>
      <c r="G1" s="1034"/>
      <c r="H1" s="1034"/>
      <c r="I1" s="1034"/>
      <c r="J1" s="1034"/>
      <c r="K1" s="1034"/>
      <c r="L1" s="1034"/>
      <c r="M1" s="1034"/>
      <c r="N1" s="1034"/>
      <c r="O1" s="1034"/>
      <c r="P1" s="1034"/>
      <c r="Q1" s="1034"/>
      <c r="R1" s="1034"/>
      <c r="S1" s="1035"/>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53"/>
      <c r="B5" s="1054"/>
      <c r="C5" s="1054"/>
      <c r="D5" s="1054"/>
      <c r="E5" s="1054"/>
      <c r="F5" s="1054"/>
      <c r="G5" s="1054"/>
      <c r="H5" s="1054"/>
      <c r="I5" s="1054"/>
      <c r="J5" s="1054"/>
      <c r="K5" s="1054"/>
      <c r="L5" s="1054"/>
      <c r="M5" s="1054"/>
      <c r="N5" s="1054"/>
      <c r="O5" s="1054"/>
      <c r="P5" s="1054"/>
      <c r="Q5" s="1054"/>
      <c r="R5" s="1054"/>
      <c r="S5" s="1055"/>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19" t="s">
        <v>85</v>
      </c>
      <c r="R34" s="1021"/>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19" t="s">
        <v>85</v>
      </c>
      <c r="R35" s="1021"/>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19" t="s">
        <v>85</v>
      </c>
      <c r="R36" s="1021"/>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54" t="s">
        <v>85</v>
      </c>
      <c r="R37" s="1155"/>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14" t="s">
        <v>378</v>
      </c>
      <c r="B40" s="1015"/>
      <c r="C40" s="1059"/>
      <c r="D40" s="1152">
        <v>0</v>
      </c>
      <c r="E40" s="1153"/>
      <c r="F40" s="1102" t="str">
        <f>IF(AND(Q34="YES",D40&gt;=13000),"PASS",IF(AND(Q34="YES",D40&lt;13000),"FAIL","N/A"))</f>
        <v>N/A</v>
      </c>
      <c r="G40" s="1103"/>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14" t="s">
        <v>378</v>
      </c>
      <c r="B44" s="1015"/>
      <c r="C44" s="1059"/>
      <c r="D44" s="1152">
        <v>0</v>
      </c>
      <c r="E44" s="1153"/>
      <c r="F44" s="1102" t="str">
        <f>IF(AND(Q35="YES",D44&gt;=13000),"PASS",IF(AND(Q35="YES",D44&lt;13000),"FAIL","N/A"))</f>
        <v>N/A</v>
      </c>
      <c r="G44" s="1103"/>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14" t="s">
        <v>378</v>
      </c>
      <c r="B48" s="1015"/>
      <c r="C48" s="1059"/>
      <c r="D48" s="1152">
        <v>0</v>
      </c>
      <c r="E48" s="1153"/>
      <c r="F48" s="1102" t="str">
        <f>IF(AND(Q36="YES",D48&gt;=6500),"PASS",IF(AND(Q36="YES",D48&lt;6500),"FAIL","N/A"))</f>
        <v>N/A</v>
      </c>
      <c r="G48" s="1103"/>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6" t="s">
        <v>378</v>
      </c>
      <c r="B52" s="1157"/>
      <c r="C52" s="1158"/>
      <c r="D52" s="1152">
        <v>0</v>
      </c>
      <c r="E52" s="1153"/>
      <c r="F52" s="1102" t="str">
        <f>IF(AND(Q37="YES",D52&gt;=19500),"PASS",IF(AND(Q37="YES",D52&lt;19500),"FAIL","N/A"))</f>
        <v>N/A</v>
      </c>
      <c r="G52" s="1103"/>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39.6">
      <c r="A57" s="148"/>
      <c r="B57" s="581"/>
      <c r="C57" s="1150" t="s">
        <v>539</v>
      </c>
      <c r="D57" s="1151"/>
      <c r="E57" s="581" t="s">
        <v>413</v>
      </c>
      <c r="F57" s="104"/>
      <c r="G57" s="104"/>
      <c r="H57" s="1050"/>
      <c r="I57" s="1050"/>
      <c r="J57" s="104"/>
      <c r="K57" s="104"/>
      <c r="L57" s="104"/>
      <c r="M57" s="104"/>
      <c r="N57" s="104"/>
      <c r="O57" s="104"/>
      <c r="P57" s="104"/>
      <c r="Q57" s="104"/>
      <c r="R57" s="104"/>
      <c r="S57" s="149"/>
      <c r="T57" s="148"/>
      <c r="U57" s="581"/>
      <c r="V57" s="1150" t="s">
        <v>539</v>
      </c>
      <c r="W57" s="1151"/>
      <c r="X57" s="581" t="s">
        <v>413</v>
      </c>
      <c r="Y57" s="104"/>
      <c r="Z57" s="104"/>
      <c r="AA57" s="1050"/>
      <c r="AB57" s="1050"/>
      <c r="AC57" s="104"/>
      <c r="AD57" s="104"/>
      <c r="AE57" s="104"/>
      <c r="AF57" s="104"/>
      <c r="AG57" s="104"/>
      <c r="AH57" s="104"/>
      <c r="AI57" s="104"/>
      <c r="AJ57" s="104"/>
      <c r="AK57" s="104"/>
      <c r="AL57" s="149"/>
    </row>
    <row r="58" spans="1:38" ht="14.4">
      <c r="A58" s="148"/>
      <c r="B58" s="582">
        <v>1</v>
      </c>
      <c r="C58" s="1148"/>
      <c r="D58" s="1149"/>
      <c r="E58" s="609"/>
      <c r="F58" s="104"/>
      <c r="G58" s="641"/>
      <c r="H58" s="580"/>
      <c r="I58" s="580"/>
      <c r="J58" s="104"/>
      <c r="K58" s="104"/>
      <c r="L58" s="104"/>
      <c r="M58" s="104"/>
      <c r="N58" s="104"/>
      <c r="O58" s="104"/>
      <c r="P58" s="104"/>
      <c r="Q58" s="104"/>
      <c r="R58" s="104"/>
      <c r="S58" s="149"/>
      <c r="T58" s="148"/>
      <c r="U58" s="582">
        <v>1</v>
      </c>
      <c r="V58" s="1148"/>
      <c r="W58" s="1149"/>
      <c r="X58" s="609"/>
      <c r="Y58" s="104"/>
      <c r="Z58" s="641"/>
      <c r="AA58" s="580"/>
      <c r="AB58" s="580"/>
      <c r="AC58" s="104"/>
      <c r="AD58" s="104"/>
      <c r="AE58" s="104"/>
      <c r="AF58" s="104"/>
      <c r="AG58" s="104"/>
      <c r="AH58" s="104"/>
      <c r="AI58" s="104"/>
      <c r="AJ58" s="104"/>
      <c r="AK58" s="104"/>
      <c r="AL58" s="149"/>
    </row>
    <row r="59" spans="1:38">
      <c r="A59" s="148"/>
      <c r="B59" s="582">
        <v>2</v>
      </c>
      <c r="C59" s="1148"/>
      <c r="D59" s="1149"/>
      <c r="E59" s="609"/>
      <c r="F59" s="104"/>
      <c r="G59" s="655"/>
      <c r="J59" s="104"/>
      <c r="K59" s="104"/>
      <c r="L59" s="104"/>
      <c r="M59" s="104"/>
      <c r="N59" s="104"/>
      <c r="O59" s="104"/>
      <c r="P59" s="104"/>
      <c r="Q59" s="104"/>
      <c r="R59" s="104"/>
      <c r="S59" s="149"/>
      <c r="T59" s="148"/>
      <c r="U59" s="582">
        <v>2</v>
      </c>
      <c r="V59" s="1148"/>
      <c r="W59" s="1149"/>
      <c r="X59" s="609"/>
      <c r="Y59" s="104"/>
      <c r="Z59" s="655"/>
      <c r="AC59" s="104"/>
      <c r="AD59" s="104"/>
      <c r="AE59" s="104"/>
      <c r="AF59" s="104"/>
      <c r="AG59" s="104"/>
      <c r="AH59" s="104"/>
      <c r="AI59" s="104"/>
      <c r="AJ59" s="104"/>
      <c r="AK59" s="104"/>
      <c r="AL59" s="149"/>
    </row>
    <row r="60" spans="1:38">
      <c r="A60" s="148"/>
      <c r="B60" s="582">
        <v>3</v>
      </c>
      <c r="C60" s="1148"/>
      <c r="D60" s="1149"/>
      <c r="E60" s="609"/>
      <c r="F60" s="104"/>
      <c r="G60" s="655"/>
      <c r="J60" s="104"/>
      <c r="K60" s="104"/>
      <c r="L60" s="104"/>
      <c r="M60" s="104"/>
      <c r="N60" s="104"/>
      <c r="O60" s="104"/>
      <c r="P60" s="104"/>
      <c r="Q60" s="104"/>
      <c r="R60" s="104"/>
      <c r="S60" s="149"/>
      <c r="T60" s="148"/>
      <c r="U60" s="582">
        <v>3</v>
      </c>
      <c r="V60" s="1148"/>
      <c r="W60" s="1149"/>
      <c r="X60" s="609"/>
      <c r="Y60" s="104"/>
      <c r="Z60" s="655"/>
      <c r="AC60" s="104"/>
      <c r="AD60" s="104"/>
      <c r="AE60" s="104"/>
      <c r="AF60" s="104"/>
      <c r="AG60" s="104"/>
      <c r="AH60" s="104"/>
      <c r="AI60" s="104"/>
      <c r="AJ60" s="104"/>
      <c r="AK60" s="104"/>
      <c r="AL60" s="149"/>
    </row>
    <row r="61" spans="1:38">
      <c r="A61" s="148"/>
      <c r="B61" s="582">
        <v>4</v>
      </c>
      <c r="C61" s="1148"/>
      <c r="D61" s="1149"/>
      <c r="E61" s="609"/>
      <c r="F61" s="104"/>
      <c r="G61" s="104"/>
      <c r="H61" s="104"/>
      <c r="I61" s="104"/>
      <c r="J61" s="104"/>
      <c r="K61" s="104"/>
      <c r="L61" s="104"/>
      <c r="M61" s="104"/>
      <c r="N61" s="104"/>
      <c r="O61" s="104"/>
      <c r="P61" s="104"/>
      <c r="Q61" s="104"/>
      <c r="R61" s="104"/>
      <c r="S61" s="149"/>
      <c r="T61" s="148"/>
      <c r="U61" s="582">
        <v>4</v>
      </c>
      <c r="V61" s="1148"/>
      <c r="W61" s="1149"/>
      <c r="X61" s="609"/>
      <c r="Y61" s="104"/>
      <c r="Z61" s="104"/>
      <c r="AA61" s="104"/>
      <c r="AB61" s="104"/>
      <c r="AC61" s="104"/>
      <c r="AD61" s="104"/>
      <c r="AE61" s="104"/>
      <c r="AF61" s="104"/>
      <c r="AG61" s="104"/>
      <c r="AH61" s="104"/>
      <c r="AI61" s="104"/>
      <c r="AJ61" s="104"/>
      <c r="AK61" s="104"/>
      <c r="AL61" s="149"/>
    </row>
    <row r="62" spans="1:38">
      <c r="A62" s="148"/>
      <c r="B62" s="582">
        <v>5</v>
      </c>
      <c r="C62" s="1148"/>
      <c r="D62" s="1149"/>
      <c r="E62" s="609"/>
      <c r="F62" s="104"/>
      <c r="G62" s="104"/>
      <c r="H62" s="104"/>
      <c r="I62" s="104"/>
      <c r="J62" s="104"/>
      <c r="K62" s="104"/>
      <c r="L62" s="104"/>
      <c r="M62" s="104"/>
      <c r="N62" s="104"/>
      <c r="O62" s="104"/>
      <c r="P62" s="104"/>
      <c r="Q62" s="104"/>
      <c r="R62" s="104"/>
      <c r="S62" s="149"/>
      <c r="T62" s="148"/>
      <c r="U62" s="582">
        <v>5</v>
      </c>
      <c r="V62" s="1148"/>
      <c r="W62" s="1149"/>
      <c r="X62" s="609"/>
      <c r="Y62" s="104"/>
      <c r="Z62" s="104"/>
      <c r="AA62" s="104"/>
      <c r="AB62" s="104"/>
      <c r="AC62" s="104"/>
      <c r="AD62" s="104"/>
      <c r="AE62" s="104"/>
      <c r="AF62" s="104"/>
      <c r="AG62" s="104"/>
      <c r="AH62" s="104"/>
      <c r="AI62" s="104"/>
      <c r="AJ62" s="104"/>
      <c r="AK62" s="104"/>
      <c r="AL62" s="149"/>
    </row>
    <row r="63" spans="1:38">
      <c r="A63" s="148"/>
      <c r="B63" s="582">
        <v>6</v>
      </c>
      <c r="C63" s="1148"/>
      <c r="D63" s="1149"/>
      <c r="E63" s="609"/>
      <c r="F63" s="104"/>
      <c r="G63" s="104"/>
      <c r="H63" s="104"/>
      <c r="I63" s="104"/>
      <c r="J63" s="104"/>
      <c r="K63" s="104"/>
      <c r="L63" s="104"/>
      <c r="M63" s="104"/>
      <c r="N63" s="104"/>
      <c r="O63" s="104"/>
      <c r="P63" s="104"/>
      <c r="Q63" s="104"/>
      <c r="R63" s="104"/>
      <c r="S63" s="149"/>
      <c r="T63" s="148"/>
      <c r="U63" s="582">
        <v>6</v>
      </c>
      <c r="V63" s="1148"/>
      <c r="W63" s="1149"/>
      <c r="X63" s="609"/>
      <c r="Y63" s="104"/>
      <c r="Z63" s="104"/>
      <c r="AA63" s="104"/>
      <c r="AB63" s="104"/>
      <c r="AC63" s="104"/>
      <c r="AD63" s="104"/>
      <c r="AE63" s="104"/>
      <c r="AF63" s="104"/>
      <c r="AG63" s="104"/>
      <c r="AH63" s="104"/>
      <c r="AI63" s="104"/>
      <c r="AJ63" s="104"/>
      <c r="AK63" s="104"/>
      <c r="AL63" s="149"/>
    </row>
    <row r="64" spans="1:38">
      <c r="A64" s="148"/>
      <c r="B64" s="582">
        <v>7</v>
      </c>
      <c r="C64" s="1148"/>
      <c r="D64" s="1149"/>
      <c r="E64" s="609"/>
      <c r="F64" s="104"/>
      <c r="G64" s="104"/>
      <c r="H64" s="104"/>
      <c r="I64" s="104"/>
      <c r="J64" s="104"/>
      <c r="K64" s="104"/>
      <c r="L64" s="104"/>
      <c r="M64" s="104"/>
      <c r="N64" s="104"/>
      <c r="O64" s="104"/>
      <c r="P64" s="104"/>
      <c r="Q64" s="104"/>
      <c r="R64" s="104"/>
      <c r="S64" s="149"/>
      <c r="T64" s="148"/>
      <c r="U64" s="582">
        <v>7</v>
      </c>
      <c r="V64" s="1148"/>
      <c r="W64" s="1149"/>
      <c r="X64" s="609"/>
      <c r="Y64" s="104"/>
      <c r="Z64" s="104"/>
      <c r="AA64" s="104"/>
      <c r="AB64" s="104"/>
      <c r="AC64" s="104"/>
      <c r="AD64" s="104"/>
      <c r="AE64" s="104"/>
      <c r="AF64" s="104"/>
      <c r="AG64" s="104"/>
      <c r="AH64" s="104"/>
      <c r="AI64" s="104"/>
      <c r="AJ64" s="104"/>
      <c r="AK64" s="104"/>
      <c r="AL64" s="149"/>
    </row>
    <row r="65" spans="1:38">
      <c r="A65" s="148"/>
      <c r="B65" s="582">
        <v>8</v>
      </c>
      <c r="C65" s="1148"/>
      <c r="D65" s="1149"/>
      <c r="E65" s="609"/>
      <c r="F65" s="104"/>
      <c r="G65" s="104"/>
      <c r="H65" s="104"/>
      <c r="I65" s="104"/>
      <c r="J65" s="104"/>
      <c r="K65" s="104"/>
      <c r="L65" s="104"/>
      <c r="M65" s="104"/>
      <c r="N65" s="104"/>
      <c r="O65" s="104"/>
      <c r="P65" s="104"/>
      <c r="Q65" s="104"/>
      <c r="R65" s="104"/>
      <c r="S65" s="149"/>
      <c r="T65" s="148"/>
      <c r="U65" s="582">
        <v>8</v>
      </c>
      <c r="V65" s="1148"/>
      <c r="W65" s="1149"/>
      <c r="X65" s="609"/>
      <c r="Y65" s="104"/>
      <c r="Z65" s="104"/>
      <c r="AA65" s="104"/>
      <c r="AB65" s="104"/>
      <c r="AC65" s="104"/>
      <c r="AD65" s="104"/>
      <c r="AE65" s="104"/>
      <c r="AF65" s="104"/>
      <c r="AG65" s="104"/>
      <c r="AH65" s="104"/>
      <c r="AI65" s="104"/>
      <c r="AJ65" s="104"/>
      <c r="AK65" s="104"/>
      <c r="AL65" s="149"/>
    </row>
    <row r="66" spans="1:38">
      <c r="A66" s="148"/>
      <c r="B66" s="582">
        <v>9</v>
      </c>
      <c r="C66" s="1148"/>
      <c r="D66" s="1149"/>
      <c r="E66" s="609"/>
      <c r="F66" s="104"/>
      <c r="G66" s="104"/>
      <c r="H66" s="104"/>
      <c r="I66" s="104"/>
      <c r="J66" s="104"/>
      <c r="K66" s="104"/>
      <c r="L66" s="104"/>
      <c r="M66" s="104"/>
      <c r="N66" s="104"/>
      <c r="O66" s="104"/>
      <c r="P66" s="104"/>
      <c r="Q66" s="104"/>
      <c r="R66" s="104"/>
      <c r="S66" s="149"/>
      <c r="T66" s="148"/>
      <c r="U66" s="582">
        <v>9</v>
      </c>
      <c r="V66" s="1148"/>
      <c r="W66" s="1149"/>
      <c r="X66" s="609"/>
      <c r="Y66" s="104"/>
      <c r="Z66" s="104"/>
      <c r="AA66" s="104"/>
      <c r="AB66" s="104"/>
      <c r="AC66" s="104"/>
      <c r="AD66" s="104"/>
      <c r="AE66" s="104"/>
      <c r="AF66" s="104"/>
      <c r="AG66" s="104"/>
      <c r="AH66" s="104"/>
      <c r="AI66" s="104"/>
      <c r="AJ66" s="104"/>
      <c r="AK66" s="104"/>
      <c r="AL66" s="149"/>
    </row>
    <row r="67" spans="1:38">
      <c r="A67" s="148"/>
      <c r="B67" s="582">
        <v>10</v>
      </c>
      <c r="C67" s="1148"/>
      <c r="D67" s="1149"/>
      <c r="E67" s="609"/>
      <c r="F67" s="104"/>
      <c r="G67" s="104"/>
      <c r="H67" s="104"/>
      <c r="I67" s="104"/>
      <c r="J67" s="104"/>
      <c r="K67" s="104"/>
      <c r="L67" s="104"/>
      <c r="M67" s="104"/>
      <c r="N67" s="104"/>
      <c r="O67" s="104"/>
      <c r="P67" s="104"/>
      <c r="Q67" s="104"/>
      <c r="R67" s="104"/>
      <c r="S67" s="149"/>
      <c r="T67" s="148"/>
      <c r="U67" s="582">
        <v>10</v>
      </c>
      <c r="V67" s="1148"/>
      <c r="W67" s="1149"/>
      <c r="X67" s="609"/>
      <c r="Y67" s="104"/>
      <c r="Z67" s="104"/>
      <c r="AA67" s="104"/>
      <c r="AB67" s="104"/>
      <c r="AC67" s="104"/>
      <c r="AD67" s="104"/>
      <c r="AE67" s="104"/>
      <c r="AF67" s="104"/>
      <c r="AG67" s="104"/>
      <c r="AH67" s="104"/>
      <c r="AI67" s="104"/>
      <c r="AJ67" s="104"/>
      <c r="AK67" s="104"/>
      <c r="AL67" s="149"/>
    </row>
    <row r="68" spans="1:38">
      <c r="A68" s="148"/>
      <c r="B68" s="582">
        <v>11</v>
      </c>
      <c r="C68" s="1148"/>
      <c r="D68" s="1149"/>
      <c r="E68" s="609"/>
      <c r="F68" s="104"/>
      <c r="G68" s="104"/>
      <c r="H68" s="104"/>
      <c r="I68" s="104"/>
      <c r="J68" s="104"/>
      <c r="K68" s="104"/>
      <c r="L68" s="104"/>
      <c r="M68" s="104"/>
      <c r="N68" s="104"/>
      <c r="O68" s="104"/>
      <c r="P68" s="104"/>
      <c r="Q68" s="104"/>
      <c r="R68" s="104"/>
      <c r="S68" s="149"/>
      <c r="T68" s="148"/>
      <c r="U68" s="582">
        <v>11</v>
      </c>
      <c r="V68" s="1148"/>
      <c r="W68" s="1149"/>
      <c r="X68" s="609"/>
      <c r="Y68" s="104"/>
      <c r="Z68" s="104"/>
      <c r="AA68" s="104"/>
      <c r="AB68" s="104"/>
      <c r="AC68" s="104"/>
      <c r="AD68" s="104"/>
      <c r="AE68" s="104"/>
      <c r="AF68" s="104"/>
      <c r="AG68" s="104"/>
      <c r="AH68" s="104"/>
      <c r="AI68" s="104"/>
      <c r="AJ68" s="104"/>
      <c r="AK68" s="104"/>
      <c r="AL68" s="149"/>
    </row>
    <row r="69" spans="1:38">
      <c r="A69" s="148"/>
      <c r="B69" s="582">
        <v>12</v>
      </c>
      <c r="C69" s="1148"/>
      <c r="D69" s="1149"/>
      <c r="E69" s="609"/>
      <c r="F69" s="104"/>
      <c r="G69" s="104"/>
      <c r="H69" s="104"/>
      <c r="I69" s="104"/>
      <c r="J69" s="104"/>
      <c r="K69" s="104"/>
      <c r="L69" s="104"/>
      <c r="M69" s="104"/>
      <c r="N69" s="104"/>
      <c r="O69" s="104"/>
      <c r="P69" s="104"/>
      <c r="Q69" s="104"/>
      <c r="R69" s="104"/>
      <c r="S69" s="149"/>
      <c r="T69" s="148"/>
      <c r="U69" s="582">
        <v>12</v>
      </c>
      <c r="V69" s="1148"/>
      <c r="W69" s="1149"/>
      <c r="X69" s="609"/>
      <c r="Y69" s="104"/>
      <c r="Z69" s="104"/>
      <c r="AA69" s="104"/>
      <c r="AB69" s="104"/>
      <c r="AC69" s="104"/>
      <c r="AD69" s="104"/>
      <c r="AE69" s="104"/>
      <c r="AF69" s="104"/>
      <c r="AG69" s="104"/>
      <c r="AH69" s="104"/>
      <c r="AI69" s="104"/>
      <c r="AJ69" s="104"/>
      <c r="AK69" s="104"/>
      <c r="AL69" s="149"/>
    </row>
    <row r="70" spans="1:38">
      <c r="A70" s="148"/>
      <c r="B70" s="582">
        <v>13</v>
      </c>
      <c r="C70" s="1148"/>
      <c r="D70" s="1149"/>
      <c r="E70" s="609"/>
      <c r="F70" s="104"/>
      <c r="G70" s="104"/>
      <c r="H70" s="104"/>
      <c r="I70" s="104"/>
      <c r="J70" s="104"/>
      <c r="K70" s="104"/>
      <c r="L70" s="104"/>
      <c r="M70" s="104"/>
      <c r="N70" s="104"/>
      <c r="O70" s="104"/>
      <c r="P70" s="104"/>
      <c r="Q70" s="104"/>
      <c r="R70" s="104"/>
      <c r="S70" s="149"/>
      <c r="T70" s="148"/>
      <c r="U70" s="582">
        <v>13</v>
      </c>
      <c r="V70" s="1148"/>
      <c r="W70" s="1149"/>
      <c r="X70" s="609"/>
      <c r="Y70" s="104"/>
      <c r="Z70" s="104"/>
      <c r="AA70" s="104"/>
      <c r="AB70" s="104"/>
      <c r="AC70" s="104"/>
      <c r="AD70" s="104"/>
      <c r="AE70" s="104"/>
      <c r="AF70" s="104"/>
      <c r="AG70" s="104"/>
      <c r="AH70" s="104"/>
      <c r="AI70" s="104"/>
      <c r="AJ70" s="104"/>
      <c r="AK70" s="104"/>
      <c r="AL70" s="149"/>
    </row>
    <row r="71" spans="1:38">
      <c r="A71" s="148"/>
      <c r="B71" s="582">
        <v>14</v>
      </c>
      <c r="C71" s="1148"/>
      <c r="D71" s="1149"/>
      <c r="E71" s="609"/>
      <c r="F71" s="104"/>
      <c r="G71" s="104"/>
      <c r="H71" s="104"/>
      <c r="I71" s="104"/>
      <c r="J71" s="104"/>
      <c r="K71" s="104"/>
      <c r="L71" s="104"/>
      <c r="M71" s="104"/>
      <c r="N71" s="104"/>
      <c r="O71" s="104"/>
      <c r="P71" s="104"/>
      <c r="Q71" s="104"/>
      <c r="R71" s="104"/>
      <c r="S71" s="149"/>
      <c r="T71" s="148"/>
      <c r="U71" s="582">
        <v>14</v>
      </c>
      <c r="V71" s="1148"/>
      <c r="W71" s="1149"/>
      <c r="X71" s="609"/>
      <c r="Y71" s="104"/>
      <c r="Z71" s="104"/>
      <c r="AA71" s="104"/>
      <c r="AB71" s="104"/>
      <c r="AC71" s="104"/>
      <c r="AD71" s="104"/>
      <c r="AE71" s="104"/>
      <c r="AF71" s="104"/>
      <c r="AG71" s="104"/>
      <c r="AH71" s="104"/>
      <c r="AI71" s="104"/>
      <c r="AJ71" s="104"/>
      <c r="AK71" s="104"/>
      <c r="AL71" s="149"/>
    </row>
    <row r="72" spans="1:38">
      <c r="A72" s="148"/>
      <c r="B72" s="582">
        <v>15</v>
      </c>
      <c r="C72" s="1148"/>
      <c r="D72" s="1149"/>
      <c r="E72" s="609"/>
      <c r="F72" s="104"/>
      <c r="G72" s="104"/>
      <c r="H72" s="104"/>
      <c r="I72" s="104"/>
      <c r="J72" s="104"/>
      <c r="K72" s="104"/>
      <c r="L72" s="104"/>
      <c r="M72" s="104"/>
      <c r="N72" s="104"/>
      <c r="O72" s="104"/>
      <c r="P72" s="104"/>
      <c r="Q72" s="104"/>
      <c r="R72" s="104"/>
      <c r="S72" s="149"/>
      <c r="T72" s="148"/>
      <c r="U72" s="582">
        <v>15</v>
      </c>
      <c r="V72" s="1148"/>
      <c r="W72" s="1149"/>
      <c r="X72" s="609"/>
      <c r="Y72" s="104"/>
      <c r="Z72" s="104"/>
      <c r="AA72" s="104"/>
      <c r="AB72" s="104"/>
      <c r="AC72" s="104"/>
      <c r="AD72" s="104"/>
      <c r="AE72" s="104"/>
      <c r="AF72" s="104"/>
      <c r="AG72" s="104"/>
      <c r="AH72" s="104"/>
      <c r="AI72" s="104"/>
      <c r="AJ72" s="104"/>
      <c r="AK72" s="104"/>
      <c r="AL72" s="149"/>
    </row>
    <row r="73" spans="1:38">
      <c r="A73" s="148"/>
      <c r="B73" s="582">
        <v>16</v>
      </c>
      <c r="C73" s="1148"/>
      <c r="D73" s="1149"/>
      <c r="E73" s="609"/>
      <c r="F73" s="104"/>
      <c r="G73" s="104"/>
      <c r="H73" s="104"/>
      <c r="I73" s="104"/>
      <c r="J73" s="104"/>
      <c r="K73" s="104"/>
      <c r="L73" s="104"/>
      <c r="M73" s="104"/>
      <c r="N73" s="104"/>
      <c r="O73" s="104"/>
      <c r="P73" s="104"/>
      <c r="Q73" s="104"/>
      <c r="R73" s="104"/>
      <c r="S73" s="149"/>
      <c r="T73" s="148"/>
      <c r="U73" s="582">
        <v>16</v>
      </c>
      <c r="V73" s="1148"/>
      <c r="W73" s="1149"/>
      <c r="X73" s="609"/>
      <c r="Y73" s="104"/>
      <c r="Z73" s="104"/>
      <c r="AA73" s="104"/>
      <c r="AB73" s="104"/>
      <c r="AC73" s="104"/>
      <c r="AD73" s="104"/>
      <c r="AE73" s="104"/>
      <c r="AF73" s="104"/>
      <c r="AG73" s="104"/>
      <c r="AH73" s="104"/>
      <c r="AI73" s="104"/>
      <c r="AJ73" s="104"/>
      <c r="AK73" s="104"/>
      <c r="AL73" s="149"/>
    </row>
    <row r="74" spans="1:38">
      <c r="A74" s="148"/>
      <c r="B74" s="582">
        <v>17</v>
      </c>
      <c r="C74" s="1148"/>
      <c r="D74" s="1149"/>
      <c r="E74" s="609"/>
      <c r="F74" s="104"/>
      <c r="G74" s="104"/>
      <c r="H74" s="104"/>
      <c r="I74" s="104"/>
      <c r="J74" s="104"/>
      <c r="K74" s="104"/>
      <c r="L74" s="104"/>
      <c r="M74" s="104"/>
      <c r="N74" s="104"/>
      <c r="O74" s="104"/>
      <c r="P74" s="104"/>
      <c r="Q74" s="104"/>
      <c r="R74" s="104"/>
      <c r="S74" s="149"/>
      <c r="T74" s="148"/>
      <c r="U74" s="582">
        <v>17</v>
      </c>
      <c r="V74" s="1148"/>
      <c r="W74" s="1149"/>
      <c r="X74" s="609"/>
      <c r="Y74" s="104"/>
      <c r="Z74" s="104"/>
      <c r="AA74" s="104"/>
      <c r="AB74" s="104"/>
      <c r="AC74" s="104"/>
      <c r="AD74" s="104"/>
      <c r="AE74" s="104"/>
      <c r="AF74" s="104"/>
      <c r="AG74" s="104"/>
      <c r="AH74" s="104"/>
      <c r="AI74" s="104"/>
      <c r="AJ74" s="104"/>
      <c r="AK74" s="104"/>
      <c r="AL74" s="149"/>
    </row>
    <row r="75" spans="1:38">
      <c r="A75" s="148"/>
      <c r="B75" s="582">
        <v>18</v>
      </c>
      <c r="C75" s="1148"/>
      <c r="D75" s="1149"/>
      <c r="E75" s="609"/>
      <c r="F75" s="104"/>
      <c r="G75" s="104"/>
      <c r="H75" s="104"/>
      <c r="I75" s="104"/>
      <c r="J75" s="104"/>
      <c r="K75" s="104"/>
      <c r="L75" s="104"/>
      <c r="M75" s="104"/>
      <c r="N75" s="104"/>
      <c r="O75" s="104"/>
      <c r="P75" s="104"/>
      <c r="Q75" s="104"/>
      <c r="R75" s="104"/>
      <c r="S75" s="149"/>
      <c r="T75" s="148"/>
      <c r="U75" s="582">
        <v>18</v>
      </c>
      <c r="V75" s="1148"/>
      <c r="W75" s="1149"/>
      <c r="X75" s="609"/>
      <c r="Y75" s="104"/>
      <c r="Z75" s="104"/>
      <c r="AA75" s="104"/>
      <c r="AB75" s="104"/>
      <c r="AC75" s="104"/>
      <c r="AD75" s="104"/>
      <c r="AE75" s="104"/>
      <c r="AF75" s="104"/>
      <c r="AG75" s="104"/>
      <c r="AH75" s="104"/>
      <c r="AI75" s="104"/>
      <c r="AJ75" s="104"/>
      <c r="AK75" s="104"/>
      <c r="AL75" s="149"/>
    </row>
    <row r="76" spans="1:38">
      <c r="A76" s="148"/>
      <c r="B76" s="582">
        <v>19</v>
      </c>
      <c r="C76" s="1148"/>
      <c r="D76" s="1149"/>
      <c r="E76" s="609"/>
      <c r="F76" s="104"/>
      <c r="G76" s="104"/>
      <c r="H76" s="104"/>
      <c r="I76" s="104"/>
      <c r="J76" s="104"/>
      <c r="K76" s="104"/>
      <c r="L76" s="104"/>
      <c r="M76" s="104"/>
      <c r="N76" s="104"/>
      <c r="O76" s="104"/>
      <c r="P76" s="104"/>
      <c r="Q76" s="104"/>
      <c r="R76" s="104"/>
      <c r="S76" s="149"/>
      <c r="T76" s="148"/>
      <c r="U76" s="582">
        <v>19</v>
      </c>
      <c r="V76" s="1148"/>
      <c r="W76" s="1149"/>
      <c r="X76" s="609"/>
      <c r="Y76" s="104"/>
      <c r="Z76" s="104"/>
      <c r="AA76" s="104"/>
      <c r="AB76" s="104"/>
      <c r="AC76" s="104"/>
      <c r="AD76" s="104"/>
      <c r="AE76" s="104"/>
      <c r="AF76" s="104"/>
      <c r="AG76" s="104"/>
      <c r="AH76" s="104"/>
      <c r="AI76" s="104"/>
      <c r="AJ76" s="104"/>
      <c r="AK76" s="104"/>
      <c r="AL76" s="149"/>
    </row>
    <row r="77" spans="1:38">
      <c r="A77" s="148"/>
      <c r="B77" s="582">
        <v>20</v>
      </c>
      <c r="C77" s="1148"/>
      <c r="D77" s="1149"/>
      <c r="E77" s="609"/>
      <c r="F77" s="104"/>
      <c r="G77" s="104"/>
      <c r="H77" s="104"/>
      <c r="I77" s="104"/>
      <c r="J77" s="104"/>
      <c r="K77" s="104"/>
      <c r="L77" s="104"/>
      <c r="M77" s="104"/>
      <c r="N77" s="104"/>
      <c r="O77" s="104"/>
      <c r="P77" s="104"/>
      <c r="Q77" s="104"/>
      <c r="R77" s="104"/>
      <c r="S77" s="149"/>
      <c r="T77" s="148"/>
      <c r="U77" s="582">
        <v>20</v>
      </c>
      <c r="V77" s="1148"/>
      <c r="W77" s="1149"/>
      <c r="X77" s="609"/>
      <c r="Y77" s="104"/>
      <c r="Z77" s="104"/>
      <c r="AA77" s="104"/>
      <c r="AB77" s="104"/>
      <c r="AC77" s="104"/>
      <c r="AD77" s="104"/>
      <c r="AE77" s="104"/>
      <c r="AF77" s="104"/>
      <c r="AG77" s="104"/>
      <c r="AH77" s="104"/>
      <c r="AI77" s="104"/>
      <c r="AJ77" s="104"/>
      <c r="AK77" s="104"/>
      <c r="AL77" s="149"/>
    </row>
    <row r="78" spans="1:38">
      <c r="A78" s="148"/>
      <c r="B78" s="582">
        <v>21</v>
      </c>
      <c r="C78" s="1148"/>
      <c r="D78" s="1149"/>
      <c r="E78" s="609"/>
      <c r="F78" s="104"/>
      <c r="G78" s="104"/>
      <c r="H78" s="104"/>
      <c r="I78" s="104"/>
      <c r="J78" s="104"/>
      <c r="K78" s="104"/>
      <c r="L78" s="104"/>
      <c r="M78" s="104"/>
      <c r="N78" s="104"/>
      <c r="O78" s="104"/>
      <c r="P78" s="104"/>
      <c r="Q78" s="104"/>
      <c r="R78" s="104"/>
      <c r="S78" s="149"/>
      <c r="T78" s="148"/>
      <c r="U78" s="582">
        <v>21</v>
      </c>
      <c r="V78" s="1148"/>
      <c r="W78" s="1149"/>
      <c r="X78" s="609"/>
      <c r="Y78" s="104"/>
      <c r="Z78" s="104"/>
      <c r="AA78" s="104"/>
      <c r="AB78" s="104"/>
      <c r="AC78" s="104"/>
      <c r="AD78" s="104"/>
      <c r="AE78" s="104"/>
      <c r="AF78" s="104"/>
      <c r="AG78" s="104"/>
      <c r="AH78" s="104"/>
      <c r="AI78" s="104"/>
      <c r="AJ78" s="104"/>
      <c r="AK78" s="104"/>
      <c r="AL78" s="149"/>
    </row>
    <row r="79" spans="1:38">
      <c r="A79" s="148"/>
      <c r="B79" s="582">
        <v>22</v>
      </c>
      <c r="C79" s="1148"/>
      <c r="D79" s="1149"/>
      <c r="E79" s="609"/>
      <c r="F79" s="104"/>
      <c r="G79" s="104"/>
      <c r="H79" s="104"/>
      <c r="I79" s="104"/>
      <c r="J79" s="104"/>
      <c r="K79" s="104"/>
      <c r="L79" s="104"/>
      <c r="M79" s="104"/>
      <c r="N79" s="104"/>
      <c r="O79" s="104"/>
      <c r="P79" s="104"/>
      <c r="Q79" s="104"/>
      <c r="R79" s="104"/>
      <c r="S79" s="149"/>
      <c r="T79" s="148"/>
      <c r="U79" s="582">
        <v>22</v>
      </c>
      <c r="V79" s="1148"/>
      <c r="W79" s="1149"/>
      <c r="X79" s="609"/>
      <c r="Y79" s="104"/>
      <c r="Z79" s="104"/>
      <c r="AA79" s="104"/>
      <c r="AB79" s="104"/>
      <c r="AC79" s="104"/>
      <c r="AD79" s="104"/>
      <c r="AE79" s="104"/>
      <c r="AF79" s="104"/>
      <c r="AG79" s="104"/>
      <c r="AH79" s="104"/>
      <c r="AI79" s="104"/>
      <c r="AJ79" s="104"/>
      <c r="AK79" s="104"/>
      <c r="AL79" s="149"/>
    </row>
    <row r="80" spans="1:38">
      <c r="A80" s="148"/>
      <c r="B80" s="582">
        <v>23</v>
      </c>
      <c r="C80" s="1148"/>
      <c r="D80" s="1149"/>
      <c r="E80" s="609"/>
      <c r="F80" s="104"/>
      <c r="G80" s="104"/>
      <c r="H80" s="104"/>
      <c r="I80" s="104"/>
      <c r="J80" s="104"/>
      <c r="K80" s="104"/>
      <c r="L80" s="104"/>
      <c r="M80" s="104"/>
      <c r="N80" s="104"/>
      <c r="O80" s="104"/>
      <c r="P80" s="104"/>
      <c r="Q80" s="104"/>
      <c r="R80" s="104"/>
      <c r="S80" s="149"/>
      <c r="T80" s="148"/>
      <c r="U80" s="582">
        <v>23</v>
      </c>
      <c r="V80" s="1148"/>
      <c r="W80" s="1149"/>
      <c r="X80" s="609"/>
      <c r="Y80" s="104"/>
      <c r="Z80" s="104"/>
      <c r="AA80" s="104"/>
      <c r="AB80" s="104"/>
      <c r="AC80" s="104"/>
      <c r="AD80" s="104"/>
      <c r="AE80" s="104"/>
      <c r="AF80" s="104"/>
      <c r="AG80" s="104"/>
      <c r="AH80" s="104"/>
      <c r="AI80" s="104"/>
      <c r="AJ80" s="104"/>
      <c r="AK80" s="104"/>
      <c r="AL80" s="149"/>
    </row>
    <row r="81" spans="1:38">
      <c r="A81" s="148"/>
      <c r="B81" s="582">
        <v>24</v>
      </c>
      <c r="C81" s="1148"/>
      <c r="D81" s="1149"/>
      <c r="E81" s="609"/>
      <c r="F81" s="104"/>
      <c r="G81" s="104"/>
      <c r="H81" s="104"/>
      <c r="I81" s="104"/>
      <c r="J81" s="104"/>
      <c r="K81" s="104"/>
      <c r="L81" s="104"/>
      <c r="M81" s="104"/>
      <c r="N81" s="104"/>
      <c r="O81" s="104"/>
      <c r="P81" s="104"/>
      <c r="Q81" s="104"/>
      <c r="R81" s="104"/>
      <c r="S81" s="149"/>
      <c r="T81" s="148"/>
      <c r="U81" s="582">
        <v>24</v>
      </c>
      <c r="V81" s="1148"/>
      <c r="W81" s="1149"/>
      <c r="X81" s="609"/>
      <c r="Y81" s="104"/>
      <c r="Z81" s="104"/>
      <c r="AA81" s="104"/>
      <c r="AB81" s="104"/>
      <c r="AC81" s="104"/>
      <c r="AD81" s="104"/>
      <c r="AE81" s="104"/>
      <c r="AF81" s="104"/>
      <c r="AG81" s="104"/>
      <c r="AH81" s="104"/>
      <c r="AI81" s="104"/>
      <c r="AJ81" s="104"/>
      <c r="AK81" s="104"/>
      <c r="AL81" s="149"/>
    </row>
    <row r="82" spans="1:38">
      <c r="A82" s="148"/>
      <c r="B82" s="582">
        <v>25</v>
      </c>
      <c r="C82" s="1148"/>
      <c r="D82" s="1149"/>
      <c r="E82" s="609"/>
      <c r="F82" s="104"/>
      <c r="G82" s="104"/>
      <c r="H82" s="104"/>
      <c r="I82" s="104"/>
      <c r="J82" s="104"/>
      <c r="K82" s="104"/>
      <c r="L82" s="104"/>
      <c r="M82" s="104"/>
      <c r="N82" s="104"/>
      <c r="O82" s="104"/>
      <c r="P82" s="104"/>
      <c r="Q82" s="104"/>
      <c r="R82" s="104"/>
      <c r="S82" s="149"/>
      <c r="T82" s="148"/>
      <c r="U82" s="582">
        <v>25</v>
      </c>
      <c r="V82" s="1148"/>
      <c r="W82" s="1149"/>
      <c r="X82" s="609"/>
      <c r="Y82" s="104"/>
      <c r="Z82" s="104"/>
      <c r="AA82" s="104"/>
      <c r="AB82" s="104"/>
      <c r="AC82" s="104"/>
      <c r="AD82" s="104"/>
      <c r="AE82" s="104"/>
      <c r="AF82" s="104"/>
      <c r="AG82" s="104"/>
      <c r="AH82" s="104"/>
      <c r="AI82" s="104"/>
      <c r="AJ82" s="104"/>
      <c r="AK82" s="104"/>
      <c r="AL82" s="149"/>
    </row>
    <row r="83" spans="1:38">
      <c r="A83" s="148"/>
      <c r="B83" s="582">
        <v>26</v>
      </c>
      <c r="C83" s="1148"/>
      <c r="D83" s="1149"/>
      <c r="E83" s="609"/>
      <c r="F83" s="104"/>
      <c r="G83" s="104"/>
      <c r="H83" s="104"/>
      <c r="I83" s="104"/>
      <c r="J83" s="104"/>
      <c r="K83" s="104"/>
      <c r="L83" s="104"/>
      <c r="M83" s="104"/>
      <c r="N83" s="104"/>
      <c r="O83" s="104"/>
      <c r="P83" s="104"/>
      <c r="Q83" s="104"/>
      <c r="R83" s="104"/>
      <c r="S83" s="149"/>
      <c r="T83" s="148"/>
      <c r="U83" s="582">
        <v>26</v>
      </c>
      <c r="V83" s="1148"/>
      <c r="W83" s="1149"/>
      <c r="X83" s="609"/>
      <c r="Y83" s="104"/>
      <c r="Z83" s="104"/>
      <c r="AA83" s="104"/>
      <c r="AB83" s="104"/>
      <c r="AC83" s="104"/>
      <c r="AD83" s="104"/>
      <c r="AE83" s="104"/>
      <c r="AF83" s="104"/>
      <c r="AG83" s="104"/>
      <c r="AH83" s="104"/>
      <c r="AI83" s="104"/>
      <c r="AJ83" s="104"/>
      <c r="AK83" s="104"/>
      <c r="AL83" s="149"/>
    </row>
    <row r="84" spans="1:38">
      <c r="A84" s="148"/>
      <c r="B84" s="582">
        <v>27</v>
      </c>
      <c r="C84" s="1148"/>
      <c r="D84" s="1149"/>
      <c r="E84" s="609"/>
      <c r="F84" s="104"/>
      <c r="G84" s="104"/>
      <c r="H84" s="104"/>
      <c r="I84" s="104"/>
      <c r="J84" s="104"/>
      <c r="K84" s="104"/>
      <c r="L84" s="104"/>
      <c r="M84" s="104"/>
      <c r="N84" s="104"/>
      <c r="O84" s="104"/>
      <c r="P84" s="104"/>
      <c r="Q84" s="104"/>
      <c r="R84" s="104"/>
      <c r="S84" s="149"/>
      <c r="T84" s="148"/>
      <c r="U84" s="582">
        <v>27</v>
      </c>
      <c r="V84" s="1148"/>
      <c r="W84" s="1149"/>
      <c r="X84" s="609"/>
      <c r="Y84" s="104"/>
      <c r="Z84" s="104"/>
      <c r="AA84" s="104"/>
      <c r="AB84" s="104"/>
      <c r="AC84" s="104"/>
      <c r="AD84" s="104"/>
      <c r="AE84" s="104"/>
      <c r="AF84" s="104"/>
      <c r="AG84" s="104"/>
      <c r="AH84" s="104"/>
      <c r="AI84" s="104"/>
      <c r="AJ84" s="104"/>
      <c r="AK84" s="104"/>
      <c r="AL84" s="149"/>
    </row>
    <row r="85" spans="1:38">
      <c r="A85" s="148"/>
      <c r="B85" s="582">
        <v>28</v>
      </c>
      <c r="C85" s="1148"/>
      <c r="D85" s="1149"/>
      <c r="E85" s="609"/>
      <c r="F85" s="104"/>
      <c r="G85" s="104"/>
      <c r="H85" s="104"/>
      <c r="I85" s="104"/>
      <c r="J85" s="104"/>
      <c r="K85" s="104"/>
      <c r="L85" s="104"/>
      <c r="M85" s="104"/>
      <c r="N85" s="104"/>
      <c r="O85" s="104"/>
      <c r="P85" s="104"/>
      <c r="Q85" s="104"/>
      <c r="R85" s="104"/>
      <c r="S85" s="149"/>
      <c r="T85" s="148"/>
      <c r="U85" s="582">
        <v>28</v>
      </c>
      <c r="V85" s="1148"/>
      <c r="W85" s="1149"/>
      <c r="X85" s="609"/>
      <c r="Y85" s="104"/>
      <c r="Z85" s="104"/>
      <c r="AA85" s="104"/>
      <c r="AB85" s="104"/>
      <c r="AC85" s="104"/>
      <c r="AD85" s="104"/>
      <c r="AE85" s="104"/>
      <c r="AF85" s="104"/>
      <c r="AG85" s="104"/>
      <c r="AH85" s="104"/>
      <c r="AI85" s="104"/>
      <c r="AJ85" s="104"/>
      <c r="AK85" s="104"/>
      <c r="AL85" s="149"/>
    </row>
    <row r="86" spans="1:38">
      <c r="A86" s="148"/>
      <c r="B86" s="582">
        <v>29</v>
      </c>
      <c r="C86" s="1148"/>
      <c r="D86" s="1149"/>
      <c r="E86" s="609"/>
      <c r="F86" s="104"/>
      <c r="G86" s="104"/>
      <c r="H86" s="104"/>
      <c r="I86" s="104"/>
      <c r="J86" s="104"/>
      <c r="K86" s="104"/>
      <c r="L86" s="104"/>
      <c r="M86" s="104"/>
      <c r="N86" s="104"/>
      <c r="O86" s="104"/>
      <c r="P86" s="104"/>
      <c r="Q86" s="104"/>
      <c r="R86" s="104"/>
      <c r="S86" s="149"/>
      <c r="T86" s="148"/>
      <c r="U86" s="582">
        <v>29</v>
      </c>
      <c r="V86" s="1148"/>
      <c r="W86" s="1149"/>
      <c r="X86" s="609"/>
      <c r="Y86" s="104"/>
      <c r="Z86" s="104"/>
      <c r="AA86" s="104"/>
      <c r="AB86" s="104"/>
      <c r="AC86" s="104"/>
      <c r="AD86" s="104"/>
      <c r="AE86" s="104"/>
      <c r="AF86" s="104"/>
      <c r="AG86" s="104"/>
      <c r="AH86" s="104"/>
      <c r="AI86" s="104"/>
      <c r="AJ86" s="104"/>
      <c r="AK86" s="104"/>
      <c r="AL86" s="149"/>
    </row>
    <row r="87" spans="1:38">
      <c r="A87" s="148"/>
      <c r="B87" s="582">
        <v>30</v>
      </c>
      <c r="C87" s="1148"/>
      <c r="D87" s="1149"/>
      <c r="E87" s="609"/>
      <c r="F87" s="104"/>
      <c r="G87" s="104"/>
      <c r="H87" s="104"/>
      <c r="I87" s="104"/>
      <c r="J87" s="104"/>
      <c r="K87" s="104"/>
      <c r="L87" s="104"/>
      <c r="M87" s="104"/>
      <c r="N87" s="104"/>
      <c r="O87" s="104"/>
      <c r="P87" s="104"/>
      <c r="Q87" s="104"/>
      <c r="R87" s="104"/>
      <c r="S87" s="149"/>
      <c r="T87" s="148"/>
      <c r="U87" s="582">
        <v>30</v>
      </c>
      <c r="V87" s="1148"/>
      <c r="W87" s="1149"/>
      <c r="X87" s="609"/>
      <c r="Y87" s="104"/>
      <c r="Z87" s="104"/>
      <c r="AA87" s="104"/>
      <c r="AB87" s="104"/>
      <c r="AC87" s="104"/>
      <c r="AD87" s="104"/>
      <c r="AE87" s="104"/>
      <c r="AF87" s="104"/>
      <c r="AG87" s="104"/>
      <c r="AH87" s="104"/>
      <c r="AI87" s="104"/>
      <c r="AJ87" s="104"/>
      <c r="AK87" s="104"/>
      <c r="AL87" s="149"/>
    </row>
    <row r="88" spans="1:38">
      <c r="A88" s="148"/>
      <c r="B88" s="582">
        <v>31</v>
      </c>
      <c r="C88" s="1148"/>
      <c r="D88" s="1149"/>
      <c r="E88" s="609"/>
      <c r="F88" s="104"/>
      <c r="G88" s="104"/>
      <c r="H88" s="104"/>
      <c r="I88" s="104"/>
      <c r="J88" s="104"/>
      <c r="K88" s="104"/>
      <c r="L88" s="104"/>
      <c r="M88" s="104"/>
      <c r="N88" s="104"/>
      <c r="O88" s="104"/>
      <c r="P88" s="104"/>
      <c r="Q88" s="104"/>
      <c r="R88" s="104"/>
      <c r="S88" s="149"/>
      <c r="T88" s="148"/>
      <c r="U88" s="582">
        <v>31</v>
      </c>
      <c r="V88" s="1148"/>
      <c r="W88" s="1149"/>
      <c r="X88" s="609"/>
      <c r="Y88" s="104"/>
      <c r="Z88" s="104"/>
      <c r="AA88" s="104"/>
      <c r="AB88" s="104"/>
      <c r="AC88" s="104"/>
      <c r="AD88" s="104"/>
      <c r="AE88" s="104"/>
      <c r="AF88" s="104"/>
      <c r="AG88" s="104"/>
      <c r="AH88" s="104"/>
      <c r="AI88" s="104"/>
      <c r="AJ88" s="104"/>
      <c r="AK88" s="104"/>
      <c r="AL88" s="149"/>
    </row>
    <row r="89" spans="1:38">
      <c r="A89" s="148"/>
      <c r="B89" s="582">
        <v>32</v>
      </c>
      <c r="C89" s="1148"/>
      <c r="D89" s="1149"/>
      <c r="E89" s="609"/>
      <c r="F89" s="104"/>
      <c r="G89" s="104"/>
      <c r="H89" s="104"/>
      <c r="I89" s="104"/>
      <c r="J89" s="104"/>
      <c r="K89" s="104"/>
      <c r="L89" s="104"/>
      <c r="M89" s="104"/>
      <c r="N89" s="104"/>
      <c r="O89" s="104"/>
      <c r="P89" s="104"/>
      <c r="Q89" s="104"/>
      <c r="R89" s="104"/>
      <c r="S89" s="149"/>
      <c r="T89" s="148"/>
      <c r="U89" s="582">
        <v>32</v>
      </c>
      <c r="V89" s="1148"/>
      <c r="W89" s="1149"/>
      <c r="X89" s="609"/>
      <c r="Y89" s="104"/>
      <c r="Z89" s="104"/>
      <c r="AA89" s="104"/>
      <c r="AB89" s="104"/>
      <c r="AC89" s="104"/>
      <c r="AD89" s="104"/>
      <c r="AE89" s="104"/>
      <c r="AF89" s="104"/>
      <c r="AG89" s="104"/>
      <c r="AH89" s="104"/>
      <c r="AI89" s="104"/>
      <c r="AJ89" s="104"/>
      <c r="AK89" s="104"/>
      <c r="AL89" s="149"/>
    </row>
    <row r="90" spans="1:38">
      <c r="A90" s="148"/>
      <c r="B90" s="582">
        <v>33</v>
      </c>
      <c r="C90" s="1148"/>
      <c r="D90" s="1149"/>
      <c r="E90" s="609"/>
      <c r="F90" s="104"/>
      <c r="G90" s="104"/>
      <c r="H90" s="104"/>
      <c r="I90" s="104"/>
      <c r="J90" s="104"/>
      <c r="K90" s="104"/>
      <c r="L90" s="104"/>
      <c r="M90" s="104"/>
      <c r="N90" s="104"/>
      <c r="O90" s="104"/>
      <c r="P90" s="104"/>
      <c r="Q90" s="104"/>
      <c r="R90" s="104"/>
      <c r="S90" s="149"/>
      <c r="T90" s="148"/>
      <c r="U90" s="582">
        <v>33</v>
      </c>
      <c r="V90" s="1148"/>
      <c r="W90" s="1149"/>
      <c r="X90" s="609"/>
      <c r="Y90" s="104"/>
      <c r="Z90" s="104"/>
      <c r="AA90" s="104"/>
      <c r="AB90" s="104"/>
      <c r="AC90" s="104"/>
      <c r="AD90" s="104"/>
      <c r="AE90" s="104"/>
      <c r="AF90" s="104"/>
      <c r="AG90" s="104"/>
      <c r="AH90" s="104"/>
      <c r="AI90" s="104"/>
      <c r="AJ90" s="104"/>
      <c r="AK90" s="104"/>
      <c r="AL90" s="149"/>
    </row>
    <row r="91" spans="1:38">
      <c r="A91" s="148"/>
      <c r="B91" s="582">
        <v>34</v>
      </c>
      <c r="C91" s="1148"/>
      <c r="D91" s="1149"/>
      <c r="E91" s="609"/>
      <c r="F91" s="104"/>
      <c r="G91" s="104"/>
      <c r="H91" s="104"/>
      <c r="I91" s="104"/>
      <c r="J91" s="104"/>
      <c r="K91" s="104"/>
      <c r="L91" s="104"/>
      <c r="M91" s="104"/>
      <c r="N91" s="104"/>
      <c r="O91" s="104"/>
      <c r="P91" s="104"/>
      <c r="Q91" s="104"/>
      <c r="R91" s="104"/>
      <c r="S91" s="149"/>
      <c r="T91" s="148"/>
      <c r="U91" s="582">
        <v>34</v>
      </c>
      <c r="V91" s="1148"/>
      <c r="W91" s="1149"/>
      <c r="X91" s="609"/>
      <c r="Y91" s="104"/>
      <c r="Z91" s="104"/>
      <c r="AA91" s="104"/>
      <c r="AB91" s="104"/>
      <c r="AC91" s="104"/>
      <c r="AD91" s="104"/>
      <c r="AE91" s="104"/>
      <c r="AF91" s="104"/>
      <c r="AG91" s="104"/>
      <c r="AH91" s="104"/>
      <c r="AI91" s="104"/>
      <c r="AJ91" s="104"/>
      <c r="AK91" s="104"/>
      <c r="AL91" s="149"/>
    </row>
    <row r="92" spans="1:38">
      <c r="A92" s="148"/>
      <c r="B92" s="582">
        <v>35</v>
      </c>
      <c r="C92" s="1148"/>
      <c r="D92" s="1149"/>
      <c r="E92" s="609"/>
      <c r="F92" s="104"/>
      <c r="G92" s="104"/>
      <c r="H92" s="104"/>
      <c r="I92" s="104"/>
      <c r="J92" s="104"/>
      <c r="K92" s="104"/>
      <c r="L92" s="104"/>
      <c r="M92" s="104"/>
      <c r="N92" s="104"/>
      <c r="O92" s="104"/>
      <c r="P92" s="104"/>
      <c r="Q92" s="104"/>
      <c r="R92" s="104"/>
      <c r="S92" s="149"/>
      <c r="T92" s="148"/>
      <c r="U92" s="582">
        <v>35</v>
      </c>
      <c r="V92" s="1148"/>
      <c r="W92" s="1149"/>
      <c r="X92" s="609"/>
      <c r="Y92" s="104"/>
      <c r="Z92" s="104"/>
      <c r="AA92" s="104"/>
      <c r="AB92" s="104"/>
      <c r="AC92" s="104"/>
      <c r="AD92" s="104"/>
      <c r="AE92" s="104"/>
      <c r="AF92" s="104"/>
      <c r="AG92" s="104"/>
      <c r="AH92" s="104"/>
      <c r="AI92" s="104"/>
      <c r="AJ92" s="104"/>
      <c r="AK92" s="104"/>
      <c r="AL92" s="149"/>
    </row>
    <row r="93" spans="1:38">
      <c r="A93" s="148"/>
      <c r="B93" s="582">
        <v>36</v>
      </c>
      <c r="C93" s="1148"/>
      <c r="D93" s="1149"/>
      <c r="E93" s="609"/>
      <c r="F93" s="104"/>
      <c r="G93" s="104"/>
      <c r="H93" s="104"/>
      <c r="I93" s="104"/>
      <c r="J93" s="104"/>
      <c r="K93" s="104"/>
      <c r="L93" s="104"/>
      <c r="M93" s="104"/>
      <c r="N93" s="104"/>
      <c r="O93" s="104"/>
      <c r="P93" s="104"/>
      <c r="Q93" s="104"/>
      <c r="R93" s="104"/>
      <c r="S93" s="149"/>
      <c r="T93" s="148"/>
      <c r="U93" s="582">
        <v>36</v>
      </c>
      <c r="V93" s="1148"/>
      <c r="W93" s="1149"/>
      <c r="X93" s="609"/>
      <c r="Y93" s="104"/>
      <c r="Z93" s="104"/>
      <c r="AA93" s="104"/>
      <c r="AB93" s="104"/>
      <c r="AC93" s="104"/>
      <c r="AD93" s="104"/>
      <c r="AE93" s="104"/>
      <c r="AF93" s="104"/>
      <c r="AG93" s="104"/>
      <c r="AH93" s="104"/>
      <c r="AI93" s="104"/>
      <c r="AJ93" s="104"/>
      <c r="AK93" s="104"/>
      <c r="AL93" s="149"/>
    </row>
    <row r="94" spans="1:38">
      <c r="A94" s="148"/>
      <c r="B94" s="582">
        <v>37</v>
      </c>
      <c r="C94" s="1148"/>
      <c r="D94" s="1149"/>
      <c r="E94" s="609"/>
      <c r="F94" s="104"/>
      <c r="G94" s="104"/>
      <c r="H94" s="104"/>
      <c r="I94" s="104"/>
      <c r="J94" s="104"/>
      <c r="K94" s="104"/>
      <c r="L94" s="104"/>
      <c r="M94" s="104"/>
      <c r="N94" s="104"/>
      <c r="O94" s="104"/>
      <c r="P94" s="104"/>
      <c r="Q94" s="104"/>
      <c r="R94" s="104"/>
      <c r="S94" s="149"/>
      <c r="T94" s="148"/>
      <c r="U94" s="582">
        <v>37</v>
      </c>
      <c r="V94" s="1148"/>
      <c r="W94" s="1149"/>
      <c r="X94" s="609"/>
      <c r="Y94" s="104"/>
      <c r="Z94" s="104"/>
      <c r="AA94" s="104"/>
      <c r="AB94" s="104"/>
      <c r="AC94" s="104"/>
      <c r="AD94" s="104"/>
      <c r="AE94" s="104"/>
      <c r="AF94" s="104"/>
      <c r="AG94" s="104"/>
      <c r="AH94" s="104"/>
      <c r="AI94" s="104"/>
      <c r="AJ94" s="104"/>
      <c r="AK94" s="104"/>
      <c r="AL94" s="149"/>
    </row>
    <row r="95" spans="1:38">
      <c r="A95" s="148"/>
      <c r="B95" s="582">
        <v>38</v>
      </c>
      <c r="C95" s="1148"/>
      <c r="D95" s="1149"/>
      <c r="E95" s="609"/>
      <c r="F95" s="104"/>
      <c r="G95" s="104"/>
      <c r="H95" s="104"/>
      <c r="I95" s="104"/>
      <c r="J95" s="104"/>
      <c r="K95" s="104"/>
      <c r="L95" s="104"/>
      <c r="M95" s="104"/>
      <c r="N95" s="104"/>
      <c r="O95" s="104"/>
      <c r="P95" s="104"/>
      <c r="Q95" s="104"/>
      <c r="R95" s="104"/>
      <c r="S95" s="149"/>
      <c r="T95" s="148"/>
      <c r="U95" s="582">
        <v>38</v>
      </c>
      <c r="V95" s="1148"/>
      <c r="W95" s="1149"/>
      <c r="X95" s="609"/>
      <c r="Y95" s="104"/>
      <c r="Z95" s="104"/>
      <c r="AA95" s="104"/>
      <c r="AB95" s="104"/>
      <c r="AC95" s="104"/>
      <c r="AD95" s="104"/>
      <c r="AE95" s="104"/>
      <c r="AF95" s="104"/>
      <c r="AG95" s="104"/>
      <c r="AH95" s="104"/>
      <c r="AI95" s="104"/>
      <c r="AJ95" s="104"/>
      <c r="AK95" s="104"/>
      <c r="AL95" s="149"/>
    </row>
    <row r="96" spans="1:38">
      <c r="A96" s="148"/>
      <c r="B96" s="582">
        <v>39</v>
      </c>
      <c r="C96" s="1148"/>
      <c r="D96" s="1149"/>
      <c r="E96" s="609"/>
      <c r="F96" s="104"/>
      <c r="G96" s="104"/>
      <c r="H96" s="104"/>
      <c r="I96" s="104"/>
      <c r="J96" s="104"/>
      <c r="K96" s="104"/>
      <c r="L96" s="104"/>
      <c r="M96" s="104"/>
      <c r="N96" s="104"/>
      <c r="O96" s="104"/>
      <c r="P96" s="104"/>
      <c r="Q96" s="104"/>
      <c r="R96" s="104"/>
      <c r="S96" s="149"/>
      <c r="T96" s="148"/>
      <c r="U96" s="582">
        <v>39</v>
      </c>
      <c r="V96" s="1148"/>
      <c r="W96" s="1149"/>
      <c r="X96" s="609"/>
      <c r="Y96" s="104"/>
      <c r="Z96" s="104"/>
      <c r="AA96" s="104"/>
      <c r="AB96" s="104"/>
      <c r="AC96" s="104"/>
      <c r="AD96" s="104"/>
      <c r="AE96" s="104"/>
      <c r="AF96" s="104"/>
      <c r="AG96" s="104"/>
      <c r="AH96" s="104"/>
      <c r="AI96" s="104"/>
      <c r="AJ96" s="104"/>
      <c r="AK96" s="104"/>
      <c r="AL96" s="149"/>
    </row>
    <row r="97" spans="1:38">
      <c r="A97" s="148"/>
      <c r="B97" s="582">
        <v>40</v>
      </c>
      <c r="C97" s="1148"/>
      <c r="D97" s="1149"/>
      <c r="E97" s="609"/>
      <c r="F97" s="104"/>
      <c r="G97" s="104"/>
      <c r="H97" s="104"/>
      <c r="I97" s="104"/>
      <c r="J97" s="104"/>
      <c r="K97" s="104"/>
      <c r="L97" s="104"/>
      <c r="M97" s="104"/>
      <c r="N97" s="104"/>
      <c r="O97" s="104"/>
      <c r="P97" s="104"/>
      <c r="Q97" s="104"/>
      <c r="R97" s="104"/>
      <c r="S97" s="149"/>
      <c r="T97" s="148"/>
      <c r="U97" s="582">
        <v>40</v>
      </c>
      <c r="V97" s="1148"/>
      <c r="W97" s="1149"/>
      <c r="X97" s="609"/>
      <c r="Y97" s="104"/>
      <c r="Z97" s="104"/>
      <c r="AA97" s="104"/>
      <c r="AB97" s="104"/>
      <c r="AC97" s="104"/>
      <c r="AD97" s="104"/>
      <c r="AE97" s="104"/>
      <c r="AF97" s="104"/>
      <c r="AG97" s="104"/>
      <c r="AH97" s="104"/>
      <c r="AI97" s="104"/>
      <c r="AJ97" s="104"/>
      <c r="AK97" s="104"/>
      <c r="AL97" s="149"/>
    </row>
    <row r="98" spans="1:38">
      <c r="A98" s="148"/>
      <c r="B98" s="582">
        <v>41</v>
      </c>
      <c r="C98" s="1148"/>
      <c r="D98" s="1149"/>
      <c r="E98" s="609"/>
      <c r="F98" s="104"/>
      <c r="G98" s="104"/>
      <c r="H98" s="104"/>
      <c r="I98" s="104"/>
      <c r="J98" s="104"/>
      <c r="K98" s="104"/>
      <c r="L98" s="104"/>
      <c r="M98" s="104"/>
      <c r="N98" s="104"/>
      <c r="O98" s="104"/>
      <c r="P98" s="104"/>
      <c r="Q98" s="104"/>
      <c r="R98" s="104"/>
      <c r="S98" s="149"/>
      <c r="T98" s="148"/>
      <c r="U98" s="582">
        <v>41</v>
      </c>
      <c r="V98" s="1148"/>
      <c r="W98" s="1149"/>
      <c r="X98" s="609"/>
      <c r="Y98" s="104"/>
      <c r="Z98" s="104"/>
      <c r="AA98" s="104"/>
      <c r="AB98" s="104"/>
      <c r="AC98" s="104"/>
      <c r="AD98" s="104"/>
      <c r="AE98" s="104"/>
      <c r="AF98" s="104"/>
      <c r="AG98" s="104"/>
      <c r="AH98" s="104"/>
      <c r="AI98" s="104"/>
      <c r="AJ98" s="104"/>
      <c r="AK98" s="104"/>
      <c r="AL98" s="149"/>
    </row>
    <row r="99" spans="1:38">
      <c r="A99" s="148"/>
      <c r="B99" s="582">
        <v>42</v>
      </c>
      <c r="C99" s="1148"/>
      <c r="D99" s="1149"/>
      <c r="E99" s="609"/>
      <c r="F99" s="104"/>
      <c r="G99" s="104"/>
      <c r="H99" s="104"/>
      <c r="I99" s="104"/>
      <c r="J99" s="104"/>
      <c r="K99" s="104"/>
      <c r="L99" s="104"/>
      <c r="M99" s="104"/>
      <c r="N99" s="104"/>
      <c r="O99" s="104"/>
      <c r="P99" s="104"/>
      <c r="Q99" s="104"/>
      <c r="R99" s="104"/>
      <c r="S99" s="149"/>
      <c r="T99" s="148"/>
      <c r="U99" s="582">
        <v>42</v>
      </c>
      <c r="V99" s="1148"/>
      <c r="W99" s="1149"/>
      <c r="X99" s="609"/>
      <c r="Y99" s="104"/>
      <c r="Z99" s="104"/>
      <c r="AA99" s="104"/>
      <c r="AB99" s="104"/>
      <c r="AC99" s="104"/>
      <c r="AD99" s="104"/>
      <c r="AE99" s="104"/>
      <c r="AF99" s="104"/>
      <c r="AG99" s="104"/>
      <c r="AH99" s="104"/>
      <c r="AI99" s="104"/>
      <c r="AJ99" s="104"/>
      <c r="AK99" s="104"/>
      <c r="AL99" s="149"/>
    </row>
    <row r="100" spans="1:38">
      <c r="A100" s="148"/>
      <c r="B100" s="582">
        <v>43</v>
      </c>
      <c r="C100" s="1148"/>
      <c r="D100" s="1149"/>
      <c r="E100" s="609"/>
      <c r="F100" s="104"/>
      <c r="G100" s="104"/>
      <c r="H100" s="104"/>
      <c r="I100" s="104"/>
      <c r="J100" s="104"/>
      <c r="K100" s="104"/>
      <c r="L100" s="104"/>
      <c r="M100" s="104"/>
      <c r="N100" s="104"/>
      <c r="O100" s="104"/>
      <c r="P100" s="104"/>
      <c r="Q100" s="104"/>
      <c r="R100" s="104"/>
      <c r="S100" s="149"/>
      <c r="T100" s="148"/>
      <c r="U100" s="582">
        <v>43</v>
      </c>
      <c r="V100" s="1148"/>
      <c r="W100" s="1149"/>
      <c r="X100" s="609"/>
      <c r="Y100" s="104"/>
      <c r="Z100" s="104"/>
      <c r="AA100" s="104"/>
      <c r="AB100" s="104"/>
      <c r="AC100" s="104"/>
      <c r="AD100" s="104"/>
      <c r="AE100" s="104"/>
      <c r="AF100" s="104"/>
      <c r="AG100" s="104"/>
      <c r="AH100" s="104"/>
      <c r="AI100" s="104"/>
      <c r="AJ100" s="104"/>
      <c r="AK100" s="104"/>
      <c r="AL100" s="149"/>
    </row>
    <row r="101" spans="1:38">
      <c r="A101" s="148"/>
      <c r="B101" s="582">
        <v>44</v>
      </c>
      <c r="C101" s="1148"/>
      <c r="D101" s="1149"/>
      <c r="E101" s="609"/>
      <c r="F101" s="104"/>
      <c r="G101" s="104"/>
      <c r="H101" s="104"/>
      <c r="I101" s="104"/>
      <c r="J101" s="104"/>
      <c r="K101" s="104"/>
      <c r="L101" s="104"/>
      <c r="M101" s="104"/>
      <c r="N101" s="104"/>
      <c r="O101" s="104"/>
      <c r="P101" s="104"/>
      <c r="Q101" s="104"/>
      <c r="R101" s="104"/>
      <c r="S101" s="149"/>
      <c r="T101" s="148"/>
      <c r="U101" s="582">
        <v>44</v>
      </c>
      <c r="V101" s="1148"/>
      <c r="W101" s="1149"/>
      <c r="X101" s="609"/>
      <c r="Y101" s="104"/>
      <c r="Z101" s="104"/>
      <c r="AA101" s="104"/>
      <c r="AB101" s="104"/>
      <c r="AC101" s="104"/>
      <c r="AD101" s="104"/>
      <c r="AE101" s="104"/>
      <c r="AF101" s="104"/>
      <c r="AG101" s="104"/>
      <c r="AH101" s="104"/>
      <c r="AI101" s="104"/>
      <c r="AJ101" s="104"/>
      <c r="AK101" s="104"/>
      <c r="AL101" s="149"/>
    </row>
    <row r="102" spans="1:38">
      <c r="A102" s="148"/>
      <c r="B102" s="582">
        <v>45</v>
      </c>
      <c r="C102" s="1148"/>
      <c r="D102" s="1149"/>
      <c r="E102" s="609"/>
      <c r="F102" s="104"/>
      <c r="G102" s="104"/>
      <c r="H102" s="104"/>
      <c r="I102" s="104"/>
      <c r="J102" s="104"/>
      <c r="K102" s="104"/>
      <c r="L102" s="104"/>
      <c r="M102" s="104"/>
      <c r="N102" s="104"/>
      <c r="O102" s="104"/>
      <c r="P102" s="104"/>
      <c r="Q102" s="104"/>
      <c r="R102" s="104"/>
      <c r="S102" s="149"/>
      <c r="T102" s="148"/>
      <c r="U102" s="582">
        <v>45</v>
      </c>
      <c r="V102" s="1148"/>
      <c r="W102" s="1149"/>
      <c r="X102" s="609"/>
      <c r="Y102" s="104"/>
      <c r="Z102" s="104"/>
      <c r="AA102" s="104"/>
      <c r="AB102" s="104"/>
      <c r="AC102" s="104"/>
      <c r="AD102" s="104"/>
      <c r="AE102" s="104"/>
      <c r="AF102" s="104"/>
      <c r="AG102" s="104"/>
      <c r="AH102" s="104"/>
      <c r="AI102" s="104"/>
      <c r="AJ102" s="104"/>
      <c r="AK102" s="104"/>
      <c r="AL102" s="149"/>
    </row>
    <row r="103" spans="1:38">
      <c r="A103" s="148"/>
      <c r="B103" s="582">
        <v>46</v>
      </c>
      <c r="C103" s="1148"/>
      <c r="D103" s="1149"/>
      <c r="E103" s="609"/>
      <c r="F103" s="104"/>
      <c r="G103" s="104"/>
      <c r="H103" s="104"/>
      <c r="I103" s="104"/>
      <c r="J103" s="104"/>
      <c r="K103" s="104"/>
      <c r="L103" s="104"/>
      <c r="M103" s="104"/>
      <c r="N103" s="104"/>
      <c r="O103" s="104"/>
      <c r="P103" s="104"/>
      <c r="Q103" s="104"/>
      <c r="R103" s="104"/>
      <c r="S103" s="149"/>
      <c r="T103" s="148"/>
      <c r="U103" s="582">
        <v>46</v>
      </c>
      <c r="V103" s="1148"/>
      <c r="W103" s="1149"/>
      <c r="X103" s="609"/>
      <c r="Y103" s="104"/>
      <c r="Z103" s="104"/>
      <c r="AA103" s="104"/>
      <c r="AB103" s="104"/>
      <c r="AC103" s="104"/>
      <c r="AD103" s="104"/>
      <c r="AE103" s="104"/>
      <c r="AF103" s="104"/>
      <c r="AG103" s="104"/>
      <c r="AH103" s="104"/>
      <c r="AI103" s="104"/>
      <c r="AJ103" s="104"/>
      <c r="AK103" s="104"/>
      <c r="AL103" s="149"/>
    </row>
    <row r="104" spans="1:38">
      <c r="A104" s="148"/>
      <c r="B104" s="582">
        <v>47</v>
      </c>
      <c r="C104" s="1148"/>
      <c r="D104" s="1149"/>
      <c r="E104" s="609"/>
      <c r="F104" s="104"/>
      <c r="G104" s="104"/>
      <c r="H104" s="104"/>
      <c r="I104" s="104"/>
      <c r="J104" s="104"/>
      <c r="K104" s="104"/>
      <c r="L104" s="104"/>
      <c r="M104" s="104"/>
      <c r="N104" s="104"/>
      <c r="O104" s="104"/>
      <c r="P104" s="104"/>
      <c r="Q104" s="104"/>
      <c r="R104" s="104"/>
      <c r="S104" s="149"/>
      <c r="T104" s="148"/>
      <c r="U104" s="582">
        <v>47</v>
      </c>
      <c r="V104" s="1148"/>
      <c r="W104" s="1149"/>
      <c r="X104" s="609"/>
      <c r="Y104" s="104"/>
      <c r="Z104" s="104"/>
      <c r="AA104" s="104"/>
      <c r="AB104" s="104"/>
      <c r="AC104" s="104"/>
      <c r="AD104" s="104"/>
      <c r="AE104" s="104"/>
      <c r="AF104" s="104"/>
      <c r="AG104" s="104"/>
      <c r="AH104" s="104"/>
      <c r="AI104" s="104"/>
      <c r="AJ104" s="104"/>
      <c r="AK104" s="104"/>
      <c r="AL104" s="149"/>
    </row>
    <row r="105" spans="1:38">
      <c r="A105" s="148"/>
      <c r="B105" s="582">
        <v>48</v>
      </c>
      <c r="C105" s="1148"/>
      <c r="D105" s="1149"/>
      <c r="E105" s="609"/>
      <c r="F105" s="104"/>
      <c r="G105" s="104"/>
      <c r="H105" s="104"/>
      <c r="I105" s="104"/>
      <c r="J105" s="104"/>
      <c r="K105" s="104"/>
      <c r="L105" s="104"/>
      <c r="M105" s="104"/>
      <c r="N105" s="104"/>
      <c r="O105" s="104"/>
      <c r="P105" s="104"/>
      <c r="Q105" s="104"/>
      <c r="R105" s="104"/>
      <c r="S105" s="149"/>
      <c r="T105" s="148"/>
      <c r="U105" s="582">
        <v>48</v>
      </c>
      <c r="V105" s="1148"/>
      <c r="W105" s="1149"/>
      <c r="X105" s="609"/>
      <c r="Y105" s="104"/>
      <c r="Z105" s="104"/>
      <c r="AA105" s="104"/>
      <c r="AB105" s="104"/>
      <c r="AC105" s="104"/>
      <c r="AD105" s="104"/>
      <c r="AE105" s="104"/>
      <c r="AF105" s="104"/>
      <c r="AG105" s="104"/>
      <c r="AH105" s="104"/>
      <c r="AI105" s="104"/>
      <c r="AJ105" s="104"/>
      <c r="AK105" s="104"/>
      <c r="AL105" s="149"/>
    </row>
    <row r="106" spans="1:38">
      <c r="A106" s="148"/>
      <c r="B106" s="582">
        <v>49</v>
      </c>
      <c r="C106" s="1148"/>
      <c r="D106" s="1149"/>
      <c r="E106" s="609"/>
      <c r="F106" s="104"/>
      <c r="G106" s="104"/>
      <c r="H106" s="104"/>
      <c r="I106" s="104"/>
      <c r="J106" s="104"/>
      <c r="K106" s="104"/>
      <c r="L106" s="104"/>
      <c r="M106" s="104"/>
      <c r="N106" s="104"/>
      <c r="O106" s="104"/>
      <c r="P106" s="104"/>
      <c r="Q106" s="104"/>
      <c r="R106" s="104"/>
      <c r="S106" s="149"/>
      <c r="T106" s="148"/>
      <c r="U106" s="582">
        <v>49</v>
      </c>
      <c r="V106" s="1148"/>
      <c r="W106" s="1149"/>
      <c r="X106" s="609"/>
      <c r="Y106" s="104"/>
      <c r="Z106" s="104"/>
      <c r="AA106" s="104"/>
      <c r="AB106" s="104"/>
      <c r="AC106" s="104"/>
      <c r="AD106" s="104"/>
      <c r="AE106" s="104"/>
      <c r="AF106" s="104"/>
      <c r="AG106" s="104"/>
      <c r="AH106" s="104"/>
      <c r="AI106" s="104"/>
      <c r="AJ106" s="104"/>
      <c r="AK106" s="104"/>
      <c r="AL106" s="149"/>
    </row>
    <row r="107" spans="1:38">
      <c r="A107" s="148"/>
      <c r="B107" s="582">
        <v>50</v>
      </c>
      <c r="C107" s="1148"/>
      <c r="D107" s="1149"/>
      <c r="E107" s="609"/>
      <c r="F107" s="104"/>
      <c r="G107" s="104"/>
      <c r="H107" s="104"/>
      <c r="I107" s="104"/>
      <c r="J107" s="104"/>
      <c r="K107" s="104"/>
      <c r="L107" s="104"/>
      <c r="M107" s="104"/>
      <c r="N107" s="104"/>
      <c r="O107" s="104"/>
      <c r="P107" s="104"/>
      <c r="Q107" s="104"/>
      <c r="R107" s="104"/>
      <c r="S107" s="149"/>
      <c r="T107" s="148"/>
      <c r="U107" s="582">
        <v>50</v>
      </c>
      <c r="V107" s="1148"/>
      <c r="W107" s="1149"/>
      <c r="X107" s="609"/>
      <c r="Y107" s="104"/>
      <c r="Z107" s="104"/>
      <c r="AA107" s="104"/>
      <c r="AB107" s="104"/>
      <c r="AC107" s="104"/>
      <c r="AD107" s="104"/>
      <c r="AE107" s="104"/>
      <c r="AF107" s="104"/>
      <c r="AG107" s="104"/>
      <c r="AH107" s="104"/>
      <c r="AI107" s="104"/>
      <c r="AJ107" s="104"/>
      <c r="AK107" s="104"/>
      <c r="AL107" s="149"/>
    </row>
    <row r="108" spans="1:38">
      <c r="A108" s="148"/>
      <c r="B108" s="582">
        <v>51</v>
      </c>
      <c r="C108" s="1148"/>
      <c r="D108" s="1149"/>
      <c r="E108" s="609"/>
      <c r="F108" s="104"/>
      <c r="G108" s="104"/>
      <c r="H108" s="104"/>
      <c r="I108" s="104"/>
      <c r="J108" s="104"/>
      <c r="K108" s="104"/>
      <c r="L108" s="104"/>
      <c r="M108" s="104"/>
      <c r="N108" s="104"/>
      <c r="O108" s="104"/>
      <c r="P108" s="104"/>
      <c r="Q108" s="104"/>
      <c r="R108" s="104"/>
      <c r="S108" s="149"/>
      <c r="T108" s="148"/>
      <c r="U108" s="582">
        <v>51</v>
      </c>
      <c r="V108" s="1148"/>
      <c r="W108" s="1149"/>
      <c r="X108" s="609"/>
      <c r="Y108" s="104"/>
      <c r="Z108" s="104"/>
      <c r="AA108" s="104"/>
      <c r="AB108" s="104"/>
      <c r="AC108" s="104"/>
      <c r="AD108" s="104"/>
      <c r="AE108" s="104"/>
      <c r="AF108" s="104"/>
      <c r="AG108" s="104"/>
      <c r="AH108" s="104"/>
      <c r="AI108" s="104"/>
      <c r="AJ108" s="104"/>
      <c r="AK108" s="104"/>
      <c r="AL108" s="149"/>
    </row>
    <row r="109" spans="1:38">
      <c r="A109" s="148"/>
      <c r="B109" s="582">
        <v>52</v>
      </c>
      <c r="C109" s="1148"/>
      <c r="D109" s="1149"/>
      <c r="E109" s="609"/>
      <c r="F109" s="104"/>
      <c r="G109" s="104"/>
      <c r="H109" s="104"/>
      <c r="I109" s="104"/>
      <c r="J109" s="104"/>
      <c r="K109" s="104"/>
      <c r="L109" s="104"/>
      <c r="M109" s="104"/>
      <c r="N109" s="104"/>
      <c r="O109" s="104"/>
      <c r="P109" s="104"/>
      <c r="Q109" s="104"/>
      <c r="R109" s="104"/>
      <c r="S109" s="149"/>
      <c r="T109" s="148"/>
      <c r="U109" s="582">
        <v>52</v>
      </c>
      <c r="V109" s="1148"/>
      <c r="W109" s="1149"/>
      <c r="X109" s="609"/>
      <c r="Y109" s="104"/>
      <c r="Z109" s="104"/>
      <c r="AA109" s="104"/>
      <c r="AB109" s="104"/>
      <c r="AC109" s="104"/>
      <c r="AD109" s="104"/>
      <c r="AE109" s="104"/>
      <c r="AF109" s="104"/>
      <c r="AG109" s="104"/>
      <c r="AH109" s="104"/>
      <c r="AI109" s="104"/>
      <c r="AJ109" s="104"/>
      <c r="AK109" s="104"/>
      <c r="AL109" s="149"/>
    </row>
    <row r="110" spans="1:38">
      <c r="A110" s="148"/>
      <c r="B110" s="582">
        <v>53</v>
      </c>
      <c r="C110" s="1148"/>
      <c r="D110" s="1149"/>
      <c r="E110" s="609"/>
      <c r="F110" s="104"/>
      <c r="G110" s="104"/>
      <c r="H110" s="104"/>
      <c r="I110" s="104"/>
      <c r="J110" s="104"/>
      <c r="K110" s="104"/>
      <c r="L110" s="104"/>
      <c r="M110" s="104"/>
      <c r="N110" s="104"/>
      <c r="O110" s="104"/>
      <c r="P110" s="104"/>
      <c r="Q110" s="104"/>
      <c r="R110" s="104"/>
      <c r="S110" s="149"/>
      <c r="T110" s="148"/>
      <c r="U110" s="582">
        <v>53</v>
      </c>
      <c r="V110" s="1148"/>
      <c r="W110" s="1149"/>
      <c r="X110" s="609"/>
      <c r="Y110" s="104"/>
      <c r="Z110" s="104"/>
      <c r="AA110" s="104"/>
      <c r="AB110" s="104"/>
      <c r="AC110" s="104"/>
      <c r="AD110" s="104"/>
      <c r="AE110" s="104"/>
      <c r="AF110" s="104"/>
      <c r="AG110" s="104"/>
      <c r="AH110" s="104"/>
      <c r="AI110" s="104"/>
      <c r="AJ110" s="104"/>
      <c r="AK110" s="104"/>
      <c r="AL110" s="149"/>
    </row>
    <row r="111" spans="1:38">
      <c r="A111" s="148"/>
      <c r="B111" s="582">
        <v>54</v>
      </c>
      <c r="C111" s="1148"/>
      <c r="D111" s="1149"/>
      <c r="E111" s="609"/>
      <c r="F111" s="104"/>
      <c r="G111" s="104"/>
      <c r="H111" s="104"/>
      <c r="I111" s="104"/>
      <c r="J111" s="104"/>
      <c r="K111" s="104"/>
      <c r="L111" s="104"/>
      <c r="M111" s="104"/>
      <c r="N111" s="104"/>
      <c r="O111" s="104"/>
      <c r="P111" s="104"/>
      <c r="Q111" s="104"/>
      <c r="R111" s="104"/>
      <c r="S111" s="149"/>
      <c r="T111" s="148"/>
      <c r="U111" s="582">
        <v>54</v>
      </c>
      <c r="V111" s="1148"/>
      <c r="W111" s="1149"/>
      <c r="X111" s="609"/>
      <c r="Y111" s="104"/>
      <c r="Z111" s="104"/>
      <c r="AA111" s="104"/>
      <c r="AB111" s="104"/>
      <c r="AC111" s="104"/>
      <c r="AD111" s="104"/>
      <c r="AE111" s="104"/>
      <c r="AF111" s="104"/>
      <c r="AG111" s="104"/>
      <c r="AH111" s="104"/>
      <c r="AI111" s="104"/>
      <c r="AJ111" s="104"/>
      <c r="AK111" s="104"/>
      <c r="AL111" s="149"/>
    </row>
    <row r="112" spans="1:38">
      <c r="A112" s="148"/>
      <c r="B112" s="582">
        <v>55</v>
      </c>
      <c r="C112" s="1148"/>
      <c r="D112" s="1149"/>
      <c r="E112" s="609"/>
      <c r="F112" s="104"/>
      <c r="G112" s="104"/>
      <c r="H112" s="104"/>
      <c r="I112" s="104"/>
      <c r="J112" s="104"/>
      <c r="K112" s="104"/>
      <c r="L112" s="104"/>
      <c r="M112" s="104"/>
      <c r="N112" s="104"/>
      <c r="O112" s="104"/>
      <c r="P112" s="104"/>
      <c r="Q112" s="104"/>
      <c r="R112" s="104"/>
      <c r="S112" s="149"/>
      <c r="T112" s="148"/>
      <c r="U112" s="582">
        <v>55</v>
      </c>
      <c r="V112" s="1148"/>
      <c r="W112" s="1149"/>
      <c r="X112" s="609"/>
      <c r="Y112" s="104"/>
      <c r="Z112" s="104"/>
      <c r="AA112" s="104"/>
      <c r="AB112" s="104"/>
      <c r="AC112" s="104"/>
      <c r="AD112" s="104"/>
      <c r="AE112" s="104"/>
      <c r="AF112" s="104"/>
      <c r="AG112" s="104"/>
      <c r="AH112" s="104"/>
      <c r="AI112" s="104"/>
      <c r="AJ112" s="104"/>
      <c r="AK112" s="104"/>
      <c r="AL112" s="149"/>
    </row>
    <row r="113" spans="1:38">
      <c r="A113" s="148"/>
      <c r="B113" s="582">
        <v>56</v>
      </c>
      <c r="C113" s="1148"/>
      <c r="D113" s="1149"/>
      <c r="E113" s="609"/>
      <c r="F113" s="104"/>
      <c r="G113" s="104"/>
      <c r="H113" s="104"/>
      <c r="I113" s="104"/>
      <c r="J113" s="104"/>
      <c r="K113" s="104"/>
      <c r="L113" s="104"/>
      <c r="M113" s="104"/>
      <c r="N113" s="104"/>
      <c r="O113" s="104"/>
      <c r="P113" s="104"/>
      <c r="Q113" s="104"/>
      <c r="R113" s="104"/>
      <c r="S113" s="149"/>
      <c r="T113" s="148"/>
      <c r="U113" s="582">
        <v>56</v>
      </c>
      <c r="V113" s="1148"/>
      <c r="W113" s="1149"/>
      <c r="X113" s="609"/>
      <c r="Y113" s="104"/>
      <c r="Z113" s="104"/>
      <c r="AA113" s="104"/>
      <c r="AB113" s="104"/>
      <c r="AC113" s="104"/>
      <c r="AD113" s="104"/>
      <c r="AE113" s="104"/>
      <c r="AF113" s="104"/>
      <c r="AG113" s="104"/>
      <c r="AH113" s="104"/>
      <c r="AI113" s="104"/>
      <c r="AJ113" s="104"/>
      <c r="AK113" s="104"/>
      <c r="AL113" s="149"/>
    </row>
    <row r="114" spans="1:38">
      <c r="A114" s="148"/>
      <c r="B114" s="582">
        <v>57</v>
      </c>
      <c r="C114" s="1148"/>
      <c r="D114" s="1149"/>
      <c r="E114" s="609"/>
      <c r="F114" s="104"/>
      <c r="G114" s="104"/>
      <c r="H114" s="104"/>
      <c r="I114" s="104"/>
      <c r="J114" s="104"/>
      <c r="K114" s="104"/>
      <c r="L114" s="104"/>
      <c r="M114" s="104"/>
      <c r="N114" s="104"/>
      <c r="O114" s="104"/>
      <c r="P114" s="104"/>
      <c r="Q114" s="104"/>
      <c r="R114" s="104"/>
      <c r="S114" s="149"/>
      <c r="T114" s="148"/>
      <c r="U114" s="582">
        <v>57</v>
      </c>
      <c r="V114" s="1148"/>
      <c r="W114" s="1149"/>
      <c r="X114" s="609"/>
      <c r="Y114" s="104"/>
      <c r="Z114" s="104"/>
      <c r="AA114" s="104"/>
      <c r="AB114" s="104"/>
      <c r="AC114" s="104"/>
      <c r="AD114" s="104"/>
      <c r="AE114" s="104"/>
      <c r="AF114" s="104"/>
      <c r="AG114" s="104"/>
      <c r="AH114" s="104"/>
      <c r="AI114" s="104"/>
      <c r="AJ114" s="104"/>
      <c r="AK114" s="104"/>
      <c r="AL114" s="149"/>
    </row>
    <row r="115" spans="1:38">
      <c r="A115" s="148"/>
      <c r="B115" s="582">
        <v>58</v>
      </c>
      <c r="C115" s="1148"/>
      <c r="D115" s="1149"/>
      <c r="E115" s="609"/>
      <c r="F115" s="104"/>
      <c r="G115" s="104"/>
      <c r="H115" s="104"/>
      <c r="I115" s="104"/>
      <c r="J115" s="104"/>
      <c r="K115" s="104"/>
      <c r="L115" s="104"/>
      <c r="M115" s="104"/>
      <c r="N115" s="104"/>
      <c r="O115" s="104"/>
      <c r="P115" s="104"/>
      <c r="Q115" s="104"/>
      <c r="R115" s="104"/>
      <c r="S115" s="149"/>
      <c r="T115" s="148"/>
      <c r="U115" s="582">
        <v>58</v>
      </c>
      <c r="V115" s="1148"/>
      <c r="W115" s="1149"/>
      <c r="X115" s="609"/>
      <c r="Y115" s="104"/>
      <c r="Z115" s="104"/>
      <c r="AA115" s="104"/>
      <c r="AB115" s="104"/>
      <c r="AC115" s="104"/>
      <c r="AD115" s="104"/>
      <c r="AE115" s="104"/>
      <c r="AF115" s="104"/>
      <c r="AG115" s="104"/>
      <c r="AH115" s="104"/>
      <c r="AI115" s="104"/>
      <c r="AJ115" s="104"/>
      <c r="AK115" s="104"/>
      <c r="AL115" s="149"/>
    </row>
    <row r="116" spans="1:38">
      <c r="A116" s="148"/>
      <c r="B116" s="582">
        <v>59</v>
      </c>
      <c r="C116" s="1148"/>
      <c r="D116" s="1149"/>
      <c r="E116" s="609"/>
      <c r="F116" s="104"/>
      <c r="G116" s="104"/>
      <c r="H116" s="104"/>
      <c r="I116" s="104"/>
      <c r="J116" s="104"/>
      <c r="K116" s="104"/>
      <c r="L116" s="104"/>
      <c r="M116" s="104"/>
      <c r="N116" s="104"/>
      <c r="O116" s="104"/>
      <c r="P116" s="104"/>
      <c r="Q116" s="104"/>
      <c r="R116" s="104"/>
      <c r="S116" s="149"/>
      <c r="T116" s="148"/>
      <c r="U116" s="582">
        <v>59</v>
      </c>
      <c r="V116" s="1148"/>
      <c r="W116" s="1149"/>
      <c r="X116" s="609"/>
      <c r="Y116" s="104"/>
      <c r="Z116" s="104"/>
      <c r="AA116" s="104"/>
      <c r="AB116" s="104"/>
      <c r="AC116" s="104"/>
      <c r="AD116" s="104"/>
      <c r="AE116" s="104"/>
      <c r="AF116" s="104"/>
      <c r="AG116" s="104"/>
      <c r="AH116" s="104"/>
      <c r="AI116" s="104"/>
      <c r="AJ116" s="104"/>
      <c r="AK116" s="104"/>
      <c r="AL116" s="149"/>
    </row>
    <row r="117" spans="1:38">
      <c r="A117" s="148"/>
      <c r="B117" s="582">
        <v>60</v>
      </c>
      <c r="C117" s="1148"/>
      <c r="D117" s="1149"/>
      <c r="E117" s="609"/>
      <c r="F117" s="104"/>
      <c r="G117" s="104"/>
      <c r="H117" s="104"/>
      <c r="I117" s="104"/>
      <c r="J117" s="104"/>
      <c r="K117" s="104"/>
      <c r="L117" s="104"/>
      <c r="M117" s="104"/>
      <c r="N117" s="104"/>
      <c r="O117" s="104"/>
      <c r="P117" s="104"/>
      <c r="Q117" s="104"/>
      <c r="R117" s="104"/>
      <c r="S117" s="149"/>
      <c r="T117" s="148"/>
      <c r="U117" s="582">
        <v>60</v>
      </c>
      <c r="V117" s="1148"/>
      <c r="W117" s="1149"/>
      <c r="X117" s="609"/>
      <c r="Y117" s="104"/>
      <c r="Z117" s="104"/>
      <c r="AA117" s="104"/>
      <c r="AB117" s="104"/>
      <c r="AC117" s="104"/>
      <c r="AD117" s="104"/>
      <c r="AE117" s="104"/>
      <c r="AF117" s="104"/>
      <c r="AG117" s="104"/>
      <c r="AH117" s="104"/>
      <c r="AI117" s="104"/>
      <c r="AJ117" s="104"/>
      <c r="AK117" s="104"/>
      <c r="AL117" s="149"/>
    </row>
    <row r="118" spans="1:38">
      <c r="A118" s="148"/>
      <c r="B118" s="582">
        <v>61</v>
      </c>
      <c r="C118" s="1148"/>
      <c r="D118" s="1149"/>
      <c r="E118" s="609"/>
      <c r="F118" s="104"/>
      <c r="G118" s="104"/>
      <c r="H118" s="104"/>
      <c r="I118" s="104"/>
      <c r="J118" s="104"/>
      <c r="K118" s="104"/>
      <c r="L118" s="104"/>
      <c r="M118" s="104"/>
      <c r="N118" s="104"/>
      <c r="O118" s="104"/>
      <c r="P118" s="104"/>
      <c r="Q118" s="104"/>
      <c r="R118" s="104"/>
      <c r="S118" s="149"/>
      <c r="T118" s="148"/>
      <c r="U118" s="582">
        <v>61</v>
      </c>
      <c r="V118" s="1148"/>
      <c r="W118" s="1149"/>
      <c r="X118" s="609"/>
      <c r="Y118" s="104"/>
      <c r="Z118" s="104"/>
      <c r="AA118" s="104"/>
      <c r="AB118" s="104"/>
      <c r="AC118" s="104"/>
      <c r="AD118" s="104"/>
      <c r="AE118" s="104"/>
      <c r="AF118" s="104"/>
      <c r="AG118" s="104"/>
      <c r="AH118" s="104"/>
      <c r="AI118" s="104"/>
      <c r="AJ118" s="104"/>
      <c r="AK118" s="104"/>
      <c r="AL118" s="149"/>
    </row>
    <row r="119" spans="1:38">
      <c r="A119" s="148"/>
      <c r="B119" s="582">
        <v>62</v>
      </c>
      <c r="C119" s="1148"/>
      <c r="D119" s="1149"/>
      <c r="E119" s="609"/>
      <c r="F119" s="104"/>
      <c r="G119" s="104"/>
      <c r="H119" s="104"/>
      <c r="I119" s="104"/>
      <c r="J119" s="104"/>
      <c r="K119" s="104"/>
      <c r="L119" s="104"/>
      <c r="M119" s="104"/>
      <c r="N119" s="104"/>
      <c r="O119" s="104"/>
      <c r="P119" s="104"/>
      <c r="Q119" s="104"/>
      <c r="R119" s="104"/>
      <c r="S119" s="149"/>
      <c r="T119" s="148"/>
      <c r="U119" s="582">
        <v>62</v>
      </c>
      <c r="V119" s="1148"/>
      <c r="W119" s="1149"/>
      <c r="X119" s="609"/>
      <c r="Y119" s="104"/>
      <c r="Z119" s="104"/>
      <c r="AA119" s="104"/>
      <c r="AB119" s="104"/>
      <c r="AC119" s="104"/>
      <c r="AD119" s="104"/>
      <c r="AE119" s="104"/>
      <c r="AF119" s="104"/>
      <c r="AG119" s="104"/>
      <c r="AH119" s="104"/>
      <c r="AI119" s="104"/>
      <c r="AJ119" s="104"/>
      <c r="AK119" s="104"/>
      <c r="AL119" s="149"/>
    </row>
    <row r="120" spans="1:38">
      <c r="A120" s="148"/>
      <c r="B120" s="582">
        <v>63</v>
      </c>
      <c r="C120" s="1148"/>
      <c r="D120" s="1149"/>
      <c r="E120" s="609"/>
      <c r="F120" s="104"/>
      <c r="G120" s="104"/>
      <c r="H120" s="104"/>
      <c r="I120" s="104"/>
      <c r="J120" s="104"/>
      <c r="K120" s="104"/>
      <c r="L120" s="104"/>
      <c r="M120" s="104"/>
      <c r="N120" s="104"/>
      <c r="O120" s="104"/>
      <c r="P120" s="104"/>
      <c r="Q120" s="104"/>
      <c r="R120" s="104"/>
      <c r="S120" s="149"/>
      <c r="T120" s="148"/>
      <c r="U120" s="582">
        <v>63</v>
      </c>
      <c r="V120" s="1148"/>
      <c r="W120" s="1149"/>
      <c r="X120" s="609"/>
      <c r="Y120" s="104"/>
      <c r="Z120" s="104"/>
      <c r="AA120" s="104"/>
      <c r="AB120" s="104"/>
      <c r="AC120" s="104"/>
      <c r="AD120" s="104"/>
      <c r="AE120" s="104"/>
      <c r="AF120" s="104"/>
      <c r="AG120" s="104"/>
      <c r="AH120" s="104"/>
      <c r="AI120" s="104"/>
      <c r="AJ120" s="104"/>
      <c r="AK120" s="104"/>
      <c r="AL120" s="149"/>
    </row>
    <row r="121" spans="1:38">
      <c r="A121" s="148"/>
      <c r="B121" s="582">
        <v>64</v>
      </c>
      <c r="C121" s="1148"/>
      <c r="D121" s="1149"/>
      <c r="E121" s="609"/>
      <c r="F121" s="104"/>
      <c r="G121" s="104"/>
      <c r="H121" s="104"/>
      <c r="I121" s="104"/>
      <c r="J121" s="104"/>
      <c r="K121" s="104"/>
      <c r="L121" s="104"/>
      <c r="M121" s="104"/>
      <c r="N121" s="104"/>
      <c r="O121" s="104"/>
      <c r="P121" s="104"/>
      <c r="Q121" s="104"/>
      <c r="R121" s="104"/>
      <c r="S121" s="149"/>
      <c r="T121" s="148"/>
      <c r="U121" s="582">
        <v>64</v>
      </c>
      <c r="V121" s="1148"/>
      <c r="W121" s="1149"/>
      <c r="X121" s="609"/>
      <c r="Y121" s="104"/>
      <c r="Z121" s="104"/>
      <c r="AA121" s="104"/>
      <c r="AB121" s="104"/>
      <c r="AC121" s="104"/>
      <c r="AD121" s="104"/>
      <c r="AE121" s="104"/>
      <c r="AF121" s="104"/>
      <c r="AG121" s="104"/>
      <c r="AH121" s="104"/>
      <c r="AI121" s="104"/>
      <c r="AJ121" s="104"/>
      <c r="AK121" s="104"/>
      <c r="AL121" s="149"/>
    </row>
    <row r="122" spans="1:38">
      <c r="A122" s="148"/>
      <c r="B122" s="582">
        <v>65</v>
      </c>
      <c r="C122" s="1148"/>
      <c r="D122" s="1149"/>
      <c r="E122" s="609"/>
      <c r="F122" s="104"/>
      <c r="G122" s="104"/>
      <c r="H122" s="104"/>
      <c r="I122" s="104"/>
      <c r="J122" s="104"/>
      <c r="K122" s="104"/>
      <c r="L122" s="104"/>
      <c r="M122" s="104"/>
      <c r="N122" s="104"/>
      <c r="O122" s="104"/>
      <c r="P122" s="104"/>
      <c r="Q122" s="104"/>
      <c r="R122" s="104"/>
      <c r="S122" s="149"/>
      <c r="T122" s="148"/>
      <c r="U122" s="582">
        <v>65</v>
      </c>
      <c r="V122" s="1148"/>
      <c r="W122" s="1149"/>
      <c r="X122" s="609"/>
      <c r="Y122" s="104"/>
      <c r="Z122" s="104"/>
      <c r="AA122" s="104"/>
      <c r="AB122" s="104"/>
      <c r="AC122" s="104"/>
      <c r="AD122" s="104"/>
      <c r="AE122" s="104"/>
      <c r="AF122" s="104"/>
      <c r="AG122" s="104"/>
      <c r="AH122" s="104"/>
      <c r="AI122" s="104"/>
      <c r="AJ122" s="104"/>
      <c r="AK122" s="104"/>
      <c r="AL122" s="149"/>
    </row>
    <row r="123" spans="1:38">
      <c r="A123" s="148"/>
      <c r="B123" s="582">
        <v>66</v>
      </c>
      <c r="C123" s="1148"/>
      <c r="D123" s="1149"/>
      <c r="E123" s="609"/>
      <c r="F123" s="104"/>
      <c r="G123" s="104"/>
      <c r="H123" s="104"/>
      <c r="I123" s="104"/>
      <c r="J123" s="104"/>
      <c r="K123" s="104"/>
      <c r="L123" s="104"/>
      <c r="M123" s="104"/>
      <c r="N123" s="104"/>
      <c r="O123" s="104"/>
      <c r="P123" s="104"/>
      <c r="Q123" s="104"/>
      <c r="R123" s="104"/>
      <c r="S123" s="149"/>
      <c r="T123" s="148"/>
      <c r="U123" s="582">
        <v>66</v>
      </c>
      <c r="V123" s="1148"/>
      <c r="W123" s="1149"/>
      <c r="X123" s="609"/>
      <c r="Y123" s="104"/>
      <c r="Z123" s="104"/>
      <c r="AA123" s="104"/>
      <c r="AB123" s="104"/>
      <c r="AC123" s="104"/>
      <c r="AD123" s="104"/>
      <c r="AE123" s="104"/>
      <c r="AF123" s="104"/>
      <c r="AG123" s="104"/>
      <c r="AH123" s="104"/>
      <c r="AI123" s="104"/>
      <c r="AJ123" s="104"/>
      <c r="AK123" s="104"/>
      <c r="AL123" s="149"/>
    </row>
    <row r="124" spans="1:38">
      <c r="A124" s="148"/>
      <c r="B124" s="582">
        <v>67</v>
      </c>
      <c r="C124" s="1148"/>
      <c r="D124" s="1149"/>
      <c r="E124" s="609"/>
      <c r="F124" s="104"/>
      <c r="G124" s="104"/>
      <c r="H124" s="104"/>
      <c r="I124" s="104"/>
      <c r="J124" s="104"/>
      <c r="K124" s="104"/>
      <c r="L124" s="104"/>
      <c r="M124" s="104"/>
      <c r="N124" s="104"/>
      <c r="O124" s="104"/>
      <c r="P124" s="104"/>
      <c r="Q124" s="104"/>
      <c r="R124" s="104"/>
      <c r="S124" s="149"/>
      <c r="T124" s="148"/>
      <c r="U124" s="582">
        <v>67</v>
      </c>
      <c r="V124" s="1148"/>
      <c r="W124" s="1149"/>
      <c r="X124" s="609"/>
      <c r="Y124" s="104"/>
      <c r="Z124" s="104"/>
      <c r="AA124" s="104"/>
      <c r="AB124" s="104"/>
      <c r="AC124" s="104"/>
      <c r="AD124" s="104"/>
      <c r="AE124" s="104"/>
      <c r="AF124" s="104"/>
      <c r="AG124" s="104"/>
      <c r="AH124" s="104"/>
      <c r="AI124" s="104"/>
      <c r="AJ124" s="104"/>
      <c r="AK124" s="104"/>
      <c r="AL124" s="149"/>
    </row>
    <row r="125" spans="1:38">
      <c r="A125" s="148"/>
      <c r="B125" s="582">
        <v>68</v>
      </c>
      <c r="C125" s="1148"/>
      <c r="D125" s="1149"/>
      <c r="E125" s="609"/>
      <c r="F125" s="104"/>
      <c r="G125" s="104"/>
      <c r="H125" s="104"/>
      <c r="I125" s="104"/>
      <c r="J125" s="104"/>
      <c r="K125" s="104"/>
      <c r="L125" s="104"/>
      <c r="M125" s="104"/>
      <c r="N125" s="104"/>
      <c r="O125" s="104"/>
      <c r="P125" s="104"/>
      <c r="Q125" s="104"/>
      <c r="R125" s="104"/>
      <c r="S125" s="149"/>
      <c r="T125" s="148"/>
      <c r="U125" s="582">
        <v>68</v>
      </c>
      <c r="V125" s="1148"/>
      <c r="W125" s="1149"/>
      <c r="X125" s="609"/>
      <c r="Y125" s="104"/>
      <c r="Z125" s="104"/>
      <c r="AA125" s="104"/>
      <c r="AB125" s="104"/>
      <c r="AC125" s="104"/>
      <c r="AD125" s="104"/>
      <c r="AE125" s="104"/>
      <c r="AF125" s="104"/>
      <c r="AG125" s="104"/>
      <c r="AH125" s="104"/>
      <c r="AI125" s="104"/>
      <c r="AJ125" s="104"/>
      <c r="AK125" s="104"/>
      <c r="AL125" s="149"/>
    </row>
    <row r="126" spans="1:38">
      <c r="A126" s="148"/>
      <c r="B126" s="582">
        <v>69</v>
      </c>
      <c r="C126" s="1148"/>
      <c r="D126" s="1149"/>
      <c r="E126" s="609"/>
      <c r="F126" s="104"/>
      <c r="G126" s="104"/>
      <c r="H126" s="104"/>
      <c r="I126" s="104"/>
      <c r="J126" s="104"/>
      <c r="K126" s="104"/>
      <c r="L126" s="104"/>
      <c r="M126" s="104"/>
      <c r="N126" s="104"/>
      <c r="O126" s="104"/>
      <c r="P126" s="104"/>
      <c r="Q126" s="104"/>
      <c r="R126" s="104"/>
      <c r="S126" s="149"/>
      <c r="T126" s="148"/>
      <c r="U126" s="582">
        <v>69</v>
      </c>
      <c r="V126" s="1148"/>
      <c r="W126" s="1149"/>
      <c r="X126" s="609"/>
      <c r="Y126" s="104"/>
      <c r="Z126" s="104"/>
      <c r="AA126" s="104"/>
      <c r="AB126" s="104"/>
      <c r="AC126" s="104"/>
      <c r="AD126" s="104"/>
      <c r="AE126" s="104"/>
      <c r="AF126" s="104"/>
      <c r="AG126" s="104"/>
      <c r="AH126" s="104"/>
      <c r="AI126" s="104"/>
      <c r="AJ126" s="104"/>
      <c r="AK126" s="104"/>
      <c r="AL126" s="149"/>
    </row>
    <row r="127" spans="1:38">
      <c r="A127" s="148"/>
      <c r="B127" s="582">
        <v>70</v>
      </c>
      <c r="C127" s="1148"/>
      <c r="D127" s="1149"/>
      <c r="E127" s="609"/>
      <c r="F127" s="104"/>
      <c r="G127" s="104"/>
      <c r="H127" s="104"/>
      <c r="I127" s="104"/>
      <c r="J127" s="104"/>
      <c r="K127" s="104"/>
      <c r="L127" s="104"/>
      <c r="M127" s="104"/>
      <c r="N127" s="104"/>
      <c r="O127" s="104"/>
      <c r="P127" s="104"/>
      <c r="Q127" s="104"/>
      <c r="R127" s="104"/>
      <c r="S127" s="149"/>
      <c r="T127" s="148"/>
      <c r="U127" s="582">
        <v>70</v>
      </c>
      <c r="V127" s="1148"/>
      <c r="W127" s="1149"/>
      <c r="X127" s="609"/>
      <c r="Y127" s="104"/>
      <c r="Z127" s="104"/>
      <c r="AA127" s="104"/>
      <c r="AB127" s="104"/>
      <c r="AC127" s="104"/>
      <c r="AD127" s="104"/>
      <c r="AE127" s="104"/>
      <c r="AF127" s="104"/>
      <c r="AG127" s="104"/>
      <c r="AH127" s="104"/>
      <c r="AI127" s="104"/>
      <c r="AJ127" s="104"/>
      <c r="AK127" s="104"/>
      <c r="AL127" s="149"/>
    </row>
    <row r="128" spans="1:38">
      <c r="A128" s="148"/>
      <c r="B128" s="582">
        <v>71</v>
      </c>
      <c r="C128" s="1148"/>
      <c r="D128" s="1149"/>
      <c r="E128" s="609"/>
      <c r="F128" s="104"/>
      <c r="G128" s="104"/>
      <c r="H128" s="104"/>
      <c r="I128" s="104"/>
      <c r="J128" s="104"/>
      <c r="K128" s="104"/>
      <c r="L128" s="104"/>
      <c r="M128" s="104"/>
      <c r="N128" s="104"/>
      <c r="O128" s="104"/>
      <c r="P128" s="104"/>
      <c r="Q128" s="104"/>
      <c r="R128" s="104"/>
      <c r="S128" s="149"/>
      <c r="T128" s="148"/>
      <c r="U128" s="582">
        <v>71</v>
      </c>
      <c r="V128" s="1148"/>
      <c r="W128" s="1149"/>
      <c r="X128" s="609"/>
      <c r="Y128" s="104"/>
      <c r="Z128" s="104"/>
      <c r="AA128" s="104"/>
      <c r="AB128" s="104"/>
      <c r="AC128" s="104"/>
      <c r="AD128" s="104"/>
      <c r="AE128" s="104"/>
      <c r="AF128" s="104"/>
      <c r="AG128" s="104"/>
      <c r="AH128" s="104"/>
      <c r="AI128" s="104"/>
      <c r="AJ128" s="104"/>
      <c r="AK128" s="104"/>
      <c r="AL128" s="149"/>
    </row>
    <row r="129" spans="1:38">
      <c r="A129" s="148"/>
      <c r="B129" s="582">
        <v>72</v>
      </c>
      <c r="C129" s="1148"/>
      <c r="D129" s="1149"/>
      <c r="E129" s="609"/>
      <c r="F129" s="104"/>
      <c r="G129" s="104"/>
      <c r="H129" s="104"/>
      <c r="I129" s="104"/>
      <c r="J129" s="104"/>
      <c r="K129" s="104"/>
      <c r="L129" s="104"/>
      <c r="M129" s="104"/>
      <c r="N129" s="104"/>
      <c r="O129" s="104"/>
      <c r="P129" s="104"/>
      <c r="Q129" s="104"/>
      <c r="R129" s="104"/>
      <c r="S129" s="149"/>
      <c r="T129" s="148"/>
      <c r="U129" s="582">
        <v>72</v>
      </c>
      <c r="V129" s="1148"/>
      <c r="W129" s="1149"/>
      <c r="X129" s="609"/>
      <c r="Y129" s="104"/>
      <c r="Z129" s="104"/>
      <c r="AA129" s="104"/>
      <c r="AB129" s="104"/>
      <c r="AC129" s="104"/>
      <c r="AD129" s="104"/>
      <c r="AE129" s="104"/>
      <c r="AF129" s="104"/>
      <c r="AG129" s="104"/>
      <c r="AH129" s="104"/>
      <c r="AI129" s="104"/>
      <c r="AJ129" s="104"/>
      <c r="AK129" s="104"/>
      <c r="AL129" s="149"/>
    </row>
    <row r="130" spans="1:38">
      <c r="A130" s="148"/>
      <c r="B130" s="582">
        <v>73</v>
      </c>
      <c r="C130" s="1148"/>
      <c r="D130" s="1149"/>
      <c r="E130" s="609"/>
      <c r="F130" s="104"/>
      <c r="G130" s="104"/>
      <c r="H130" s="104"/>
      <c r="I130" s="104"/>
      <c r="J130" s="104"/>
      <c r="K130" s="104"/>
      <c r="L130" s="104"/>
      <c r="M130" s="104"/>
      <c r="N130" s="104"/>
      <c r="O130" s="104"/>
      <c r="P130" s="104"/>
      <c r="Q130" s="104"/>
      <c r="R130" s="104"/>
      <c r="S130" s="149"/>
      <c r="T130" s="148"/>
      <c r="U130" s="582">
        <v>73</v>
      </c>
      <c r="V130" s="1148"/>
      <c r="W130" s="1149"/>
      <c r="X130" s="609"/>
      <c r="Y130" s="104"/>
      <c r="Z130" s="104"/>
      <c r="AA130" s="104"/>
      <c r="AB130" s="104"/>
      <c r="AC130" s="104"/>
      <c r="AD130" s="104"/>
      <c r="AE130" s="104"/>
      <c r="AF130" s="104"/>
      <c r="AG130" s="104"/>
      <c r="AH130" s="104"/>
      <c r="AI130" s="104"/>
      <c r="AJ130" s="104"/>
      <c r="AK130" s="104"/>
      <c r="AL130" s="149"/>
    </row>
    <row r="131" spans="1:38">
      <c r="A131" s="148"/>
      <c r="B131" s="582">
        <v>74</v>
      </c>
      <c r="C131" s="1148"/>
      <c r="D131" s="1149"/>
      <c r="E131" s="609"/>
      <c r="F131" s="104"/>
      <c r="G131" s="104"/>
      <c r="H131" s="104"/>
      <c r="I131" s="104"/>
      <c r="J131" s="104"/>
      <c r="K131" s="104"/>
      <c r="L131" s="104"/>
      <c r="M131" s="104"/>
      <c r="N131" s="104"/>
      <c r="O131" s="104"/>
      <c r="P131" s="104"/>
      <c r="Q131" s="104"/>
      <c r="R131" s="104"/>
      <c r="S131" s="149"/>
      <c r="T131" s="148"/>
      <c r="U131" s="582">
        <v>74</v>
      </c>
      <c r="V131" s="1148"/>
      <c r="W131" s="1149"/>
      <c r="X131" s="609"/>
      <c r="Y131" s="104"/>
      <c r="Z131" s="104"/>
      <c r="AA131" s="104"/>
      <c r="AB131" s="104"/>
      <c r="AC131" s="104"/>
      <c r="AD131" s="104"/>
      <c r="AE131" s="104"/>
      <c r="AF131" s="104"/>
      <c r="AG131" s="104"/>
      <c r="AH131" s="104"/>
      <c r="AI131" s="104"/>
      <c r="AJ131" s="104"/>
      <c r="AK131" s="104"/>
      <c r="AL131" s="149"/>
    </row>
    <row r="132" spans="1:38">
      <c r="A132" s="148"/>
      <c r="B132" s="582">
        <v>75</v>
      </c>
      <c r="C132" s="1148"/>
      <c r="D132" s="1149"/>
      <c r="E132" s="609"/>
      <c r="F132" s="104"/>
      <c r="G132" s="104"/>
      <c r="H132" s="104"/>
      <c r="I132" s="104"/>
      <c r="J132" s="104"/>
      <c r="K132" s="104"/>
      <c r="L132" s="104"/>
      <c r="M132" s="104"/>
      <c r="N132" s="104"/>
      <c r="O132" s="104"/>
      <c r="P132" s="104"/>
      <c r="Q132" s="104"/>
      <c r="R132" s="104"/>
      <c r="S132" s="149"/>
      <c r="T132" s="148"/>
      <c r="U132" s="582">
        <v>75</v>
      </c>
      <c r="V132" s="1148"/>
      <c r="W132" s="1149"/>
      <c r="X132" s="609"/>
      <c r="Y132" s="104"/>
      <c r="Z132" s="104"/>
      <c r="AA132" s="104"/>
      <c r="AB132" s="104"/>
      <c r="AC132" s="104"/>
      <c r="AD132" s="104"/>
      <c r="AE132" s="104"/>
      <c r="AF132" s="104"/>
      <c r="AG132" s="104"/>
      <c r="AH132" s="104"/>
      <c r="AI132" s="104"/>
      <c r="AJ132" s="104"/>
      <c r="AK132" s="104"/>
      <c r="AL132" s="149"/>
    </row>
    <row r="133" spans="1:38">
      <c r="A133" s="148"/>
      <c r="B133" s="582">
        <v>76</v>
      </c>
      <c r="C133" s="1148"/>
      <c r="D133" s="1149"/>
      <c r="E133" s="609"/>
      <c r="F133" s="104"/>
      <c r="G133" s="104"/>
      <c r="H133" s="104"/>
      <c r="I133" s="104"/>
      <c r="J133" s="104"/>
      <c r="K133" s="104"/>
      <c r="L133" s="104"/>
      <c r="M133" s="104"/>
      <c r="N133" s="104"/>
      <c r="O133" s="104"/>
      <c r="P133" s="104"/>
      <c r="Q133" s="104"/>
      <c r="R133" s="104"/>
      <c r="S133" s="149"/>
      <c r="T133" s="148"/>
      <c r="U133" s="582">
        <v>76</v>
      </c>
      <c r="V133" s="1148"/>
      <c r="W133" s="1149"/>
      <c r="X133" s="609"/>
      <c r="Y133" s="104"/>
      <c r="Z133" s="104"/>
      <c r="AA133" s="104"/>
      <c r="AB133" s="104"/>
      <c r="AC133" s="104"/>
      <c r="AD133" s="104"/>
      <c r="AE133" s="104"/>
      <c r="AF133" s="104"/>
      <c r="AG133" s="104"/>
      <c r="AH133" s="104"/>
      <c r="AI133" s="104"/>
      <c r="AJ133" s="104"/>
      <c r="AK133" s="104"/>
      <c r="AL133" s="149"/>
    </row>
    <row r="134" spans="1:38">
      <c r="A134" s="148"/>
      <c r="B134" s="582">
        <v>77</v>
      </c>
      <c r="C134" s="1148"/>
      <c r="D134" s="1149"/>
      <c r="E134" s="609"/>
      <c r="F134" s="104"/>
      <c r="G134" s="104"/>
      <c r="H134" s="104"/>
      <c r="I134" s="104"/>
      <c r="J134" s="104"/>
      <c r="K134" s="104"/>
      <c r="L134" s="104"/>
      <c r="M134" s="104"/>
      <c r="N134" s="104"/>
      <c r="O134" s="104"/>
      <c r="P134" s="104"/>
      <c r="Q134" s="104"/>
      <c r="R134" s="104"/>
      <c r="S134" s="149"/>
      <c r="T134" s="148"/>
      <c r="U134" s="582">
        <v>77</v>
      </c>
      <c r="V134" s="1148"/>
      <c r="W134" s="1149"/>
      <c r="X134" s="609"/>
      <c r="Y134" s="104"/>
      <c r="Z134" s="104"/>
      <c r="AA134" s="104"/>
      <c r="AB134" s="104"/>
      <c r="AC134" s="104"/>
      <c r="AD134" s="104"/>
      <c r="AE134" s="104"/>
      <c r="AF134" s="104"/>
      <c r="AG134" s="104"/>
      <c r="AH134" s="104"/>
      <c r="AI134" s="104"/>
      <c r="AJ134" s="104"/>
      <c r="AK134" s="104"/>
      <c r="AL134" s="149"/>
    </row>
    <row r="135" spans="1:38">
      <c r="A135" s="148"/>
      <c r="B135" s="582">
        <v>78</v>
      </c>
      <c r="C135" s="1148"/>
      <c r="D135" s="1149"/>
      <c r="E135" s="609"/>
      <c r="F135" s="104"/>
      <c r="G135" s="104"/>
      <c r="H135" s="104"/>
      <c r="I135" s="104"/>
      <c r="J135" s="104"/>
      <c r="K135" s="104"/>
      <c r="L135" s="104"/>
      <c r="M135" s="104"/>
      <c r="N135" s="104"/>
      <c r="O135" s="104"/>
      <c r="P135" s="104"/>
      <c r="Q135" s="104"/>
      <c r="R135" s="104"/>
      <c r="S135" s="149"/>
      <c r="T135" s="148"/>
      <c r="U135" s="582">
        <v>78</v>
      </c>
      <c r="V135" s="1148"/>
      <c r="W135" s="1149"/>
      <c r="X135" s="609"/>
      <c r="Y135" s="104"/>
      <c r="Z135" s="104"/>
      <c r="AA135" s="104"/>
      <c r="AB135" s="104"/>
      <c r="AC135" s="104"/>
      <c r="AD135" s="104"/>
      <c r="AE135" s="104"/>
      <c r="AF135" s="104"/>
      <c r="AG135" s="104"/>
      <c r="AH135" s="104"/>
      <c r="AI135" s="104"/>
      <c r="AJ135" s="104"/>
      <c r="AK135" s="104"/>
      <c r="AL135" s="149"/>
    </row>
    <row r="136" spans="1:38">
      <c r="A136" s="148"/>
      <c r="B136" s="582">
        <v>79</v>
      </c>
      <c r="C136" s="1148"/>
      <c r="D136" s="1149"/>
      <c r="E136" s="609"/>
      <c r="F136" s="104"/>
      <c r="G136" s="104"/>
      <c r="H136" s="104"/>
      <c r="I136" s="104"/>
      <c r="J136" s="104"/>
      <c r="K136" s="104"/>
      <c r="L136" s="104"/>
      <c r="M136" s="104"/>
      <c r="N136" s="104"/>
      <c r="O136" s="104"/>
      <c r="P136" s="104"/>
      <c r="Q136" s="104"/>
      <c r="R136" s="104"/>
      <c r="S136" s="149"/>
      <c r="T136" s="148"/>
      <c r="U136" s="582">
        <v>79</v>
      </c>
      <c r="V136" s="1148"/>
      <c r="W136" s="1149"/>
      <c r="X136" s="609"/>
      <c r="Y136" s="104"/>
      <c r="Z136" s="104"/>
      <c r="AA136" s="104"/>
      <c r="AB136" s="104"/>
      <c r="AC136" s="104"/>
      <c r="AD136" s="104"/>
      <c r="AE136" s="104"/>
      <c r="AF136" s="104"/>
      <c r="AG136" s="104"/>
      <c r="AH136" s="104"/>
      <c r="AI136" s="104"/>
      <c r="AJ136" s="104"/>
      <c r="AK136" s="104"/>
      <c r="AL136" s="149"/>
    </row>
    <row r="137" spans="1:38">
      <c r="A137" s="148"/>
      <c r="B137" s="582">
        <v>80</v>
      </c>
      <c r="C137" s="1148"/>
      <c r="D137" s="1149"/>
      <c r="E137" s="609"/>
      <c r="F137" s="104"/>
      <c r="G137" s="104"/>
      <c r="H137" s="104"/>
      <c r="I137" s="104"/>
      <c r="J137" s="104"/>
      <c r="K137" s="104"/>
      <c r="L137" s="104"/>
      <c r="M137" s="104"/>
      <c r="N137" s="104"/>
      <c r="O137" s="104"/>
      <c r="P137" s="104"/>
      <c r="Q137" s="104"/>
      <c r="R137" s="104"/>
      <c r="S137" s="149"/>
      <c r="T137" s="148"/>
      <c r="U137" s="582">
        <v>80</v>
      </c>
      <c r="V137" s="1148"/>
      <c r="W137" s="1149"/>
      <c r="X137" s="609"/>
      <c r="Y137" s="104"/>
      <c r="Z137" s="104"/>
      <c r="AA137" s="104"/>
      <c r="AB137" s="104"/>
      <c r="AC137" s="104"/>
      <c r="AD137" s="104"/>
      <c r="AE137" s="104"/>
      <c r="AF137" s="104"/>
      <c r="AG137" s="104"/>
      <c r="AH137" s="104"/>
      <c r="AI137" s="104"/>
      <c r="AJ137" s="104"/>
      <c r="AK137" s="104"/>
      <c r="AL137" s="149"/>
    </row>
    <row r="138" spans="1:38">
      <c r="A138" s="148"/>
      <c r="B138" s="582">
        <v>81</v>
      </c>
      <c r="C138" s="1148"/>
      <c r="D138" s="1149"/>
      <c r="E138" s="609"/>
      <c r="F138" s="104"/>
      <c r="G138" s="104"/>
      <c r="H138" s="104"/>
      <c r="I138" s="104"/>
      <c r="J138" s="104"/>
      <c r="K138" s="104"/>
      <c r="L138" s="104"/>
      <c r="M138" s="104"/>
      <c r="N138" s="104"/>
      <c r="O138" s="104"/>
      <c r="P138" s="104"/>
      <c r="Q138" s="104"/>
      <c r="R138" s="104"/>
      <c r="S138" s="149"/>
      <c r="T138" s="148"/>
      <c r="U138" s="582">
        <v>81</v>
      </c>
      <c r="V138" s="1148"/>
      <c r="W138" s="1149"/>
      <c r="X138" s="609"/>
      <c r="Y138" s="104"/>
      <c r="Z138" s="104"/>
      <c r="AA138" s="104"/>
      <c r="AB138" s="104"/>
      <c r="AC138" s="104"/>
      <c r="AD138" s="104"/>
      <c r="AE138" s="104"/>
      <c r="AF138" s="104"/>
      <c r="AG138" s="104"/>
      <c r="AH138" s="104"/>
      <c r="AI138" s="104"/>
      <c r="AJ138" s="104"/>
      <c r="AK138" s="104"/>
      <c r="AL138" s="149"/>
    </row>
    <row r="139" spans="1:38">
      <c r="A139" s="148"/>
      <c r="B139" s="582">
        <v>82</v>
      </c>
      <c r="C139" s="1148"/>
      <c r="D139" s="1149"/>
      <c r="E139" s="609"/>
      <c r="F139" s="104"/>
      <c r="G139" s="104"/>
      <c r="H139" s="104"/>
      <c r="I139" s="104"/>
      <c r="J139" s="104"/>
      <c r="K139" s="104"/>
      <c r="L139" s="104"/>
      <c r="M139" s="104"/>
      <c r="N139" s="104"/>
      <c r="O139" s="104"/>
      <c r="P139" s="104"/>
      <c r="Q139" s="104"/>
      <c r="R139" s="104"/>
      <c r="S139" s="149"/>
      <c r="T139" s="148"/>
      <c r="U139" s="582">
        <v>82</v>
      </c>
      <c r="V139" s="1148"/>
      <c r="W139" s="1149"/>
      <c r="X139" s="609"/>
      <c r="Y139" s="104"/>
      <c r="Z139" s="104"/>
      <c r="AA139" s="104"/>
      <c r="AB139" s="104"/>
      <c r="AC139" s="104"/>
      <c r="AD139" s="104"/>
      <c r="AE139" s="104"/>
      <c r="AF139" s="104"/>
      <c r="AG139" s="104"/>
      <c r="AH139" s="104"/>
      <c r="AI139" s="104"/>
      <c r="AJ139" s="104"/>
      <c r="AK139" s="104"/>
      <c r="AL139" s="149"/>
    </row>
    <row r="140" spans="1:38">
      <c r="A140" s="148"/>
      <c r="B140" s="582">
        <v>83</v>
      </c>
      <c r="C140" s="1148"/>
      <c r="D140" s="1149"/>
      <c r="E140" s="609"/>
      <c r="F140" s="104"/>
      <c r="G140" s="104"/>
      <c r="H140" s="104"/>
      <c r="I140" s="104"/>
      <c r="J140" s="104"/>
      <c r="K140" s="104"/>
      <c r="L140" s="104"/>
      <c r="M140" s="104"/>
      <c r="N140" s="104"/>
      <c r="O140" s="104"/>
      <c r="P140" s="104"/>
      <c r="Q140" s="104"/>
      <c r="R140" s="104"/>
      <c r="S140" s="149"/>
      <c r="T140" s="148"/>
      <c r="U140" s="582">
        <v>83</v>
      </c>
      <c r="V140" s="1148"/>
      <c r="W140" s="1149"/>
      <c r="X140" s="609"/>
      <c r="Y140" s="104"/>
      <c r="Z140" s="104"/>
      <c r="AA140" s="104"/>
      <c r="AB140" s="104"/>
      <c r="AC140" s="104"/>
      <c r="AD140" s="104"/>
      <c r="AE140" s="104"/>
      <c r="AF140" s="104"/>
      <c r="AG140" s="104"/>
      <c r="AH140" s="104"/>
      <c r="AI140" s="104"/>
      <c r="AJ140" s="104"/>
      <c r="AK140" s="104"/>
      <c r="AL140" s="149"/>
    </row>
    <row r="141" spans="1:38">
      <c r="A141" s="148"/>
      <c r="B141" s="582">
        <v>84</v>
      </c>
      <c r="C141" s="1148"/>
      <c r="D141" s="1149"/>
      <c r="E141" s="609"/>
      <c r="F141" s="104"/>
      <c r="G141" s="104"/>
      <c r="H141" s="104"/>
      <c r="I141" s="104"/>
      <c r="J141" s="104"/>
      <c r="K141" s="104"/>
      <c r="L141" s="104"/>
      <c r="M141" s="104"/>
      <c r="N141" s="104"/>
      <c r="O141" s="104"/>
      <c r="P141" s="104"/>
      <c r="Q141" s="104"/>
      <c r="R141" s="104"/>
      <c r="S141" s="149"/>
      <c r="T141" s="148"/>
      <c r="U141" s="582">
        <v>84</v>
      </c>
      <c r="V141" s="1148"/>
      <c r="W141" s="1149"/>
      <c r="X141" s="609"/>
      <c r="Y141" s="104"/>
      <c r="Z141" s="104"/>
      <c r="AA141" s="104"/>
      <c r="AB141" s="104"/>
      <c r="AC141" s="104"/>
      <c r="AD141" s="104"/>
      <c r="AE141" s="104"/>
      <c r="AF141" s="104"/>
      <c r="AG141" s="104"/>
      <c r="AH141" s="104"/>
      <c r="AI141" s="104"/>
      <c r="AJ141" s="104"/>
      <c r="AK141" s="104"/>
      <c r="AL141" s="149"/>
    </row>
    <row r="142" spans="1:38">
      <c r="A142" s="148"/>
      <c r="B142" s="582">
        <v>85</v>
      </c>
      <c r="C142" s="1148"/>
      <c r="D142" s="1149"/>
      <c r="E142" s="609"/>
      <c r="F142" s="104"/>
      <c r="G142" s="104"/>
      <c r="H142" s="104"/>
      <c r="I142" s="104"/>
      <c r="J142" s="104"/>
      <c r="K142" s="104"/>
      <c r="L142" s="104"/>
      <c r="M142" s="104"/>
      <c r="N142" s="104"/>
      <c r="O142" s="104"/>
      <c r="P142" s="104"/>
      <c r="Q142" s="104"/>
      <c r="R142" s="104"/>
      <c r="S142" s="149"/>
      <c r="T142" s="148"/>
      <c r="U142" s="582">
        <v>85</v>
      </c>
      <c r="V142" s="1148"/>
      <c r="W142" s="1149"/>
      <c r="X142" s="609"/>
      <c r="Y142" s="104"/>
      <c r="Z142" s="104"/>
      <c r="AA142" s="104"/>
      <c r="AB142" s="104"/>
      <c r="AC142" s="104"/>
      <c r="AD142" s="104"/>
      <c r="AE142" s="104"/>
      <c r="AF142" s="104"/>
      <c r="AG142" s="104"/>
      <c r="AH142" s="104"/>
      <c r="AI142" s="104"/>
      <c r="AJ142" s="104"/>
      <c r="AK142" s="104"/>
      <c r="AL142" s="149"/>
    </row>
    <row r="143" spans="1:38">
      <c r="A143" s="148"/>
      <c r="B143" s="582">
        <v>86</v>
      </c>
      <c r="C143" s="1148"/>
      <c r="D143" s="1149"/>
      <c r="E143" s="609"/>
      <c r="F143" s="104"/>
      <c r="G143" s="104"/>
      <c r="H143" s="104"/>
      <c r="I143" s="104"/>
      <c r="J143" s="104"/>
      <c r="K143" s="104"/>
      <c r="L143" s="104"/>
      <c r="M143" s="104"/>
      <c r="N143" s="104"/>
      <c r="O143" s="104"/>
      <c r="P143" s="104"/>
      <c r="Q143" s="104"/>
      <c r="R143" s="104"/>
      <c r="S143" s="149"/>
      <c r="T143" s="148"/>
      <c r="U143" s="582">
        <v>86</v>
      </c>
      <c r="V143" s="1148"/>
      <c r="W143" s="1149"/>
      <c r="X143" s="609"/>
      <c r="Y143" s="104"/>
      <c r="Z143" s="104"/>
      <c r="AA143" s="104"/>
      <c r="AB143" s="104"/>
      <c r="AC143" s="104"/>
      <c r="AD143" s="104"/>
      <c r="AE143" s="104"/>
      <c r="AF143" s="104"/>
      <c r="AG143" s="104"/>
      <c r="AH143" s="104"/>
      <c r="AI143" s="104"/>
      <c r="AJ143" s="104"/>
      <c r="AK143" s="104"/>
      <c r="AL143" s="149"/>
    </row>
    <row r="144" spans="1:38">
      <c r="A144" s="148"/>
      <c r="B144" s="582">
        <v>87</v>
      </c>
      <c r="C144" s="1148"/>
      <c r="D144" s="1149"/>
      <c r="E144" s="609"/>
      <c r="F144" s="104"/>
      <c r="G144" s="104"/>
      <c r="H144" s="104"/>
      <c r="I144" s="104"/>
      <c r="J144" s="104"/>
      <c r="K144" s="104"/>
      <c r="L144" s="104"/>
      <c r="M144" s="104"/>
      <c r="N144" s="104"/>
      <c r="O144" s="104"/>
      <c r="P144" s="104"/>
      <c r="Q144" s="104"/>
      <c r="R144" s="104"/>
      <c r="S144" s="149"/>
      <c r="T144" s="148"/>
      <c r="U144" s="582">
        <v>87</v>
      </c>
      <c r="V144" s="1148"/>
      <c r="W144" s="1149"/>
      <c r="X144" s="609"/>
      <c r="Y144" s="104"/>
      <c r="Z144" s="104"/>
      <c r="AA144" s="104"/>
      <c r="AB144" s="104"/>
      <c r="AC144" s="104"/>
      <c r="AD144" s="104"/>
      <c r="AE144" s="104"/>
      <c r="AF144" s="104"/>
      <c r="AG144" s="104"/>
      <c r="AH144" s="104"/>
      <c r="AI144" s="104"/>
      <c r="AJ144" s="104"/>
      <c r="AK144" s="104"/>
      <c r="AL144" s="149"/>
    </row>
    <row r="145" spans="1:38">
      <c r="A145" s="148"/>
      <c r="B145" s="582">
        <v>88</v>
      </c>
      <c r="C145" s="1148"/>
      <c r="D145" s="1149"/>
      <c r="E145" s="609"/>
      <c r="F145" s="104"/>
      <c r="G145" s="104"/>
      <c r="H145" s="104"/>
      <c r="I145" s="104"/>
      <c r="J145" s="104"/>
      <c r="K145" s="104"/>
      <c r="L145" s="104"/>
      <c r="M145" s="104"/>
      <c r="N145" s="104"/>
      <c r="O145" s="104"/>
      <c r="P145" s="104"/>
      <c r="Q145" s="104"/>
      <c r="R145" s="104"/>
      <c r="S145" s="149"/>
      <c r="T145" s="148"/>
      <c r="U145" s="582">
        <v>88</v>
      </c>
      <c r="V145" s="1148"/>
      <c r="W145" s="1149"/>
      <c r="X145" s="609"/>
      <c r="Y145" s="104"/>
      <c r="Z145" s="104"/>
      <c r="AA145" s="104"/>
      <c r="AB145" s="104"/>
      <c r="AC145" s="104"/>
      <c r="AD145" s="104"/>
      <c r="AE145" s="104"/>
      <c r="AF145" s="104"/>
      <c r="AG145" s="104"/>
      <c r="AH145" s="104"/>
      <c r="AI145" s="104"/>
      <c r="AJ145" s="104"/>
      <c r="AK145" s="104"/>
      <c r="AL145" s="149"/>
    </row>
    <row r="146" spans="1:38">
      <c r="A146" s="148"/>
      <c r="B146" s="582">
        <v>89</v>
      </c>
      <c r="C146" s="1148"/>
      <c r="D146" s="1149"/>
      <c r="E146" s="609"/>
      <c r="F146" s="104"/>
      <c r="G146" s="104"/>
      <c r="H146" s="104"/>
      <c r="I146" s="104"/>
      <c r="J146" s="104"/>
      <c r="K146" s="104"/>
      <c r="L146" s="104"/>
      <c r="M146" s="104"/>
      <c r="N146" s="104"/>
      <c r="O146" s="104"/>
      <c r="P146" s="104"/>
      <c r="Q146" s="104"/>
      <c r="R146" s="104"/>
      <c r="S146" s="149"/>
      <c r="T146" s="148"/>
      <c r="U146" s="582">
        <v>89</v>
      </c>
      <c r="V146" s="1148"/>
      <c r="W146" s="1149"/>
      <c r="X146" s="609"/>
      <c r="Y146" s="104"/>
      <c r="Z146" s="104"/>
      <c r="AA146" s="104"/>
      <c r="AB146" s="104"/>
      <c r="AC146" s="104"/>
      <c r="AD146" s="104"/>
      <c r="AE146" s="104"/>
      <c r="AF146" s="104"/>
      <c r="AG146" s="104"/>
      <c r="AH146" s="104"/>
      <c r="AI146" s="104"/>
      <c r="AJ146" s="104"/>
      <c r="AK146" s="104"/>
      <c r="AL146" s="149"/>
    </row>
    <row r="147" spans="1:38">
      <c r="A147" s="148"/>
      <c r="B147" s="582">
        <v>90</v>
      </c>
      <c r="C147" s="1148"/>
      <c r="D147" s="1149"/>
      <c r="E147" s="609"/>
      <c r="F147" s="104"/>
      <c r="G147" s="104"/>
      <c r="H147" s="104"/>
      <c r="I147" s="104"/>
      <c r="J147" s="104"/>
      <c r="K147" s="104"/>
      <c r="L147" s="104"/>
      <c r="M147" s="104"/>
      <c r="N147" s="104"/>
      <c r="O147" s="104"/>
      <c r="P147" s="104"/>
      <c r="Q147" s="104"/>
      <c r="R147" s="104"/>
      <c r="S147" s="149"/>
      <c r="T147" s="148"/>
      <c r="U147" s="582">
        <v>90</v>
      </c>
      <c r="V147" s="1148"/>
      <c r="W147" s="1149"/>
      <c r="X147" s="609"/>
      <c r="Y147" s="104"/>
      <c r="Z147" s="104"/>
      <c r="AA147" s="104"/>
      <c r="AB147" s="104"/>
      <c r="AC147" s="104"/>
      <c r="AD147" s="104"/>
      <c r="AE147" s="104"/>
      <c r="AF147" s="104"/>
      <c r="AG147" s="104"/>
      <c r="AH147" s="104"/>
      <c r="AI147" s="104"/>
      <c r="AJ147" s="104"/>
      <c r="AK147" s="104"/>
      <c r="AL147" s="149"/>
    </row>
    <row r="148" spans="1:38">
      <c r="A148" s="148"/>
      <c r="B148" s="582">
        <v>91</v>
      </c>
      <c r="C148" s="1148"/>
      <c r="D148" s="1149"/>
      <c r="E148" s="609"/>
      <c r="F148" s="104"/>
      <c r="G148" s="104"/>
      <c r="H148" s="104"/>
      <c r="I148" s="104"/>
      <c r="J148" s="104"/>
      <c r="K148" s="104"/>
      <c r="L148" s="104"/>
      <c r="M148" s="104"/>
      <c r="N148" s="104"/>
      <c r="O148" s="104"/>
      <c r="P148" s="104"/>
      <c r="Q148" s="104"/>
      <c r="R148" s="104"/>
      <c r="S148" s="149"/>
      <c r="T148" s="148"/>
      <c r="U148" s="582">
        <v>91</v>
      </c>
      <c r="V148" s="1148"/>
      <c r="W148" s="1149"/>
      <c r="X148" s="609"/>
      <c r="Y148" s="104"/>
      <c r="Z148" s="104"/>
      <c r="AA148" s="104"/>
      <c r="AB148" s="104"/>
      <c r="AC148" s="104"/>
      <c r="AD148" s="104"/>
      <c r="AE148" s="104"/>
      <c r="AF148" s="104"/>
      <c r="AG148" s="104"/>
      <c r="AH148" s="104"/>
      <c r="AI148" s="104"/>
      <c r="AJ148" s="104"/>
      <c r="AK148" s="104"/>
      <c r="AL148" s="149"/>
    </row>
    <row r="149" spans="1:38">
      <c r="A149" s="148"/>
      <c r="B149" s="582">
        <v>92</v>
      </c>
      <c r="C149" s="1148"/>
      <c r="D149" s="1149"/>
      <c r="E149" s="609"/>
      <c r="F149" s="104"/>
      <c r="G149" s="104"/>
      <c r="H149" s="104"/>
      <c r="I149" s="104"/>
      <c r="J149" s="104"/>
      <c r="K149" s="104"/>
      <c r="L149" s="104"/>
      <c r="M149" s="104"/>
      <c r="N149" s="104"/>
      <c r="O149" s="104"/>
      <c r="P149" s="104"/>
      <c r="Q149" s="104"/>
      <c r="R149" s="104"/>
      <c r="S149" s="149"/>
      <c r="T149" s="148"/>
      <c r="U149" s="582">
        <v>92</v>
      </c>
      <c r="V149" s="1148"/>
      <c r="W149" s="1149"/>
      <c r="X149" s="609"/>
      <c r="Y149" s="104"/>
      <c r="Z149" s="104"/>
      <c r="AA149" s="104"/>
      <c r="AB149" s="104"/>
      <c r="AC149" s="104"/>
      <c r="AD149" s="104"/>
      <c r="AE149" s="104"/>
      <c r="AF149" s="104"/>
      <c r="AG149" s="104"/>
      <c r="AH149" s="104"/>
      <c r="AI149" s="104"/>
      <c r="AJ149" s="104"/>
      <c r="AK149" s="104"/>
      <c r="AL149" s="149"/>
    </row>
    <row r="150" spans="1:38">
      <c r="A150" s="148"/>
      <c r="B150" s="582">
        <v>93</v>
      </c>
      <c r="C150" s="1148"/>
      <c r="D150" s="1149"/>
      <c r="E150" s="609"/>
      <c r="F150" s="104"/>
      <c r="G150" s="104"/>
      <c r="H150" s="104"/>
      <c r="I150" s="104"/>
      <c r="J150" s="104"/>
      <c r="K150" s="104"/>
      <c r="L150" s="104"/>
      <c r="M150" s="104"/>
      <c r="N150" s="104"/>
      <c r="O150" s="104"/>
      <c r="P150" s="104"/>
      <c r="Q150" s="104"/>
      <c r="R150" s="104"/>
      <c r="S150" s="149"/>
      <c r="T150" s="148"/>
      <c r="U150" s="582">
        <v>93</v>
      </c>
      <c r="V150" s="1148"/>
      <c r="W150" s="1149"/>
      <c r="X150" s="609"/>
      <c r="Y150" s="104"/>
      <c r="Z150" s="104"/>
      <c r="AA150" s="104"/>
      <c r="AB150" s="104"/>
      <c r="AC150" s="104"/>
      <c r="AD150" s="104"/>
      <c r="AE150" s="104"/>
      <c r="AF150" s="104"/>
      <c r="AG150" s="104"/>
      <c r="AH150" s="104"/>
      <c r="AI150" s="104"/>
      <c r="AJ150" s="104"/>
      <c r="AK150" s="104"/>
      <c r="AL150" s="149"/>
    </row>
    <row r="151" spans="1:38">
      <c r="A151" s="148"/>
      <c r="B151" s="582">
        <v>94</v>
      </c>
      <c r="C151" s="1148"/>
      <c r="D151" s="1149"/>
      <c r="E151" s="609"/>
      <c r="F151" s="104"/>
      <c r="G151" s="104"/>
      <c r="H151" s="104"/>
      <c r="I151" s="104"/>
      <c r="J151" s="104"/>
      <c r="K151" s="104"/>
      <c r="L151" s="104"/>
      <c r="M151" s="104"/>
      <c r="N151" s="104"/>
      <c r="O151" s="104"/>
      <c r="P151" s="104"/>
      <c r="Q151" s="104"/>
      <c r="R151" s="104"/>
      <c r="S151" s="149"/>
      <c r="T151" s="148"/>
      <c r="U151" s="582">
        <v>94</v>
      </c>
      <c r="V151" s="1148"/>
      <c r="W151" s="1149"/>
      <c r="X151" s="609"/>
      <c r="Y151" s="104"/>
      <c r="Z151" s="104"/>
      <c r="AA151" s="104"/>
      <c r="AB151" s="104"/>
      <c r="AC151" s="104"/>
      <c r="AD151" s="104"/>
      <c r="AE151" s="104"/>
      <c r="AF151" s="104"/>
      <c r="AG151" s="104"/>
      <c r="AH151" s="104"/>
      <c r="AI151" s="104"/>
      <c r="AJ151" s="104"/>
      <c r="AK151" s="104"/>
      <c r="AL151" s="149"/>
    </row>
    <row r="152" spans="1:38">
      <c r="A152" s="148"/>
      <c r="B152" s="582">
        <v>95</v>
      </c>
      <c r="C152" s="1148"/>
      <c r="D152" s="1149"/>
      <c r="E152" s="609"/>
      <c r="F152" s="104"/>
      <c r="G152" s="104"/>
      <c r="H152" s="104"/>
      <c r="I152" s="104"/>
      <c r="J152" s="104"/>
      <c r="K152" s="104"/>
      <c r="L152" s="104"/>
      <c r="M152" s="104"/>
      <c r="N152" s="104"/>
      <c r="O152" s="104"/>
      <c r="P152" s="104"/>
      <c r="Q152" s="104"/>
      <c r="R152" s="104"/>
      <c r="S152" s="149"/>
      <c r="T152" s="148"/>
      <c r="U152" s="582">
        <v>95</v>
      </c>
      <c r="V152" s="1148"/>
      <c r="W152" s="1149"/>
      <c r="X152" s="609"/>
      <c r="Y152" s="104"/>
      <c r="Z152" s="104"/>
      <c r="AA152" s="104"/>
      <c r="AB152" s="104"/>
      <c r="AC152" s="104"/>
      <c r="AD152" s="104"/>
      <c r="AE152" s="104"/>
      <c r="AF152" s="104"/>
      <c r="AG152" s="104"/>
      <c r="AH152" s="104"/>
      <c r="AI152" s="104"/>
      <c r="AJ152" s="104"/>
      <c r="AK152" s="104"/>
      <c r="AL152" s="149"/>
    </row>
    <row r="153" spans="1:38">
      <c r="A153" s="148"/>
      <c r="B153" s="582">
        <v>96</v>
      </c>
      <c r="C153" s="1148"/>
      <c r="D153" s="1149"/>
      <c r="E153" s="609"/>
      <c r="F153" s="104"/>
      <c r="G153" s="104"/>
      <c r="H153" s="104"/>
      <c r="I153" s="104"/>
      <c r="J153" s="104"/>
      <c r="K153" s="104"/>
      <c r="L153" s="104"/>
      <c r="M153" s="104"/>
      <c r="N153" s="104"/>
      <c r="O153" s="104"/>
      <c r="P153" s="104"/>
      <c r="Q153" s="104"/>
      <c r="R153" s="104"/>
      <c r="S153" s="149"/>
      <c r="T153" s="148"/>
      <c r="U153" s="582">
        <v>96</v>
      </c>
      <c r="V153" s="1148"/>
      <c r="W153" s="1149"/>
      <c r="X153" s="609"/>
      <c r="Y153" s="104"/>
      <c r="Z153" s="104"/>
      <c r="AA153" s="104"/>
      <c r="AB153" s="104"/>
      <c r="AC153" s="104"/>
      <c r="AD153" s="104"/>
      <c r="AE153" s="104"/>
      <c r="AF153" s="104"/>
      <c r="AG153" s="104"/>
      <c r="AH153" s="104"/>
      <c r="AI153" s="104"/>
      <c r="AJ153" s="104"/>
      <c r="AK153" s="104"/>
      <c r="AL153" s="149"/>
    </row>
    <row r="154" spans="1:38">
      <c r="A154" s="148"/>
      <c r="B154" s="582">
        <v>97</v>
      </c>
      <c r="C154" s="1148"/>
      <c r="D154" s="1149"/>
      <c r="E154" s="609"/>
      <c r="F154" s="104"/>
      <c r="G154" s="104"/>
      <c r="H154" s="104"/>
      <c r="I154" s="104"/>
      <c r="J154" s="104"/>
      <c r="K154" s="104"/>
      <c r="L154" s="104"/>
      <c r="M154" s="104"/>
      <c r="N154" s="104"/>
      <c r="O154" s="104"/>
      <c r="P154" s="104"/>
      <c r="Q154" s="104"/>
      <c r="R154" s="104"/>
      <c r="S154" s="149"/>
      <c r="T154" s="148"/>
      <c r="U154" s="582">
        <v>97</v>
      </c>
      <c r="V154" s="1148"/>
      <c r="W154" s="1149"/>
      <c r="X154" s="609"/>
      <c r="Y154" s="104"/>
      <c r="Z154" s="104"/>
      <c r="AA154" s="104"/>
      <c r="AB154" s="104"/>
      <c r="AC154" s="104"/>
      <c r="AD154" s="104"/>
      <c r="AE154" s="104"/>
      <c r="AF154" s="104"/>
      <c r="AG154" s="104"/>
      <c r="AH154" s="104"/>
      <c r="AI154" s="104"/>
      <c r="AJ154" s="104"/>
      <c r="AK154" s="104"/>
      <c r="AL154" s="149"/>
    </row>
    <row r="155" spans="1:38">
      <c r="A155" s="148"/>
      <c r="B155" s="582">
        <v>98</v>
      </c>
      <c r="C155" s="1148"/>
      <c r="D155" s="1149"/>
      <c r="E155" s="609"/>
      <c r="F155" s="104"/>
      <c r="G155" s="104"/>
      <c r="H155" s="104"/>
      <c r="I155" s="104"/>
      <c r="J155" s="104"/>
      <c r="K155" s="104"/>
      <c r="L155" s="104"/>
      <c r="M155" s="104"/>
      <c r="N155" s="104"/>
      <c r="O155" s="104"/>
      <c r="P155" s="104"/>
      <c r="Q155" s="104"/>
      <c r="R155" s="104"/>
      <c r="S155" s="149"/>
      <c r="T155" s="148"/>
      <c r="U155" s="582">
        <v>98</v>
      </c>
      <c r="V155" s="1148"/>
      <c r="W155" s="1149"/>
      <c r="X155" s="609"/>
      <c r="Y155" s="104"/>
      <c r="Z155" s="104"/>
      <c r="AA155" s="104"/>
      <c r="AB155" s="104"/>
      <c r="AC155" s="104"/>
      <c r="AD155" s="104"/>
      <c r="AE155" s="104"/>
      <c r="AF155" s="104"/>
      <c r="AG155" s="104"/>
      <c r="AH155" s="104"/>
      <c r="AI155" s="104"/>
      <c r="AJ155" s="104"/>
      <c r="AK155" s="104"/>
      <c r="AL155" s="149"/>
    </row>
    <row r="156" spans="1:38">
      <c r="A156" s="148"/>
      <c r="B156" s="582">
        <v>99</v>
      </c>
      <c r="C156" s="1148"/>
      <c r="D156" s="1149"/>
      <c r="E156" s="609"/>
      <c r="F156" s="104"/>
      <c r="G156" s="104"/>
      <c r="H156" s="104"/>
      <c r="I156" s="104"/>
      <c r="J156" s="104"/>
      <c r="K156" s="104"/>
      <c r="L156" s="104"/>
      <c r="M156" s="104"/>
      <c r="N156" s="104"/>
      <c r="O156" s="104"/>
      <c r="P156" s="104"/>
      <c r="Q156" s="104"/>
      <c r="R156" s="104"/>
      <c r="S156" s="149"/>
      <c r="T156" s="148"/>
      <c r="U156" s="582">
        <v>99</v>
      </c>
      <c r="V156" s="1148"/>
      <c r="W156" s="1149"/>
      <c r="X156" s="609"/>
      <c r="Y156" s="104"/>
      <c r="Z156" s="104"/>
      <c r="AA156" s="104"/>
      <c r="AB156" s="104"/>
      <c r="AC156" s="104"/>
      <c r="AD156" s="104"/>
      <c r="AE156" s="104"/>
      <c r="AF156" s="104"/>
      <c r="AG156" s="104"/>
      <c r="AH156" s="104"/>
      <c r="AI156" s="104"/>
      <c r="AJ156" s="104"/>
      <c r="AK156" s="104"/>
      <c r="AL156" s="149"/>
    </row>
    <row r="157" spans="1:38">
      <c r="A157" s="148"/>
      <c r="B157" s="582">
        <v>100</v>
      </c>
      <c r="C157" s="1148"/>
      <c r="D157" s="1149"/>
      <c r="E157" s="609"/>
      <c r="F157" s="104"/>
      <c r="G157" s="104"/>
      <c r="H157" s="104"/>
      <c r="I157" s="104"/>
      <c r="J157" s="104"/>
      <c r="K157" s="104"/>
      <c r="L157" s="104"/>
      <c r="M157" s="104"/>
      <c r="N157" s="104"/>
      <c r="O157" s="104"/>
      <c r="P157" s="104"/>
      <c r="Q157" s="104"/>
      <c r="R157" s="104"/>
      <c r="S157" s="149"/>
      <c r="T157" s="148"/>
      <c r="U157" s="582">
        <v>100</v>
      </c>
      <c r="V157" s="1148"/>
      <c r="W157" s="1149"/>
      <c r="X157" s="609"/>
      <c r="Y157" s="104"/>
      <c r="Z157" s="104"/>
      <c r="AA157" s="104"/>
      <c r="AB157" s="104"/>
      <c r="AC157" s="104"/>
      <c r="AD157" s="104"/>
      <c r="AE157" s="104"/>
      <c r="AF157" s="104"/>
      <c r="AG157" s="104"/>
      <c r="AH157" s="104"/>
      <c r="AI157" s="104"/>
      <c r="AJ157" s="104"/>
      <c r="AK157" s="104"/>
      <c r="AL157" s="149"/>
    </row>
    <row r="158" spans="1:38">
      <c r="A158" s="148"/>
      <c r="B158" s="582">
        <v>101</v>
      </c>
      <c r="C158" s="1148"/>
      <c r="D158" s="1149"/>
      <c r="E158" s="609"/>
      <c r="F158" s="104"/>
      <c r="G158" s="104"/>
      <c r="H158" s="104"/>
      <c r="I158" s="104"/>
      <c r="J158" s="104"/>
      <c r="K158" s="104"/>
      <c r="L158" s="104"/>
      <c r="M158" s="104"/>
      <c r="N158" s="104"/>
      <c r="O158" s="104"/>
      <c r="P158" s="104"/>
      <c r="Q158" s="104"/>
      <c r="R158" s="104"/>
      <c r="S158" s="149"/>
      <c r="T158" s="148"/>
      <c r="U158" s="582">
        <v>101</v>
      </c>
      <c r="V158" s="1148"/>
      <c r="W158" s="1149"/>
      <c r="X158" s="609"/>
      <c r="Y158" s="104"/>
      <c r="Z158" s="104"/>
      <c r="AA158" s="104"/>
      <c r="AB158" s="104"/>
      <c r="AC158" s="104"/>
      <c r="AD158" s="104"/>
      <c r="AE158" s="104"/>
      <c r="AF158" s="104"/>
      <c r="AG158" s="104"/>
      <c r="AH158" s="104"/>
      <c r="AI158" s="104"/>
      <c r="AJ158" s="104"/>
      <c r="AK158" s="104"/>
      <c r="AL158" s="149"/>
    </row>
    <row r="159" spans="1:38">
      <c r="A159" s="148"/>
      <c r="B159" s="582">
        <v>102</v>
      </c>
      <c r="C159" s="1148"/>
      <c r="D159" s="1149"/>
      <c r="E159" s="609"/>
      <c r="F159" s="104"/>
      <c r="G159" s="104"/>
      <c r="H159" s="104"/>
      <c r="I159" s="104"/>
      <c r="J159" s="104"/>
      <c r="K159" s="104"/>
      <c r="L159" s="104"/>
      <c r="M159" s="104"/>
      <c r="N159" s="104"/>
      <c r="O159" s="104"/>
      <c r="P159" s="104"/>
      <c r="Q159" s="104"/>
      <c r="R159" s="104"/>
      <c r="S159" s="149"/>
      <c r="T159" s="148"/>
      <c r="U159" s="582">
        <v>102</v>
      </c>
      <c r="V159" s="1148"/>
      <c r="W159" s="1149"/>
      <c r="X159" s="609"/>
      <c r="Y159" s="104"/>
      <c r="Z159" s="104"/>
      <c r="AA159" s="104"/>
      <c r="AB159" s="104"/>
      <c r="AC159" s="104"/>
      <c r="AD159" s="104"/>
      <c r="AE159" s="104"/>
      <c r="AF159" s="104"/>
      <c r="AG159" s="104"/>
      <c r="AH159" s="104"/>
      <c r="AI159" s="104"/>
      <c r="AJ159" s="104"/>
      <c r="AK159" s="104"/>
      <c r="AL159" s="149"/>
    </row>
    <row r="160" spans="1:38">
      <c r="A160" s="148"/>
      <c r="B160" s="582">
        <v>103</v>
      </c>
      <c r="C160" s="1148"/>
      <c r="D160" s="1149"/>
      <c r="E160" s="609"/>
      <c r="F160" s="104"/>
      <c r="G160" s="104"/>
      <c r="H160" s="104"/>
      <c r="I160" s="104"/>
      <c r="J160" s="104"/>
      <c r="K160" s="104"/>
      <c r="L160" s="104"/>
      <c r="M160" s="104"/>
      <c r="N160" s="104"/>
      <c r="O160" s="104"/>
      <c r="P160" s="104"/>
      <c r="Q160" s="104"/>
      <c r="R160" s="104"/>
      <c r="S160" s="149"/>
      <c r="T160" s="148"/>
      <c r="U160" s="582">
        <v>103</v>
      </c>
      <c r="V160" s="1148"/>
      <c r="W160" s="1149"/>
      <c r="X160" s="609"/>
      <c r="Y160" s="104"/>
      <c r="Z160" s="104"/>
      <c r="AA160" s="104"/>
      <c r="AB160" s="104"/>
      <c r="AC160" s="104"/>
      <c r="AD160" s="104"/>
      <c r="AE160" s="104"/>
      <c r="AF160" s="104"/>
      <c r="AG160" s="104"/>
      <c r="AH160" s="104"/>
      <c r="AI160" s="104"/>
      <c r="AJ160" s="104"/>
      <c r="AK160" s="104"/>
      <c r="AL160" s="149"/>
    </row>
    <row r="161" spans="1:38">
      <c r="A161" s="148"/>
      <c r="B161" s="582">
        <v>104</v>
      </c>
      <c r="C161" s="1148"/>
      <c r="D161" s="1149"/>
      <c r="E161" s="609"/>
      <c r="F161" s="104"/>
      <c r="G161" s="104"/>
      <c r="H161" s="104"/>
      <c r="I161" s="104"/>
      <c r="J161" s="104"/>
      <c r="K161" s="104"/>
      <c r="L161" s="104"/>
      <c r="M161" s="104"/>
      <c r="N161" s="104"/>
      <c r="O161" s="104"/>
      <c r="P161" s="104"/>
      <c r="Q161" s="104"/>
      <c r="R161" s="104"/>
      <c r="S161" s="149"/>
      <c r="T161" s="148"/>
      <c r="U161" s="582">
        <v>104</v>
      </c>
      <c r="V161" s="1148"/>
      <c r="W161" s="1149"/>
      <c r="X161" s="609"/>
      <c r="Y161" s="104"/>
      <c r="Z161" s="104"/>
      <c r="AA161" s="104"/>
      <c r="AB161" s="104"/>
      <c r="AC161" s="104"/>
      <c r="AD161" s="104"/>
      <c r="AE161" s="104"/>
      <c r="AF161" s="104"/>
      <c r="AG161" s="104"/>
      <c r="AH161" s="104"/>
      <c r="AI161" s="104"/>
      <c r="AJ161" s="104"/>
      <c r="AK161" s="104"/>
      <c r="AL161" s="149"/>
    </row>
    <row r="162" spans="1:38">
      <c r="A162" s="148"/>
      <c r="B162" s="582">
        <v>105</v>
      </c>
      <c r="C162" s="1148"/>
      <c r="D162" s="1149"/>
      <c r="E162" s="609"/>
      <c r="F162" s="104"/>
      <c r="G162" s="104"/>
      <c r="H162" s="104"/>
      <c r="I162" s="104"/>
      <c r="J162" s="104"/>
      <c r="K162" s="104"/>
      <c r="L162" s="104"/>
      <c r="M162" s="104"/>
      <c r="N162" s="104"/>
      <c r="O162" s="104"/>
      <c r="P162" s="104"/>
      <c r="Q162" s="104"/>
      <c r="R162" s="104"/>
      <c r="S162" s="149"/>
      <c r="T162" s="148"/>
      <c r="U162" s="582">
        <v>105</v>
      </c>
      <c r="V162" s="1148"/>
      <c r="W162" s="1149"/>
      <c r="X162" s="609"/>
      <c r="Y162" s="104"/>
      <c r="Z162" s="104"/>
      <c r="AA162" s="104"/>
      <c r="AB162" s="104"/>
      <c r="AC162" s="104"/>
      <c r="AD162" s="104"/>
      <c r="AE162" s="104"/>
      <c r="AF162" s="104"/>
      <c r="AG162" s="104"/>
      <c r="AH162" s="104"/>
      <c r="AI162" s="104"/>
      <c r="AJ162" s="104"/>
      <c r="AK162" s="104"/>
      <c r="AL162" s="149"/>
    </row>
    <row r="163" spans="1:38">
      <c r="A163" s="148"/>
      <c r="B163" s="582">
        <v>106</v>
      </c>
      <c r="C163" s="1148"/>
      <c r="D163" s="1149"/>
      <c r="E163" s="609"/>
      <c r="F163" s="104"/>
      <c r="G163" s="104"/>
      <c r="H163" s="104"/>
      <c r="I163" s="104"/>
      <c r="J163" s="104"/>
      <c r="K163" s="104"/>
      <c r="L163" s="104"/>
      <c r="M163" s="104"/>
      <c r="N163" s="104"/>
      <c r="O163" s="104"/>
      <c r="P163" s="104"/>
      <c r="Q163" s="104"/>
      <c r="R163" s="104"/>
      <c r="S163" s="149"/>
      <c r="T163" s="148"/>
      <c r="U163" s="582">
        <v>106</v>
      </c>
      <c r="V163" s="1148"/>
      <c r="W163" s="1149"/>
      <c r="X163" s="609"/>
      <c r="Y163" s="104"/>
      <c r="Z163" s="104"/>
      <c r="AA163" s="104"/>
      <c r="AB163" s="104"/>
      <c r="AC163" s="104"/>
      <c r="AD163" s="104"/>
      <c r="AE163" s="104"/>
      <c r="AF163" s="104"/>
      <c r="AG163" s="104"/>
      <c r="AH163" s="104"/>
      <c r="AI163" s="104"/>
      <c r="AJ163" s="104"/>
      <c r="AK163" s="104"/>
      <c r="AL163" s="149"/>
    </row>
    <row r="164" spans="1:38">
      <c r="A164" s="148"/>
      <c r="B164" s="582">
        <v>107</v>
      </c>
      <c r="C164" s="1148"/>
      <c r="D164" s="1149"/>
      <c r="E164" s="609"/>
      <c r="F164" s="104"/>
      <c r="G164" s="104"/>
      <c r="H164" s="104"/>
      <c r="I164" s="104"/>
      <c r="J164" s="104"/>
      <c r="K164" s="104"/>
      <c r="L164" s="104"/>
      <c r="M164" s="104"/>
      <c r="N164" s="104"/>
      <c r="O164" s="104"/>
      <c r="P164" s="104"/>
      <c r="Q164" s="104"/>
      <c r="R164" s="104"/>
      <c r="S164" s="149"/>
      <c r="T164" s="148"/>
      <c r="U164" s="582">
        <v>107</v>
      </c>
      <c r="V164" s="1148"/>
      <c r="W164" s="1149"/>
      <c r="X164" s="609"/>
      <c r="Y164" s="104"/>
      <c r="Z164" s="104"/>
      <c r="AA164" s="104"/>
      <c r="AB164" s="104"/>
      <c r="AC164" s="104"/>
      <c r="AD164" s="104"/>
      <c r="AE164" s="104"/>
      <c r="AF164" s="104"/>
      <c r="AG164" s="104"/>
      <c r="AH164" s="104"/>
      <c r="AI164" s="104"/>
      <c r="AJ164" s="104"/>
      <c r="AK164" s="104"/>
      <c r="AL164" s="149"/>
    </row>
    <row r="165" spans="1:38">
      <c r="A165" s="148"/>
      <c r="B165" s="582">
        <v>108</v>
      </c>
      <c r="C165" s="1148"/>
      <c r="D165" s="1149"/>
      <c r="E165" s="609"/>
      <c r="F165" s="104"/>
      <c r="G165" s="104"/>
      <c r="H165" s="104"/>
      <c r="I165" s="104"/>
      <c r="J165" s="104"/>
      <c r="K165" s="104"/>
      <c r="L165" s="104"/>
      <c r="M165" s="104"/>
      <c r="N165" s="104"/>
      <c r="O165" s="104"/>
      <c r="P165" s="104"/>
      <c r="Q165" s="104"/>
      <c r="R165" s="104"/>
      <c r="S165" s="149"/>
      <c r="T165" s="148"/>
      <c r="U165" s="582">
        <v>108</v>
      </c>
      <c r="V165" s="1148"/>
      <c r="W165" s="1149"/>
      <c r="X165" s="609"/>
      <c r="Y165" s="104"/>
      <c r="Z165" s="104"/>
      <c r="AA165" s="104"/>
      <c r="AB165" s="104"/>
      <c r="AC165" s="104"/>
      <c r="AD165" s="104"/>
      <c r="AE165" s="104"/>
      <c r="AF165" s="104"/>
      <c r="AG165" s="104"/>
      <c r="AH165" s="104"/>
      <c r="AI165" s="104"/>
      <c r="AJ165" s="104"/>
      <c r="AK165" s="104"/>
      <c r="AL165" s="149"/>
    </row>
    <row r="166" spans="1:38">
      <c r="A166" s="148"/>
      <c r="B166" s="582">
        <v>109</v>
      </c>
      <c r="C166" s="1148"/>
      <c r="D166" s="1149"/>
      <c r="E166" s="609"/>
      <c r="F166" s="104"/>
      <c r="G166" s="104"/>
      <c r="H166" s="104"/>
      <c r="I166" s="104"/>
      <c r="J166" s="104"/>
      <c r="K166" s="104"/>
      <c r="L166" s="104"/>
      <c r="M166" s="104"/>
      <c r="N166" s="104"/>
      <c r="O166" s="104"/>
      <c r="P166" s="104"/>
      <c r="Q166" s="104"/>
      <c r="R166" s="104"/>
      <c r="S166" s="149"/>
      <c r="T166" s="148"/>
      <c r="U166" s="582">
        <v>109</v>
      </c>
      <c r="V166" s="1148"/>
      <c r="W166" s="1149"/>
      <c r="X166" s="609"/>
      <c r="Y166" s="104"/>
      <c r="Z166" s="104"/>
      <c r="AA166" s="104"/>
      <c r="AB166" s="104"/>
      <c r="AC166" s="104"/>
      <c r="AD166" s="104"/>
      <c r="AE166" s="104"/>
      <c r="AF166" s="104"/>
      <c r="AG166" s="104"/>
      <c r="AH166" s="104"/>
      <c r="AI166" s="104"/>
      <c r="AJ166" s="104"/>
      <c r="AK166" s="104"/>
      <c r="AL166" s="149"/>
    </row>
    <row r="167" spans="1:38">
      <c r="A167" s="148"/>
      <c r="B167" s="582">
        <v>110</v>
      </c>
      <c r="C167" s="1148"/>
      <c r="D167" s="1149"/>
      <c r="E167" s="609"/>
      <c r="F167" s="104"/>
      <c r="G167" s="104"/>
      <c r="H167" s="104"/>
      <c r="I167" s="104"/>
      <c r="J167" s="104"/>
      <c r="K167" s="104"/>
      <c r="L167" s="104"/>
      <c r="M167" s="104"/>
      <c r="N167" s="104"/>
      <c r="O167" s="104"/>
      <c r="P167" s="104"/>
      <c r="Q167" s="104"/>
      <c r="R167" s="104"/>
      <c r="S167" s="149"/>
      <c r="T167" s="148"/>
      <c r="U167" s="582">
        <v>110</v>
      </c>
      <c r="V167" s="1148"/>
      <c r="W167" s="1149"/>
      <c r="X167" s="609"/>
      <c r="Y167" s="104"/>
      <c r="Z167" s="104"/>
      <c r="AA167" s="104"/>
      <c r="AB167" s="104"/>
      <c r="AC167" s="104"/>
      <c r="AD167" s="104"/>
      <c r="AE167" s="104"/>
      <c r="AF167" s="104"/>
      <c r="AG167" s="104"/>
      <c r="AH167" s="104"/>
      <c r="AI167" s="104"/>
      <c r="AJ167" s="104"/>
      <c r="AK167" s="104"/>
      <c r="AL167" s="149"/>
    </row>
    <row r="168" spans="1:38">
      <c r="A168" s="148"/>
      <c r="B168" s="582">
        <v>111</v>
      </c>
      <c r="C168" s="1148"/>
      <c r="D168" s="1149"/>
      <c r="E168" s="609"/>
      <c r="F168" s="104"/>
      <c r="G168" s="104"/>
      <c r="H168" s="104"/>
      <c r="I168" s="104"/>
      <c r="J168" s="104"/>
      <c r="K168" s="104"/>
      <c r="L168" s="104"/>
      <c r="M168" s="104"/>
      <c r="N168" s="104"/>
      <c r="O168" s="104"/>
      <c r="P168" s="104"/>
      <c r="Q168" s="104"/>
      <c r="R168" s="104"/>
      <c r="S168" s="149"/>
      <c r="T168" s="148"/>
      <c r="U168" s="582">
        <v>111</v>
      </c>
      <c r="V168" s="1148"/>
      <c r="W168" s="1149"/>
      <c r="X168" s="609"/>
      <c r="Y168" s="104"/>
      <c r="Z168" s="104"/>
      <c r="AA168" s="104"/>
      <c r="AB168" s="104"/>
      <c r="AC168" s="104"/>
      <c r="AD168" s="104"/>
      <c r="AE168" s="104"/>
      <c r="AF168" s="104"/>
      <c r="AG168" s="104"/>
      <c r="AH168" s="104"/>
      <c r="AI168" s="104"/>
      <c r="AJ168" s="104"/>
      <c r="AK168" s="104"/>
      <c r="AL168" s="149"/>
    </row>
    <row r="169" spans="1:38">
      <c r="A169" s="148"/>
      <c r="B169" s="582">
        <v>112</v>
      </c>
      <c r="C169" s="1148"/>
      <c r="D169" s="1149"/>
      <c r="E169" s="609"/>
      <c r="F169" s="104"/>
      <c r="G169" s="104"/>
      <c r="H169" s="104"/>
      <c r="I169" s="104"/>
      <c r="J169" s="104"/>
      <c r="K169" s="104"/>
      <c r="L169" s="104"/>
      <c r="M169" s="104"/>
      <c r="N169" s="104"/>
      <c r="O169" s="104"/>
      <c r="P169" s="104"/>
      <c r="Q169" s="104"/>
      <c r="R169" s="104"/>
      <c r="S169" s="149"/>
      <c r="T169" s="148"/>
      <c r="U169" s="582">
        <v>112</v>
      </c>
      <c r="V169" s="1148"/>
      <c r="W169" s="1149"/>
      <c r="X169" s="609"/>
      <c r="Y169" s="104"/>
      <c r="Z169" s="104"/>
      <c r="AA169" s="104"/>
      <c r="AB169" s="104"/>
      <c r="AC169" s="104"/>
      <c r="AD169" s="104"/>
      <c r="AE169" s="104"/>
      <c r="AF169" s="104"/>
      <c r="AG169" s="104"/>
      <c r="AH169" s="104"/>
      <c r="AI169" s="104"/>
      <c r="AJ169" s="104"/>
      <c r="AK169" s="104"/>
      <c r="AL169" s="149"/>
    </row>
    <row r="170" spans="1:38">
      <c r="A170" s="148"/>
      <c r="B170" s="582">
        <v>113</v>
      </c>
      <c r="C170" s="1148"/>
      <c r="D170" s="1149"/>
      <c r="E170" s="609"/>
      <c r="F170" s="104"/>
      <c r="G170" s="104"/>
      <c r="H170" s="104"/>
      <c r="I170" s="104"/>
      <c r="J170" s="104"/>
      <c r="K170" s="104"/>
      <c r="L170" s="104"/>
      <c r="M170" s="104"/>
      <c r="N170" s="104"/>
      <c r="O170" s="104"/>
      <c r="P170" s="104"/>
      <c r="Q170" s="104"/>
      <c r="R170" s="104"/>
      <c r="S170" s="149"/>
      <c r="T170" s="148"/>
      <c r="U170" s="582">
        <v>113</v>
      </c>
      <c r="V170" s="1148"/>
      <c r="W170" s="1149"/>
      <c r="X170" s="609"/>
      <c r="Y170" s="104"/>
      <c r="Z170" s="104"/>
      <c r="AA170" s="104"/>
      <c r="AB170" s="104"/>
      <c r="AC170" s="104"/>
      <c r="AD170" s="104"/>
      <c r="AE170" s="104"/>
      <c r="AF170" s="104"/>
      <c r="AG170" s="104"/>
      <c r="AH170" s="104"/>
      <c r="AI170" s="104"/>
      <c r="AJ170" s="104"/>
      <c r="AK170" s="104"/>
      <c r="AL170" s="149"/>
    </row>
    <row r="171" spans="1:38">
      <c r="A171" s="148"/>
      <c r="B171" s="582">
        <v>114</v>
      </c>
      <c r="C171" s="1148"/>
      <c r="D171" s="1149"/>
      <c r="E171" s="609"/>
      <c r="F171" s="104"/>
      <c r="G171" s="104"/>
      <c r="H171" s="104"/>
      <c r="I171" s="104"/>
      <c r="J171" s="104"/>
      <c r="K171" s="104"/>
      <c r="L171" s="104"/>
      <c r="M171" s="104"/>
      <c r="N171" s="104"/>
      <c r="O171" s="104"/>
      <c r="P171" s="104"/>
      <c r="Q171" s="104"/>
      <c r="R171" s="104"/>
      <c r="S171" s="149"/>
      <c r="T171" s="148"/>
      <c r="U171" s="582">
        <v>114</v>
      </c>
      <c r="V171" s="1148"/>
      <c r="W171" s="1149"/>
      <c r="X171" s="609"/>
      <c r="Y171" s="104"/>
      <c r="Z171" s="104"/>
      <c r="AA171" s="104"/>
      <c r="AB171" s="104"/>
      <c r="AC171" s="104"/>
      <c r="AD171" s="104"/>
      <c r="AE171" s="104"/>
      <c r="AF171" s="104"/>
      <c r="AG171" s="104"/>
      <c r="AH171" s="104"/>
      <c r="AI171" s="104"/>
      <c r="AJ171" s="104"/>
      <c r="AK171" s="104"/>
      <c r="AL171" s="149"/>
    </row>
    <row r="172" spans="1:38">
      <c r="A172" s="148"/>
      <c r="B172" s="582">
        <v>115</v>
      </c>
      <c r="C172" s="1148"/>
      <c r="D172" s="1149"/>
      <c r="E172" s="609"/>
      <c r="F172" s="104"/>
      <c r="G172" s="104"/>
      <c r="H172" s="104"/>
      <c r="I172" s="104"/>
      <c r="J172" s="104"/>
      <c r="K172" s="104"/>
      <c r="L172" s="104"/>
      <c r="M172" s="104"/>
      <c r="N172" s="104"/>
      <c r="O172" s="104"/>
      <c r="P172" s="104"/>
      <c r="Q172" s="104"/>
      <c r="R172" s="104"/>
      <c r="S172" s="149"/>
      <c r="T172" s="148"/>
      <c r="U172" s="582">
        <v>115</v>
      </c>
      <c r="V172" s="1148"/>
      <c r="W172" s="1149"/>
      <c r="X172" s="609"/>
      <c r="Y172" s="104"/>
      <c r="Z172" s="104"/>
      <c r="AA172" s="104"/>
      <c r="AB172" s="104"/>
      <c r="AC172" s="104"/>
      <c r="AD172" s="104"/>
      <c r="AE172" s="104"/>
      <c r="AF172" s="104"/>
      <c r="AG172" s="104"/>
      <c r="AH172" s="104"/>
      <c r="AI172" s="104"/>
      <c r="AJ172" s="104"/>
      <c r="AK172" s="104"/>
      <c r="AL172" s="149"/>
    </row>
    <row r="173" spans="1:38">
      <c r="A173" s="148"/>
      <c r="B173" s="582">
        <v>116</v>
      </c>
      <c r="C173" s="1148"/>
      <c r="D173" s="1149"/>
      <c r="E173" s="609"/>
      <c r="F173" s="104"/>
      <c r="G173" s="104"/>
      <c r="H173" s="104"/>
      <c r="I173" s="104"/>
      <c r="J173" s="104"/>
      <c r="K173" s="104"/>
      <c r="L173" s="104"/>
      <c r="M173" s="104"/>
      <c r="N173" s="104"/>
      <c r="O173" s="104"/>
      <c r="P173" s="104"/>
      <c r="Q173" s="104"/>
      <c r="R173" s="104"/>
      <c r="S173" s="149"/>
      <c r="T173" s="148"/>
      <c r="U173" s="582">
        <v>116</v>
      </c>
      <c r="V173" s="1148"/>
      <c r="W173" s="1149"/>
      <c r="X173" s="609"/>
      <c r="Y173" s="104"/>
      <c r="Z173" s="104"/>
      <c r="AA173" s="104"/>
      <c r="AB173" s="104"/>
      <c r="AC173" s="104"/>
      <c r="AD173" s="104"/>
      <c r="AE173" s="104"/>
      <c r="AF173" s="104"/>
      <c r="AG173" s="104"/>
      <c r="AH173" s="104"/>
      <c r="AI173" s="104"/>
      <c r="AJ173" s="104"/>
      <c r="AK173" s="104"/>
      <c r="AL173" s="149"/>
    </row>
    <row r="174" spans="1:38">
      <c r="A174" s="148"/>
      <c r="B174" s="582">
        <v>117</v>
      </c>
      <c r="C174" s="1148"/>
      <c r="D174" s="1149"/>
      <c r="E174" s="609"/>
      <c r="F174" s="104"/>
      <c r="G174" s="104"/>
      <c r="H174" s="104"/>
      <c r="I174" s="104"/>
      <c r="J174" s="104"/>
      <c r="K174" s="104"/>
      <c r="L174" s="104"/>
      <c r="M174" s="104"/>
      <c r="N174" s="104"/>
      <c r="O174" s="104"/>
      <c r="P174" s="104"/>
      <c r="Q174" s="104"/>
      <c r="R174" s="104"/>
      <c r="S174" s="149"/>
      <c r="T174" s="148"/>
      <c r="U174" s="582">
        <v>117</v>
      </c>
      <c r="V174" s="1148"/>
      <c r="W174" s="1149"/>
      <c r="X174" s="609"/>
      <c r="Y174" s="104"/>
      <c r="Z174" s="104"/>
      <c r="AA174" s="104"/>
      <c r="AB174" s="104"/>
      <c r="AC174" s="104"/>
      <c r="AD174" s="104"/>
      <c r="AE174" s="104"/>
      <c r="AF174" s="104"/>
      <c r="AG174" s="104"/>
      <c r="AH174" s="104"/>
      <c r="AI174" s="104"/>
      <c r="AJ174" s="104"/>
      <c r="AK174" s="104"/>
      <c r="AL174" s="149"/>
    </row>
    <row r="175" spans="1:38">
      <c r="A175" s="148"/>
      <c r="B175" s="582">
        <v>118</v>
      </c>
      <c r="C175" s="1148"/>
      <c r="D175" s="1149"/>
      <c r="E175" s="609"/>
      <c r="F175" s="104"/>
      <c r="G175" s="104"/>
      <c r="H175" s="104"/>
      <c r="I175" s="104"/>
      <c r="J175" s="104"/>
      <c r="K175" s="104"/>
      <c r="L175" s="104"/>
      <c r="M175" s="104"/>
      <c r="N175" s="104"/>
      <c r="O175" s="104"/>
      <c r="P175" s="104"/>
      <c r="Q175" s="104"/>
      <c r="R175" s="104"/>
      <c r="S175" s="149"/>
      <c r="T175" s="148"/>
      <c r="U175" s="582">
        <v>118</v>
      </c>
      <c r="V175" s="1148"/>
      <c r="W175" s="1149"/>
      <c r="X175" s="609"/>
      <c r="Y175" s="104"/>
      <c r="Z175" s="104"/>
      <c r="AA175" s="104"/>
      <c r="AB175" s="104"/>
      <c r="AC175" s="104"/>
      <c r="AD175" s="104"/>
      <c r="AE175" s="104"/>
      <c r="AF175" s="104"/>
      <c r="AG175" s="104"/>
      <c r="AH175" s="104"/>
      <c r="AI175" s="104"/>
      <c r="AJ175" s="104"/>
      <c r="AK175" s="104"/>
      <c r="AL175" s="149"/>
    </row>
    <row r="176" spans="1:38">
      <c r="A176" s="148"/>
      <c r="B176" s="582">
        <v>119</v>
      </c>
      <c r="C176" s="1148"/>
      <c r="D176" s="1149"/>
      <c r="E176" s="609"/>
      <c r="F176" s="104"/>
      <c r="G176" s="104"/>
      <c r="H176" s="104"/>
      <c r="I176" s="104"/>
      <c r="J176" s="104"/>
      <c r="K176" s="104"/>
      <c r="L176" s="104"/>
      <c r="M176" s="104"/>
      <c r="N176" s="104"/>
      <c r="O176" s="104"/>
      <c r="P176" s="104"/>
      <c r="Q176" s="104"/>
      <c r="R176" s="104"/>
      <c r="S176" s="149"/>
      <c r="T176" s="148"/>
      <c r="U176" s="582">
        <v>119</v>
      </c>
      <c r="V176" s="1148"/>
      <c r="W176" s="1149"/>
      <c r="X176" s="609"/>
      <c r="Y176" s="104"/>
      <c r="Z176" s="104"/>
      <c r="AA176" s="104"/>
      <c r="AB176" s="104"/>
      <c r="AC176" s="104"/>
      <c r="AD176" s="104"/>
      <c r="AE176" s="104"/>
      <c r="AF176" s="104"/>
      <c r="AG176" s="104"/>
      <c r="AH176" s="104"/>
      <c r="AI176" s="104"/>
      <c r="AJ176" s="104"/>
      <c r="AK176" s="104"/>
      <c r="AL176" s="149"/>
    </row>
    <row r="177" spans="1:38">
      <c r="A177" s="148"/>
      <c r="B177" s="582">
        <v>120</v>
      </c>
      <c r="C177" s="1148"/>
      <c r="D177" s="1149"/>
      <c r="E177" s="609"/>
      <c r="F177" s="104"/>
      <c r="G177" s="104"/>
      <c r="H177" s="104"/>
      <c r="I177" s="104"/>
      <c r="J177" s="104"/>
      <c r="K177" s="104"/>
      <c r="L177" s="104"/>
      <c r="M177" s="104"/>
      <c r="N177" s="104"/>
      <c r="O177" s="104"/>
      <c r="P177" s="104"/>
      <c r="Q177" s="104"/>
      <c r="R177" s="104"/>
      <c r="S177" s="149"/>
      <c r="T177" s="148"/>
      <c r="U177" s="582">
        <v>120</v>
      </c>
      <c r="V177" s="1148"/>
      <c r="W177" s="1149"/>
      <c r="X177" s="609"/>
      <c r="Y177" s="104"/>
      <c r="Z177" s="104"/>
      <c r="AA177" s="104"/>
      <c r="AB177" s="104"/>
      <c r="AC177" s="104"/>
      <c r="AD177" s="104"/>
      <c r="AE177" s="104"/>
      <c r="AF177" s="104"/>
      <c r="AG177" s="104"/>
      <c r="AH177" s="104"/>
      <c r="AI177" s="104"/>
      <c r="AJ177" s="104"/>
      <c r="AK177" s="104"/>
      <c r="AL177" s="149"/>
    </row>
    <row r="178" spans="1:38">
      <c r="A178" s="104"/>
      <c r="B178" s="582">
        <v>121</v>
      </c>
      <c r="C178" s="1148"/>
      <c r="D178" s="1149"/>
      <c r="E178" s="609"/>
      <c r="F178" s="104"/>
      <c r="G178" s="104"/>
      <c r="H178" s="104"/>
      <c r="I178" s="104"/>
      <c r="J178" s="104"/>
      <c r="K178" s="104"/>
      <c r="L178" s="104"/>
      <c r="M178" s="104"/>
      <c r="N178" s="104"/>
      <c r="O178" s="104"/>
      <c r="P178" s="104"/>
      <c r="Q178" s="104"/>
      <c r="R178" s="104"/>
      <c r="S178" s="149"/>
      <c r="T178" s="104"/>
      <c r="U178" s="582">
        <v>121</v>
      </c>
      <c r="V178" s="1148"/>
      <c r="W178" s="1149"/>
      <c r="X178" s="609"/>
      <c r="Y178" s="104"/>
      <c r="Z178" s="104"/>
      <c r="AA178" s="104"/>
      <c r="AB178" s="104"/>
      <c r="AC178" s="104"/>
      <c r="AD178" s="104"/>
      <c r="AE178" s="104"/>
      <c r="AF178" s="104"/>
      <c r="AG178" s="104"/>
      <c r="AH178" s="104"/>
      <c r="AI178" s="104"/>
      <c r="AJ178" s="104"/>
      <c r="AK178" s="104"/>
      <c r="AL178" s="149"/>
    </row>
    <row r="179" spans="1:38">
      <c r="B179" s="582">
        <v>122</v>
      </c>
      <c r="C179" s="1148"/>
      <c r="D179" s="1149"/>
      <c r="E179" s="609"/>
      <c r="S179" s="15"/>
      <c r="U179" s="582">
        <v>122</v>
      </c>
      <c r="V179" s="1148"/>
      <c r="W179" s="1149"/>
      <c r="X179" s="609"/>
      <c r="AL179" s="15"/>
    </row>
    <row r="180" spans="1:38">
      <c r="B180" s="582">
        <v>123</v>
      </c>
      <c r="C180" s="1148"/>
      <c r="D180" s="1149"/>
      <c r="E180" s="609"/>
      <c r="S180" s="15"/>
      <c r="U180" s="582">
        <v>123</v>
      </c>
      <c r="V180" s="1148"/>
      <c r="W180" s="1149"/>
      <c r="X180" s="609"/>
      <c r="AL180" s="15"/>
    </row>
    <row r="181" spans="1:38">
      <c r="B181" s="582">
        <v>124</v>
      </c>
      <c r="C181" s="1148"/>
      <c r="D181" s="1149"/>
      <c r="E181" s="609"/>
      <c r="S181" s="15"/>
      <c r="U181" s="582">
        <v>124</v>
      </c>
      <c r="V181" s="1148"/>
      <c r="W181" s="1149"/>
      <c r="X181" s="609"/>
      <c r="AL181" s="15"/>
    </row>
    <row r="182" spans="1:38">
      <c r="B182" s="582">
        <v>125</v>
      </c>
      <c r="C182" s="1148"/>
      <c r="D182" s="1149"/>
      <c r="E182" s="609"/>
      <c r="S182" s="15"/>
      <c r="U182" s="582">
        <v>125</v>
      </c>
      <c r="V182" s="1148"/>
      <c r="W182" s="1149"/>
      <c r="X182" s="609"/>
      <c r="AL182" s="15"/>
    </row>
    <row r="183" spans="1:38">
      <c r="B183" s="582">
        <v>126</v>
      </c>
      <c r="C183" s="1148"/>
      <c r="D183" s="1149"/>
      <c r="E183" s="609"/>
      <c r="S183" s="15"/>
      <c r="U183" s="582">
        <v>126</v>
      </c>
      <c r="V183" s="1148"/>
      <c r="W183" s="1149"/>
      <c r="X183" s="609"/>
      <c r="AL183" s="15"/>
    </row>
    <row r="184" spans="1:38">
      <c r="B184" s="582">
        <v>127</v>
      </c>
      <c r="C184" s="1148"/>
      <c r="D184" s="1149"/>
      <c r="E184" s="609"/>
      <c r="S184" s="15"/>
      <c r="U184" s="582">
        <v>127</v>
      </c>
      <c r="V184" s="1148"/>
      <c r="W184" s="1149"/>
      <c r="X184" s="609"/>
      <c r="AL184" s="15"/>
    </row>
    <row r="185" spans="1:38">
      <c r="B185" s="582">
        <v>128</v>
      </c>
      <c r="C185" s="1148"/>
      <c r="D185" s="1149"/>
      <c r="E185" s="609"/>
      <c r="S185" s="15"/>
      <c r="U185" s="582">
        <v>128</v>
      </c>
      <c r="V185" s="1148"/>
      <c r="W185" s="1149"/>
      <c r="X185" s="609"/>
      <c r="AL185" s="15"/>
    </row>
    <row r="186" spans="1:38">
      <c r="B186" s="582">
        <v>129</v>
      </c>
      <c r="C186" s="1148"/>
      <c r="D186" s="1149"/>
      <c r="E186" s="609"/>
      <c r="S186" s="15"/>
      <c r="U186" s="582">
        <v>129</v>
      </c>
      <c r="V186" s="1148"/>
      <c r="W186" s="1149"/>
      <c r="X186" s="609"/>
      <c r="AL186" s="15"/>
    </row>
    <row r="187" spans="1:38">
      <c r="B187" s="582">
        <v>130</v>
      </c>
      <c r="C187" s="1148"/>
      <c r="D187" s="1149"/>
      <c r="E187" s="609"/>
      <c r="S187" s="15"/>
      <c r="U187" s="582">
        <v>130</v>
      </c>
      <c r="V187" s="1148"/>
      <c r="W187" s="1149"/>
      <c r="X187" s="609"/>
      <c r="AL187" s="15"/>
    </row>
    <row r="188" spans="1:38">
      <c r="B188" s="582">
        <v>131</v>
      </c>
      <c r="C188" s="1148"/>
      <c r="D188" s="1149"/>
      <c r="E188" s="609"/>
      <c r="S188" s="15"/>
      <c r="U188" s="582">
        <v>131</v>
      </c>
      <c r="V188" s="1148"/>
      <c r="W188" s="1149"/>
      <c r="X188" s="609"/>
      <c r="AL188" s="15"/>
    </row>
    <row r="189" spans="1:38">
      <c r="B189" s="582">
        <v>132</v>
      </c>
      <c r="C189" s="1148"/>
      <c r="D189" s="1149"/>
      <c r="E189" s="609"/>
      <c r="S189" s="15"/>
      <c r="U189" s="582">
        <v>132</v>
      </c>
      <c r="V189" s="1148"/>
      <c r="W189" s="1149"/>
      <c r="X189" s="609"/>
      <c r="AL189" s="15"/>
    </row>
    <row r="190" spans="1:38">
      <c r="B190" s="582">
        <v>133</v>
      </c>
      <c r="C190" s="1148"/>
      <c r="D190" s="1149"/>
      <c r="E190" s="609"/>
      <c r="S190" s="15"/>
      <c r="U190" s="582">
        <v>133</v>
      </c>
      <c r="V190" s="1148"/>
      <c r="W190" s="1149"/>
      <c r="X190" s="609"/>
      <c r="AL190" s="15"/>
    </row>
    <row r="191" spans="1:38">
      <c r="B191" s="582">
        <v>134</v>
      </c>
      <c r="C191" s="1148"/>
      <c r="D191" s="1149"/>
      <c r="E191" s="609"/>
      <c r="S191" s="15"/>
      <c r="U191" s="582">
        <v>134</v>
      </c>
      <c r="V191" s="1148"/>
      <c r="W191" s="1149"/>
      <c r="X191" s="609"/>
      <c r="AL191" s="15"/>
    </row>
    <row r="192" spans="1:38">
      <c r="B192" s="582">
        <v>135</v>
      </c>
      <c r="C192" s="1148"/>
      <c r="D192" s="1149"/>
      <c r="E192" s="609"/>
      <c r="S192" s="15"/>
      <c r="U192" s="582">
        <v>135</v>
      </c>
      <c r="V192" s="1148"/>
      <c r="W192" s="1149"/>
      <c r="X192" s="609"/>
      <c r="AL192" s="15"/>
    </row>
    <row r="193" spans="2:38">
      <c r="B193" s="582">
        <v>136</v>
      </c>
      <c r="C193" s="1148"/>
      <c r="D193" s="1149"/>
      <c r="E193" s="609"/>
      <c r="S193" s="15"/>
      <c r="U193" s="582">
        <v>136</v>
      </c>
      <c r="V193" s="1148"/>
      <c r="W193" s="1149"/>
      <c r="X193" s="609"/>
      <c r="AL193" s="15"/>
    </row>
    <row r="194" spans="2:38">
      <c r="B194" s="582">
        <v>137</v>
      </c>
      <c r="C194" s="1148"/>
      <c r="D194" s="1149"/>
      <c r="E194" s="609"/>
      <c r="S194" s="15"/>
      <c r="U194" s="582">
        <v>137</v>
      </c>
      <c r="V194" s="1148"/>
      <c r="W194" s="1149"/>
      <c r="X194" s="609"/>
      <c r="AL194" s="15"/>
    </row>
    <row r="195" spans="2:38">
      <c r="B195" s="582">
        <v>138</v>
      </c>
      <c r="C195" s="1148"/>
      <c r="D195" s="1149"/>
      <c r="E195" s="609"/>
      <c r="S195" s="15"/>
      <c r="U195" s="582">
        <v>138</v>
      </c>
      <c r="V195" s="1148"/>
      <c r="W195" s="1149"/>
      <c r="X195" s="609"/>
      <c r="AL195" s="15"/>
    </row>
    <row r="196" spans="2:38">
      <c r="B196" s="582">
        <v>139</v>
      </c>
      <c r="C196" s="1148"/>
      <c r="D196" s="1149"/>
      <c r="E196" s="609"/>
      <c r="S196" s="15"/>
      <c r="U196" s="582">
        <v>139</v>
      </c>
      <c r="V196" s="1148"/>
      <c r="W196" s="1149"/>
      <c r="X196" s="609"/>
      <c r="AL196" s="15"/>
    </row>
    <row r="197" spans="2:38">
      <c r="B197" s="582">
        <v>140</v>
      </c>
      <c r="C197" s="1148"/>
      <c r="D197" s="1149"/>
      <c r="E197" s="609"/>
      <c r="S197" s="15"/>
      <c r="U197" s="582">
        <v>140</v>
      </c>
      <c r="V197" s="1148"/>
      <c r="W197" s="1149"/>
      <c r="X197" s="609"/>
      <c r="AL197" s="15"/>
    </row>
    <row r="198" spans="2:38">
      <c r="B198" s="582">
        <v>141</v>
      </c>
      <c r="C198" s="1148"/>
      <c r="D198" s="1149"/>
      <c r="E198" s="609"/>
      <c r="S198" s="15"/>
      <c r="U198" s="582">
        <v>141</v>
      </c>
      <c r="V198" s="1148"/>
      <c r="W198" s="1149"/>
      <c r="X198" s="609"/>
      <c r="AL198" s="15"/>
    </row>
    <row r="199" spans="2:38">
      <c r="B199" s="582">
        <v>142</v>
      </c>
      <c r="C199" s="1148"/>
      <c r="D199" s="1149"/>
      <c r="E199" s="609"/>
      <c r="S199" s="15"/>
      <c r="U199" s="582">
        <v>142</v>
      </c>
      <c r="V199" s="1148"/>
      <c r="W199" s="1149"/>
      <c r="X199" s="609"/>
      <c r="AL199" s="15"/>
    </row>
    <row r="200" spans="2:38">
      <c r="B200" s="582">
        <v>143</v>
      </c>
      <c r="C200" s="1148"/>
      <c r="D200" s="1149"/>
      <c r="E200" s="609"/>
      <c r="S200" s="15"/>
      <c r="U200" s="582">
        <v>143</v>
      </c>
      <c r="V200" s="1148"/>
      <c r="W200" s="1149"/>
      <c r="X200" s="609"/>
      <c r="AL200" s="15"/>
    </row>
    <row r="201" spans="2:38">
      <c r="B201" s="582">
        <v>144</v>
      </c>
      <c r="C201" s="1148"/>
      <c r="D201" s="1149"/>
      <c r="E201" s="609"/>
      <c r="S201" s="15"/>
      <c r="U201" s="582">
        <v>144</v>
      </c>
      <c r="V201" s="1148"/>
      <c r="W201" s="1149"/>
      <c r="X201" s="609"/>
      <c r="AL201" s="15"/>
    </row>
    <row r="202" spans="2:38">
      <c r="B202" s="582">
        <v>145</v>
      </c>
      <c r="C202" s="1148"/>
      <c r="D202" s="1149"/>
      <c r="E202" s="609"/>
      <c r="S202" s="15"/>
      <c r="U202" s="582">
        <v>145</v>
      </c>
      <c r="V202" s="1148"/>
      <c r="W202" s="1149"/>
      <c r="X202" s="609"/>
      <c r="AL202" s="15"/>
    </row>
    <row r="203" spans="2:38">
      <c r="B203" s="582">
        <v>146</v>
      </c>
      <c r="C203" s="1148"/>
      <c r="D203" s="1149"/>
      <c r="E203" s="609"/>
      <c r="S203" s="15"/>
      <c r="U203" s="582">
        <v>146</v>
      </c>
      <c r="V203" s="1148"/>
      <c r="W203" s="1149"/>
      <c r="X203" s="609"/>
      <c r="AL203" s="15"/>
    </row>
    <row r="204" spans="2:38">
      <c r="B204" s="582">
        <v>147</v>
      </c>
      <c r="C204" s="1148"/>
      <c r="D204" s="1149"/>
      <c r="E204" s="609"/>
      <c r="S204" s="15"/>
      <c r="U204" s="582">
        <v>147</v>
      </c>
      <c r="V204" s="1148"/>
      <c r="W204" s="1149"/>
      <c r="X204" s="609"/>
      <c r="AL204" s="15"/>
    </row>
    <row r="205" spans="2:38">
      <c r="B205" s="582">
        <v>148</v>
      </c>
      <c r="C205" s="1148"/>
      <c r="D205" s="1149"/>
      <c r="E205" s="609"/>
      <c r="S205" s="15"/>
      <c r="U205" s="582">
        <v>148</v>
      </c>
      <c r="V205" s="1148"/>
      <c r="W205" s="1149"/>
      <c r="X205" s="609"/>
      <c r="AL205" s="15"/>
    </row>
    <row r="206" spans="2:38">
      <c r="B206" s="582">
        <v>149</v>
      </c>
      <c r="C206" s="1148"/>
      <c r="D206" s="1149"/>
      <c r="E206" s="609"/>
      <c r="S206" s="15"/>
      <c r="U206" s="582">
        <v>149</v>
      </c>
      <c r="V206" s="1148"/>
      <c r="W206" s="1149"/>
      <c r="X206" s="609"/>
      <c r="AL206" s="15"/>
    </row>
    <row r="207" spans="2:38">
      <c r="B207" s="582">
        <v>150</v>
      </c>
      <c r="C207" s="1148"/>
      <c r="D207" s="1149"/>
      <c r="E207" s="609"/>
      <c r="S207" s="15"/>
      <c r="U207" s="582">
        <v>150</v>
      </c>
      <c r="V207" s="1148"/>
      <c r="W207" s="1149"/>
      <c r="X207" s="609"/>
      <c r="AL207" s="15"/>
    </row>
    <row r="208" spans="2:38">
      <c r="B208" s="582">
        <v>151</v>
      </c>
      <c r="C208" s="1148"/>
      <c r="D208" s="1149"/>
      <c r="E208" s="609"/>
      <c r="S208" s="15"/>
      <c r="U208" s="582">
        <v>151</v>
      </c>
      <c r="V208" s="1148"/>
      <c r="W208" s="1149"/>
      <c r="X208" s="609"/>
      <c r="AL208" s="15"/>
    </row>
    <row r="209" spans="2:38">
      <c r="B209" s="582">
        <v>152</v>
      </c>
      <c r="C209" s="1148"/>
      <c r="D209" s="1149"/>
      <c r="E209" s="609"/>
      <c r="S209" s="15"/>
      <c r="U209" s="582">
        <v>152</v>
      </c>
      <c r="V209" s="1148"/>
      <c r="W209" s="1149"/>
      <c r="X209" s="609"/>
      <c r="AL209" s="15"/>
    </row>
    <row r="210" spans="2:38">
      <c r="B210" s="582">
        <v>153</v>
      </c>
      <c r="C210" s="1148"/>
      <c r="D210" s="1149"/>
      <c r="E210" s="609"/>
      <c r="S210" s="15"/>
      <c r="U210" s="582">
        <v>153</v>
      </c>
      <c r="V210" s="1148"/>
      <c r="W210" s="1149"/>
      <c r="X210" s="609"/>
      <c r="AL210" s="15"/>
    </row>
    <row r="211" spans="2:38">
      <c r="B211" s="582">
        <v>154</v>
      </c>
      <c r="C211" s="1148"/>
      <c r="D211" s="1149"/>
      <c r="E211" s="609"/>
      <c r="S211" s="15"/>
      <c r="U211" s="582">
        <v>154</v>
      </c>
      <c r="V211" s="1148"/>
      <c r="W211" s="1149"/>
      <c r="X211" s="609"/>
      <c r="AL211" s="15"/>
    </row>
    <row r="212" spans="2:38">
      <c r="B212" s="582">
        <v>155</v>
      </c>
      <c r="C212" s="1148"/>
      <c r="D212" s="1149"/>
      <c r="E212" s="609"/>
      <c r="S212" s="15"/>
      <c r="U212" s="582">
        <v>155</v>
      </c>
      <c r="V212" s="1148"/>
      <c r="W212" s="1149"/>
      <c r="X212" s="609"/>
      <c r="AL212" s="15"/>
    </row>
    <row r="213" spans="2:38">
      <c r="B213" s="582">
        <v>156</v>
      </c>
      <c r="C213" s="1148"/>
      <c r="D213" s="1149"/>
      <c r="E213" s="609"/>
      <c r="S213" s="15"/>
      <c r="U213" s="582">
        <v>156</v>
      </c>
      <c r="V213" s="1148"/>
      <c r="W213" s="1149"/>
      <c r="X213" s="609"/>
      <c r="AL213" s="15"/>
    </row>
    <row r="214" spans="2:38">
      <c r="B214" s="582">
        <v>157</v>
      </c>
      <c r="C214" s="1148"/>
      <c r="D214" s="1149"/>
      <c r="E214" s="609"/>
      <c r="S214" s="15"/>
      <c r="U214" s="582">
        <v>157</v>
      </c>
      <c r="V214" s="1148"/>
      <c r="W214" s="1149"/>
      <c r="X214" s="609"/>
      <c r="AL214" s="15"/>
    </row>
    <row r="215" spans="2:38">
      <c r="B215" s="582">
        <v>158</v>
      </c>
      <c r="C215" s="1148"/>
      <c r="D215" s="1149"/>
      <c r="E215" s="609"/>
      <c r="S215" s="15"/>
      <c r="U215" s="582">
        <v>158</v>
      </c>
      <c r="V215" s="1148"/>
      <c r="W215" s="1149"/>
      <c r="X215" s="609"/>
      <c r="AL215" s="15"/>
    </row>
    <row r="216" spans="2:38">
      <c r="B216" s="582">
        <v>159</v>
      </c>
      <c r="C216" s="1148"/>
      <c r="D216" s="1149"/>
      <c r="E216" s="609"/>
      <c r="S216" s="15"/>
      <c r="U216" s="582">
        <v>159</v>
      </c>
      <c r="V216" s="1148"/>
      <c r="W216" s="1149"/>
      <c r="X216" s="609"/>
      <c r="AL216" s="15"/>
    </row>
    <row r="217" spans="2:38">
      <c r="B217" s="582">
        <v>160</v>
      </c>
      <c r="C217" s="1148"/>
      <c r="D217" s="1149"/>
      <c r="E217" s="609"/>
      <c r="S217" s="15"/>
      <c r="U217" s="582">
        <v>160</v>
      </c>
      <c r="V217" s="1148"/>
      <c r="W217" s="1149"/>
      <c r="X217" s="609"/>
      <c r="AL217" s="15"/>
    </row>
    <row r="218" spans="2:38">
      <c r="B218" s="582">
        <v>161</v>
      </c>
      <c r="C218" s="1148"/>
      <c r="D218" s="1149"/>
      <c r="E218" s="609"/>
      <c r="S218" s="15"/>
      <c r="U218" s="582">
        <v>161</v>
      </c>
      <c r="V218" s="1148"/>
      <c r="W218" s="1149"/>
      <c r="X218" s="609"/>
      <c r="AL218" s="15"/>
    </row>
    <row r="219" spans="2:38">
      <c r="B219" s="582">
        <v>162</v>
      </c>
      <c r="C219" s="1148"/>
      <c r="D219" s="1149"/>
      <c r="E219" s="609"/>
      <c r="S219" s="15"/>
      <c r="U219" s="582">
        <v>162</v>
      </c>
      <c r="V219" s="1148"/>
      <c r="W219" s="1149"/>
      <c r="X219" s="609"/>
      <c r="AL219" s="15"/>
    </row>
    <row r="220" spans="2:38">
      <c r="B220" s="582">
        <v>163</v>
      </c>
      <c r="C220" s="1148"/>
      <c r="D220" s="1149"/>
      <c r="E220" s="609"/>
      <c r="S220" s="15"/>
      <c r="U220" s="582">
        <v>163</v>
      </c>
      <c r="V220" s="1148"/>
      <c r="W220" s="1149"/>
      <c r="X220" s="609"/>
      <c r="AL220" s="15"/>
    </row>
    <row r="221" spans="2:38">
      <c r="B221" s="582">
        <v>164</v>
      </c>
      <c r="C221" s="1148"/>
      <c r="D221" s="1149"/>
      <c r="E221" s="609"/>
      <c r="S221" s="15"/>
      <c r="U221" s="582">
        <v>164</v>
      </c>
      <c r="V221" s="1148"/>
      <c r="W221" s="1149"/>
      <c r="X221" s="609"/>
      <c r="AL221" s="15"/>
    </row>
    <row r="222" spans="2:38">
      <c r="B222" s="582">
        <v>165</v>
      </c>
      <c r="C222" s="1148"/>
      <c r="D222" s="1149"/>
      <c r="E222" s="609"/>
      <c r="S222" s="15"/>
      <c r="U222" s="582">
        <v>165</v>
      </c>
      <c r="V222" s="1148"/>
      <c r="W222" s="1149"/>
      <c r="X222" s="609"/>
      <c r="AL222" s="15"/>
    </row>
    <row r="223" spans="2:38">
      <c r="B223" s="582">
        <v>166</v>
      </c>
      <c r="C223" s="1148"/>
      <c r="D223" s="1149"/>
      <c r="E223" s="609"/>
      <c r="S223" s="15"/>
      <c r="U223" s="582">
        <v>166</v>
      </c>
      <c r="V223" s="1148"/>
      <c r="W223" s="1149"/>
      <c r="X223" s="609"/>
      <c r="AL223" s="15"/>
    </row>
    <row r="224" spans="2:38">
      <c r="B224" s="582">
        <v>167</v>
      </c>
      <c r="C224" s="1148"/>
      <c r="D224" s="1149"/>
      <c r="E224" s="609"/>
      <c r="S224" s="15"/>
      <c r="U224" s="582">
        <v>167</v>
      </c>
      <c r="V224" s="1148"/>
      <c r="W224" s="1149"/>
      <c r="X224" s="609"/>
      <c r="AL224" s="15"/>
    </row>
    <row r="225" spans="2:38">
      <c r="B225" s="582">
        <v>168</v>
      </c>
      <c r="C225" s="1148"/>
      <c r="D225" s="1149"/>
      <c r="E225" s="609"/>
      <c r="S225" s="15"/>
      <c r="U225" s="582">
        <v>168</v>
      </c>
      <c r="V225" s="1148"/>
      <c r="W225" s="1149"/>
      <c r="X225" s="609"/>
      <c r="AL225" s="15"/>
    </row>
    <row r="226" spans="2:38">
      <c r="B226" s="582">
        <v>169</v>
      </c>
      <c r="C226" s="1148"/>
      <c r="D226" s="1149"/>
      <c r="E226" s="609"/>
      <c r="S226" s="15"/>
      <c r="U226" s="582">
        <v>169</v>
      </c>
      <c r="V226" s="1148"/>
      <c r="W226" s="1149"/>
      <c r="X226" s="609"/>
      <c r="AL226" s="15"/>
    </row>
    <row r="227" spans="2:38">
      <c r="B227" s="582">
        <v>170</v>
      </c>
      <c r="C227" s="1148"/>
      <c r="D227" s="1149"/>
      <c r="E227" s="609"/>
      <c r="S227" s="15"/>
      <c r="U227" s="582">
        <v>170</v>
      </c>
      <c r="V227" s="1148"/>
      <c r="W227" s="1149"/>
      <c r="X227" s="609"/>
      <c r="AL227" s="15"/>
    </row>
    <row r="228" spans="2:38">
      <c r="B228" s="582">
        <v>171</v>
      </c>
      <c r="C228" s="1148"/>
      <c r="D228" s="1149"/>
      <c r="E228" s="609"/>
      <c r="S228" s="15"/>
      <c r="U228" s="582">
        <v>171</v>
      </c>
      <c r="V228" s="1148"/>
      <c r="W228" s="1149"/>
      <c r="X228" s="609"/>
      <c r="AL228" s="15"/>
    </row>
    <row r="229" spans="2:38">
      <c r="B229" s="582">
        <v>172</v>
      </c>
      <c r="C229" s="1148"/>
      <c r="D229" s="1149"/>
      <c r="E229" s="610"/>
      <c r="S229" s="15"/>
      <c r="U229" s="582">
        <v>172</v>
      </c>
      <c r="V229" s="1148"/>
      <c r="W229" s="1149"/>
      <c r="X229" s="610"/>
      <c r="AL229" s="15"/>
    </row>
    <row r="230" spans="2:38">
      <c r="B230" s="582">
        <v>173</v>
      </c>
      <c r="C230" s="1146"/>
      <c r="D230" s="1147"/>
      <c r="E230" s="610"/>
      <c r="S230" s="15"/>
      <c r="U230" s="582">
        <v>173</v>
      </c>
      <c r="V230" s="1146"/>
      <c r="W230" s="1147"/>
      <c r="X230" s="610"/>
      <c r="AL230" s="15"/>
    </row>
    <row r="231" spans="2:38">
      <c r="B231" s="582">
        <v>174</v>
      </c>
      <c r="C231" s="1146"/>
      <c r="D231" s="1147"/>
      <c r="E231" s="610"/>
      <c r="S231" s="15"/>
      <c r="U231" s="582">
        <v>174</v>
      </c>
      <c r="V231" s="1146"/>
      <c r="W231" s="1147"/>
      <c r="X231" s="610"/>
      <c r="AL231" s="15"/>
    </row>
    <row r="232" spans="2:38">
      <c r="B232" s="582">
        <v>175</v>
      </c>
      <c r="C232" s="1146"/>
      <c r="D232" s="1147"/>
      <c r="E232" s="610"/>
      <c r="S232" s="15"/>
      <c r="U232" s="582">
        <v>175</v>
      </c>
      <c r="V232" s="1146"/>
      <c r="W232" s="1147"/>
      <c r="X232" s="610"/>
      <c r="AL232" s="15"/>
    </row>
    <row r="233" spans="2:38">
      <c r="B233" s="582">
        <v>176</v>
      </c>
      <c r="C233" s="1146"/>
      <c r="D233" s="1147"/>
      <c r="E233" s="610"/>
      <c r="S233" s="15"/>
      <c r="U233" s="582">
        <v>176</v>
      </c>
      <c r="V233" s="1146"/>
      <c r="W233" s="1147"/>
      <c r="X233" s="610"/>
      <c r="AL233" s="15"/>
    </row>
    <row r="234" spans="2:38">
      <c r="B234" s="582">
        <v>177</v>
      </c>
      <c r="C234" s="1146"/>
      <c r="D234" s="1147"/>
      <c r="E234" s="610"/>
      <c r="S234" s="15"/>
      <c r="U234" s="582">
        <v>177</v>
      </c>
      <c r="V234" s="1146"/>
      <c r="W234" s="1147"/>
      <c r="X234" s="610"/>
      <c r="AL234" s="15"/>
    </row>
    <row r="235" spans="2:38">
      <c r="B235" s="582">
        <v>178</v>
      </c>
      <c r="C235" s="1146"/>
      <c r="D235" s="1147"/>
      <c r="E235" s="610"/>
      <c r="S235" s="15"/>
      <c r="U235" s="582">
        <v>178</v>
      </c>
      <c r="V235" s="1146"/>
      <c r="W235" s="1147"/>
      <c r="X235" s="610"/>
      <c r="AL235" s="15"/>
    </row>
    <row r="236" spans="2:38">
      <c r="B236" s="582">
        <v>179</v>
      </c>
      <c r="C236" s="1146"/>
      <c r="D236" s="1147"/>
      <c r="E236" s="610"/>
      <c r="S236" s="15"/>
      <c r="U236" s="582">
        <v>179</v>
      </c>
      <c r="V236" s="1146"/>
      <c r="W236" s="1147"/>
      <c r="X236" s="610"/>
      <c r="AL236" s="15"/>
    </row>
    <row r="237" spans="2:38">
      <c r="B237" s="582">
        <v>180</v>
      </c>
      <c r="C237" s="1146"/>
      <c r="D237" s="1147"/>
      <c r="E237" s="610"/>
      <c r="S237" s="15"/>
      <c r="U237" s="582">
        <v>180</v>
      </c>
      <c r="V237" s="1146"/>
      <c r="W237" s="1147"/>
      <c r="X237" s="610"/>
      <c r="AL237" s="15"/>
    </row>
    <row r="238" spans="2:38">
      <c r="B238" s="582">
        <v>181</v>
      </c>
      <c r="C238" s="1146"/>
      <c r="D238" s="1147"/>
      <c r="E238" s="610"/>
      <c r="S238" s="15"/>
      <c r="U238" s="582">
        <v>181</v>
      </c>
      <c r="V238" s="1146"/>
      <c r="W238" s="1147"/>
      <c r="X238" s="610"/>
      <c r="AL238" s="15"/>
    </row>
    <row r="239" spans="2:38">
      <c r="B239" s="582">
        <v>182</v>
      </c>
      <c r="C239" s="1146"/>
      <c r="D239" s="1147"/>
      <c r="E239" s="610"/>
      <c r="S239" s="15"/>
      <c r="U239" s="582">
        <v>182</v>
      </c>
      <c r="V239" s="1146"/>
      <c r="W239" s="1147"/>
      <c r="X239" s="610"/>
      <c r="AL239" s="15"/>
    </row>
    <row r="240" spans="2:38">
      <c r="B240" s="582">
        <v>183</v>
      </c>
      <c r="C240" s="1146"/>
      <c r="D240" s="1147"/>
      <c r="E240" s="610"/>
      <c r="S240" s="15"/>
      <c r="U240" s="582">
        <v>183</v>
      </c>
      <c r="V240" s="1146"/>
      <c r="W240" s="1147"/>
      <c r="X240" s="610"/>
      <c r="AL240" s="15"/>
    </row>
    <row r="241" spans="2:38">
      <c r="B241" s="582">
        <v>184</v>
      </c>
      <c r="C241" s="1146"/>
      <c r="D241" s="1147"/>
      <c r="E241" s="610"/>
      <c r="S241" s="15"/>
      <c r="U241" s="582">
        <v>184</v>
      </c>
      <c r="V241" s="1146"/>
      <c r="W241" s="1147"/>
      <c r="X241" s="610"/>
      <c r="AL241" s="15"/>
    </row>
    <row r="242" spans="2:38">
      <c r="B242" s="582">
        <v>185</v>
      </c>
      <c r="C242" s="1146"/>
      <c r="D242" s="1147"/>
      <c r="E242" s="610"/>
      <c r="S242" s="15"/>
      <c r="U242" s="582">
        <v>185</v>
      </c>
      <c r="V242" s="1146"/>
      <c r="W242" s="1147"/>
      <c r="X242" s="610"/>
      <c r="AL242" s="15"/>
    </row>
    <row r="243" spans="2:38">
      <c r="B243" s="582">
        <v>186</v>
      </c>
      <c r="C243" s="1146"/>
      <c r="D243" s="1147"/>
      <c r="E243" s="610"/>
      <c r="S243" s="15"/>
      <c r="U243" s="582">
        <v>186</v>
      </c>
      <c r="V243" s="1146"/>
      <c r="W243" s="1147"/>
      <c r="X243" s="610"/>
      <c r="AL243" s="15"/>
    </row>
    <row r="244" spans="2:38">
      <c r="B244" s="582">
        <v>187</v>
      </c>
      <c r="C244" s="1146"/>
      <c r="D244" s="1147"/>
      <c r="E244" s="610"/>
      <c r="S244" s="15"/>
      <c r="U244" s="582">
        <v>187</v>
      </c>
      <c r="V244" s="1146"/>
      <c r="W244" s="1147"/>
      <c r="X244" s="610"/>
      <c r="AL244" s="15"/>
    </row>
    <row r="245" spans="2:38">
      <c r="B245" s="582">
        <v>188</v>
      </c>
      <c r="C245" s="1146"/>
      <c r="D245" s="1147"/>
      <c r="E245" s="610"/>
      <c r="S245" s="15"/>
      <c r="U245" s="582">
        <v>188</v>
      </c>
      <c r="V245" s="1146"/>
      <c r="W245" s="1147"/>
      <c r="X245" s="610"/>
      <c r="AL245" s="15"/>
    </row>
    <row r="246" spans="2:38">
      <c r="B246" s="582">
        <v>189</v>
      </c>
      <c r="C246" s="1146"/>
      <c r="D246" s="1147"/>
      <c r="E246" s="610"/>
      <c r="S246" s="15"/>
      <c r="U246" s="582">
        <v>189</v>
      </c>
      <c r="V246" s="1146"/>
      <c r="W246" s="1147"/>
      <c r="X246" s="610"/>
      <c r="AL246" s="15"/>
    </row>
    <row r="247" spans="2:38">
      <c r="B247" s="582">
        <v>190</v>
      </c>
      <c r="C247" s="1146"/>
      <c r="D247" s="1147"/>
      <c r="E247" s="610"/>
      <c r="S247" s="15"/>
      <c r="U247" s="582">
        <v>190</v>
      </c>
      <c r="V247" s="1146"/>
      <c r="W247" s="1147"/>
      <c r="X247" s="610"/>
      <c r="AL247" s="15"/>
    </row>
    <row r="248" spans="2:38">
      <c r="B248" s="582">
        <v>191</v>
      </c>
      <c r="C248" s="1146"/>
      <c r="D248" s="1147"/>
      <c r="E248" s="610"/>
      <c r="S248" s="15"/>
      <c r="U248" s="582">
        <v>191</v>
      </c>
      <c r="V248" s="1146"/>
      <c r="W248" s="1147"/>
      <c r="X248" s="610"/>
      <c r="AL248" s="15"/>
    </row>
    <row r="249" spans="2:38">
      <c r="B249" s="582">
        <v>192</v>
      </c>
      <c r="C249" s="1146"/>
      <c r="D249" s="1147"/>
      <c r="E249" s="610"/>
      <c r="S249" s="15"/>
      <c r="U249" s="582">
        <v>192</v>
      </c>
      <c r="V249" s="1146"/>
      <c r="W249" s="1147"/>
      <c r="X249" s="610"/>
      <c r="AL249" s="15"/>
    </row>
    <row r="250" spans="2:38">
      <c r="B250" s="582">
        <v>193</v>
      </c>
      <c r="C250" s="1146"/>
      <c r="D250" s="1147"/>
      <c r="E250" s="610"/>
      <c r="S250" s="15"/>
      <c r="U250" s="582">
        <v>193</v>
      </c>
      <c r="V250" s="1146"/>
      <c r="W250" s="1147"/>
      <c r="X250" s="610"/>
      <c r="AL250" s="15"/>
    </row>
    <row r="251" spans="2:38">
      <c r="B251" s="582">
        <v>194</v>
      </c>
      <c r="C251" s="1146"/>
      <c r="D251" s="1147"/>
      <c r="E251" s="610"/>
      <c r="S251" s="15"/>
      <c r="U251" s="582">
        <v>194</v>
      </c>
      <c r="V251" s="1146"/>
      <c r="W251" s="1147"/>
      <c r="X251" s="610"/>
      <c r="AL251" s="15"/>
    </row>
    <row r="252" spans="2:38">
      <c r="B252" s="582">
        <v>195</v>
      </c>
      <c r="C252" s="1146"/>
      <c r="D252" s="1147"/>
      <c r="E252" s="610"/>
      <c r="S252" s="15"/>
      <c r="U252" s="582">
        <v>195</v>
      </c>
      <c r="V252" s="1146"/>
      <c r="W252" s="1147"/>
      <c r="X252" s="610"/>
      <c r="AL252" s="15"/>
    </row>
    <row r="253" spans="2:38">
      <c r="B253" s="582">
        <v>196</v>
      </c>
      <c r="C253" s="1146"/>
      <c r="D253" s="1147"/>
      <c r="E253" s="610"/>
      <c r="S253" s="15"/>
      <c r="U253" s="582">
        <v>196</v>
      </c>
      <c r="V253" s="1146"/>
      <c r="W253" s="1147"/>
      <c r="X253" s="610"/>
      <c r="AL253" s="15"/>
    </row>
    <row r="254" spans="2:38">
      <c r="B254" s="582">
        <v>197</v>
      </c>
      <c r="C254" s="1146"/>
      <c r="D254" s="1147"/>
      <c r="E254" s="610"/>
      <c r="S254" s="15"/>
      <c r="U254" s="582">
        <v>197</v>
      </c>
      <c r="V254" s="1146"/>
      <c r="W254" s="1147"/>
      <c r="X254" s="610"/>
      <c r="AL254" s="15"/>
    </row>
    <row r="255" spans="2:38">
      <c r="B255" s="582">
        <v>198</v>
      </c>
      <c r="C255" s="1146"/>
      <c r="D255" s="1147"/>
      <c r="E255" s="610"/>
      <c r="S255" s="15"/>
      <c r="U255" s="582">
        <v>198</v>
      </c>
      <c r="V255" s="1146"/>
      <c r="W255" s="1147"/>
      <c r="X255" s="610"/>
      <c r="AL255" s="15"/>
    </row>
    <row r="256" spans="2:38">
      <c r="B256" s="582">
        <v>199</v>
      </c>
      <c r="C256" s="1146"/>
      <c r="D256" s="1147"/>
      <c r="E256" s="610"/>
      <c r="S256" s="15"/>
      <c r="U256" s="582">
        <v>199</v>
      </c>
      <c r="V256" s="1146"/>
      <c r="W256" s="1147"/>
      <c r="X256" s="610"/>
      <c r="AL256" s="15"/>
    </row>
    <row r="257" spans="2:38">
      <c r="B257" s="582">
        <v>200</v>
      </c>
      <c r="C257" s="1146"/>
      <c r="D257" s="1147"/>
      <c r="E257" s="610"/>
      <c r="S257" s="15"/>
      <c r="U257" s="582">
        <v>200</v>
      </c>
      <c r="V257" s="1146"/>
      <c r="W257" s="1147"/>
      <c r="X257" s="610"/>
      <c r="AL257" s="15"/>
    </row>
    <row r="258" spans="2:38">
      <c r="B258" s="582">
        <v>201</v>
      </c>
      <c r="C258" s="1146"/>
      <c r="D258" s="1147"/>
      <c r="E258" s="610"/>
      <c r="S258" s="15"/>
      <c r="U258" s="582">
        <v>201</v>
      </c>
      <c r="V258" s="1146"/>
      <c r="W258" s="1147"/>
      <c r="X258" s="610"/>
      <c r="AL258" s="15"/>
    </row>
    <row r="259" spans="2:38">
      <c r="B259" s="582">
        <v>202</v>
      </c>
      <c r="C259" s="1146"/>
      <c r="D259" s="1147"/>
      <c r="E259" s="610"/>
      <c r="S259" s="15"/>
      <c r="U259" s="582">
        <v>202</v>
      </c>
      <c r="V259" s="1146"/>
      <c r="W259" s="1147"/>
      <c r="X259" s="610"/>
      <c r="AL259" s="15"/>
    </row>
    <row r="260" spans="2:38">
      <c r="B260" s="582">
        <v>203</v>
      </c>
      <c r="C260" s="1146"/>
      <c r="D260" s="1147"/>
      <c r="E260" s="610"/>
      <c r="S260" s="15"/>
      <c r="U260" s="582">
        <v>203</v>
      </c>
      <c r="V260" s="1146"/>
      <c r="W260" s="1147"/>
      <c r="X260" s="610"/>
      <c r="AL260" s="15"/>
    </row>
    <row r="261" spans="2:38">
      <c r="B261" s="582">
        <v>204</v>
      </c>
      <c r="C261" s="1146"/>
      <c r="D261" s="1147"/>
      <c r="E261" s="610"/>
      <c r="S261" s="15"/>
      <c r="U261" s="582">
        <v>204</v>
      </c>
      <c r="V261" s="1146"/>
      <c r="W261" s="1147"/>
      <c r="X261" s="610"/>
      <c r="AL261" s="15"/>
    </row>
    <row r="262" spans="2:38">
      <c r="B262" s="582">
        <v>205</v>
      </c>
      <c r="C262" s="1146"/>
      <c r="D262" s="1147"/>
      <c r="E262" s="610"/>
      <c r="S262" s="15"/>
      <c r="U262" s="582">
        <v>205</v>
      </c>
      <c r="V262" s="1146"/>
      <c r="W262" s="1147"/>
      <c r="X262" s="610"/>
      <c r="AL262" s="15"/>
    </row>
    <row r="263" spans="2:38">
      <c r="B263" s="582">
        <v>206</v>
      </c>
      <c r="C263" s="1146"/>
      <c r="D263" s="1147"/>
      <c r="E263" s="610"/>
      <c r="S263" s="15"/>
      <c r="U263" s="582">
        <v>206</v>
      </c>
      <c r="V263" s="1146"/>
      <c r="W263" s="1147"/>
      <c r="X263" s="610"/>
      <c r="AL263" s="15"/>
    </row>
    <row r="264" spans="2:38">
      <c r="B264" s="582">
        <v>207</v>
      </c>
      <c r="C264" s="1146"/>
      <c r="D264" s="1147"/>
      <c r="E264" s="610"/>
      <c r="S264" s="15"/>
      <c r="U264" s="582">
        <v>207</v>
      </c>
      <c r="V264" s="1146"/>
      <c r="W264" s="1147"/>
      <c r="X264" s="610"/>
      <c r="AL264" s="15"/>
    </row>
    <row r="265" spans="2:38">
      <c r="B265" s="582">
        <v>208</v>
      </c>
      <c r="C265" s="1146"/>
      <c r="D265" s="1147"/>
      <c r="E265" s="610"/>
      <c r="S265" s="15"/>
      <c r="U265" s="582">
        <v>208</v>
      </c>
      <c r="V265" s="1146"/>
      <c r="W265" s="1147"/>
      <c r="X265" s="610"/>
      <c r="AL265" s="15"/>
    </row>
    <row r="266" spans="2:38">
      <c r="B266" s="582">
        <v>209</v>
      </c>
      <c r="C266" s="1146"/>
      <c r="D266" s="1147"/>
      <c r="E266" s="610"/>
      <c r="S266" s="15"/>
      <c r="U266" s="582">
        <v>209</v>
      </c>
      <c r="V266" s="1146"/>
      <c r="W266" s="1147"/>
      <c r="X266" s="610"/>
      <c r="AL266" s="15"/>
    </row>
    <row r="267" spans="2:38">
      <c r="B267" s="582">
        <v>210</v>
      </c>
      <c r="C267" s="1146"/>
      <c r="D267" s="1147"/>
      <c r="E267" s="610"/>
      <c r="S267" s="15"/>
      <c r="U267" s="582">
        <v>210</v>
      </c>
      <c r="V267" s="1146"/>
      <c r="W267" s="1147"/>
      <c r="X267" s="610"/>
      <c r="AL267" s="15"/>
    </row>
    <row r="268" spans="2:38">
      <c r="B268" s="582">
        <v>211</v>
      </c>
      <c r="C268" s="1146"/>
      <c r="D268" s="1147"/>
      <c r="E268" s="610"/>
      <c r="S268" s="15"/>
      <c r="U268" s="582">
        <v>211</v>
      </c>
      <c r="V268" s="1146"/>
      <c r="W268" s="1147"/>
      <c r="X268" s="610"/>
      <c r="AL268" s="15"/>
    </row>
    <row r="269" spans="2:38">
      <c r="B269" s="582">
        <v>212</v>
      </c>
      <c r="C269" s="1146"/>
      <c r="D269" s="1147"/>
      <c r="E269" s="610"/>
      <c r="S269" s="15"/>
      <c r="U269" s="582">
        <v>212</v>
      </c>
      <c r="V269" s="1146"/>
      <c r="W269" s="1147"/>
      <c r="X269" s="610"/>
      <c r="AL269" s="15"/>
    </row>
    <row r="270" spans="2:38">
      <c r="B270" s="582">
        <v>213</v>
      </c>
      <c r="C270" s="1146"/>
      <c r="D270" s="1147"/>
      <c r="E270" s="610"/>
      <c r="S270" s="15"/>
      <c r="U270" s="582">
        <v>213</v>
      </c>
      <c r="V270" s="1146"/>
      <c r="W270" s="1147"/>
      <c r="X270" s="610"/>
      <c r="AL270" s="15"/>
    </row>
    <row r="271" spans="2:38">
      <c r="B271" s="582">
        <v>214</v>
      </c>
      <c r="C271" s="1146"/>
      <c r="D271" s="1147"/>
      <c r="E271" s="610"/>
      <c r="S271" s="15"/>
      <c r="U271" s="582">
        <v>214</v>
      </c>
      <c r="V271" s="1146"/>
      <c r="W271" s="1147"/>
      <c r="X271" s="610"/>
      <c r="AL271" s="15"/>
    </row>
    <row r="272" spans="2:38">
      <c r="B272" s="582">
        <v>215</v>
      </c>
      <c r="C272" s="1146"/>
      <c r="D272" s="1147"/>
      <c r="E272" s="610"/>
      <c r="S272" s="15"/>
      <c r="U272" s="582">
        <v>215</v>
      </c>
      <c r="V272" s="1146"/>
      <c r="W272" s="1147"/>
      <c r="X272" s="610"/>
      <c r="AL272" s="15"/>
    </row>
    <row r="273" spans="2:38">
      <c r="B273" s="582">
        <v>216</v>
      </c>
      <c r="C273" s="1146"/>
      <c r="D273" s="1147"/>
      <c r="E273" s="610"/>
      <c r="S273" s="15"/>
      <c r="U273" s="582">
        <v>216</v>
      </c>
      <c r="V273" s="1146"/>
      <c r="W273" s="1147"/>
      <c r="X273" s="610"/>
      <c r="AL273" s="15"/>
    </row>
    <row r="274" spans="2:38">
      <c r="B274" s="582">
        <v>217</v>
      </c>
      <c r="C274" s="1146"/>
      <c r="D274" s="1147"/>
      <c r="E274" s="610"/>
      <c r="S274" s="15"/>
      <c r="U274" s="582">
        <v>217</v>
      </c>
      <c r="V274" s="1146"/>
      <c r="W274" s="1147"/>
      <c r="X274" s="610"/>
      <c r="AL274" s="15"/>
    </row>
    <row r="275" spans="2:38">
      <c r="B275" s="582">
        <v>218</v>
      </c>
      <c r="C275" s="1146"/>
      <c r="D275" s="1147"/>
      <c r="E275" s="610"/>
      <c r="S275" s="15"/>
      <c r="U275" s="582">
        <v>218</v>
      </c>
      <c r="V275" s="1146"/>
      <c r="W275" s="1147"/>
      <c r="X275" s="610"/>
      <c r="AL275" s="15"/>
    </row>
    <row r="276" spans="2:38">
      <c r="B276" s="582">
        <v>219</v>
      </c>
      <c r="C276" s="1146"/>
      <c r="D276" s="1147"/>
      <c r="E276" s="610"/>
      <c r="S276" s="15"/>
      <c r="U276" s="582">
        <v>219</v>
      </c>
      <c r="V276" s="1146"/>
      <c r="W276" s="1147"/>
      <c r="X276" s="610"/>
      <c r="AL276" s="15"/>
    </row>
    <row r="277" spans="2:38">
      <c r="B277" s="582">
        <v>220</v>
      </c>
      <c r="C277" s="1146"/>
      <c r="D277" s="1147"/>
      <c r="E277" s="610"/>
      <c r="S277" s="15"/>
      <c r="U277" s="582">
        <v>220</v>
      </c>
      <c r="V277" s="1146"/>
      <c r="W277" s="1147"/>
      <c r="X277" s="610"/>
      <c r="AL277" s="15"/>
    </row>
    <row r="278" spans="2:38">
      <c r="B278" s="582">
        <v>221</v>
      </c>
      <c r="C278" s="1146"/>
      <c r="D278" s="1147"/>
      <c r="E278" s="610"/>
      <c r="S278" s="15"/>
      <c r="U278" s="582">
        <v>221</v>
      </c>
      <c r="V278" s="1146"/>
      <c r="W278" s="1147"/>
      <c r="X278" s="610"/>
      <c r="AL278" s="15"/>
    </row>
    <row r="279" spans="2:38">
      <c r="B279" s="582">
        <v>222</v>
      </c>
      <c r="C279" s="1146"/>
      <c r="D279" s="1147"/>
      <c r="E279" s="610"/>
      <c r="S279" s="15"/>
      <c r="U279" s="582">
        <v>222</v>
      </c>
      <c r="V279" s="1146"/>
      <c r="W279" s="1147"/>
      <c r="X279" s="610"/>
      <c r="AL279" s="15"/>
    </row>
    <row r="280" spans="2:38">
      <c r="B280" s="582">
        <v>223</v>
      </c>
      <c r="C280" s="1146"/>
      <c r="D280" s="1147"/>
      <c r="E280" s="610"/>
      <c r="S280" s="15"/>
      <c r="U280" s="582">
        <v>223</v>
      </c>
      <c r="V280" s="1146"/>
      <c r="W280" s="1147"/>
      <c r="X280" s="610"/>
      <c r="AL280" s="15"/>
    </row>
    <row r="281" spans="2:38">
      <c r="B281" s="582">
        <v>224</v>
      </c>
      <c r="C281" s="1146"/>
      <c r="D281" s="1147"/>
      <c r="E281" s="610"/>
      <c r="S281" s="15"/>
      <c r="U281" s="582">
        <v>224</v>
      </c>
      <c r="V281" s="1146"/>
      <c r="W281" s="1147"/>
      <c r="X281" s="610"/>
      <c r="AL281" s="15"/>
    </row>
    <row r="282" spans="2:38">
      <c r="B282" s="582">
        <v>225</v>
      </c>
      <c r="C282" s="1146"/>
      <c r="D282" s="1147"/>
      <c r="E282" s="610"/>
      <c r="S282" s="15"/>
      <c r="U282" s="582">
        <v>225</v>
      </c>
      <c r="V282" s="1146"/>
      <c r="W282" s="1147"/>
      <c r="X282" s="610"/>
      <c r="AL282" s="15"/>
    </row>
    <row r="283" spans="2:38">
      <c r="B283" s="582">
        <v>226</v>
      </c>
      <c r="C283" s="1146"/>
      <c r="D283" s="1147"/>
      <c r="E283" s="610"/>
      <c r="S283" s="15"/>
      <c r="U283" s="582">
        <v>226</v>
      </c>
      <c r="V283" s="1146"/>
      <c r="W283" s="1147"/>
      <c r="X283" s="610"/>
      <c r="AL283" s="15"/>
    </row>
    <row r="284" spans="2:38">
      <c r="B284" s="582">
        <v>227</v>
      </c>
      <c r="C284" s="1146"/>
      <c r="D284" s="1147"/>
      <c r="E284" s="610"/>
      <c r="S284" s="15"/>
      <c r="U284" s="582">
        <v>227</v>
      </c>
      <c r="V284" s="1146"/>
      <c r="W284" s="1147"/>
      <c r="X284" s="610"/>
      <c r="AL284" s="15"/>
    </row>
    <row r="285" spans="2:38">
      <c r="B285" s="582">
        <v>228</v>
      </c>
      <c r="C285" s="1146"/>
      <c r="D285" s="1147"/>
      <c r="E285" s="610"/>
      <c r="S285" s="15"/>
      <c r="U285" s="582">
        <v>228</v>
      </c>
      <c r="V285" s="1146"/>
      <c r="W285" s="1147"/>
      <c r="X285" s="610"/>
      <c r="AL285" s="15"/>
    </row>
    <row r="286" spans="2:38">
      <c r="B286" s="582">
        <v>229</v>
      </c>
      <c r="C286" s="1146"/>
      <c r="D286" s="1147"/>
      <c r="E286" s="610"/>
      <c r="S286" s="15"/>
      <c r="U286" s="582">
        <v>229</v>
      </c>
      <c r="V286" s="1146"/>
      <c r="W286" s="1147"/>
      <c r="X286" s="610"/>
      <c r="AL286" s="15"/>
    </row>
    <row r="287" spans="2:38">
      <c r="B287" s="582">
        <v>230</v>
      </c>
      <c r="C287" s="1146"/>
      <c r="D287" s="1147"/>
      <c r="E287" s="610"/>
      <c r="S287" s="15"/>
      <c r="U287" s="582">
        <v>230</v>
      </c>
      <c r="V287" s="1146"/>
      <c r="W287" s="1147"/>
      <c r="X287" s="610"/>
      <c r="AL287" s="15"/>
    </row>
    <row r="288" spans="2:38">
      <c r="B288" s="582">
        <v>231</v>
      </c>
      <c r="C288" s="1146"/>
      <c r="D288" s="1147"/>
      <c r="E288" s="610"/>
      <c r="S288" s="15"/>
      <c r="U288" s="582">
        <v>231</v>
      </c>
      <c r="V288" s="1146"/>
      <c r="W288" s="1147"/>
      <c r="X288" s="610"/>
      <c r="AL288" s="15"/>
    </row>
    <row r="289" spans="2:38">
      <c r="B289" s="582">
        <v>232</v>
      </c>
      <c r="C289" s="1146"/>
      <c r="D289" s="1147"/>
      <c r="E289" s="610"/>
      <c r="S289" s="15"/>
      <c r="U289" s="582">
        <v>232</v>
      </c>
      <c r="V289" s="1146"/>
      <c r="W289" s="1147"/>
      <c r="X289" s="610"/>
      <c r="AL289" s="15"/>
    </row>
    <row r="290" spans="2:38">
      <c r="B290" s="582">
        <v>233</v>
      </c>
      <c r="C290" s="1146"/>
      <c r="D290" s="1147"/>
      <c r="E290" s="610"/>
      <c r="S290" s="15"/>
      <c r="U290" s="582">
        <v>233</v>
      </c>
      <c r="V290" s="1146"/>
      <c r="W290" s="1147"/>
      <c r="X290" s="610"/>
      <c r="AL290" s="15"/>
    </row>
    <row r="291" spans="2:38">
      <c r="B291" s="582">
        <v>234</v>
      </c>
      <c r="C291" s="1146"/>
      <c r="D291" s="1147"/>
      <c r="E291" s="610"/>
      <c r="S291" s="15"/>
      <c r="U291" s="582">
        <v>234</v>
      </c>
      <c r="V291" s="1146"/>
      <c r="W291" s="1147"/>
      <c r="X291" s="610"/>
      <c r="AL291" s="15"/>
    </row>
    <row r="292" spans="2:38">
      <c r="B292" s="582">
        <v>235</v>
      </c>
      <c r="C292" s="1146"/>
      <c r="D292" s="1147"/>
      <c r="E292" s="610"/>
      <c r="S292" s="15"/>
      <c r="U292" s="582">
        <v>235</v>
      </c>
      <c r="V292" s="1146"/>
      <c r="W292" s="1147"/>
      <c r="X292" s="610"/>
      <c r="AL292" s="15"/>
    </row>
    <row r="293" spans="2:38">
      <c r="B293" s="582">
        <v>236</v>
      </c>
      <c r="C293" s="1146"/>
      <c r="D293" s="1147"/>
      <c r="E293" s="610"/>
      <c r="S293" s="15"/>
      <c r="U293" s="582">
        <v>236</v>
      </c>
      <c r="V293" s="1146"/>
      <c r="W293" s="1147"/>
      <c r="X293" s="610"/>
      <c r="AL293" s="15"/>
    </row>
    <row r="294" spans="2:38">
      <c r="B294" s="582">
        <v>237</v>
      </c>
      <c r="C294" s="1146"/>
      <c r="D294" s="1147"/>
      <c r="E294" s="610"/>
      <c r="S294" s="15"/>
      <c r="U294" s="582">
        <v>237</v>
      </c>
      <c r="V294" s="1146"/>
      <c r="W294" s="1147"/>
      <c r="X294" s="610"/>
      <c r="AL294" s="15"/>
    </row>
    <row r="295" spans="2:38">
      <c r="B295" s="582">
        <v>238</v>
      </c>
      <c r="C295" s="1146"/>
      <c r="D295" s="1147"/>
      <c r="E295" s="610"/>
      <c r="S295" s="15"/>
      <c r="U295" s="582">
        <v>238</v>
      </c>
      <c r="V295" s="1146"/>
      <c r="W295" s="1147"/>
      <c r="X295" s="610"/>
      <c r="AL295" s="15"/>
    </row>
    <row r="296" spans="2:38">
      <c r="B296" s="582">
        <v>239</v>
      </c>
      <c r="C296" s="1146"/>
      <c r="D296" s="1147"/>
      <c r="E296" s="610"/>
      <c r="S296" s="15"/>
      <c r="U296" s="582">
        <v>239</v>
      </c>
      <c r="V296" s="1146"/>
      <c r="W296" s="1147"/>
      <c r="X296" s="610"/>
      <c r="AL296" s="15"/>
    </row>
    <row r="297" spans="2:38">
      <c r="B297" s="582">
        <v>240</v>
      </c>
      <c r="C297" s="1146"/>
      <c r="D297" s="1147"/>
      <c r="E297" s="610"/>
      <c r="S297" s="15"/>
      <c r="U297" s="582">
        <v>240</v>
      </c>
      <c r="V297" s="1146"/>
      <c r="W297" s="1147"/>
      <c r="X297" s="610"/>
      <c r="AL297" s="15"/>
    </row>
    <row r="298" spans="2:38">
      <c r="B298" s="582">
        <v>241</v>
      </c>
      <c r="C298" s="1146"/>
      <c r="D298" s="1147"/>
      <c r="E298" s="610"/>
      <c r="S298" s="15"/>
      <c r="U298" s="582">
        <v>241</v>
      </c>
      <c r="V298" s="1146"/>
      <c r="W298" s="1147"/>
      <c r="X298" s="610"/>
      <c r="AL298" s="15"/>
    </row>
    <row r="299" spans="2:38">
      <c r="B299" s="582">
        <v>242</v>
      </c>
      <c r="C299" s="1146"/>
      <c r="D299" s="1147"/>
      <c r="E299" s="610"/>
      <c r="S299" s="15"/>
      <c r="U299" s="582">
        <v>242</v>
      </c>
      <c r="V299" s="1146"/>
      <c r="W299" s="1147"/>
      <c r="X299" s="610"/>
      <c r="AL299" s="15"/>
    </row>
    <row r="300" spans="2:38">
      <c r="B300" s="582">
        <v>243</v>
      </c>
      <c r="C300" s="1146"/>
      <c r="D300" s="1147"/>
      <c r="E300" s="610"/>
      <c r="S300" s="15"/>
      <c r="U300" s="582">
        <v>243</v>
      </c>
      <c r="V300" s="1146"/>
      <c r="W300" s="1147"/>
      <c r="X300" s="610"/>
      <c r="AL300" s="15"/>
    </row>
    <row r="301" spans="2:38">
      <c r="B301" s="582">
        <v>244</v>
      </c>
      <c r="C301" s="1146"/>
      <c r="D301" s="1147"/>
      <c r="E301" s="610"/>
      <c r="S301" s="15"/>
      <c r="U301" s="582">
        <v>244</v>
      </c>
      <c r="V301" s="1146"/>
      <c r="W301" s="1147"/>
      <c r="X301" s="610"/>
      <c r="AL301" s="15"/>
    </row>
    <row r="302" spans="2:38">
      <c r="B302" s="582">
        <v>245</v>
      </c>
      <c r="C302" s="1146"/>
      <c r="D302" s="1147"/>
      <c r="E302" s="610"/>
      <c r="S302" s="15"/>
      <c r="U302" s="582">
        <v>245</v>
      </c>
      <c r="V302" s="1146"/>
      <c r="W302" s="1147"/>
      <c r="X302" s="610"/>
      <c r="AL302" s="15"/>
    </row>
    <row r="303" spans="2:38">
      <c r="B303" s="582">
        <v>246</v>
      </c>
      <c r="C303" s="1146"/>
      <c r="D303" s="1147"/>
      <c r="E303" s="610"/>
      <c r="S303" s="15"/>
      <c r="U303" s="582">
        <v>246</v>
      </c>
      <c r="V303" s="1146"/>
      <c r="W303" s="1147"/>
      <c r="X303" s="610"/>
      <c r="AL303" s="15"/>
    </row>
    <row r="304" spans="2:38">
      <c r="B304" s="582">
        <v>247</v>
      </c>
      <c r="C304" s="1146"/>
      <c r="D304" s="1147"/>
      <c r="E304" s="610"/>
      <c r="S304" s="15"/>
      <c r="U304" s="582">
        <v>247</v>
      </c>
      <c r="V304" s="1146"/>
      <c r="W304" s="1147"/>
      <c r="X304" s="610"/>
      <c r="AL304" s="15"/>
    </row>
    <row r="305" spans="2:38">
      <c r="B305" s="582">
        <v>248</v>
      </c>
      <c r="C305" s="1146"/>
      <c r="D305" s="1147"/>
      <c r="E305" s="610"/>
      <c r="S305" s="15"/>
      <c r="U305" s="582">
        <v>248</v>
      </c>
      <c r="V305" s="1146"/>
      <c r="W305" s="1147"/>
      <c r="X305" s="610"/>
      <c r="AL305" s="15"/>
    </row>
    <row r="306" spans="2:38">
      <c r="B306" s="582">
        <v>249</v>
      </c>
      <c r="C306" s="1146"/>
      <c r="D306" s="1147"/>
      <c r="E306" s="610"/>
      <c r="S306" s="15"/>
      <c r="U306" s="582">
        <v>249</v>
      </c>
      <c r="V306" s="1146"/>
      <c r="W306" s="1147"/>
      <c r="X306" s="610"/>
      <c r="AL306" s="15"/>
    </row>
    <row r="307" spans="2:38">
      <c r="B307" s="582">
        <v>250</v>
      </c>
      <c r="C307" s="1146"/>
      <c r="D307" s="1147"/>
      <c r="E307" s="610"/>
      <c r="S307" s="15"/>
      <c r="U307" s="582">
        <v>250</v>
      </c>
      <c r="V307" s="1146"/>
      <c r="W307" s="1147"/>
      <c r="X307" s="610"/>
      <c r="AL307" s="15"/>
    </row>
    <row r="308" spans="2:38">
      <c r="B308" s="582">
        <v>251</v>
      </c>
      <c r="C308" s="1146"/>
      <c r="D308" s="1147"/>
      <c r="E308" s="610"/>
      <c r="S308" s="15"/>
      <c r="U308" s="582">
        <v>251</v>
      </c>
      <c r="V308" s="1146"/>
      <c r="W308" s="1147"/>
      <c r="X308" s="610"/>
      <c r="AL308" s="15"/>
    </row>
    <row r="309" spans="2:38">
      <c r="B309" s="582">
        <v>252</v>
      </c>
      <c r="C309" s="1146"/>
      <c r="D309" s="1147"/>
      <c r="E309" s="610"/>
      <c r="S309" s="15"/>
      <c r="U309" s="582">
        <v>252</v>
      </c>
      <c r="V309" s="1146"/>
      <c r="W309" s="1147"/>
      <c r="X309" s="610"/>
      <c r="AL309" s="15"/>
    </row>
    <row r="310" spans="2:38">
      <c r="B310" s="582">
        <v>253</v>
      </c>
      <c r="C310" s="1146"/>
      <c r="D310" s="1147"/>
      <c r="E310" s="610"/>
      <c r="S310" s="15"/>
      <c r="U310" s="582">
        <v>253</v>
      </c>
      <c r="V310" s="1146"/>
      <c r="W310" s="1147"/>
      <c r="X310" s="610"/>
      <c r="AL310" s="15"/>
    </row>
    <row r="311" spans="2:38">
      <c r="B311" s="582">
        <v>254</v>
      </c>
      <c r="C311" s="1146"/>
      <c r="D311" s="1147"/>
      <c r="E311" s="610"/>
      <c r="S311" s="15"/>
      <c r="U311" s="582">
        <v>254</v>
      </c>
      <c r="V311" s="1146"/>
      <c r="W311" s="1147"/>
      <c r="X311" s="610"/>
      <c r="AL311" s="15"/>
    </row>
    <row r="312" spans="2:38">
      <c r="B312" s="582">
        <v>255</v>
      </c>
      <c r="C312" s="1146"/>
      <c r="D312" s="1147"/>
      <c r="E312" s="610"/>
      <c r="S312" s="15"/>
      <c r="U312" s="582">
        <v>255</v>
      </c>
      <c r="V312" s="1146"/>
      <c r="W312" s="1147"/>
      <c r="X312" s="610"/>
      <c r="AL312" s="15"/>
    </row>
    <row r="313" spans="2:38">
      <c r="B313" s="582">
        <v>256</v>
      </c>
      <c r="C313" s="1146"/>
      <c r="D313" s="1147"/>
      <c r="E313" s="610"/>
      <c r="S313" s="15"/>
      <c r="U313" s="582">
        <v>256</v>
      </c>
      <c r="V313" s="1146"/>
      <c r="W313" s="1147"/>
      <c r="X313" s="610"/>
      <c r="AL313" s="15"/>
    </row>
    <row r="314" spans="2:38">
      <c r="B314" s="582">
        <v>257</v>
      </c>
      <c r="C314" s="1146"/>
      <c r="D314" s="1147"/>
      <c r="E314" s="610"/>
      <c r="S314" s="15"/>
      <c r="U314" s="582">
        <v>257</v>
      </c>
      <c r="V314" s="1146"/>
      <c r="W314" s="1147"/>
      <c r="X314" s="610"/>
      <c r="AL314" s="15"/>
    </row>
    <row r="315" spans="2:38">
      <c r="B315" s="582">
        <v>258</v>
      </c>
      <c r="C315" s="1146"/>
      <c r="D315" s="1147"/>
      <c r="E315" s="610"/>
      <c r="S315" s="15"/>
      <c r="U315" s="582">
        <v>258</v>
      </c>
      <c r="V315" s="1146"/>
      <c r="W315" s="1147"/>
      <c r="X315" s="610"/>
      <c r="AL315" s="15"/>
    </row>
    <row r="316" spans="2:38">
      <c r="B316" s="582">
        <v>259</v>
      </c>
      <c r="C316" s="1146"/>
      <c r="D316" s="1147"/>
      <c r="E316" s="610"/>
      <c r="S316" s="15"/>
      <c r="U316" s="582">
        <v>259</v>
      </c>
      <c r="V316" s="1146"/>
      <c r="W316" s="1147"/>
      <c r="X316" s="610"/>
      <c r="AL316" s="15"/>
    </row>
    <row r="317" spans="2:38">
      <c r="B317" s="582">
        <v>260</v>
      </c>
      <c r="C317" s="1146"/>
      <c r="D317" s="1147"/>
      <c r="E317" s="610"/>
      <c r="S317" s="15"/>
      <c r="U317" s="582">
        <v>260</v>
      </c>
      <c r="V317" s="1146"/>
      <c r="W317" s="1147"/>
      <c r="X317" s="610"/>
      <c r="AL317" s="15"/>
    </row>
    <row r="318" spans="2:38">
      <c r="B318" s="582">
        <v>261</v>
      </c>
      <c r="C318" s="1146"/>
      <c r="D318" s="1147"/>
      <c r="E318" s="610"/>
      <c r="S318" s="15"/>
      <c r="U318" s="582">
        <v>261</v>
      </c>
      <c r="V318" s="1146"/>
      <c r="W318" s="1147"/>
      <c r="X318" s="610"/>
      <c r="AL318" s="15"/>
    </row>
    <row r="319" spans="2:38">
      <c r="B319" s="582">
        <v>262</v>
      </c>
      <c r="C319" s="1146"/>
      <c r="D319" s="1147"/>
      <c r="E319" s="610"/>
      <c r="S319" s="15"/>
      <c r="U319" s="582">
        <v>262</v>
      </c>
      <c r="V319" s="1146"/>
      <c r="W319" s="1147"/>
      <c r="X319" s="610"/>
      <c r="AL319" s="15"/>
    </row>
    <row r="320" spans="2:38">
      <c r="B320" s="582">
        <v>263</v>
      </c>
      <c r="C320" s="1146"/>
      <c r="D320" s="1147"/>
      <c r="E320" s="610"/>
      <c r="S320" s="15"/>
      <c r="U320" s="582">
        <v>263</v>
      </c>
      <c r="V320" s="1146"/>
      <c r="W320" s="1147"/>
      <c r="X320" s="610"/>
      <c r="AL320" s="15"/>
    </row>
    <row r="321" spans="2:38">
      <c r="B321" s="582">
        <v>264</v>
      </c>
      <c r="C321" s="1146"/>
      <c r="D321" s="1147"/>
      <c r="E321" s="610"/>
      <c r="S321" s="15"/>
      <c r="U321" s="582">
        <v>264</v>
      </c>
      <c r="V321" s="1146"/>
      <c r="W321" s="1147"/>
      <c r="X321" s="610"/>
      <c r="AL321" s="15"/>
    </row>
    <row r="322" spans="2:38">
      <c r="B322" s="582">
        <v>265</v>
      </c>
      <c r="C322" s="1146"/>
      <c r="D322" s="1147"/>
      <c r="E322" s="610"/>
      <c r="S322" s="15"/>
      <c r="U322" s="582">
        <v>265</v>
      </c>
      <c r="V322" s="1146"/>
      <c r="W322" s="1147"/>
      <c r="X322" s="610"/>
      <c r="AL322" s="15"/>
    </row>
    <row r="323" spans="2:38">
      <c r="B323" s="582">
        <v>266</v>
      </c>
      <c r="C323" s="1146"/>
      <c r="D323" s="1147"/>
      <c r="E323" s="610"/>
      <c r="S323" s="15"/>
      <c r="U323" s="582">
        <v>266</v>
      </c>
      <c r="V323" s="1146"/>
      <c r="W323" s="1147"/>
      <c r="X323" s="610"/>
      <c r="AL323" s="15"/>
    </row>
    <row r="324" spans="2:38">
      <c r="B324" s="582">
        <v>267</v>
      </c>
      <c r="C324" s="1146"/>
      <c r="D324" s="1147"/>
      <c r="E324" s="610"/>
      <c r="S324" s="15"/>
      <c r="U324" s="582">
        <v>267</v>
      </c>
      <c r="V324" s="1146"/>
      <c r="W324" s="1147"/>
      <c r="X324" s="610"/>
      <c r="AL324" s="15"/>
    </row>
    <row r="325" spans="2:38">
      <c r="B325" s="582">
        <v>268</v>
      </c>
      <c r="C325" s="1146"/>
      <c r="D325" s="1147"/>
      <c r="E325" s="610"/>
      <c r="S325" s="15"/>
      <c r="U325" s="582">
        <v>268</v>
      </c>
      <c r="V325" s="1146"/>
      <c r="W325" s="1147"/>
      <c r="X325" s="610"/>
      <c r="AL325" s="15"/>
    </row>
    <row r="326" spans="2:38">
      <c r="B326" s="582">
        <v>269</v>
      </c>
      <c r="C326" s="1146"/>
      <c r="D326" s="1147"/>
      <c r="E326" s="610"/>
      <c r="S326" s="15"/>
      <c r="U326" s="582">
        <v>269</v>
      </c>
      <c r="V326" s="1146"/>
      <c r="W326" s="1147"/>
      <c r="X326" s="610"/>
      <c r="AL326" s="15"/>
    </row>
    <row r="327" spans="2:38">
      <c r="B327" s="582">
        <v>270</v>
      </c>
      <c r="C327" s="1146"/>
      <c r="D327" s="1147"/>
      <c r="E327" s="610"/>
      <c r="S327" s="15"/>
      <c r="U327" s="582">
        <v>270</v>
      </c>
      <c r="V327" s="1146"/>
      <c r="W327" s="1147"/>
      <c r="X327" s="610"/>
      <c r="AL327" s="15"/>
    </row>
    <row r="328" spans="2:38">
      <c r="B328" s="582">
        <v>271</v>
      </c>
      <c r="C328" s="1146"/>
      <c r="D328" s="1147"/>
      <c r="E328" s="610"/>
      <c r="S328" s="15"/>
      <c r="U328" s="582">
        <v>271</v>
      </c>
      <c r="V328" s="1146"/>
      <c r="W328" s="1147"/>
      <c r="X328" s="610"/>
      <c r="AL328" s="15"/>
    </row>
    <row r="329" spans="2:38">
      <c r="B329" s="582">
        <v>272</v>
      </c>
      <c r="C329" s="1146"/>
      <c r="D329" s="1147"/>
      <c r="E329" s="610"/>
      <c r="S329" s="15"/>
      <c r="U329" s="582">
        <v>272</v>
      </c>
      <c r="V329" s="1146"/>
      <c r="W329" s="1147"/>
      <c r="X329" s="610"/>
      <c r="AL329" s="15"/>
    </row>
    <row r="330" spans="2:38">
      <c r="B330" s="582">
        <v>273</v>
      </c>
      <c r="C330" s="1146"/>
      <c r="D330" s="1147"/>
      <c r="E330" s="610"/>
      <c r="S330" s="15"/>
      <c r="U330" s="582">
        <v>273</v>
      </c>
      <c r="V330" s="1146"/>
      <c r="W330" s="1147"/>
      <c r="X330" s="610"/>
      <c r="AL330" s="15"/>
    </row>
    <row r="331" spans="2:38">
      <c r="B331" s="582">
        <v>274</v>
      </c>
      <c r="C331" s="1146"/>
      <c r="D331" s="1147"/>
      <c r="E331" s="610"/>
      <c r="S331" s="15"/>
      <c r="U331" s="582">
        <v>274</v>
      </c>
      <c r="V331" s="1146"/>
      <c r="W331" s="1147"/>
      <c r="X331" s="610"/>
      <c r="AL331" s="15"/>
    </row>
    <row r="332" spans="2:38">
      <c r="B332" s="582">
        <v>275</v>
      </c>
      <c r="C332" s="1146"/>
      <c r="D332" s="1147"/>
      <c r="E332" s="610"/>
      <c r="S332" s="15"/>
      <c r="U332" s="582">
        <v>275</v>
      </c>
      <c r="V332" s="1146"/>
      <c r="W332" s="1147"/>
      <c r="X332" s="610"/>
      <c r="AL332" s="15"/>
    </row>
    <row r="333" spans="2:38">
      <c r="B333" s="582">
        <v>276</v>
      </c>
      <c r="C333" s="1146"/>
      <c r="D333" s="1147"/>
      <c r="E333" s="610"/>
      <c r="S333" s="15"/>
      <c r="U333" s="582">
        <v>276</v>
      </c>
      <c r="V333" s="1146"/>
      <c r="W333" s="1147"/>
      <c r="X333" s="610"/>
      <c r="AL333" s="15"/>
    </row>
    <row r="334" spans="2:38">
      <c r="B334" s="582">
        <v>277</v>
      </c>
      <c r="C334" s="1146"/>
      <c r="D334" s="1147"/>
      <c r="E334" s="610"/>
      <c r="S334" s="15"/>
      <c r="U334" s="582">
        <v>277</v>
      </c>
      <c r="V334" s="1146"/>
      <c r="W334" s="1147"/>
      <c r="X334" s="610"/>
      <c r="AL334" s="15"/>
    </row>
    <row r="335" spans="2:38">
      <c r="B335" s="582">
        <v>278</v>
      </c>
      <c r="C335" s="1146"/>
      <c r="D335" s="1147"/>
      <c r="E335" s="610"/>
      <c r="S335" s="15"/>
      <c r="U335" s="582">
        <v>278</v>
      </c>
      <c r="V335" s="1146"/>
      <c r="W335" s="1147"/>
      <c r="X335" s="610"/>
      <c r="AL335" s="15"/>
    </row>
    <row r="336" spans="2:38">
      <c r="B336" s="582">
        <v>279</v>
      </c>
      <c r="C336" s="1146"/>
      <c r="D336" s="1147"/>
      <c r="E336" s="610"/>
      <c r="S336" s="15"/>
      <c r="U336" s="582">
        <v>279</v>
      </c>
      <c r="V336" s="1146"/>
      <c r="W336" s="1147"/>
      <c r="X336" s="610"/>
      <c r="AL336" s="15"/>
    </row>
    <row r="337" spans="2:38">
      <c r="B337" s="582">
        <v>280</v>
      </c>
      <c r="C337" s="1146"/>
      <c r="D337" s="1147"/>
      <c r="E337" s="610"/>
      <c r="S337" s="15"/>
      <c r="U337" s="582">
        <v>280</v>
      </c>
      <c r="V337" s="1146"/>
      <c r="W337" s="1147"/>
      <c r="X337" s="610"/>
      <c r="AL337" s="15"/>
    </row>
    <row r="338" spans="2:38">
      <c r="B338" s="582">
        <v>281</v>
      </c>
      <c r="C338" s="1146"/>
      <c r="D338" s="1147"/>
      <c r="E338" s="610"/>
      <c r="S338" s="15"/>
      <c r="U338" s="582">
        <v>281</v>
      </c>
      <c r="V338" s="1146"/>
      <c r="W338" s="1147"/>
      <c r="X338" s="610"/>
      <c r="AL338" s="15"/>
    </row>
    <row r="339" spans="2:38">
      <c r="B339" s="582">
        <v>282</v>
      </c>
      <c r="C339" s="1146"/>
      <c r="D339" s="1147"/>
      <c r="E339" s="610"/>
      <c r="S339" s="15"/>
      <c r="U339" s="582">
        <v>282</v>
      </c>
      <c r="V339" s="1146"/>
      <c r="W339" s="1147"/>
      <c r="X339" s="610"/>
      <c r="AL339" s="15"/>
    </row>
    <row r="340" spans="2:38">
      <c r="B340" s="582">
        <v>283</v>
      </c>
      <c r="C340" s="1146"/>
      <c r="D340" s="1147"/>
      <c r="E340" s="610"/>
      <c r="S340" s="15"/>
      <c r="U340" s="582">
        <v>283</v>
      </c>
      <c r="V340" s="1146"/>
      <c r="W340" s="1147"/>
      <c r="X340" s="610"/>
      <c r="AL340" s="15"/>
    </row>
    <row r="341" spans="2:38">
      <c r="B341" s="582">
        <v>284</v>
      </c>
      <c r="C341" s="1146"/>
      <c r="D341" s="1147"/>
      <c r="E341" s="610"/>
      <c r="S341" s="15"/>
      <c r="U341" s="582">
        <v>284</v>
      </c>
      <c r="V341" s="1146"/>
      <c r="W341" s="1147"/>
      <c r="X341" s="610"/>
      <c r="AL341" s="15"/>
    </row>
    <row r="342" spans="2:38">
      <c r="B342" s="582">
        <v>285</v>
      </c>
      <c r="C342" s="1146"/>
      <c r="D342" s="1147"/>
      <c r="E342" s="610"/>
      <c r="S342" s="15"/>
      <c r="U342" s="582">
        <v>285</v>
      </c>
      <c r="V342" s="1146"/>
      <c r="W342" s="1147"/>
      <c r="X342" s="610"/>
      <c r="AL342" s="15"/>
    </row>
    <row r="343" spans="2:38">
      <c r="B343" s="582">
        <v>286</v>
      </c>
      <c r="C343" s="1146"/>
      <c r="D343" s="1147"/>
      <c r="E343" s="610"/>
      <c r="S343" s="15"/>
      <c r="U343" s="582">
        <v>286</v>
      </c>
      <c r="V343" s="1146"/>
      <c r="W343" s="1147"/>
      <c r="X343" s="610"/>
      <c r="AL343" s="15"/>
    </row>
    <row r="344" spans="2:38">
      <c r="B344" s="582">
        <v>287</v>
      </c>
      <c r="C344" s="1146"/>
      <c r="D344" s="1147"/>
      <c r="E344" s="610"/>
      <c r="S344" s="15"/>
      <c r="U344" s="582">
        <v>287</v>
      </c>
      <c r="V344" s="1146"/>
      <c r="W344" s="1147"/>
      <c r="X344" s="610"/>
      <c r="AL344" s="15"/>
    </row>
    <row r="345" spans="2:38">
      <c r="B345" s="582">
        <v>288</v>
      </c>
      <c r="C345" s="1146"/>
      <c r="D345" s="1147"/>
      <c r="E345" s="610"/>
      <c r="S345" s="15"/>
      <c r="U345" s="582">
        <v>288</v>
      </c>
      <c r="V345" s="1146"/>
      <c r="W345" s="1147"/>
      <c r="X345" s="610"/>
      <c r="AL345" s="15"/>
    </row>
    <row r="346" spans="2:38">
      <c r="B346" s="582">
        <v>289</v>
      </c>
      <c r="C346" s="1146"/>
      <c r="D346" s="1147"/>
      <c r="E346" s="610"/>
      <c r="S346" s="15"/>
      <c r="U346" s="582">
        <v>289</v>
      </c>
      <c r="V346" s="1146"/>
      <c r="W346" s="1147"/>
      <c r="X346" s="610"/>
      <c r="AL346" s="15"/>
    </row>
    <row r="347" spans="2:38">
      <c r="B347" s="582">
        <v>290</v>
      </c>
      <c r="C347" s="1146"/>
      <c r="D347" s="1147"/>
      <c r="E347" s="610"/>
      <c r="S347" s="15"/>
      <c r="U347" s="582">
        <v>290</v>
      </c>
      <c r="V347" s="1146"/>
      <c r="W347" s="1147"/>
      <c r="X347" s="610"/>
      <c r="AL347" s="15"/>
    </row>
    <row r="348" spans="2:38">
      <c r="B348" s="582">
        <v>291</v>
      </c>
      <c r="C348" s="1146"/>
      <c r="D348" s="1147"/>
      <c r="E348" s="610"/>
      <c r="S348" s="15"/>
      <c r="U348" s="582">
        <v>291</v>
      </c>
      <c r="V348" s="1146"/>
      <c r="W348" s="1147"/>
      <c r="X348" s="610"/>
      <c r="AL348" s="15"/>
    </row>
    <row r="349" spans="2:38">
      <c r="B349" s="582">
        <v>292</v>
      </c>
      <c r="C349" s="1146"/>
      <c r="D349" s="1147"/>
      <c r="E349" s="610"/>
      <c r="S349" s="15"/>
      <c r="U349" s="582">
        <v>292</v>
      </c>
      <c r="V349" s="1146"/>
      <c r="W349" s="1147"/>
      <c r="X349" s="610"/>
      <c r="AL349" s="15"/>
    </row>
    <row r="350" spans="2:38">
      <c r="B350" s="582">
        <v>293</v>
      </c>
      <c r="C350" s="1146"/>
      <c r="D350" s="1147"/>
      <c r="E350" s="610"/>
      <c r="S350" s="15"/>
      <c r="U350" s="582">
        <v>293</v>
      </c>
      <c r="V350" s="1146"/>
      <c r="W350" s="1147"/>
      <c r="X350" s="610"/>
      <c r="AL350" s="15"/>
    </row>
    <row r="351" spans="2:38">
      <c r="B351" s="582">
        <v>294</v>
      </c>
      <c r="C351" s="1146"/>
      <c r="D351" s="1147"/>
      <c r="E351" s="610"/>
      <c r="S351" s="15"/>
      <c r="U351" s="582">
        <v>294</v>
      </c>
      <c r="V351" s="1146"/>
      <c r="W351" s="1147"/>
      <c r="X351" s="610"/>
      <c r="AL351" s="15"/>
    </row>
    <row r="352" spans="2:38">
      <c r="B352" s="582">
        <v>295</v>
      </c>
      <c r="C352" s="1146"/>
      <c r="D352" s="1147"/>
      <c r="E352" s="610"/>
      <c r="S352" s="15"/>
      <c r="U352" s="582">
        <v>295</v>
      </c>
      <c r="V352" s="1146"/>
      <c r="W352" s="1147"/>
      <c r="X352" s="610"/>
      <c r="AL352" s="15"/>
    </row>
    <row r="353" spans="1:38">
      <c r="B353" s="582">
        <v>296</v>
      </c>
      <c r="C353" s="1146"/>
      <c r="D353" s="1147"/>
      <c r="E353" s="610"/>
      <c r="S353" s="15"/>
      <c r="U353" s="582">
        <v>296</v>
      </c>
      <c r="V353" s="1146"/>
      <c r="W353" s="1147"/>
      <c r="X353" s="610"/>
      <c r="AL353" s="15"/>
    </row>
    <row r="354" spans="1:38">
      <c r="B354" s="582">
        <v>297</v>
      </c>
      <c r="C354" s="1146"/>
      <c r="D354" s="1147"/>
      <c r="E354" s="610"/>
      <c r="S354" s="15"/>
      <c r="U354" s="582">
        <v>297</v>
      </c>
      <c r="V354" s="1146"/>
      <c r="W354" s="1147"/>
      <c r="X354" s="610"/>
      <c r="AL354" s="15"/>
    </row>
    <row r="355" spans="1:38">
      <c r="B355" s="582">
        <v>298</v>
      </c>
      <c r="C355" s="1146"/>
      <c r="D355" s="1147"/>
      <c r="E355" s="610"/>
      <c r="S355" s="15"/>
      <c r="U355" s="582">
        <v>298</v>
      </c>
      <c r="V355" s="1146"/>
      <c r="W355" s="1147"/>
      <c r="X355" s="610"/>
      <c r="AL355" s="15"/>
    </row>
    <row r="356" spans="1:38">
      <c r="B356" s="582">
        <v>299</v>
      </c>
      <c r="C356" s="1146"/>
      <c r="D356" s="1147"/>
      <c r="E356" s="610"/>
      <c r="S356" s="15"/>
      <c r="U356" s="582">
        <v>299</v>
      </c>
      <c r="V356" s="1146"/>
      <c r="W356" s="1147"/>
      <c r="X356" s="610"/>
      <c r="AL356" s="15"/>
    </row>
    <row r="357" spans="1:38">
      <c r="B357" s="582">
        <v>300</v>
      </c>
      <c r="C357" s="1146"/>
      <c r="D357" s="1147"/>
      <c r="E357" s="610"/>
      <c r="S357" s="15"/>
      <c r="U357" s="582">
        <v>300</v>
      </c>
      <c r="V357" s="1146"/>
      <c r="W357" s="1147"/>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77:W77"/>
    <mergeCell ref="V78:W78"/>
    <mergeCell ref="V79:W79"/>
    <mergeCell ref="V80:W80"/>
    <mergeCell ref="V81:W81"/>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32:W332"/>
    <mergeCell ref="V333:W333"/>
    <mergeCell ref="V334:W334"/>
    <mergeCell ref="V335:W335"/>
    <mergeCell ref="V336:W336"/>
    <mergeCell ref="V327:W327"/>
    <mergeCell ref="V328:W328"/>
    <mergeCell ref="V329:W329"/>
    <mergeCell ref="V330:W330"/>
    <mergeCell ref="V331:W331"/>
    <mergeCell ref="V342:W342"/>
    <mergeCell ref="V343:W343"/>
    <mergeCell ref="V344:W344"/>
    <mergeCell ref="V345:W345"/>
    <mergeCell ref="V346:W346"/>
    <mergeCell ref="V337:W337"/>
    <mergeCell ref="V338:W338"/>
    <mergeCell ref="V339:W339"/>
    <mergeCell ref="V340:W340"/>
    <mergeCell ref="V341:W341"/>
    <mergeCell ref="V357:W357"/>
    <mergeCell ref="V352:W352"/>
    <mergeCell ref="V353:W353"/>
    <mergeCell ref="V354:W354"/>
    <mergeCell ref="V355:W355"/>
    <mergeCell ref="V356:W356"/>
    <mergeCell ref="V347:W347"/>
    <mergeCell ref="V348:W348"/>
    <mergeCell ref="V349:W349"/>
    <mergeCell ref="V350:W350"/>
    <mergeCell ref="V351:W351"/>
  </mergeCells>
  <phoneticPr fontId="2" type="noConversion"/>
  <conditionalFormatting sqref="D52:E52">
    <cfRule type="expression" dxfId="189" priority="1" stopIfTrue="1">
      <formula>Q37="YES"</formula>
    </cfRule>
    <cfRule type="expression" dxfId="188" priority="2" stopIfTrue="1">
      <formula>Q37="NO"</formula>
    </cfRule>
  </conditionalFormatting>
  <conditionalFormatting sqref="D40:E40">
    <cfRule type="expression" dxfId="187" priority="3" stopIfTrue="1">
      <formula>Q34="YES"</formula>
    </cfRule>
    <cfRule type="expression" dxfId="186" priority="4" stopIfTrue="1">
      <formula>Q34="NO"</formula>
    </cfRule>
  </conditionalFormatting>
  <conditionalFormatting sqref="D44:E44">
    <cfRule type="expression" dxfId="185" priority="5" stopIfTrue="1">
      <formula>Q35="YES"</formula>
    </cfRule>
    <cfRule type="expression" dxfId="184" priority="6" stopIfTrue="1">
      <formula>Q35="NO"</formula>
    </cfRule>
  </conditionalFormatting>
  <conditionalFormatting sqref="D48:E48">
    <cfRule type="expression" dxfId="183" priority="7" stopIfTrue="1">
      <formula>Q36="YES"</formula>
    </cfRule>
    <cfRule type="expression" dxfId="182" priority="8" stopIfTrue="1">
      <formula>Q36="NO"</formula>
    </cfRule>
  </conditionalFormatting>
  <conditionalFormatting sqref="F40:G40 F44:G44 F48:G48 F52:G52">
    <cfRule type="expression" dxfId="181" priority="9" stopIfTrue="1">
      <formula>F40="PASS"</formula>
    </cfRule>
    <cfRule type="expression" dxfId="180" priority="10" stopIfTrue="1">
      <formula>F40="FAIL"</formula>
    </cfRule>
    <cfRule type="expression" dxfId="179"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zoomScale="85" zoomScaleNormal="85" workbookViewId="0">
      <selection activeCell="D78" sqref="D78"/>
    </sheetView>
  </sheetViews>
  <sheetFormatPr baseColWidth="10" defaultColWidth="11.44140625" defaultRowHeight="13.2"/>
  <cols>
    <col min="1" max="1" width="4.33203125" style="264" customWidth="1"/>
    <col min="2" max="2" width="21.44140625" style="264" customWidth="1"/>
    <col min="3" max="3" width="37.33203125" style="264" customWidth="1"/>
    <col min="4" max="4" width="36.109375" style="264" bestFit="1" customWidth="1"/>
    <col min="5" max="5" width="20" style="264" customWidth="1"/>
    <col min="6" max="6" width="7.44140625" style="264" customWidth="1"/>
    <col min="7" max="7" width="9.109375" style="264" bestFit="1" customWidth="1"/>
    <col min="8" max="8" width="7.44140625" style="264" customWidth="1"/>
    <col min="9" max="9" width="6.109375" style="264" bestFit="1" customWidth="1"/>
    <col min="10" max="16384" width="11.44140625" style="264"/>
  </cols>
  <sheetData>
    <row r="1" spans="2:29" ht="15.6">
      <c r="B1" s="407" t="s">
        <v>122</v>
      </c>
      <c r="C1" s="407"/>
    </row>
    <row r="2" spans="2:29" ht="15.6">
      <c r="B2" s="407"/>
      <c r="C2" s="407"/>
      <c r="I2" s="164"/>
      <c r="J2" s="164"/>
    </row>
    <row r="3" spans="2:29">
      <c r="B3" s="1174" t="s">
        <v>540</v>
      </c>
      <c r="C3" s="1175"/>
      <c r="D3" s="292" t="str">
        <f>IF(OR(AND(E24="PASS",B11="PASS",C15="Yes",'Cover Sheet'!D17:J17="Internal Combustion"),AND(E39="PASS",E32="PASS",B11="PASS",C15="Yes",'Cover Sheet'!D17:J17="Electric Vehicle")),"PASS","FAIL")</f>
        <v>PASS</v>
      </c>
      <c r="E3" s="291"/>
      <c r="F3" s="1161"/>
      <c r="G3" s="1161"/>
      <c r="H3" s="393" t="s">
        <v>249</v>
      </c>
      <c r="I3" s="408"/>
      <c r="J3" s="276"/>
      <c r="K3" s="276"/>
      <c r="L3" s="276"/>
      <c r="M3" s="276"/>
      <c r="N3" s="276"/>
      <c r="O3" s="276"/>
      <c r="P3" s="266"/>
      <c r="Q3" s="266"/>
      <c r="R3" s="266"/>
      <c r="S3" s="266"/>
      <c r="T3" s="266"/>
      <c r="U3" s="266"/>
      <c r="V3" s="266"/>
      <c r="W3" s="266"/>
      <c r="X3" s="266"/>
      <c r="Y3" s="266"/>
      <c r="Z3" s="266"/>
      <c r="AA3" s="266"/>
      <c r="AB3" s="266"/>
      <c r="AC3" s="266"/>
    </row>
    <row r="4" spans="2:29">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59"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59"/>
      <c r="C7" s="602" t="s">
        <v>545</v>
      </c>
      <c r="D7" s="606" t="s">
        <v>921</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59"/>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59"/>
      <c r="C9" s="604" t="s">
        <v>547</v>
      </c>
      <c r="D9" s="607" t="s">
        <v>922</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59"/>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0" t="str">
        <f>IF(ISBLANK(D8),"",IF(D8&lt;25,"Insufficient air gap, check design",IF((AND(D7="No direct contact",D9="8mm heat insulation with reflective layer")),"Conduction &amp; Radiation insulation do not match, check input","")))</f>
        <v/>
      </c>
      <c r="D11" s="1160"/>
      <c r="E11" s="1160"/>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4">
      <c r="B14" s="752" t="s">
        <v>548</v>
      </c>
      <c r="C14" s="753" t="s">
        <v>923</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8" t="s">
        <v>260</v>
      </c>
      <c r="D18" s="1171"/>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69"/>
      <c r="D19" s="1172"/>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69"/>
      <c r="D20" s="1172"/>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8">
      <c r="B21" s="282" t="s">
        <v>552</v>
      </c>
      <c r="C21" s="1169"/>
      <c r="D21" s="1172"/>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0"/>
      <c r="D22" s="1173"/>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79"/>
      <c r="E27" s="1187"/>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c r="B28" s="279"/>
      <c r="C28" s="1182" t="s">
        <v>183</v>
      </c>
      <c r="D28" s="1180"/>
      <c r="E28" s="1188"/>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c r="B29" s="279"/>
      <c r="C29" s="1183"/>
      <c r="D29" s="1180"/>
      <c r="E29" s="1188"/>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c r="B30" s="279"/>
      <c r="C30" s="1183"/>
      <c r="D30" s="1180"/>
      <c r="E30" s="1188"/>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c r="B31" s="279"/>
      <c r="C31" s="1184"/>
      <c r="D31" s="1181"/>
      <c r="E31" s="1189"/>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8">
      <c r="B33" s="282" t="s">
        <v>556</v>
      </c>
      <c r="C33" s="417" t="s">
        <v>557</v>
      </c>
      <c r="D33" s="1185"/>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8" t="s">
        <v>924</v>
      </c>
      <c r="D34" s="1185"/>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c r="B35" s="279"/>
      <c r="C35" s="1169"/>
      <c r="D35" s="1185"/>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c r="B36" s="279"/>
      <c r="C36" s="1169"/>
      <c r="D36" s="1185"/>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c r="B37" s="279"/>
      <c r="C37" s="1170"/>
      <c r="D37" s="1186"/>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6"/>
      <c r="C40" s="1177"/>
      <c r="D40" s="1177"/>
      <c r="E40" s="1178"/>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2" t="s">
        <v>558</v>
      </c>
      <c r="C41" s="1163"/>
      <c r="D41" s="1163"/>
      <c r="E41" s="1164"/>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5"/>
      <c r="C42" s="1166"/>
      <c r="D42" s="1166"/>
      <c r="E42" s="1167"/>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D3:G4 D12:G12 F5:G6 E13:G13 F8:G11 D14:G16">
    <cfRule type="expression" dxfId="178" priority="37" stopIfTrue="1">
      <formula>D3="PASS"</formula>
    </cfRule>
    <cfRule type="expression" dxfId="177" priority="38" stopIfTrue="1">
      <formula>D3="FAIL"</formula>
    </cfRule>
    <cfRule type="expression" dxfId="176" priority="39" stopIfTrue="1">
      <formula>D3="N/A"</formula>
    </cfRule>
  </conditionalFormatting>
  <conditionalFormatting sqref="E23:E24">
    <cfRule type="expression" dxfId="175" priority="33" stopIfTrue="1">
      <formula>E23="PASS"</formula>
    </cfRule>
    <cfRule type="expression" dxfId="174" priority="34" stopIfTrue="1">
      <formula>E23="FAIL"</formula>
    </cfRule>
  </conditionalFormatting>
  <conditionalFormatting sqref="E6">
    <cfRule type="expression" dxfId="173" priority="31" stopIfTrue="1">
      <formula>E6="PASS"</formula>
    </cfRule>
    <cfRule type="expression" dxfId="172" priority="32" stopIfTrue="1">
      <formula>E6="FAIL"</formula>
    </cfRule>
  </conditionalFormatting>
  <conditionalFormatting sqref="E7">
    <cfRule type="cellIs" dxfId="171" priority="30" operator="equal">
      <formula>" "</formula>
    </cfRule>
  </conditionalFormatting>
  <conditionalFormatting sqref="E7">
    <cfRule type="cellIs" dxfId="170" priority="27" stopIfTrue="1" operator="equal">
      <formula>"Yes"</formula>
    </cfRule>
    <cfRule type="cellIs" dxfId="169" priority="28" stopIfTrue="1" operator="equal">
      <formula>"n.a."</formula>
    </cfRule>
    <cfRule type="cellIs" dxfId="168" priority="29" stopIfTrue="1" operator="equal">
      <formula>"No"</formula>
    </cfRule>
  </conditionalFormatting>
  <conditionalFormatting sqref="E8">
    <cfRule type="cellIs" dxfId="167" priority="26" operator="equal">
      <formula>" "</formula>
    </cfRule>
  </conditionalFormatting>
  <conditionalFormatting sqref="E8">
    <cfRule type="expression" dxfId="166" priority="23" stopIfTrue="1">
      <formula>IF(AND($D$8&gt;=25,$E$8="Yes"),TRUE,FALSE)</formula>
    </cfRule>
    <cfRule type="expression" dxfId="165" priority="24" stopIfTrue="1">
      <formula>IF(AND($D$8&lt;25,$E$8="Yes"),TRUE,FALSE)</formula>
    </cfRule>
    <cfRule type="cellIs" dxfId="164" priority="25" stopIfTrue="1" operator="equal">
      <formula>"No"</formula>
    </cfRule>
  </conditionalFormatting>
  <conditionalFormatting sqref="E9">
    <cfRule type="cellIs" dxfId="163" priority="22" operator="equal">
      <formula>" "</formula>
    </cfRule>
  </conditionalFormatting>
  <conditionalFormatting sqref="E9">
    <cfRule type="cellIs" dxfId="162" priority="19" stopIfTrue="1" operator="equal">
      <formula>"Yes"</formula>
    </cfRule>
    <cfRule type="cellIs" dxfId="161" priority="20" stopIfTrue="1" operator="equal">
      <formula>"n.a."</formula>
    </cfRule>
    <cfRule type="cellIs" dxfId="160" priority="21" stopIfTrue="1" operator="equal">
      <formula>"No"</formula>
    </cfRule>
  </conditionalFormatting>
  <conditionalFormatting sqref="C11">
    <cfRule type="cellIs" dxfId="159" priority="18" operator="equal">
      <formula>"Conduction &amp; Radiation insulation do not match, check input"</formula>
    </cfRule>
  </conditionalFormatting>
  <conditionalFormatting sqref="B11">
    <cfRule type="cellIs" dxfId="158" priority="17" operator="equal">
      <formula>"PASS"</formula>
    </cfRule>
  </conditionalFormatting>
  <conditionalFormatting sqref="B11">
    <cfRule type="cellIs" dxfId="157" priority="16" operator="equal">
      <formula>"FAIL"</formula>
    </cfRule>
  </conditionalFormatting>
  <conditionalFormatting sqref="C11">
    <cfRule type="cellIs" dxfId="156" priority="13" operator="equal">
      <formula>"Insufficient air gap, check design"</formula>
    </cfRule>
  </conditionalFormatting>
  <conditionalFormatting sqref="C23">
    <cfRule type="containsBlanks" dxfId="155" priority="12">
      <formula>LEN(TRIM(C23))=0</formula>
    </cfRule>
  </conditionalFormatting>
  <conditionalFormatting sqref="D23 D38">
    <cfRule type="expression" dxfId="154" priority="11">
      <formula>$C$14&lt;&gt;"UL94 V-0"</formula>
    </cfRule>
  </conditionalFormatting>
  <conditionalFormatting sqref="E32">
    <cfRule type="cellIs" dxfId="153" priority="10" operator="equal">
      <formula>"FAIL"</formula>
    </cfRule>
  </conditionalFormatting>
  <conditionalFormatting sqref="E32">
    <cfRule type="cellIs" dxfId="152" priority="9" operator="equal">
      <formula>"PASS"</formula>
    </cfRule>
  </conditionalFormatting>
  <conditionalFormatting sqref="E38:E39">
    <cfRule type="cellIs" dxfId="151" priority="8" operator="equal">
      <formula>"FAIL"</formula>
    </cfRule>
  </conditionalFormatting>
  <conditionalFormatting sqref="E38:E39">
    <cfRule type="cellIs" dxfId="150" priority="7" operator="equal">
      <formula>"PASS"</formula>
    </cfRule>
  </conditionalFormatting>
  <conditionalFormatting sqref="C38">
    <cfRule type="containsBlanks" dxfId="149" priority="6">
      <formula>LEN(TRIM(C38))=0</formula>
    </cfRule>
  </conditionalFormatting>
  <conditionalFormatting sqref="E23 E38">
    <cfRule type="containsBlanks" dxfId="148" priority="5">
      <formula>LEN(TRIM(E23))=0</formula>
    </cfRule>
  </conditionalFormatting>
  <conditionalFormatting sqref="C15">
    <cfRule type="cellIs" dxfId="147" priority="4" operator="equal">
      <formula>" "</formula>
    </cfRule>
  </conditionalFormatting>
  <conditionalFormatting sqref="C15">
    <cfRule type="cellIs" dxfId="146" priority="1" stopIfTrue="1" operator="equal">
      <formula>"Yes"</formula>
    </cfRule>
    <cfRule type="cellIs" dxfId="145" priority="2" stopIfTrue="1" operator="equal">
      <formula>"n.a."</formula>
    </cfRule>
    <cfRule type="cellIs" dxfId="144" priority="3" stopIfTrue="1" operator="equal">
      <formula>"No"</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topLeftCell="B31" zoomScale="85" zoomScaleNormal="100" zoomScaleSheetLayoutView="85" workbookViewId="0">
      <selection activeCell="K54" sqref="K54"/>
    </sheetView>
  </sheetViews>
  <sheetFormatPr baseColWidth="10" defaultColWidth="11.44140625" defaultRowHeight="13.2"/>
  <cols>
    <col min="1" max="3" width="5" customWidth="1"/>
    <col min="4" max="4" width="9.5546875" customWidth="1"/>
    <col min="5" max="37" width="5" customWidth="1"/>
  </cols>
  <sheetData>
    <row r="1" spans="1:45" ht="14.25" customHeight="1">
      <c r="A1" s="943" t="s">
        <v>560</v>
      </c>
      <c r="B1" s="943"/>
      <c r="C1" s="943"/>
      <c r="D1" s="943"/>
      <c r="E1" s="943"/>
      <c r="F1" s="943"/>
      <c r="G1" s="943"/>
      <c r="H1" s="943"/>
      <c r="I1" s="943"/>
      <c r="J1" s="943"/>
      <c r="K1" s="943"/>
      <c r="L1" s="943"/>
      <c r="M1" s="943"/>
      <c r="N1" s="943"/>
      <c r="O1" s="943"/>
      <c r="P1" s="943"/>
      <c r="Q1" s="943"/>
      <c r="R1" s="943"/>
      <c r="S1" s="1215"/>
      <c r="T1" s="1215"/>
      <c r="U1" s="1215"/>
      <c r="V1" s="1215"/>
      <c r="W1" s="1215"/>
      <c r="X1" s="1215"/>
      <c r="Y1" s="1215"/>
      <c r="Z1" s="1215"/>
      <c r="AA1" s="1215"/>
      <c r="AB1" s="1215"/>
      <c r="AC1" s="1215"/>
      <c r="AD1" s="1215"/>
      <c r="AE1" s="1215"/>
      <c r="AF1" s="1215"/>
      <c r="AG1" s="1215"/>
      <c r="AH1" s="1215"/>
      <c r="AI1" s="1215"/>
      <c r="AJ1" s="1215"/>
      <c r="AK1" s="1216"/>
      <c r="AL1" s="325"/>
      <c r="AM1" s="325"/>
      <c r="AN1" s="325"/>
      <c r="AO1" s="325"/>
      <c r="AP1" s="325"/>
      <c r="AQ1" s="325"/>
      <c r="AR1" s="325"/>
      <c r="AS1" s="325"/>
    </row>
    <row r="2" spans="1:45" ht="12.75" customHeight="1">
      <c r="S2" s="1215"/>
      <c r="T2" s="1215"/>
      <c r="U2" s="1215"/>
      <c r="V2" s="1215"/>
      <c r="W2" s="1215"/>
      <c r="X2" s="1215"/>
      <c r="Y2" s="1215"/>
      <c r="Z2" s="1215"/>
      <c r="AA2" s="1215"/>
      <c r="AB2" s="1215"/>
      <c r="AC2" s="1215"/>
      <c r="AD2" s="1215"/>
      <c r="AE2" s="1215"/>
      <c r="AF2" s="1215"/>
      <c r="AG2" s="1215"/>
      <c r="AH2" s="1215"/>
      <c r="AI2" s="1215"/>
      <c r="AJ2" s="1215"/>
      <c r="AK2" s="1216"/>
      <c r="AL2" s="325"/>
      <c r="AM2" s="325"/>
      <c r="AN2" s="325"/>
      <c r="AO2" s="325"/>
      <c r="AP2" s="325"/>
      <c r="AQ2" s="325"/>
      <c r="AR2" s="325"/>
      <c r="AS2" s="325"/>
    </row>
    <row r="3" spans="1:45">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1215"/>
      <c r="T3" s="1215"/>
      <c r="U3" s="1215"/>
      <c r="V3" s="1215"/>
      <c r="W3" s="1215"/>
      <c r="X3" s="1215"/>
      <c r="Y3" s="1215"/>
      <c r="Z3" s="1215"/>
      <c r="AA3" s="1215"/>
      <c r="AB3" s="1215"/>
      <c r="AC3" s="1215"/>
      <c r="AD3" s="1215"/>
      <c r="AE3" s="1215"/>
      <c r="AF3" s="1215"/>
      <c r="AG3" s="1215"/>
      <c r="AH3" s="1215"/>
      <c r="AI3" s="1215"/>
      <c r="AJ3" s="1215"/>
      <c r="AK3" s="1216"/>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00" t="s">
        <v>561</v>
      </c>
      <c r="B5" s="913"/>
      <c r="C5" s="913"/>
      <c r="D5" s="913"/>
      <c r="E5" s="913"/>
      <c r="F5" s="913"/>
      <c r="G5" s="913"/>
      <c r="H5" s="913"/>
      <c r="I5" s="913"/>
      <c r="J5" s="913"/>
      <c r="K5" s="913"/>
      <c r="L5" s="913"/>
      <c r="M5" s="913"/>
      <c r="N5" s="913"/>
      <c r="O5" s="913"/>
      <c r="P5" s="913"/>
      <c r="Q5" s="913"/>
      <c r="R5" s="913"/>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04"/>
      <c r="B6" s="917"/>
      <c r="C6" s="917"/>
      <c r="D6" s="917"/>
      <c r="E6" s="917"/>
      <c r="F6" s="917"/>
      <c r="G6" s="917"/>
      <c r="H6" s="917"/>
      <c r="I6" s="917"/>
      <c r="J6" s="917"/>
      <c r="K6" s="917"/>
      <c r="L6" s="917"/>
      <c r="M6" s="917"/>
      <c r="N6" s="917"/>
      <c r="O6" s="917"/>
      <c r="P6" s="917"/>
      <c r="Q6" s="917"/>
      <c r="R6" s="917"/>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195" t="s">
        <v>182</v>
      </c>
      <c r="I7" s="1196"/>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195">
        <v>2.5</v>
      </c>
      <c r="I8" s="1196"/>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195" t="s">
        <v>926</v>
      </c>
      <c r="I9" s="1196"/>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195" t="s">
        <v>182</v>
      </c>
      <c r="I10" s="1196"/>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195">
        <v>2.5</v>
      </c>
      <c r="I11" s="1196"/>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195">
        <v>246</v>
      </c>
      <c r="I12" s="1196"/>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195" t="s">
        <v>182</v>
      </c>
      <c r="I13" s="1196"/>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195">
        <v>2.5</v>
      </c>
      <c r="I14" s="1196"/>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195">
        <v>186</v>
      </c>
      <c r="I15" s="1196"/>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195" t="s">
        <v>182</v>
      </c>
      <c r="I16" s="1196"/>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195">
        <v>2.5</v>
      </c>
      <c r="I17" s="1196"/>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195" t="s">
        <v>926</v>
      </c>
      <c r="I18" s="1196"/>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199" t="s">
        <v>570</v>
      </c>
      <c r="I19" s="1200"/>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199" t="s">
        <v>570</v>
      </c>
      <c r="I20" s="1200"/>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199" t="s">
        <v>570</v>
      </c>
      <c r="I21" s="1200"/>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199" t="s">
        <v>570</v>
      </c>
      <c r="I22" s="1200"/>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197" t="s">
        <v>570</v>
      </c>
      <c r="I23" s="1198"/>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07" t="s">
        <v>570</v>
      </c>
      <c r="I24" s="1207"/>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07" t="s">
        <v>570</v>
      </c>
      <c r="I25" s="1207"/>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07" t="s">
        <v>570</v>
      </c>
      <c r="I26" s="1207"/>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07" t="s">
        <v>570</v>
      </c>
      <c r="I27" s="1207"/>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07" t="s">
        <v>570</v>
      </c>
      <c r="I28" s="1207"/>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c r="A29" s="419"/>
      <c r="B29" s="1206" t="s">
        <v>580</v>
      </c>
      <c r="C29" s="1206"/>
      <c r="D29" s="1206"/>
      <c r="E29" s="1206"/>
      <c r="F29" s="1206"/>
      <c r="G29" s="1206"/>
      <c r="H29" s="1206"/>
      <c r="I29" s="1206"/>
      <c r="J29" s="1206"/>
      <c r="K29" s="1206"/>
      <c r="L29" s="1206"/>
      <c r="M29" s="1206"/>
      <c r="N29" s="1206"/>
      <c r="O29" s="1206"/>
      <c r="P29" s="1206"/>
      <c r="Q29" s="1206"/>
      <c r="R29" s="1206"/>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c r="A30" s="419"/>
      <c r="B30" s="1206" t="s">
        <v>581</v>
      </c>
      <c r="C30" s="1206"/>
      <c r="D30" s="1206"/>
      <c r="E30" s="1206"/>
      <c r="F30" s="1206"/>
      <c r="G30" s="1206"/>
      <c r="H30" s="1206"/>
      <c r="I30" s="1206"/>
      <c r="J30" s="1206"/>
      <c r="K30" s="1206"/>
      <c r="L30" s="1206"/>
      <c r="M30" s="1206"/>
      <c r="N30" s="1206"/>
      <c r="O30" s="1206"/>
      <c r="P30" s="1206"/>
      <c r="Q30" s="1206"/>
      <c r="R30" s="1206"/>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12" t="s">
        <v>582</v>
      </c>
      <c r="C32" s="1212"/>
      <c r="D32" s="1212"/>
      <c r="E32" s="1204" t="s">
        <v>583</v>
      </c>
      <c r="F32" s="1204"/>
      <c r="G32" s="1204"/>
      <c r="H32" s="1205" t="s">
        <v>584</v>
      </c>
      <c r="I32" s="1205"/>
      <c r="J32" s="1205" t="s">
        <v>585</v>
      </c>
      <c r="K32" s="1205"/>
      <c r="L32" s="1205" t="s">
        <v>586</v>
      </c>
      <c r="M32" s="1205"/>
      <c r="N32" s="1205"/>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12"/>
      <c r="C33" s="1212"/>
      <c r="D33" s="1212"/>
      <c r="E33" s="1204"/>
      <c r="F33" s="1204"/>
      <c r="G33" s="1204"/>
      <c r="H33" s="1205"/>
      <c r="I33" s="1205"/>
      <c r="J33" s="1205"/>
      <c r="K33" s="1205"/>
      <c r="L33" s="1205"/>
      <c r="M33" s="1205"/>
      <c r="N33" s="1205"/>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09" t="s">
        <v>587</v>
      </c>
      <c r="C34" s="1208"/>
      <c r="D34" s="1208"/>
      <c r="E34" s="1193" t="s">
        <v>495</v>
      </c>
      <c r="F34" s="1194"/>
      <c r="G34" s="1194"/>
      <c r="H34" s="1190" t="s">
        <v>588</v>
      </c>
      <c r="I34" s="1191"/>
      <c r="J34" s="1190" t="s">
        <v>589</v>
      </c>
      <c r="K34" s="1191"/>
      <c r="L34" s="1190" t="s">
        <v>589</v>
      </c>
      <c r="M34" s="1190"/>
      <c r="N34" s="1190"/>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09" t="s">
        <v>590</v>
      </c>
      <c r="C35" s="1208"/>
      <c r="D35" s="1208"/>
      <c r="E35" s="1201" t="s">
        <v>495</v>
      </c>
      <c r="F35" s="1202"/>
      <c r="G35" s="1203"/>
      <c r="H35" s="1190" t="s">
        <v>588</v>
      </c>
      <c r="I35" s="1191"/>
      <c r="J35" s="1190" t="s">
        <v>589</v>
      </c>
      <c r="K35" s="1191"/>
      <c r="L35" s="1190" t="s">
        <v>589</v>
      </c>
      <c r="M35" s="1191"/>
      <c r="N35" s="1191"/>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09" t="s">
        <v>591</v>
      </c>
      <c r="C36" s="1208"/>
      <c r="D36" s="1208"/>
      <c r="E36" s="1201" t="s">
        <v>495</v>
      </c>
      <c r="F36" s="1202"/>
      <c r="G36" s="1203"/>
      <c r="H36" s="1190" t="s">
        <v>588</v>
      </c>
      <c r="I36" s="1191"/>
      <c r="J36" s="1190" t="s">
        <v>589</v>
      </c>
      <c r="K36" s="1191"/>
      <c r="L36" s="1190" t="s">
        <v>589</v>
      </c>
      <c r="M36" s="1191"/>
      <c r="N36" s="1191"/>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09" t="s">
        <v>592</v>
      </c>
      <c r="C37" s="1208"/>
      <c r="D37" s="1208"/>
      <c r="E37" s="1201" t="s">
        <v>495</v>
      </c>
      <c r="F37" s="1202"/>
      <c r="G37" s="1203"/>
      <c r="H37" s="1190" t="s">
        <v>589</v>
      </c>
      <c r="I37" s="1191"/>
      <c r="J37" s="1190" t="s">
        <v>589</v>
      </c>
      <c r="K37" s="1191"/>
      <c r="L37" s="1190" t="s">
        <v>588</v>
      </c>
      <c r="M37" s="1191"/>
      <c r="N37" s="1191"/>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09" t="s">
        <v>593</v>
      </c>
      <c r="C38" s="1208"/>
      <c r="D38" s="1208"/>
      <c r="E38" s="1201" t="s">
        <v>495</v>
      </c>
      <c r="F38" s="1202"/>
      <c r="G38" s="1203"/>
      <c r="H38" s="1190" t="s">
        <v>588</v>
      </c>
      <c r="I38" s="1191"/>
      <c r="J38" s="1190" t="s">
        <v>589</v>
      </c>
      <c r="K38" s="1191"/>
      <c r="L38" s="1190" t="s">
        <v>588</v>
      </c>
      <c r="M38" s="1191"/>
      <c r="N38" s="1191"/>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09" t="s">
        <v>594</v>
      </c>
      <c r="C39" s="1208"/>
      <c r="D39" s="1208"/>
      <c r="E39" s="1201" t="s">
        <v>495</v>
      </c>
      <c r="F39" s="1202"/>
      <c r="G39" s="1203"/>
      <c r="H39" s="1190" t="s">
        <v>588</v>
      </c>
      <c r="I39" s="1191"/>
      <c r="J39" s="1190" t="s">
        <v>588</v>
      </c>
      <c r="K39" s="1191"/>
      <c r="L39" s="1190" t="s">
        <v>589</v>
      </c>
      <c r="M39" s="1191"/>
      <c r="N39" s="1191"/>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09" t="s">
        <v>595</v>
      </c>
      <c r="C40" s="1208"/>
      <c r="D40" s="1208"/>
      <c r="E40" s="1201" t="s">
        <v>495</v>
      </c>
      <c r="F40" s="1202"/>
      <c r="G40" s="1203"/>
      <c r="H40" s="1190" t="s">
        <v>588</v>
      </c>
      <c r="I40" s="1191"/>
      <c r="J40" s="1190" t="s">
        <v>589</v>
      </c>
      <c r="K40" s="1191"/>
      <c r="L40" s="1190" t="s">
        <v>589</v>
      </c>
      <c r="M40" s="1191"/>
      <c r="N40" s="1191"/>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09" t="s">
        <v>596</v>
      </c>
      <c r="C41" s="1208"/>
      <c r="D41" s="1208"/>
      <c r="E41" s="1201" t="s">
        <v>495</v>
      </c>
      <c r="F41" s="1202"/>
      <c r="G41" s="1203"/>
      <c r="H41" s="1190" t="s">
        <v>588</v>
      </c>
      <c r="I41" s="1191"/>
      <c r="J41" s="1190" t="s">
        <v>589</v>
      </c>
      <c r="K41" s="1191"/>
      <c r="L41" s="1190" t="s">
        <v>588</v>
      </c>
      <c r="M41" s="1191"/>
      <c r="N41" s="1191"/>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09" t="s">
        <v>597</v>
      </c>
      <c r="C42" s="1208"/>
      <c r="D42" s="1208"/>
      <c r="E42" s="1201" t="s">
        <v>495</v>
      </c>
      <c r="F42" s="1202"/>
      <c r="G42" s="1203"/>
      <c r="H42" s="1190" t="s">
        <v>589</v>
      </c>
      <c r="I42" s="1191"/>
      <c r="J42" s="1190" t="s">
        <v>589</v>
      </c>
      <c r="K42" s="1191"/>
      <c r="L42" s="1190" t="s">
        <v>589</v>
      </c>
      <c r="M42" s="1191"/>
      <c r="N42" s="1191"/>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09" t="s">
        <v>598</v>
      </c>
      <c r="C43" s="1208"/>
      <c r="D43" s="1208"/>
      <c r="E43" s="1201" t="s">
        <v>495</v>
      </c>
      <c r="F43" s="1202"/>
      <c r="G43" s="1203"/>
      <c r="H43" s="1190" t="s">
        <v>588</v>
      </c>
      <c r="I43" s="1191"/>
      <c r="J43" s="1190" t="s">
        <v>589</v>
      </c>
      <c r="K43" s="1191"/>
      <c r="L43" s="1190" t="s">
        <v>589</v>
      </c>
      <c r="M43" s="1191"/>
      <c r="N43" s="1191"/>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09" t="s">
        <v>599</v>
      </c>
      <c r="C44" s="1208"/>
      <c r="D44" s="1208"/>
      <c r="E44" s="1201" t="s">
        <v>495</v>
      </c>
      <c r="F44" s="1202"/>
      <c r="G44" s="1203"/>
      <c r="H44" s="1190" t="s">
        <v>589</v>
      </c>
      <c r="I44" s="1191"/>
      <c r="J44" s="1190" t="s">
        <v>589</v>
      </c>
      <c r="K44" s="1191"/>
      <c r="L44" s="1190" t="s">
        <v>589</v>
      </c>
      <c r="M44" s="1191"/>
      <c r="N44" s="1191"/>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09" t="s">
        <v>600</v>
      </c>
      <c r="C45" s="1208"/>
      <c r="D45" s="1208"/>
      <c r="E45" s="1201" t="s">
        <v>495</v>
      </c>
      <c r="F45" s="1202"/>
      <c r="G45" s="1203"/>
      <c r="H45" s="1190" t="s">
        <v>588</v>
      </c>
      <c r="I45" s="1191"/>
      <c r="J45" s="1190" t="s">
        <v>589</v>
      </c>
      <c r="K45" s="1191"/>
      <c r="L45" s="1190" t="s">
        <v>589</v>
      </c>
      <c r="M45" s="1191"/>
      <c r="N45" s="1191"/>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09" t="s">
        <v>601</v>
      </c>
      <c r="C46" s="1208"/>
      <c r="D46" s="1208"/>
      <c r="E46" s="1201" t="s">
        <v>495</v>
      </c>
      <c r="F46" s="1202"/>
      <c r="G46" s="1203"/>
      <c r="H46" s="1190" t="s">
        <v>589</v>
      </c>
      <c r="I46" s="1191"/>
      <c r="J46" s="1190" t="s">
        <v>588</v>
      </c>
      <c r="K46" s="1191"/>
      <c r="L46" s="1190" t="s">
        <v>588</v>
      </c>
      <c r="M46" s="1191"/>
      <c r="N46" s="1191"/>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13" t="s">
        <v>602</v>
      </c>
      <c r="C47" s="1214"/>
      <c r="D47" s="1214"/>
      <c r="E47" s="1201" t="s">
        <v>495</v>
      </c>
      <c r="F47" s="1202"/>
      <c r="G47" s="1203"/>
      <c r="H47" s="1190" t="s">
        <v>588</v>
      </c>
      <c r="I47" s="1191"/>
      <c r="J47" s="1190" t="s">
        <v>589</v>
      </c>
      <c r="K47" s="1191"/>
      <c r="L47" s="1190" t="s">
        <v>588</v>
      </c>
      <c r="M47" s="1191"/>
      <c r="N47" s="1191"/>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8" t="s">
        <v>603</v>
      </c>
      <c r="C48" s="1208"/>
      <c r="D48" s="1208"/>
      <c r="E48" s="1201" t="s">
        <v>495</v>
      </c>
      <c r="F48" s="1202"/>
      <c r="G48" s="1203"/>
      <c r="H48" s="1190" t="s">
        <v>588</v>
      </c>
      <c r="I48" s="1191"/>
      <c r="J48" s="1190" t="s">
        <v>589</v>
      </c>
      <c r="K48" s="1191"/>
      <c r="L48" s="1190" t="s">
        <v>589</v>
      </c>
      <c r="M48" s="1191"/>
      <c r="N48" s="1191"/>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8" t="s">
        <v>604</v>
      </c>
      <c r="C49" s="1208"/>
      <c r="D49" s="1208"/>
      <c r="E49" s="1201" t="s">
        <v>495</v>
      </c>
      <c r="F49" s="1202"/>
      <c r="G49" s="1203"/>
      <c r="H49" s="1190" t="s">
        <v>588</v>
      </c>
      <c r="I49" s="1191"/>
      <c r="J49" s="1190" t="s">
        <v>589</v>
      </c>
      <c r="K49" s="1191"/>
      <c r="L49" s="1190" t="s">
        <v>589</v>
      </c>
      <c r="M49" s="1191"/>
      <c r="N49" s="1191"/>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8" t="s">
        <v>605</v>
      </c>
      <c r="C50" s="1208"/>
      <c r="D50" s="1208"/>
      <c r="E50" s="1201" t="s">
        <v>495</v>
      </c>
      <c r="F50" s="1202"/>
      <c r="G50" s="1203"/>
      <c r="H50" s="1190" t="s">
        <v>588</v>
      </c>
      <c r="I50" s="1191"/>
      <c r="J50" s="1190" t="s">
        <v>589</v>
      </c>
      <c r="K50" s="1191"/>
      <c r="L50" s="1190" t="s">
        <v>589</v>
      </c>
      <c r="M50" s="1191"/>
      <c r="N50" s="1191"/>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8" t="s">
        <v>606</v>
      </c>
      <c r="C51" s="1208"/>
      <c r="D51" s="1208"/>
      <c r="E51" s="1201" t="s">
        <v>495</v>
      </c>
      <c r="F51" s="1202"/>
      <c r="G51" s="1203"/>
      <c r="H51" s="1191" t="s">
        <v>588</v>
      </c>
      <c r="I51" s="1191"/>
      <c r="J51" s="1191" t="s">
        <v>589</v>
      </c>
      <c r="K51" s="1191"/>
      <c r="L51" s="1191" t="s">
        <v>588</v>
      </c>
      <c r="M51" s="1191"/>
      <c r="N51" s="1191"/>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8" t="s">
        <v>607</v>
      </c>
      <c r="C52" s="1208"/>
      <c r="D52" s="1208"/>
      <c r="E52" s="1201" t="s">
        <v>495</v>
      </c>
      <c r="F52" s="1202"/>
      <c r="G52" s="1203"/>
      <c r="H52" s="1190" t="s">
        <v>588</v>
      </c>
      <c r="I52" s="1191"/>
      <c r="J52" s="1191" t="s">
        <v>589</v>
      </c>
      <c r="K52" s="1191"/>
      <c r="L52" s="1190" t="s">
        <v>588</v>
      </c>
      <c r="M52" s="1191"/>
      <c r="N52" s="1191"/>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192" t="s">
        <v>608</v>
      </c>
      <c r="C53" s="1192"/>
      <c r="D53" s="1192"/>
      <c r="E53" s="1193" t="s">
        <v>495</v>
      </c>
      <c r="F53" s="1194"/>
      <c r="G53" s="1194"/>
      <c r="H53" s="1190" t="s">
        <v>589</v>
      </c>
      <c r="I53" s="1191"/>
      <c r="J53" s="1191" t="s">
        <v>588</v>
      </c>
      <c r="K53" s="1191"/>
      <c r="L53" s="1190" t="s">
        <v>589</v>
      </c>
      <c r="M53" s="1191"/>
      <c r="N53" s="1191"/>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10" t="s">
        <v>609</v>
      </c>
      <c r="C56" s="1210"/>
      <c r="D56" s="1210"/>
      <c r="E56" s="1210" t="str">
        <f>IF(COUNTIF($E$34:$G$53,"No")&gt;0,"No compliance shown","Yes")</f>
        <v>Yes</v>
      </c>
      <c r="F56" s="1211"/>
      <c r="G56" s="1211"/>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10"/>
      <c r="C57" s="1210"/>
      <c r="D57" s="1210"/>
      <c r="E57" s="1211"/>
      <c r="F57" s="1211"/>
      <c r="G57" s="1211"/>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217" t="s">
        <v>611</v>
      </c>
      <c r="B62" s="1218"/>
      <c r="C62" s="1218"/>
      <c r="D62" s="1218"/>
      <c r="E62" s="1218"/>
      <c r="F62" s="1218"/>
      <c r="G62" s="1218"/>
      <c r="H62" s="1218"/>
      <c r="I62" s="1218"/>
      <c r="J62" s="1218"/>
      <c r="K62" s="1218"/>
      <c r="L62" s="1218"/>
      <c r="M62" s="1218"/>
      <c r="N62" s="1218"/>
      <c r="O62" s="1218"/>
      <c r="P62" s="1218"/>
      <c r="Q62" s="1218"/>
      <c r="R62" s="1218"/>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219"/>
      <c r="B63" s="1220"/>
      <c r="C63" s="1220"/>
      <c r="D63" s="1220"/>
      <c r="E63" s="1220"/>
      <c r="F63" s="1220"/>
      <c r="G63" s="1220"/>
      <c r="H63" s="1220"/>
      <c r="I63" s="1220"/>
      <c r="J63" s="1220"/>
      <c r="K63" s="1220"/>
      <c r="L63" s="1220"/>
      <c r="M63" s="1220"/>
      <c r="N63" s="1220"/>
      <c r="O63" s="1220"/>
      <c r="P63" s="1220"/>
      <c r="Q63" s="1220"/>
      <c r="R63" s="1220"/>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s>
  <phoneticPr fontId="0" type="noConversion"/>
  <conditionalFormatting sqref="H8:I8">
    <cfRule type="expression" dxfId="143" priority="59" stopIfTrue="1">
      <formula>H7="other"</formula>
    </cfRule>
    <cfRule type="expression" dxfId="142" priority="60" stopIfTrue="1">
      <formula>AND(H7="aluminium",H8&lt;3.2)</formula>
    </cfRule>
    <cfRule type="expression" dxfId="141" priority="61" stopIfTrue="1">
      <formula>AND(H7="aluminium",H8&gt;=3.2)</formula>
    </cfRule>
    <cfRule type="expression" dxfId="140" priority="62" stopIfTrue="1">
      <formula>AND(H7="steel",H8&lt;1.25)</formula>
    </cfRule>
    <cfRule type="expression" dxfId="139" priority="63" stopIfTrue="1">
      <formula>AND(H7="steel",H8&gt;=1.25)</formula>
    </cfRule>
  </conditionalFormatting>
  <conditionalFormatting sqref="H11:I11">
    <cfRule type="expression" dxfId="138" priority="54" stopIfTrue="1">
      <formula>H10="other"</formula>
    </cfRule>
    <cfRule type="expression" dxfId="137" priority="55" stopIfTrue="1">
      <formula>AND(H10="aluminium",H11&lt;2.3)</formula>
    </cfRule>
    <cfRule type="expression" dxfId="136" priority="56" stopIfTrue="1">
      <formula>AND(H10="aluminium",H11&gt;=2.3)</formula>
    </cfRule>
    <cfRule type="expression" dxfId="135" priority="57" stopIfTrue="1">
      <formula>AND(H10="steel",H11&lt;0.9)</formula>
    </cfRule>
    <cfRule type="expression" dxfId="134" priority="58" stopIfTrue="1">
      <formula>AND(H10="steel",H11&gt;=0.9)</formula>
    </cfRule>
  </conditionalFormatting>
  <conditionalFormatting sqref="H14:I14">
    <cfRule type="expression" dxfId="133" priority="49" stopIfTrue="1">
      <formula>H13="other"</formula>
    </cfRule>
    <cfRule type="expression" dxfId="132" priority="50" stopIfTrue="1">
      <formula>AND(H13="aluminium",H14&lt;2.3)</formula>
    </cfRule>
    <cfRule type="expression" dxfId="131" priority="51" stopIfTrue="1">
      <formula>AND(H13="aluminium",H14&gt;=2.3)</formula>
    </cfRule>
    <cfRule type="expression" dxfId="130" priority="52" stopIfTrue="1">
      <formula>AND(H13="steel",H14&lt;0.9)</formula>
    </cfRule>
    <cfRule type="expression" dxfId="129" priority="53" stopIfTrue="1">
      <formula>AND(H13="steel",H14&gt;=0.9)</formula>
    </cfRule>
  </conditionalFormatting>
  <conditionalFormatting sqref="H17:I17">
    <cfRule type="expression" dxfId="128" priority="44" stopIfTrue="1">
      <formula>H16="other"</formula>
    </cfRule>
    <cfRule type="expression" dxfId="127" priority="45" stopIfTrue="1">
      <formula>AND(H16="aluminium",H17&lt;2.3)</formula>
    </cfRule>
    <cfRule type="expression" dxfId="126" priority="46" stopIfTrue="1">
      <formula>AND(H16="aluminium",H17&gt;=2.3)</formula>
    </cfRule>
    <cfRule type="expression" dxfId="125" priority="47" stopIfTrue="1">
      <formula>AND(H16="steel",H17&lt;0.9)</formula>
    </cfRule>
    <cfRule type="expression" dxfId="124" priority="48" stopIfTrue="1">
      <formula>AND(H16="steel",H17&gt;=0.9)</formula>
    </cfRule>
  </conditionalFormatting>
  <conditionalFormatting sqref="H15:I15">
    <cfRule type="expression" dxfId="123" priority="42" stopIfTrue="1">
      <formula>H15&gt;=0.75*H12</formula>
    </cfRule>
    <cfRule type="expression" dxfId="122" priority="43" stopIfTrue="1">
      <formula>H15&lt;0.75*H12</formula>
    </cfRule>
  </conditionalFormatting>
  <conditionalFormatting sqref="E34:E53">
    <cfRule type="cellIs" dxfId="121" priority="40" operator="equal">
      <formula>" "</formula>
    </cfRule>
  </conditionalFormatting>
  <conditionalFormatting sqref="E34:G53">
    <cfRule type="cellIs" dxfId="120" priority="37" stopIfTrue="1" operator="equal">
      <formula>"Yes"</formula>
    </cfRule>
    <cfRule type="cellIs" dxfId="119" priority="38" stopIfTrue="1" operator="equal">
      <formula>"n.a."</formula>
    </cfRule>
    <cfRule type="cellIs" dxfId="118" priority="39" stopIfTrue="1" operator="equal">
      <formula>"No"</formula>
    </cfRule>
  </conditionalFormatting>
  <conditionalFormatting sqref="E56">
    <cfRule type="expression" dxfId="117" priority="35" stopIfTrue="1">
      <formula>E56="No compliance shown"</formula>
    </cfRule>
    <cfRule type="expression" dxfId="116" priority="36" stopIfTrue="1">
      <formula>E56="Yes"</formula>
    </cfRule>
  </conditionalFormatting>
  <conditionalFormatting sqref="E54:G54">
    <cfRule type="cellIs" dxfId="115" priority="10" stopIfTrue="1" operator="equal">
      <formula>"Yes"</formula>
    </cfRule>
    <cfRule type="cellIs" dxfId="114" priority="11" stopIfTrue="1" operator="equal">
      <formula>"n.a."</formula>
    </cfRule>
    <cfRule type="cellIs" dxfId="113" priority="12" stopIfTrue="1" operator="equal">
      <formula>"No"</formula>
    </cfRule>
  </conditionalFormatting>
  <conditionalFormatting sqref="E54">
    <cfRule type="cellIs" dxfId="112" priority="13" operator="equal">
      <formula>" "</formula>
    </cfRule>
  </conditionalFormatting>
  <conditionalFormatting sqref="E53:G53">
    <cfRule type="expression" dxfId="111" priority="1">
      <formula>E53="N/A"</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tabSelected="1" view="pageBreakPreview" zoomScaleNormal="100" zoomScaleSheetLayoutView="100" workbookViewId="0">
      <selection activeCell="L8" sqref="L8"/>
    </sheetView>
  </sheetViews>
  <sheetFormatPr baseColWidth="10" defaultColWidth="11.44140625" defaultRowHeight="13.2"/>
  <cols>
    <col min="1" max="3" width="5" style="123" customWidth="1"/>
    <col min="4" max="4" width="9.5546875" style="123" customWidth="1"/>
    <col min="5" max="26" width="5" style="123" customWidth="1"/>
    <col min="27" max="27" width="6.44140625" style="123" customWidth="1"/>
    <col min="28" max="28" width="6.6640625" style="123" customWidth="1"/>
    <col min="29" max="29" width="6.109375" style="123" customWidth="1"/>
    <col min="30" max="30" width="6.6640625" style="123" customWidth="1"/>
    <col min="31" max="31" width="6.88671875" style="123" customWidth="1"/>
    <col min="32" max="32" width="6" style="123" customWidth="1"/>
    <col min="33" max="35" width="5" style="123" customWidth="1"/>
    <col min="36" max="16384" width="11.44140625" style="123"/>
  </cols>
  <sheetData>
    <row r="1" spans="1:36" ht="14.25" customHeight="1">
      <c r="A1" s="1223" t="s">
        <v>612</v>
      </c>
      <c r="B1" s="1224"/>
      <c r="C1" s="1224"/>
      <c r="D1" s="1224"/>
      <c r="E1" s="1224"/>
      <c r="F1" s="1224"/>
      <c r="G1" s="1224"/>
      <c r="H1" s="1224"/>
      <c r="I1" s="1224"/>
      <c r="J1" s="1224"/>
      <c r="K1" s="1224"/>
      <c r="L1" s="1224"/>
      <c r="M1" s="1224"/>
      <c r="N1" s="1224"/>
      <c r="O1" s="1224"/>
      <c r="P1" s="1224"/>
      <c r="Q1" s="1224"/>
      <c r="R1" s="1225"/>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26" t="str">
        <f>IF('Cover Sheet'!D14:J14&gt;0,'Cover Sheet'!D14:J14,"")</f>
        <v>Ecole Centrale Lyon</v>
      </c>
      <c r="E3" s="1226"/>
      <c r="F3" s="1226"/>
      <c r="G3" s="1226"/>
      <c r="H3" s="1226"/>
      <c r="I3" s="1226"/>
      <c r="J3" s="1226"/>
      <c r="K3" s="123" t="s">
        <v>49</v>
      </c>
      <c r="O3" s="1226" t="str">
        <f>IF('Cover Sheet'!O14:S14&gt;0,'Cover Sheet'!O14:S14,"")</f>
        <v>81 FSCH</v>
      </c>
      <c r="P3" s="1226"/>
      <c r="Q3" s="1226"/>
      <c r="R3" s="1227"/>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28" t="s">
        <v>613</v>
      </c>
      <c r="B5" s="1229"/>
      <c r="C5" s="1229"/>
      <c r="D5" s="1229"/>
      <c r="E5" s="1229"/>
      <c r="F5" s="1229"/>
      <c r="G5" s="1229"/>
      <c r="H5" s="1229"/>
      <c r="I5" s="1229"/>
      <c r="J5" s="1229"/>
      <c r="K5" s="1229"/>
      <c r="L5" s="1229"/>
      <c r="M5" s="1229"/>
      <c r="N5" s="1229"/>
      <c r="O5" s="1229"/>
      <c r="P5" s="1229"/>
      <c r="Q5" s="1229"/>
      <c r="R5" s="1230"/>
      <c r="S5" s="350"/>
      <c r="T5" s="346"/>
      <c r="U5" s="346"/>
      <c r="V5" s="346"/>
      <c r="W5" s="346"/>
      <c r="X5" s="346"/>
      <c r="Y5" s="346"/>
      <c r="Z5" s="346"/>
      <c r="AA5" s="346"/>
      <c r="AB5" s="346"/>
      <c r="AC5" s="346"/>
      <c r="AD5" s="346"/>
      <c r="AE5" s="346"/>
      <c r="AF5" s="346"/>
      <c r="AG5" s="346"/>
      <c r="AH5" s="346"/>
      <c r="AI5" s="348"/>
    </row>
    <row r="6" spans="1:36">
      <c r="A6" s="1231"/>
      <c r="B6" s="1232"/>
      <c r="C6" s="1232"/>
      <c r="D6" s="1232"/>
      <c r="E6" s="1232"/>
      <c r="F6" s="1232"/>
      <c r="G6" s="1232"/>
      <c r="H6" s="1232"/>
      <c r="I6" s="1232"/>
      <c r="J6" s="1232"/>
      <c r="K6" s="1232"/>
      <c r="L6" s="1232"/>
      <c r="M6" s="1232"/>
      <c r="N6" s="1232"/>
      <c r="O6" s="1232"/>
      <c r="P6" s="1232"/>
      <c r="Q6" s="1232"/>
      <c r="R6" s="1233"/>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21"/>
      <c r="I7" s="1221"/>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49" t="s">
        <v>614</v>
      </c>
      <c r="C8" s="1250"/>
      <c r="D8" s="1250"/>
      <c r="E8" s="1250"/>
      <c r="F8" s="1250"/>
      <c r="G8" s="1251"/>
      <c r="H8" s="1234" t="s">
        <v>615</v>
      </c>
      <c r="I8" s="1234"/>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21"/>
      <c r="I9" s="1221"/>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48" t="s">
        <v>582</v>
      </c>
      <c r="C10" s="1248"/>
      <c r="D10" s="1248"/>
      <c r="E10" s="1222" t="s">
        <v>583</v>
      </c>
      <c r="F10" s="1222"/>
      <c r="G10" s="1222"/>
      <c r="H10" s="1222" t="s">
        <v>584</v>
      </c>
      <c r="I10" s="1222"/>
      <c r="J10" s="1222" t="s">
        <v>585</v>
      </c>
      <c r="K10" s="1222"/>
      <c r="L10" s="1222" t="s">
        <v>586</v>
      </c>
      <c r="M10" s="1222"/>
      <c r="N10" s="1222"/>
      <c r="O10" s="1235"/>
      <c r="P10" s="1235"/>
      <c r="Q10" s="1235"/>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48"/>
      <c r="C11" s="1248"/>
      <c r="D11" s="1248"/>
      <c r="E11" s="1222"/>
      <c r="F11" s="1222"/>
      <c r="G11" s="1222"/>
      <c r="H11" s="1222"/>
      <c r="I11" s="1222"/>
      <c r="J11" s="1222"/>
      <c r="K11" s="1222"/>
      <c r="L11" s="1222"/>
      <c r="M11" s="1222"/>
      <c r="N11" s="1222"/>
      <c r="O11" s="1235"/>
      <c r="P11" s="1235"/>
      <c r="Q11" s="1235"/>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39" t="s">
        <v>587</v>
      </c>
      <c r="C12" s="1240"/>
      <c r="D12" s="1240"/>
      <c r="E12" s="1236" t="s">
        <v>131</v>
      </c>
      <c r="F12" s="1237"/>
      <c r="G12" s="1237"/>
      <c r="H12" s="1238" t="s">
        <v>588</v>
      </c>
      <c r="I12" s="1238"/>
      <c r="J12" s="1238" t="s">
        <v>589</v>
      </c>
      <c r="K12" s="1238"/>
      <c r="L12" s="1238" t="s">
        <v>589</v>
      </c>
      <c r="M12" s="1238"/>
      <c r="N12" s="1238"/>
      <c r="R12" s="427"/>
      <c r="S12" s="351"/>
      <c r="T12" s="346"/>
      <c r="U12" s="346"/>
      <c r="V12" s="346"/>
      <c r="W12" s="346"/>
      <c r="X12" s="346"/>
      <c r="Y12" s="346"/>
      <c r="Z12" s="346"/>
      <c r="AA12" s="346"/>
      <c r="AB12" s="346"/>
      <c r="AC12" s="346"/>
      <c r="AD12" s="346"/>
      <c r="AE12" s="346"/>
      <c r="AF12" s="346"/>
      <c r="AG12" s="346"/>
      <c r="AH12" s="346"/>
      <c r="AI12" s="348"/>
    </row>
    <row r="13" spans="1:36">
      <c r="A13" s="428"/>
      <c r="B13" s="1239" t="s">
        <v>590</v>
      </c>
      <c r="C13" s="1240"/>
      <c r="D13" s="1240"/>
      <c r="E13" s="1236" t="s">
        <v>131</v>
      </c>
      <c r="F13" s="1237"/>
      <c r="G13" s="1237"/>
      <c r="H13" s="1238" t="s">
        <v>589</v>
      </c>
      <c r="I13" s="1238"/>
      <c r="J13" s="1238" t="s">
        <v>589</v>
      </c>
      <c r="K13" s="1238"/>
      <c r="L13" s="1238" t="s">
        <v>589</v>
      </c>
      <c r="M13" s="1238"/>
      <c r="N13" s="1238"/>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39" t="s">
        <v>596</v>
      </c>
      <c r="C14" s="1240"/>
      <c r="D14" s="1240"/>
      <c r="E14" s="1236" t="s">
        <v>131</v>
      </c>
      <c r="F14" s="1237"/>
      <c r="G14" s="1237"/>
      <c r="H14" s="1238" t="s">
        <v>588</v>
      </c>
      <c r="I14" s="1238"/>
      <c r="J14" s="1238" t="s">
        <v>589</v>
      </c>
      <c r="K14" s="1238"/>
      <c r="L14" s="1238" t="s">
        <v>588</v>
      </c>
      <c r="M14" s="1238"/>
      <c r="N14" s="1238"/>
      <c r="R14" s="427"/>
      <c r="S14" s="351"/>
      <c r="T14" s="346"/>
      <c r="U14" s="346"/>
      <c r="V14" s="346"/>
      <c r="W14" s="346"/>
      <c r="X14" s="346"/>
      <c r="Y14" s="346"/>
      <c r="Z14" s="346"/>
      <c r="AA14" s="346"/>
      <c r="AB14" s="346"/>
      <c r="AC14" s="346"/>
      <c r="AD14" s="346"/>
      <c r="AE14" s="346"/>
      <c r="AF14" s="346"/>
      <c r="AG14" s="346"/>
      <c r="AH14" s="346"/>
      <c r="AI14" s="348"/>
    </row>
    <row r="15" spans="1:36">
      <c r="A15" s="428"/>
      <c r="B15" s="1239" t="s">
        <v>616</v>
      </c>
      <c r="C15" s="1240"/>
      <c r="D15" s="1240"/>
      <c r="E15" s="1236" t="s">
        <v>131</v>
      </c>
      <c r="F15" s="1237"/>
      <c r="G15" s="1237"/>
      <c r="H15" s="1238" t="s">
        <v>588</v>
      </c>
      <c r="I15" s="1238"/>
      <c r="J15" s="1238" t="s">
        <v>589</v>
      </c>
      <c r="K15" s="1238"/>
      <c r="L15" s="1238" t="s">
        <v>589</v>
      </c>
      <c r="M15" s="1238"/>
      <c r="N15" s="1238"/>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39" t="s">
        <v>597</v>
      </c>
      <c r="C16" s="1240"/>
      <c r="D16" s="1240"/>
      <c r="E16" s="1236" t="s">
        <v>131</v>
      </c>
      <c r="F16" s="1237"/>
      <c r="G16" s="1237"/>
      <c r="H16" s="1238" t="s">
        <v>589</v>
      </c>
      <c r="I16" s="1238"/>
      <c r="J16" s="1238" t="s">
        <v>589</v>
      </c>
      <c r="K16" s="1238"/>
      <c r="L16" s="1238" t="s">
        <v>589</v>
      </c>
      <c r="M16" s="1238"/>
      <c r="N16" s="1238"/>
      <c r="R16" s="427"/>
      <c r="S16" s="351"/>
      <c r="T16" s="346"/>
      <c r="U16" s="346"/>
      <c r="V16" s="346"/>
      <c r="W16" s="346"/>
      <c r="X16" s="346"/>
      <c r="Y16" s="346"/>
      <c r="Z16" s="346"/>
      <c r="AA16" s="346"/>
      <c r="AB16" s="346"/>
      <c r="AC16" s="346"/>
      <c r="AD16" s="346"/>
      <c r="AE16" s="346"/>
      <c r="AF16" s="346"/>
      <c r="AG16" s="346"/>
      <c r="AH16" s="346"/>
      <c r="AI16" s="348"/>
    </row>
    <row r="17" spans="1:35">
      <c r="A17" s="428"/>
      <c r="B17" s="1239" t="s">
        <v>617</v>
      </c>
      <c r="C17" s="1240"/>
      <c r="D17" s="1240"/>
      <c r="E17" s="1236" t="s">
        <v>131</v>
      </c>
      <c r="F17" s="1237"/>
      <c r="G17" s="1237"/>
      <c r="H17" s="1238" t="s">
        <v>588</v>
      </c>
      <c r="I17" s="1238"/>
      <c r="J17" s="1238" t="s">
        <v>589</v>
      </c>
      <c r="K17" s="1238"/>
      <c r="L17" s="1238" t="s">
        <v>589</v>
      </c>
      <c r="M17" s="1238"/>
      <c r="N17" s="1238"/>
      <c r="R17" s="427"/>
      <c r="S17" s="351"/>
      <c r="T17" s="346"/>
      <c r="U17" s="346"/>
      <c r="V17" s="346"/>
      <c r="W17" s="346"/>
      <c r="X17" s="346"/>
      <c r="Y17" s="346"/>
      <c r="Z17" s="346"/>
      <c r="AA17" s="346"/>
      <c r="AB17" s="346"/>
      <c r="AC17" s="346"/>
      <c r="AD17" s="346"/>
      <c r="AE17" s="346"/>
      <c r="AF17" s="346"/>
      <c r="AG17" s="346"/>
      <c r="AH17" s="346"/>
      <c r="AI17" s="346"/>
    </row>
    <row r="18" spans="1:35">
      <c r="A18" s="428"/>
      <c r="B18" s="1239" t="s">
        <v>599</v>
      </c>
      <c r="C18" s="1240"/>
      <c r="D18" s="1240"/>
      <c r="E18" s="1236" t="s">
        <v>131</v>
      </c>
      <c r="F18" s="1237"/>
      <c r="G18" s="1237"/>
      <c r="H18" s="1238" t="s">
        <v>589</v>
      </c>
      <c r="I18" s="1238"/>
      <c r="J18" s="1238" t="s">
        <v>589</v>
      </c>
      <c r="K18" s="1238"/>
      <c r="L18" s="1238" t="s">
        <v>589</v>
      </c>
      <c r="M18" s="1238"/>
      <c r="N18" s="1238"/>
      <c r="R18" s="427"/>
      <c r="S18" s="351"/>
      <c r="T18" s="346"/>
      <c r="U18" s="346"/>
      <c r="V18" s="346"/>
      <c r="W18" s="346"/>
      <c r="X18" s="346"/>
      <c r="Y18" s="346"/>
      <c r="Z18" s="346"/>
      <c r="AA18" s="346"/>
      <c r="AB18" s="346"/>
      <c r="AC18" s="346"/>
      <c r="AD18" s="346"/>
      <c r="AE18" s="346"/>
      <c r="AF18" s="346"/>
      <c r="AG18" s="346"/>
      <c r="AH18" s="346"/>
      <c r="AI18" s="348"/>
    </row>
    <row r="19" spans="1:35">
      <c r="A19" s="428"/>
      <c r="B19" s="1258" t="s">
        <v>618</v>
      </c>
      <c r="C19" s="1259"/>
      <c r="D19" s="1259"/>
      <c r="E19" s="1236" t="s">
        <v>131</v>
      </c>
      <c r="F19" s="1237"/>
      <c r="G19" s="1237"/>
      <c r="H19" s="1238" t="s">
        <v>588</v>
      </c>
      <c r="I19" s="1238"/>
      <c r="J19" s="1238" t="s">
        <v>589</v>
      </c>
      <c r="K19" s="1238"/>
      <c r="L19" s="1238" t="s">
        <v>588</v>
      </c>
      <c r="M19" s="1238"/>
      <c r="N19" s="1238"/>
      <c r="R19" s="427"/>
      <c r="S19" s="351"/>
      <c r="T19" s="346"/>
      <c r="U19" s="346"/>
      <c r="V19" s="346"/>
      <c r="W19" s="346"/>
      <c r="X19" s="346"/>
      <c r="Y19" s="346"/>
      <c r="Z19" s="346"/>
      <c r="AA19" s="346"/>
      <c r="AB19" s="346"/>
      <c r="AC19" s="346"/>
      <c r="AD19" s="346"/>
      <c r="AE19" s="346"/>
      <c r="AF19" s="346"/>
      <c r="AG19" s="346"/>
      <c r="AH19" s="346"/>
      <c r="AI19" s="346"/>
    </row>
    <row r="20" spans="1:35">
      <c r="A20" s="428"/>
      <c r="B20" s="1209" t="s">
        <v>601</v>
      </c>
      <c r="C20" s="1208"/>
      <c r="D20" s="1208"/>
      <c r="E20" s="1193" t="s">
        <v>131</v>
      </c>
      <c r="F20" s="1194"/>
      <c r="G20" s="1194"/>
      <c r="H20" s="1190" t="s">
        <v>589</v>
      </c>
      <c r="I20" s="1191"/>
      <c r="J20" s="1190" t="s">
        <v>588</v>
      </c>
      <c r="K20" s="1191"/>
      <c r="L20" s="1190" t="s">
        <v>588</v>
      </c>
      <c r="M20" s="1191"/>
      <c r="N20" s="1191"/>
      <c r="R20" s="427"/>
      <c r="S20" s="351"/>
      <c r="T20" s="346"/>
      <c r="U20" s="346"/>
      <c r="V20" s="346"/>
      <c r="W20" s="346"/>
      <c r="X20" s="346"/>
      <c r="Y20" s="346"/>
      <c r="Z20" s="346"/>
      <c r="AA20" s="346"/>
      <c r="AB20" s="346"/>
      <c r="AC20" s="346"/>
      <c r="AD20" s="346"/>
      <c r="AE20" s="346"/>
      <c r="AF20" s="346"/>
      <c r="AG20" s="346"/>
      <c r="AH20" s="346"/>
      <c r="AI20" s="346"/>
    </row>
    <row r="21" spans="1:35">
      <c r="A21" s="428"/>
      <c r="B21" s="1240" t="s">
        <v>619</v>
      </c>
      <c r="C21" s="1240"/>
      <c r="D21" s="1240"/>
      <c r="E21" s="1236" t="s">
        <v>131</v>
      </c>
      <c r="F21" s="1237"/>
      <c r="G21" s="1237"/>
      <c r="H21" s="1238" t="s">
        <v>588</v>
      </c>
      <c r="I21" s="1238"/>
      <c r="J21" s="1238" t="s">
        <v>589</v>
      </c>
      <c r="K21" s="1238"/>
      <c r="L21" s="1238" t="s">
        <v>589</v>
      </c>
      <c r="M21" s="1238"/>
      <c r="N21" s="1238"/>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192" t="s">
        <v>608</v>
      </c>
      <c r="C22" s="1192"/>
      <c r="D22" s="1192"/>
      <c r="E22" s="1193" t="s">
        <v>131</v>
      </c>
      <c r="F22" s="1194"/>
      <c r="G22" s="1194"/>
      <c r="H22" s="1190" t="s">
        <v>589</v>
      </c>
      <c r="I22" s="1191"/>
      <c r="J22" s="1191" t="s">
        <v>588</v>
      </c>
      <c r="K22" s="1191"/>
      <c r="L22" s="1190" t="s">
        <v>589</v>
      </c>
      <c r="M22" s="1191"/>
      <c r="N22" s="1191"/>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1" t="s">
        <v>609</v>
      </c>
      <c r="C24" s="1241"/>
      <c r="D24" s="1241"/>
      <c r="E24" s="1241" t="str">
        <f>IF(COUNTIF($E$12:$G$22,"No")=0,"Compliance shown","No compliance shown")</f>
        <v>No compliance shown</v>
      </c>
      <c r="F24" s="1241"/>
      <c r="G24" s="1241"/>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1"/>
      <c r="C25" s="1241"/>
      <c r="D25" s="1241"/>
      <c r="E25" s="1241"/>
      <c r="F25" s="1241"/>
      <c r="G25" s="1241"/>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21"/>
      <c r="I26" s="1221"/>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55" t="s">
        <v>569</v>
      </c>
      <c r="C27" s="1256"/>
      <c r="D27" s="1256"/>
      <c r="E27" s="1256"/>
      <c r="F27" s="1256"/>
      <c r="G27" s="1257"/>
      <c r="H27" s="1243" t="s">
        <v>570</v>
      </c>
      <c r="I27" s="1242"/>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44" t="s">
        <v>571</v>
      </c>
      <c r="C28" s="1245"/>
      <c r="D28" s="1245"/>
      <c r="E28" s="1245"/>
      <c r="F28" s="1245"/>
      <c r="G28" s="1246"/>
      <c r="H28" s="1243" t="s">
        <v>570</v>
      </c>
      <c r="I28" s="1242"/>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44" t="s">
        <v>572</v>
      </c>
      <c r="C29" s="1245"/>
      <c r="D29" s="1245"/>
      <c r="E29" s="1245"/>
      <c r="F29" s="1245"/>
      <c r="G29" s="1246"/>
      <c r="H29" s="1243" t="s">
        <v>570</v>
      </c>
      <c r="I29" s="1242"/>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44" t="s">
        <v>573</v>
      </c>
      <c r="C30" s="1245"/>
      <c r="D30" s="1245"/>
      <c r="E30" s="1245"/>
      <c r="F30" s="1245"/>
      <c r="G30" s="1246"/>
      <c r="H30" s="1243" t="s">
        <v>570</v>
      </c>
      <c r="I30" s="1242"/>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44" t="s">
        <v>574</v>
      </c>
      <c r="C31" s="1245"/>
      <c r="D31" s="1245"/>
      <c r="E31" s="1245"/>
      <c r="F31" s="1245"/>
      <c r="G31" s="1246"/>
      <c r="H31" s="1243" t="s">
        <v>570</v>
      </c>
      <c r="I31" s="1242"/>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44" t="s">
        <v>575</v>
      </c>
      <c r="C32" s="1245"/>
      <c r="D32" s="1245"/>
      <c r="E32" s="1245"/>
      <c r="F32" s="1245"/>
      <c r="G32" s="1246"/>
      <c r="H32" s="1242" t="s">
        <v>570</v>
      </c>
      <c r="I32" s="1242"/>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7" t="s">
        <v>576</v>
      </c>
      <c r="C33" s="1245"/>
      <c r="D33" s="1245"/>
      <c r="E33" s="1245"/>
      <c r="F33" s="1245"/>
      <c r="G33" s="1246"/>
      <c r="H33" s="1242" t="s">
        <v>120</v>
      </c>
      <c r="I33" s="1242"/>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7" t="s">
        <v>577</v>
      </c>
      <c r="C34" s="1245"/>
      <c r="D34" s="1245"/>
      <c r="E34" s="1245"/>
      <c r="F34" s="1245"/>
      <c r="G34" s="1246"/>
      <c r="H34" s="1242" t="s">
        <v>120</v>
      </c>
      <c r="I34" s="1242"/>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7" t="s">
        <v>578</v>
      </c>
      <c r="C35" s="1245"/>
      <c r="D35" s="1245"/>
      <c r="E35" s="1245"/>
      <c r="F35" s="1245"/>
      <c r="G35" s="1246"/>
      <c r="H35" s="1242" t="s">
        <v>120</v>
      </c>
      <c r="I35" s="1242"/>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52" t="s">
        <v>579</v>
      </c>
      <c r="C36" s="1253"/>
      <c r="D36" s="1253"/>
      <c r="E36" s="1253"/>
      <c r="F36" s="1253"/>
      <c r="G36" s="1254"/>
      <c r="H36" s="1242" t="s">
        <v>120</v>
      </c>
      <c r="I36" s="1242"/>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E21:G21"/>
    <mergeCell ref="H21:I21"/>
    <mergeCell ref="L21:N21"/>
    <mergeCell ref="E24:G25"/>
    <mergeCell ref="B21:D21"/>
    <mergeCell ref="J21:K21"/>
    <mergeCell ref="B22:D22"/>
    <mergeCell ref="E22:G22"/>
    <mergeCell ref="H22:I22"/>
    <mergeCell ref="J22:K22"/>
    <mergeCell ref="L22:N22"/>
    <mergeCell ref="E19:G19"/>
    <mergeCell ref="H19:I19"/>
    <mergeCell ref="J19:K19"/>
    <mergeCell ref="L19:N19"/>
    <mergeCell ref="E18:G18"/>
    <mergeCell ref="H18:I18"/>
    <mergeCell ref="J18:K18"/>
    <mergeCell ref="L18:N18"/>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2:G12"/>
    <mergeCell ref="H12:I12"/>
    <mergeCell ref="J12:K12"/>
    <mergeCell ref="L12:N12"/>
    <mergeCell ref="E13:G13"/>
    <mergeCell ref="H13:I13"/>
    <mergeCell ref="J13:K13"/>
    <mergeCell ref="L13:N13"/>
    <mergeCell ref="H9:I9"/>
    <mergeCell ref="E10:G11"/>
    <mergeCell ref="H10:I11"/>
    <mergeCell ref="J10:K11"/>
    <mergeCell ref="A1:R1"/>
    <mergeCell ref="D3:J3"/>
    <mergeCell ref="O3:R3"/>
    <mergeCell ref="A5:R6"/>
    <mergeCell ref="H7:I7"/>
    <mergeCell ref="H8:I8"/>
    <mergeCell ref="L10:N11"/>
    <mergeCell ref="O10:Q11"/>
    <mergeCell ref="B20:D20"/>
    <mergeCell ref="E20:G20"/>
    <mergeCell ref="H20:I20"/>
    <mergeCell ref="J20:K20"/>
    <mergeCell ref="L20:N20"/>
  </mergeCells>
  <conditionalFormatting sqref="H8:I8">
    <cfRule type="expression" dxfId="110" priority="47" stopIfTrue="1">
      <formula>H7="other"</formula>
    </cfRule>
    <cfRule type="expression" dxfId="109" priority="48" stopIfTrue="1">
      <formula>AND(H7="aluminium",H8&lt;3.2)</formula>
    </cfRule>
    <cfRule type="expression" dxfId="108" priority="49" stopIfTrue="1">
      <formula>AND(H7="aluminium",H8&gt;=3.2)</formula>
    </cfRule>
    <cfRule type="expression" dxfId="107" priority="50" stopIfTrue="1">
      <formula>AND(H7="steel",H8&lt;1.25)</formula>
    </cfRule>
    <cfRule type="expression" dxfId="106" priority="51" stopIfTrue="1">
      <formula>AND(H7="steel",H8&gt;=1.25)</formula>
    </cfRule>
  </conditionalFormatting>
  <conditionalFormatting sqref="H26:I26">
    <cfRule type="expression" dxfId="105" priority="42" stopIfTrue="1">
      <formula>H9="other"</formula>
    </cfRule>
    <cfRule type="expression" dxfId="104" priority="43" stopIfTrue="1">
      <formula>AND(H9="aluminium",H26&lt;2.3)</formula>
    </cfRule>
    <cfRule type="expression" dxfId="103" priority="44" stopIfTrue="1">
      <formula>AND(H9="aluminium",H26&gt;=2.3)</formula>
    </cfRule>
    <cfRule type="expression" dxfId="102" priority="45" stopIfTrue="1">
      <formula>AND(H9="steel",H26&lt;0.9)</formula>
    </cfRule>
    <cfRule type="expression" dxfId="101" priority="46" stopIfTrue="1">
      <formula>AND(H9="steel",H26&gt;=0.9)</formula>
    </cfRule>
  </conditionalFormatting>
  <conditionalFormatting sqref="E12:E16 E18">
    <cfRule type="cellIs" dxfId="100" priority="41" operator="equal">
      <formula>" "</formula>
    </cfRule>
  </conditionalFormatting>
  <conditionalFormatting sqref="E12:G13 E18:G18 E14:E16">
    <cfRule type="cellIs" dxfId="99" priority="38" stopIfTrue="1" operator="equal">
      <formula>"Yes"</formula>
    </cfRule>
    <cfRule type="cellIs" dxfId="98" priority="39" stopIfTrue="1" operator="equal">
      <formula>"n.a."</formula>
    </cfRule>
    <cfRule type="cellIs" dxfId="97" priority="40" stopIfTrue="1" operator="equal">
      <formula>"No"</formula>
    </cfRule>
  </conditionalFormatting>
  <conditionalFormatting sqref="E24">
    <cfRule type="expression" dxfId="96" priority="36" stopIfTrue="1">
      <formula>IF(COUNTIF($E$12:$G$21,"No")&gt;0,TRUE,FALSE)</formula>
    </cfRule>
    <cfRule type="expression" dxfId="95" priority="37" stopIfTrue="1">
      <formula>IF(COUNTIF($E$12:$G$21,"No")=0,TRUE,FALSE)</formula>
    </cfRule>
  </conditionalFormatting>
  <conditionalFormatting sqref="J8:S8">
    <cfRule type="expression" dxfId="94" priority="35" stopIfTrue="1">
      <formula>IF($H$8="Other",TRUE,)</formula>
    </cfRule>
  </conditionalFormatting>
  <conditionalFormatting sqref="E15">
    <cfRule type="cellIs" dxfId="93" priority="34" operator="equal">
      <formula>" "</formula>
    </cfRule>
  </conditionalFormatting>
  <conditionalFormatting sqref="E15">
    <cfRule type="cellIs" dxfId="92" priority="31" stopIfTrue="1" operator="equal">
      <formula>"Yes"</formula>
    </cfRule>
    <cfRule type="cellIs" dxfId="91" priority="32" stopIfTrue="1" operator="equal">
      <formula>"n.a."</formula>
    </cfRule>
    <cfRule type="cellIs" dxfId="90" priority="33" stopIfTrue="1" operator="equal">
      <formula>"No"</formula>
    </cfRule>
  </conditionalFormatting>
  <conditionalFormatting sqref="E19">
    <cfRule type="cellIs" dxfId="89" priority="30" operator="equal">
      <formula>" "</formula>
    </cfRule>
  </conditionalFormatting>
  <conditionalFormatting sqref="E19">
    <cfRule type="cellIs" dxfId="88" priority="27" stopIfTrue="1" operator="equal">
      <formula>"Yes"</formula>
    </cfRule>
    <cfRule type="cellIs" dxfId="87" priority="28" stopIfTrue="1" operator="equal">
      <formula>"n.a."</formula>
    </cfRule>
    <cfRule type="cellIs" dxfId="86" priority="29" stopIfTrue="1" operator="equal">
      <formula>"No"</formula>
    </cfRule>
  </conditionalFormatting>
  <conditionalFormatting sqref="E21">
    <cfRule type="cellIs" dxfId="85" priority="26" operator="equal">
      <formula>" "</formula>
    </cfRule>
  </conditionalFormatting>
  <conditionalFormatting sqref="E21">
    <cfRule type="cellIs" dxfId="84" priority="23" stopIfTrue="1" operator="equal">
      <formula>"Yes"</formula>
    </cfRule>
    <cfRule type="cellIs" dxfId="83" priority="24" stopIfTrue="1" operator="equal">
      <formula>"n.a."</formula>
    </cfRule>
    <cfRule type="cellIs" dxfId="82" priority="25" stopIfTrue="1" operator="equal">
      <formula>"No"</formula>
    </cfRule>
  </conditionalFormatting>
  <conditionalFormatting sqref="E17">
    <cfRule type="cellIs" dxfId="81" priority="22" operator="equal">
      <formula>" "</formula>
    </cfRule>
  </conditionalFormatting>
  <conditionalFormatting sqref="E17">
    <cfRule type="cellIs" dxfId="80" priority="19" stopIfTrue="1" operator="equal">
      <formula>"Yes"</formula>
    </cfRule>
    <cfRule type="cellIs" dxfId="79" priority="20" stopIfTrue="1" operator="equal">
      <formula>"n.a."</formula>
    </cfRule>
    <cfRule type="cellIs" dxfId="78" priority="21" stopIfTrue="1" operator="equal">
      <formula>"No"</formula>
    </cfRule>
  </conditionalFormatting>
  <conditionalFormatting sqref="E17">
    <cfRule type="cellIs" dxfId="77" priority="18" operator="equal">
      <formula>" "</formula>
    </cfRule>
  </conditionalFormatting>
  <conditionalFormatting sqref="E17">
    <cfRule type="cellIs" dxfId="76" priority="15" stopIfTrue="1" operator="equal">
      <formula>"Yes"</formula>
    </cfRule>
    <cfRule type="cellIs" dxfId="75" priority="16" stopIfTrue="1" operator="equal">
      <formula>"n.a."</formula>
    </cfRule>
    <cfRule type="cellIs" dxfId="74" priority="17" stopIfTrue="1" operator="equal">
      <formula>"No"</formula>
    </cfRule>
  </conditionalFormatting>
  <conditionalFormatting sqref="E20">
    <cfRule type="cellIs" dxfId="73" priority="13" operator="equal">
      <formula>" "</formula>
    </cfRule>
  </conditionalFormatting>
  <conditionalFormatting sqref="E20:G20">
    <cfRule type="cellIs" dxfId="72" priority="10" stopIfTrue="1" operator="equal">
      <formula>"Yes"</formula>
    </cfRule>
    <cfRule type="cellIs" dxfId="71" priority="11" stopIfTrue="1" operator="equal">
      <formula>"n.a."</formula>
    </cfRule>
    <cfRule type="cellIs" dxfId="70" priority="12" stopIfTrue="1" operator="equal">
      <formula>"No"</formula>
    </cfRule>
  </conditionalFormatting>
  <conditionalFormatting sqref="E20">
    <cfRule type="cellIs" dxfId="69" priority="14" operator="equal">
      <formula>" "</formula>
    </cfRule>
  </conditionalFormatting>
  <conditionalFormatting sqref="E22">
    <cfRule type="cellIs" dxfId="68" priority="5" operator="equal">
      <formula>" "</formula>
    </cfRule>
  </conditionalFormatting>
  <conditionalFormatting sqref="E22:G22">
    <cfRule type="cellIs" dxfId="67" priority="2" stopIfTrue="1" operator="equal">
      <formula>"Yes"</formula>
    </cfRule>
    <cfRule type="cellIs" dxfId="66" priority="3" stopIfTrue="1" operator="equal">
      <formula>"n.a."</formula>
    </cfRule>
    <cfRule type="cellIs" dxfId="65" priority="4" stopIfTrue="1" operator="equal">
      <formula>"No"</formula>
    </cfRule>
  </conditionalFormatting>
  <conditionalFormatting sqref="E22:G22">
    <cfRule type="expression" dxfId="64" priority="1">
      <formula>E22="N/A"</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topLeftCell="A21" zoomScale="85" zoomScaleNormal="85" workbookViewId="0">
      <selection activeCell="W96" sqref="W96"/>
    </sheetView>
  </sheetViews>
  <sheetFormatPr baseColWidth="10" defaultColWidth="11.44140625" defaultRowHeight="13.2"/>
  <cols>
    <col min="1" max="1" width="4.33203125" customWidth="1"/>
    <col min="2" max="2" width="36" customWidth="1"/>
    <col min="3" max="22" width="7.6640625" customWidth="1"/>
  </cols>
  <sheetData>
    <row r="1" spans="2:22" ht="15.6">
      <c r="B1" s="1262" t="s">
        <v>621</v>
      </c>
      <c r="C1" s="1262"/>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c r="B10" s="1260" t="s">
        <v>626</v>
      </c>
      <c r="C10" s="1102" t="str">
        <f>IF(AND(D12="PASS",D17="PASS",D21="PASS",D22="pass"),"PASS","FAIL")</f>
        <v>FAIL</v>
      </c>
      <c r="D10" s="1103"/>
      <c r="E10" s="20"/>
      <c r="F10" s="20"/>
      <c r="G10" s="20"/>
      <c r="H10" s="20"/>
      <c r="I10" s="20"/>
      <c r="J10" s="20"/>
      <c r="K10" s="20"/>
      <c r="L10" s="20"/>
      <c r="M10" s="20"/>
      <c r="N10" s="20"/>
      <c r="O10" s="20"/>
      <c r="P10" s="20"/>
      <c r="Q10" s="20"/>
      <c r="R10" s="20"/>
      <c r="S10" s="20"/>
      <c r="T10" s="20"/>
      <c r="U10" s="20"/>
      <c r="V10" s="21"/>
    </row>
    <row r="11" spans="2:22" s="104" customFormat="1">
      <c r="B11" s="1261"/>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t="s">
        <v>927</v>
      </c>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09" t="s">
        <v>627</v>
      </c>
      <c r="C23" s="1113"/>
      <c r="D23" s="1110"/>
      <c r="E23" s="26"/>
      <c r="F23" s="26"/>
      <c r="G23" s="26"/>
      <c r="H23" s="26"/>
      <c r="I23" s="26"/>
      <c r="J23" s="26"/>
      <c r="K23" s="26"/>
      <c r="L23" s="26"/>
      <c r="M23" s="26"/>
      <c r="N23" s="26"/>
      <c r="O23" s="26"/>
      <c r="P23" s="26"/>
      <c r="Q23" s="26"/>
      <c r="R23" s="26"/>
      <c r="S23" s="26"/>
      <c r="T23" s="26"/>
      <c r="U23" s="26"/>
      <c r="V23" s="27"/>
    </row>
    <row r="24" spans="2:22" s="104" customFormat="1">
      <c r="B24" s="1111"/>
      <c r="C24" s="1114"/>
      <c r="D24" s="1112"/>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D17 D21 D12">
    <cfRule type="expression" dxfId="63" priority="3" stopIfTrue="1">
      <formula>D12="PASS"</formula>
    </cfRule>
    <cfRule type="expression" dxfId="62" priority="4" stopIfTrue="1">
      <formula>D12="FAIL"</formula>
    </cfRule>
  </conditionalFormatting>
  <conditionalFormatting sqref="C10:D10">
    <cfRule type="expression" dxfId="61" priority="5" stopIfTrue="1">
      <formula>C10="PASS"</formula>
    </cfRule>
    <cfRule type="expression" dxfId="60" priority="6" stopIfTrue="1">
      <formula>C10="FAIL"</formula>
    </cfRule>
    <cfRule type="expression" dxfId="59" priority="7" stopIfTrue="1">
      <formula>C10="N/A"</formula>
    </cfRule>
  </conditionalFormatting>
  <conditionalFormatting sqref="D22">
    <cfRule type="expression" dxfId="58" priority="1" stopIfTrue="1">
      <formula>D22="PASS"</formula>
    </cfRule>
    <cfRule type="expression" dxfId="57" priority="2" stopIfTrue="1">
      <formula>D22="FAIL"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topLeftCell="N30" zoomScaleNormal="100" zoomScaleSheetLayoutView="100" workbookViewId="0">
      <selection activeCell="BH62" sqref="BH62:BI62"/>
    </sheetView>
  </sheetViews>
  <sheetFormatPr baseColWidth="10" defaultColWidth="11.44140625" defaultRowHeight="13.2"/>
  <cols>
    <col min="1" max="95" width="5" customWidth="1"/>
  </cols>
  <sheetData>
    <row r="1" spans="1:95">
      <c r="A1" s="1033" t="s">
        <v>628</v>
      </c>
      <c r="B1" s="1034"/>
      <c r="C1" s="1034"/>
      <c r="D1" s="1034"/>
      <c r="E1" s="1034"/>
      <c r="F1" s="1034"/>
      <c r="G1" s="1034"/>
      <c r="H1" s="1034"/>
      <c r="I1" s="1034"/>
      <c r="J1" s="1034"/>
      <c r="K1" s="1034"/>
      <c r="L1" s="1034"/>
      <c r="M1" s="1034"/>
      <c r="N1" s="1034"/>
      <c r="O1" s="1034"/>
      <c r="P1" s="1034"/>
      <c r="Q1" s="1034"/>
      <c r="R1" s="1034"/>
      <c r="S1" s="1035"/>
      <c r="T1" s="1033" t="s">
        <v>629</v>
      </c>
      <c r="U1" s="1034"/>
      <c r="V1" s="1034"/>
      <c r="W1" s="1034"/>
      <c r="X1" s="1034"/>
      <c r="Y1" s="1034"/>
      <c r="Z1" s="1034"/>
      <c r="AA1" s="1034"/>
      <c r="AB1" s="1034"/>
      <c r="AC1" s="1034"/>
      <c r="AD1" s="1034"/>
      <c r="AE1" s="1034"/>
      <c r="AF1" s="1034"/>
      <c r="AG1" s="1034"/>
      <c r="AH1" s="1034"/>
      <c r="AI1" s="1034"/>
      <c r="AJ1" s="1034"/>
      <c r="AK1" s="1034"/>
      <c r="AL1" s="1035"/>
      <c r="AM1" s="1033" t="s">
        <v>630</v>
      </c>
      <c r="AN1" s="1034"/>
      <c r="AO1" s="1034"/>
      <c r="AP1" s="1034"/>
      <c r="AQ1" s="1034"/>
      <c r="AR1" s="1034"/>
      <c r="AS1" s="1034"/>
      <c r="AT1" s="1034"/>
      <c r="AU1" s="1034"/>
      <c r="AV1" s="1034"/>
      <c r="AW1" s="1034"/>
      <c r="AX1" s="1034"/>
      <c r="AY1" s="1034"/>
      <c r="AZ1" s="1034"/>
      <c r="BA1" s="1034"/>
      <c r="BB1" s="1034"/>
      <c r="BC1" s="1034"/>
      <c r="BD1" s="1034"/>
      <c r="BE1" s="1035"/>
      <c r="BF1" s="1033" t="s">
        <v>631</v>
      </c>
      <c r="BG1" s="1034"/>
      <c r="BH1" s="1034"/>
      <c r="BI1" s="1034"/>
      <c r="BJ1" s="1034"/>
      <c r="BK1" s="1034"/>
      <c r="BL1" s="1034"/>
      <c r="BM1" s="1034"/>
      <c r="BN1" s="1034"/>
      <c r="BO1" s="1034"/>
      <c r="BP1" s="1034"/>
      <c r="BQ1" s="1034"/>
      <c r="BR1" s="1034"/>
      <c r="BS1" s="1034"/>
      <c r="BT1" s="1034"/>
      <c r="BU1" s="1034"/>
      <c r="BV1" s="1034"/>
      <c r="BW1" s="1034"/>
      <c r="BX1" s="1035"/>
      <c r="BY1" s="1033" t="s">
        <v>632</v>
      </c>
      <c r="BZ1" s="1034"/>
      <c r="CA1" s="1034"/>
      <c r="CB1" s="1034"/>
      <c r="CC1" s="1034"/>
      <c r="CD1" s="1034"/>
      <c r="CE1" s="1034"/>
      <c r="CF1" s="1034"/>
      <c r="CG1" s="1034"/>
      <c r="CH1" s="1034"/>
      <c r="CI1" s="1034"/>
      <c r="CJ1" s="1034"/>
      <c r="CK1" s="1034"/>
      <c r="CL1" s="1034"/>
      <c r="CM1" s="1034"/>
      <c r="CN1" s="1034"/>
      <c r="CO1" s="1034"/>
      <c r="CP1" s="1034"/>
      <c r="CQ1" s="1035"/>
    </row>
    <row r="2" spans="1:95">
      <c r="A2" s="4"/>
      <c r="S2" s="15"/>
      <c r="T2" s="4"/>
      <c r="AL2" s="15"/>
      <c r="AM2" s="4"/>
      <c r="BE2" s="15"/>
      <c r="BF2" s="4"/>
      <c r="BX2" s="15"/>
      <c r="BY2" s="4"/>
      <c r="CQ2" s="15"/>
    </row>
    <row r="3" spans="1:95">
      <c r="A3" t="s">
        <v>48</v>
      </c>
      <c r="D3" s="977" t="str">
        <f>IF('Cover Sheet'!$D$14&gt;0,'Cover Sheet'!$D$14,"")</f>
        <v>Ecole Centrale Lyon</v>
      </c>
      <c r="E3" s="977"/>
      <c r="F3" s="977"/>
      <c r="G3" s="977"/>
      <c r="H3" s="977"/>
      <c r="I3" s="977"/>
      <c r="J3" s="977"/>
      <c r="K3" t="s">
        <v>49</v>
      </c>
      <c r="O3" s="977" t="str">
        <f>IF('Cover Sheet'!$O$14&gt;0,'Cover Sheet'!$O$14,"")</f>
        <v>81 FSCH</v>
      </c>
      <c r="P3" s="977"/>
      <c r="Q3" s="977"/>
      <c r="R3" s="977"/>
      <c r="S3" s="977"/>
      <c r="T3" t="s">
        <v>48</v>
      </c>
      <c r="W3" s="977" t="str">
        <f>IF('Cover Sheet'!$D$14&gt;0,'Cover Sheet'!$D$14,"")</f>
        <v>Ecole Centrale Lyon</v>
      </c>
      <c r="X3" s="977"/>
      <c r="Y3" s="977"/>
      <c r="Z3" s="977"/>
      <c r="AA3" s="977"/>
      <c r="AB3" s="977"/>
      <c r="AC3" s="977"/>
      <c r="AD3" t="s">
        <v>49</v>
      </c>
      <c r="AH3" s="977" t="str">
        <f>IF('Cover Sheet'!$O$14&gt;0,'Cover Sheet'!$O$14,"")</f>
        <v>81 FSCH</v>
      </c>
      <c r="AI3" s="977"/>
      <c r="AJ3" s="977"/>
      <c r="AK3" s="977"/>
      <c r="AL3" s="1277"/>
      <c r="AM3" t="s">
        <v>48</v>
      </c>
      <c r="AP3" s="977" t="str">
        <f>IF('Cover Sheet'!$D$14&gt;0,'Cover Sheet'!$D$14,"")</f>
        <v>Ecole Centrale Lyon</v>
      </c>
      <c r="AQ3" s="977"/>
      <c r="AR3" s="977"/>
      <c r="AS3" s="977"/>
      <c r="AT3" s="977"/>
      <c r="AU3" s="977"/>
      <c r="AV3" s="977"/>
      <c r="AW3" t="s">
        <v>49</v>
      </c>
      <c r="BA3" s="977" t="str">
        <f>IF('Cover Sheet'!$O$14&gt;0,'Cover Sheet'!$O$14,"")</f>
        <v>81 FSCH</v>
      </c>
      <c r="BB3" s="977"/>
      <c r="BC3" s="977"/>
      <c r="BD3" s="977"/>
      <c r="BE3" s="1277"/>
      <c r="BF3" t="s">
        <v>48</v>
      </c>
      <c r="BI3" s="977" t="str">
        <f>IF('Cover Sheet'!$D$14&gt;0,'Cover Sheet'!$D$14,"")</f>
        <v>Ecole Centrale Lyon</v>
      </c>
      <c r="BJ3" s="977"/>
      <c r="BK3" s="977"/>
      <c r="BL3" s="977"/>
      <c r="BM3" s="977"/>
      <c r="BN3" s="977"/>
      <c r="BO3" s="977"/>
      <c r="BP3" t="s">
        <v>49</v>
      </c>
      <c r="BT3" s="977" t="str">
        <f>IF('Cover Sheet'!$O$14&gt;0,'Cover Sheet'!$O$14,"")</f>
        <v>81 FSCH</v>
      </c>
      <c r="BU3" s="977"/>
      <c r="BV3" s="977"/>
      <c r="BW3" s="977"/>
      <c r="BX3" s="1277"/>
      <c r="BY3" t="s">
        <v>48</v>
      </c>
      <c r="CB3" s="977" t="str">
        <f>IF('Cover Sheet'!$D$14&gt;0,'Cover Sheet'!$D$14,"")</f>
        <v>Ecole Centrale Lyon</v>
      </c>
      <c r="CC3" s="977"/>
      <c r="CD3" s="977"/>
      <c r="CE3" s="977"/>
      <c r="CF3" s="977"/>
      <c r="CG3" s="977"/>
      <c r="CH3" s="977"/>
      <c r="CI3" t="s">
        <v>49</v>
      </c>
      <c r="CM3" s="977" t="str">
        <f>IF('Cover Sheet'!$O$14&gt;0,'Cover Sheet'!$O$14,"")</f>
        <v>81 FSCH</v>
      </c>
      <c r="CN3" s="977"/>
      <c r="CO3" s="977"/>
      <c r="CP3" s="977"/>
      <c r="CQ3" s="1277"/>
    </row>
    <row r="4" spans="1:95">
      <c r="A4" s="4"/>
      <c r="S4" s="15"/>
      <c r="T4" s="4"/>
      <c r="AL4" s="15"/>
      <c r="AM4" s="4"/>
      <c r="BE4" s="15"/>
      <c r="BF4" s="4"/>
      <c r="BX4" s="15"/>
      <c r="BY4" s="4"/>
      <c r="CQ4" s="15"/>
    </row>
    <row r="5" spans="1:95"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14" t="s">
        <v>371</v>
      </c>
      <c r="B46" s="1015"/>
      <c r="C46" s="1012">
        <v>0</v>
      </c>
      <c r="D46" s="1013"/>
      <c r="E46" s="1015" t="s">
        <v>372</v>
      </c>
      <c r="F46" s="1015"/>
      <c r="G46" s="1012">
        <v>0</v>
      </c>
      <c r="H46" s="1013"/>
      <c r="I46" s="8"/>
      <c r="J46" s="10"/>
      <c r="K46" s="10"/>
      <c r="L46" s="10"/>
      <c r="M46" s="87" t="s">
        <v>373</v>
      </c>
      <c r="N46" s="1056">
        <f>IF(C47&gt;0,(((G47-G46)/(C47-C46))^-1-IF(CL52&gt;0,CL52^-1,0))^-1,0)</f>
        <v>0</v>
      </c>
      <c r="O46" s="1057"/>
      <c r="P46" s="1038"/>
      <c r="Q46" s="1039"/>
      <c r="R46" s="1039"/>
      <c r="S46" s="11"/>
      <c r="T46" s="1014" t="s">
        <v>371</v>
      </c>
      <c r="U46" s="1015"/>
      <c r="V46" s="1012">
        <v>0</v>
      </c>
      <c r="W46" s="1013"/>
      <c r="X46" s="1015" t="s">
        <v>372</v>
      </c>
      <c r="Y46" s="1015"/>
      <c r="Z46" s="1012">
        <v>0</v>
      </c>
      <c r="AA46" s="1013"/>
      <c r="AB46" s="8"/>
      <c r="AC46" s="10"/>
      <c r="AD46" s="10"/>
      <c r="AE46" s="10"/>
      <c r="AF46" s="87" t="s">
        <v>373</v>
      </c>
      <c r="AG46" s="1056">
        <f>IF(V47&gt;0,(((Z47-Z46)/(V47-V46))^-1-IF(CL52&gt;0,CL52^-1,0))^-1,0)</f>
        <v>0</v>
      </c>
      <c r="AH46" s="1057"/>
      <c r="AI46" s="1038"/>
      <c r="AJ46" s="1039"/>
      <c r="AK46" s="1039"/>
      <c r="AL46" s="11"/>
      <c r="AM46" s="1014" t="s">
        <v>371</v>
      </c>
      <c r="AN46" s="1015"/>
      <c r="AO46" s="1012">
        <v>0</v>
      </c>
      <c r="AP46" s="1013"/>
      <c r="AQ46" s="1015" t="s">
        <v>372</v>
      </c>
      <c r="AR46" s="1015"/>
      <c r="AS46" s="1012">
        <v>0</v>
      </c>
      <c r="AT46" s="1013"/>
      <c r="AU46" s="8"/>
      <c r="AV46" s="10"/>
      <c r="AW46" s="10"/>
      <c r="AX46" s="10"/>
      <c r="AY46" s="87" t="s">
        <v>373</v>
      </c>
      <c r="AZ46" s="1056">
        <f>IF(AO47&gt;0,(((AS47-AS46)/(AO47-AO46))^-1-IF(CL52&gt;0,CL52^-1,0))^-1,0)</f>
        <v>0</v>
      </c>
      <c r="BA46" s="1057"/>
      <c r="BB46" s="1038"/>
      <c r="BC46" s="1039"/>
      <c r="BD46" s="1039"/>
      <c r="BE46" s="11"/>
      <c r="BF46" s="1014" t="s">
        <v>371</v>
      </c>
      <c r="BG46" s="1015"/>
      <c r="BH46" s="1012">
        <v>0</v>
      </c>
      <c r="BI46" s="1013"/>
      <c r="BJ46" s="1015" t="s">
        <v>372</v>
      </c>
      <c r="BK46" s="1015"/>
      <c r="BL46" s="1012">
        <v>0</v>
      </c>
      <c r="BM46" s="1013"/>
      <c r="BN46" s="8"/>
      <c r="BO46" s="10"/>
      <c r="BP46" s="10"/>
      <c r="BQ46" s="10"/>
      <c r="BR46" s="87" t="s">
        <v>373</v>
      </c>
      <c r="BS46" s="1056">
        <f>IF(BH47&gt;0,(((BL47-BL46)/(BH47-BH46))^-1-IF(CL52&gt;0,CL52^-1,0))^-1,0)</f>
        <v>0</v>
      </c>
      <c r="BT46" s="1057"/>
      <c r="BU46" s="1038"/>
      <c r="BV46" s="1039"/>
      <c r="BW46" s="1039"/>
      <c r="BX46" s="11"/>
      <c r="BY46" s="1014" t="s">
        <v>371</v>
      </c>
      <c r="BZ46" s="1015"/>
      <c r="CA46" s="1012">
        <v>0</v>
      </c>
      <c r="CB46" s="1013"/>
      <c r="CC46" s="1015" t="s">
        <v>372</v>
      </c>
      <c r="CD46" s="1015"/>
      <c r="CE46" s="1012">
        <v>0</v>
      </c>
      <c r="CF46" s="1013"/>
      <c r="CG46" s="8"/>
      <c r="CH46" s="10"/>
      <c r="CI46" s="10"/>
      <c r="CJ46" s="10"/>
      <c r="CK46" s="87" t="s">
        <v>373</v>
      </c>
      <c r="CL46" s="1029">
        <f>IF((CA47-CA46)&gt;0,(CE47-CE46)/(CA47-CA46),0)</f>
        <v>0</v>
      </c>
      <c r="CM46" s="1030"/>
      <c r="CN46" s="10"/>
      <c r="CO46" s="10"/>
      <c r="CP46" s="10"/>
      <c r="CQ46" s="11"/>
    </row>
    <row r="47" spans="1:95" ht="14.25" customHeight="1">
      <c r="A47" s="1014" t="s">
        <v>374</v>
      </c>
      <c r="B47" s="1015"/>
      <c r="C47" s="1012">
        <v>0</v>
      </c>
      <c r="D47" s="1013"/>
      <c r="E47" s="1015" t="s">
        <v>375</v>
      </c>
      <c r="F47" s="1015"/>
      <c r="G47" s="1012">
        <v>0</v>
      </c>
      <c r="H47" s="1013"/>
      <c r="I47" s="8"/>
      <c r="P47" s="10"/>
      <c r="Q47" s="10"/>
      <c r="R47" s="10"/>
      <c r="S47" s="11"/>
      <c r="T47" s="1014" t="s">
        <v>374</v>
      </c>
      <c r="U47" s="1015"/>
      <c r="V47" s="1012">
        <v>0</v>
      </c>
      <c r="W47" s="1013"/>
      <c r="X47" s="1015" t="s">
        <v>375</v>
      </c>
      <c r="Y47" s="1015"/>
      <c r="Z47" s="1012">
        <v>0</v>
      </c>
      <c r="AA47" s="1013"/>
      <c r="AB47" s="8"/>
      <c r="AI47" s="10"/>
      <c r="AJ47" s="10"/>
      <c r="AK47" s="10"/>
      <c r="AL47" s="11"/>
      <c r="AM47" s="1014" t="s">
        <v>374</v>
      </c>
      <c r="AN47" s="1015"/>
      <c r="AO47" s="1012">
        <v>0</v>
      </c>
      <c r="AP47" s="1013"/>
      <c r="AQ47" s="1015" t="s">
        <v>375</v>
      </c>
      <c r="AR47" s="1015"/>
      <c r="AS47" s="1012">
        <v>0</v>
      </c>
      <c r="AT47" s="1013"/>
      <c r="AU47" s="8"/>
      <c r="BB47" s="10"/>
      <c r="BC47" s="10"/>
      <c r="BD47" s="10"/>
      <c r="BE47" s="11"/>
      <c r="BF47" s="1014" t="s">
        <v>374</v>
      </c>
      <c r="BG47" s="1015"/>
      <c r="BH47" s="1012">
        <v>0</v>
      </c>
      <c r="BI47" s="1013"/>
      <c r="BJ47" s="1015" t="s">
        <v>375</v>
      </c>
      <c r="BK47" s="1015"/>
      <c r="BL47" s="1012">
        <v>0</v>
      </c>
      <c r="BM47" s="1013"/>
      <c r="BN47" s="8"/>
      <c r="BU47" s="10"/>
      <c r="BV47" s="10"/>
      <c r="BW47" s="10"/>
      <c r="BX47" s="11"/>
      <c r="BY47" s="1014" t="s">
        <v>374</v>
      </c>
      <c r="BZ47" s="1015"/>
      <c r="CA47" s="1012">
        <v>0</v>
      </c>
      <c r="CB47" s="1013"/>
      <c r="CC47" s="1015" t="s">
        <v>375</v>
      </c>
      <c r="CD47" s="1015"/>
      <c r="CE47" s="1012">
        <v>0</v>
      </c>
      <c r="CF47" s="1013"/>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14" t="s">
        <v>378</v>
      </c>
      <c r="B50" s="1015"/>
      <c r="C50" s="1051">
        <v>0</v>
      </c>
      <c r="D50" s="1052"/>
      <c r="E50" s="8"/>
      <c r="F50" s="10"/>
      <c r="G50" s="10"/>
      <c r="H50" s="10"/>
      <c r="I50" s="10"/>
      <c r="J50" s="10"/>
      <c r="K50" s="10"/>
      <c r="L50" s="10"/>
      <c r="M50" s="10"/>
      <c r="N50" s="10"/>
      <c r="O50" s="10"/>
      <c r="P50" s="10"/>
      <c r="Q50" s="10"/>
      <c r="R50" s="10"/>
      <c r="S50" s="11"/>
      <c r="T50" s="1014" t="s">
        <v>378</v>
      </c>
      <c r="U50" s="1015"/>
      <c r="V50" s="1051">
        <v>0</v>
      </c>
      <c r="W50" s="1052"/>
      <c r="X50" s="8"/>
      <c r="Y50" s="10"/>
      <c r="Z50" s="10"/>
      <c r="AA50" s="10"/>
      <c r="AB50" s="10"/>
      <c r="AC50" s="10"/>
      <c r="AD50" s="10"/>
      <c r="AE50" s="10"/>
      <c r="AF50" s="10"/>
      <c r="AG50" s="10"/>
      <c r="AH50" s="10"/>
      <c r="AI50" s="10"/>
      <c r="AJ50" s="10"/>
      <c r="AK50" s="10"/>
      <c r="AL50" s="11"/>
      <c r="AM50" s="1014" t="s">
        <v>378</v>
      </c>
      <c r="AN50" s="1015"/>
      <c r="AO50" s="1051">
        <v>0</v>
      </c>
      <c r="AP50" s="1052"/>
      <c r="AQ50" s="8"/>
      <c r="AR50" s="10"/>
      <c r="AS50" s="10"/>
      <c r="AT50" s="10"/>
      <c r="AU50" s="10"/>
      <c r="AV50" s="10"/>
      <c r="AW50" s="10"/>
      <c r="AX50" s="10"/>
      <c r="AY50" s="10"/>
      <c r="AZ50" s="10"/>
      <c r="BA50" s="10"/>
      <c r="BB50" s="10"/>
      <c r="BC50" s="10"/>
      <c r="BD50" s="10"/>
      <c r="BE50" s="11"/>
      <c r="BF50" s="1014" t="s">
        <v>378</v>
      </c>
      <c r="BG50" s="1015"/>
      <c r="BH50" s="1051">
        <v>0</v>
      </c>
      <c r="BI50" s="1052"/>
      <c r="BJ50" s="8"/>
      <c r="BK50" s="10"/>
      <c r="BL50" s="10"/>
      <c r="BM50" s="10"/>
      <c r="BN50" s="10"/>
      <c r="BO50" s="10"/>
      <c r="BP50" s="10"/>
      <c r="BQ50" s="10"/>
      <c r="BR50" s="10"/>
      <c r="BS50" s="10"/>
      <c r="BT50" s="10"/>
      <c r="BU50" s="10"/>
      <c r="BV50" s="10"/>
      <c r="BW50" s="10"/>
      <c r="BX50" s="11"/>
      <c r="BY50" s="9"/>
      <c r="BZ50" s="87" t="s">
        <v>383</v>
      </c>
      <c r="CA50" s="1043">
        <f>C53</f>
        <v>200</v>
      </c>
      <c r="CB50" s="1044"/>
      <c r="CC50" s="8" t="s">
        <v>384</v>
      </c>
      <c r="CD50" s="8"/>
      <c r="CE50" s="8"/>
      <c r="CF50" s="8"/>
      <c r="CG50" s="8"/>
      <c r="CH50" s="8"/>
      <c r="CI50" s="8"/>
      <c r="CJ50" s="8"/>
      <c r="CK50" s="87" t="s">
        <v>385</v>
      </c>
      <c r="CL50" s="1041">
        <f>CA51*(1/64)*PI()*(CA52^4-CA53^4)*200000</f>
        <v>1744439000.4490404</v>
      </c>
      <c r="CM50" s="1042"/>
      <c r="CN50" s="654">
        <f>CL50*48/CA50^3</f>
        <v>10466.634002694242</v>
      </c>
      <c r="CO50" s="8"/>
      <c r="CP50" s="8"/>
      <c r="CQ50" s="85"/>
    </row>
    <row r="51" spans="1:95" ht="14.4">
      <c r="A51" s="12"/>
      <c r="B51" s="10"/>
      <c r="C51" s="1276"/>
      <c r="D51" s="1276"/>
      <c r="E51" s="10"/>
      <c r="F51" s="10"/>
      <c r="G51" s="10"/>
      <c r="H51" s="10"/>
      <c r="I51" s="10"/>
      <c r="J51" s="10"/>
      <c r="K51" s="10"/>
      <c r="L51" s="10"/>
      <c r="M51" s="10"/>
      <c r="N51" s="10"/>
      <c r="O51" s="10"/>
      <c r="P51" s="10"/>
      <c r="Q51" s="10"/>
      <c r="R51" s="10"/>
      <c r="S51" s="11"/>
      <c r="T51" s="12"/>
      <c r="U51" s="10"/>
      <c r="V51" s="1276"/>
      <c r="W51" s="1276"/>
      <c r="X51" s="10"/>
      <c r="Y51" s="10"/>
      <c r="Z51" s="10"/>
      <c r="AA51" s="10"/>
      <c r="AB51" s="10"/>
      <c r="AC51" s="10"/>
      <c r="AD51" s="10"/>
      <c r="AE51" s="10"/>
      <c r="AF51" s="10"/>
      <c r="AG51" s="10"/>
      <c r="AH51" s="10"/>
      <c r="AI51" s="10"/>
      <c r="AJ51" s="10"/>
      <c r="AK51" s="10"/>
      <c r="AL51" s="11"/>
      <c r="AM51" s="12"/>
      <c r="AN51" s="10"/>
      <c r="AO51" s="1276"/>
      <c r="AP51" s="1276"/>
      <c r="AQ51" s="10"/>
      <c r="AR51" s="10"/>
      <c r="AS51" s="10"/>
      <c r="AT51" s="10"/>
      <c r="AU51" s="10"/>
      <c r="AV51" s="10"/>
      <c r="AW51" s="10"/>
      <c r="AX51" s="10"/>
      <c r="AY51" s="10"/>
      <c r="AZ51" s="10"/>
      <c r="BA51" s="10"/>
      <c r="BB51" s="10"/>
      <c r="BC51" s="10"/>
      <c r="BD51" s="10"/>
      <c r="BE51" s="11"/>
      <c r="BF51" s="12"/>
      <c r="BG51" s="10"/>
      <c r="BH51" s="1276"/>
      <c r="BI51" s="1276"/>
      <c r="BJ51" s="10"/>
      <c r="BK51" s="10"/>
      <c r="BL51" s="10"/>
      <c r="BM51" s="10"/>
      <c r="BN51" s="10"/>
      <c r="BO51" s="10"/>
      <c r="BP51" s="10"/>
      <c r="BQ51" s="10"/>
      <c r="BR51" s="10"/>
      <c r="BS51" s="10"/>
      <c r="BT51" s="10"/>
      <c r="BU51" s="10"/>
      <c r="BV51" s="10"/>
      <c r="BW51" s="10"/>
      <c r="BX51" s="11"/>
      <c r="BY51" s="9"/>
      <c r="BZ51" s="87" t="s">
        <v>386</v>
      </c>
      <c r="CA51" s="1024">
        <v>1</v>
      </c>
      <c r="CB51" s="1025"/>
      <c r="CC51" s="8" t="s">
        <v>387</v>
      </c>
      <c r="CD51" s="8"/>
      <c r="CE51" s="8"/>
      <c r="CF51" s="8"/>
      <c r="CG51" s="8"/>
      <c r="CH51" s="8"/>
      <c r="CI51" s="8"/>
      <c r="CJ51" s="8"/>
      <c r="CK51" s="87" t="s">
        <v>388</v>
      </c>
      <c r="CL51" s="1041">
        <f>IF(CL46&gt;0,(CL46*CA50^3)/48,CL50)</f>
        <v>1744439000.4490404</v>
      </c>
      <c r="CM51" s="1042"/>
      <c r="CN51" s="654">
        <f>CL51*48/CA50^3</f>
        <v>10466.634002694242</v>
      </c>
      <c r="CO51" s="8"/>
      <c r="CP51" s="8"/>
      <c r="CQ51" s="85"/>
    </row>
    <row r="52" spans="1:95" ht="15">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24">
        <v>25.4</v>
      </c>
      <c r="CB52" s="1025"/>
      <c r="CC52" s="8" t="s">
        <v>392</v>
      </c>
      <c r="CD52" s="8"/>
      <c r="CE52" s="8"/>
      <c r="CF52" s="8"/>
      <c r="CG52" s="8"/>
      <c r="CH52" s="8"/>
      <c r="CI52" s="8"/>
      <c r="CJ52" s="8"/>
      <c r="CK52" s="87" t="s">
        <v>393</v>
      </c>
      <c r="CL52" s="1045">
        <f>IF(CL51&gt;=CL50,0,(CN51^-1-CN50^-1)^-1)</f>
        <v>0</v>
      </c>
      <c r="CM52" s="1046"/>
      <c r="CN52" s="8"/>
      <c r="CO52" s="8"/>
      <c r="CP52" s="8"/>
      <c r="CQ52" s="85"/>
    </row>
    <row r="53" spans="1:95" ht="12.75" customHeight="1">
      <c r="A53" s="9"/>
      <c r="B53" s="88" t="s">
        <v>383</v>
      </c>
      <c r="C53" s="1274">
        <v>200</v>
      </c>
      <c r="D53" s="1275"/>
      <c r="E53" s="8" t="s">
        <v>394</v>
      </c>
      <c r="F53" s="10"/>
      <c r="G53" s="10"/>
      <c r="H53" s="10"/>
      <c r="I53" s="10"/>
      <c r="J53" s="10"/>
      <c r="K53" s="10"/>
      <c r="L53" s="10"/>
      <c r="M53" s="10"/>
      <c r="N53" s="10"/>
      <c r="O53" s="10"/>
      <c r="P53" s="10"/>
      <c r="Q53" s="10"/>
      <c r="R53" s="10"/>
      <c r="S53" s="11"/>
      <c r="T53" s="9"/>
      <c r="U53" s="88" t="s">
        <v>383</v>
      </c>
      <c r="V53" s="1274">
        <v>200</v>
      </c>
      <c r="W53" s="1275"/>
      <c r="X53" s="8" t="s">
        <v>394</v>
      </c>
      <c r="Y53" s="10"/>
      <c r="Z53" s="10"/>
      <c r="AA53" s="10"/>
      <c r="AB53" s="10"/>
      <c r="AC53" s="10"/>
      <c r="AD53" s="10"/>
      <c r="AE53" s="10"/>
      <c r="AF53" s="10"/>
      <c r="AG53" s="10"/>
      <c r="AH53" s="10"/>
      <c r="AI53" s="10"/>
      <c r="AJ53" s="10"/>
      <c r="AK53" s="10"/>
      <c r="AL53" s="11"/>
      <c r="AM53" s="9"/>
      <c r="AN53" s="88" t="s">
        <v>383</v>
      </c>
      <c r="AO53" s="1274">
        <v>200</v>
      </c>
      <c r="AP53" s="1275"/>
      <c r="AQ53" s="8" t="s">
        <v>394</v>
      </c>
      <c r="AR53" s="10"/>
      <c r="AS53" s="10"/>
      <c r="AT53" s="10"/>
      <c r="AU53" s="10"/>
      <c r="AV53" s="10"/>
      <c r="AW53" s="10"/>
      <c r="AX53" s="10"/>
      <c r="AY53" s="10"/>
      <c r="AZ53" s="10"/>
      <c r="BA53" s="10"/>
      <c r="BB53" s="10"/>
      <c r="BC53" s="10"/>
      <c r="BD53" s="10"/>
      <c r="BE53" s="11"/>
      <c r="BF53" s="9"/>
      <c r="BG53" s="88" t="s">
        <v>383</v>
      </c>
      <c r="BH53" s="1274">
        <v>200</v>
      </c>
      <c r="BI53" s="1275"/>
      <c r="BJ53" s="8" t="s">
        <v>394</v>
      </c>
      <c r="BK53" s="10"/>
      <c r="BL53" s="10"/>
      <c r="BM53" s="10"/>
      <c r="BN53" s="10"/>
      <c r="BO53" s="10"/>
      <c r="BP53" s="10"/>
      <c r="BQ53" s="10"/>
      <c r="BR53" s="10"/>
      <c r="BS53" s="10"/>
      <c r="BT53" s="10"/>
      <c r="BU53" s="10"/>
      <c r="BV53" s="10"/>
      <c r="BW53" s="10"/>
      <c r="BX53" s="11"/>
      <c r="BY53" s="9"/>
      <c r="BZ53" s="87" t="s">
        <v>395</v>
      </c>
      <c r="CA53" s="1024">
        <v>22.1</v>
      </c>
      <c r="CB53" s="1025"/>
      <c r="CC53" s="8" t="s">
        <v>396</v>
      </c>
      <c r="CD53" s="8"/>
      <c r="CE53" s="8"/>
      <c r="CF53" s="8"/>
      <c r="CG53" s="8"/>
      <c r="CH53" s="8"/>
      <c r="CI53" s="8"/>
      <c r="CJ53" s="8"/>
      <c r="CK53" s="8"/>
      <c r="CL53" s="8"/>
      <c r="CM53" s="8"/>
      <c r="CN53" s="8"/>
      <c r="CO53" s="8"/>
      <c r="CP53" s="8"/>
      <c r="CQ53" s="85"/>
    </row>
    <row r="54" spans="1:95">
      <c r="A54" s="1022" t="s">
        <v>397</v>
      </c>
      <c r="B54" s="1023"/>
      <c r="C54" s="1060">
        <v>150</v>
      </c>
      <c r="D54" s="1061"/>
      <c r="E54" s="8" t="s">
        <v>78</v>
      </c>
      <c r="F54" s="10"/>
      <c r="G54" s="10"/>
      <c r="H54" s="10"/>
      <c r="I54" s="10"/>
      <c r="J54" s="10"/>
      <c r="K54" s="10"/>
      <c r="L54" s="10"/>
      <c r="M54" s="10"/>
      <c r="N54" s="10"/>
      <c r="O54" s="10"/>
      <c r="P54" s="10"/>
      <c r="Q54" s="10"/>
      <c r="R54" s="10"/>
      <c r="S54" s="11"/>
      <c r="T54" s="1022" t="s">
        <v>397</v>
      </c>
      <c r="U54" s="1023"/>
      <c r="V54" s="1060">
        <v>150</v>
      </c>
      <c r="W54" s="1061"/>
      <c r="X54" s="8" t="s">
        <v>78</v>
      </c>
      <c r="Y54" s="10"/>
      <c r="Z54" s="10"/>
      <c r="AA54" s="10"/>
      <c r="AB54" s="10"/>
      <c r="AC54" s="10"/>
      <c r="AD54" s="10"/>
      <c r="AE54" s="10"/>
      <c r="AF54" s="10"/>
      <c r="AG54" s="10"/>
      <c r="AH54" s="10"/>
      <c r="AI54" s="10"/>
      <c r="AJ54" s="10"/>
      <c r="AK54" s="10"/>
      <c r="AL54" s="11"/>
      <c r="AM54" s="1022" t="s">
        <v>397</v>
      </c>
      <c r="AN54" s="1023"/>
      <c r="AO54" s="1060">
        <v>150</v>
      </c>
      <c r="AP54" s="1061"/>
      <c r="AQ54" s="8" t="s">
        <v>78</v>
      </c>
      <c r="AR54" s="10"/>
      <c r="AS54" s="10"/>
      <c r="AT54" s="10"/>
      <c r="AU54" s="10"/>
      <c r="AV54" s="10"/>
      <c r="AW54" s="10"/>
      <c r="AX54" s="10"/>
      <c r="AY54" s="10"/>
      <c r="AZ54" s="10"/>
      <c r="BA54" s="10"/>
      <c r="BB54" s="10"/>
      <c r="BC54" s="10"/>
      <c r="BD54" s="10"/>
      <c r="BE54" s="11"/>
      <c r="BF54" s="1022" t="s">
        <v>397</v>
      </c>
      <c r="BG54" s="1023"/>
      <c r="BH54" s="1060">
        <v>150</v>
      </c>
      <c r="BI54" s="1061"/>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22" t="s">
        <v>399</v>
      </c>
      <c r="B55" s="1023"/>
      <c r="C55" s="1263">
        <v>0</v>
      </c>
      <c r="D55" s="1264"/>
      <c r="E55" s="8" t="s">
        <v>400</v>
      </c>
      <c r="F55" s="8"/>
      <c r="G55" s="8"/>
      <c r="H55" s="8"/>
      <c r="I55" s="8"/>
      <c r="J55" s="8"/>
      <c r="K55" s="8"/>
      <c r="L55" s="8"/>
      <c r="M55" s="8"/>
      <c r="N55" s="8"/>
      <c r="O55" s="10"/>
      <c r="P55" s="10"/>
      <c r="Q55" s="10"/>
      <c r="R55" s="10"/>
      <c r="S55" s="11"/>
      <c r="T55" s="1022" t="s">
        <v>399</v>
      </c>
      <c r="U55" s="1023"/>
      <c r="V55" s="1263">
        <v>0</v>
      </c>
      <c r="W55" s="1264"/>
      <c r="X55" s="8" t="s">
        <v>400</v>
      </c>
      <c r="Y55" s="8"/>
      <c r="Z55" s="8"/>
      <c r="AA55" s="8"/>
      <c r="AB55" s="8"/>
      <c r="AC55" s="8"/>
      <c r="AD55" s="8"/>
      <c r="AE55" s="8"/>
      <c r="AF55" s="8"/>
      <c r="AG55" s="8"/>
      <c r="AH55" s="10"/>
      <c r="AI55" s="10"/>
      <c r="AJ55" s="10"/>
      <c r="AK55" s="10"/>
      <c r="AL55" s="11"/>
      <c r="AM55" s="1022" t="s">
        <v>399</v>
      </c>
      <c r="AN55" s="1023"/>
      <c r="AO55" s="1263">
        <v>0</v>
      </c>
      <c r="AP55" s="1264"/>
      <c r="AQ55" s="8" t="s">
        <v>400</v>
      </c>
      <c r="AR55" s="8"/>
      <c r="AS55" s="8"/>
      <c r="AT55" s="8"/>
      <c r="AU55" s="8"/>
      <c r="AV55" s="8"/>
      <c r="AW55" s="8"/>
      <c r="AX55" s="8"/>
      <c r="AY55" s="8"/>
      <c r="AZ55" s="8"/>
      <c r="BA55" s="10"/>
      <c r="BB55" s="10"/>
      <c r="BC55" s="10"/>
      <c r="BD55" s="10"/>
      <c r="BE55" s="11"/>
      <c r="BF55" s="1022" t="s">
        <v>399</v>
      </c>
      <c r="BG55" s="1023"/>
      <c r="BH55" s="1263">
        <v>0</v>
      </c>
      <c r="BI55" s="1264"/>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22" t="s">
        <v>401</v>
      </c>
      <c r="B56" s="1023"/>
      <c r="C56" s="1265">
        <v>1</v>
      </c>
      <c r="D56" s="1266"/>
      <c r="E56" s="8" t="s">
        <v>76</v>
      </c>
      <c r="F56" s="8"/>
      <c r="G56" s="8"/>
      <c r="H56" s="8"/>
      <c r="I56" s="8"/>
      <c r="J56" s="8"/>
      <c r="K56" s="8"/>
      <c r="L56" s="8"/>
      <c r="M56" s="8"/>
      <c r="N56" s="8"/>
      <c r="O56" s="10"/>
      <c r="P56" s="10"/>
      <c r="Q56" s="10"/>
      <c r="R56" s="10"/>
      <c r="S56" s="11"/>
      <c r="T56" s="1022" t="s">
        <v>401</v>
      </c>
      <c r="U56" s="1023"/>
      <c r="V56" s="1265">
        <v>1</v>
      </c>
      <c r="W56" s="1266"/>
      <c r="X56" s="8" t="s">
        <v>76</v>
      </c>
      <c r="Y56" s="8"/>
      <c r="Z56" s="8"/>
      <c r="AA56" s="8"/>
      <c r="AB56" s="8"/>
      <c r="AC56" s="8"/>
      <c r="AD56" s="8"/>
      <c r="AE56" s="8"/>
      <c r="AF56" s="8"/>
      <c r="AG56" s="8"/>
      <c r="AH56" s="10"/>
      <c r="AI56" s="10"/>
      <c r="AJ56" s="10"/>
      <c r="AK56" s="10"/>
      <c r="AL56" s="11"/>
      <c r="AM56" s="1022" t="s">
        <v>401</v>
      </c>
      <c r="AN56" s="1023"/>
      <c r="AO56" s="1265">
        <v>1</v>
      </c>
      <c r="AP56" s="1266"/>
      <c r="AQ56" s="8" t="s">
        <v>76</v>
      </c>
      <c r="AR56" s="8"/>
      <c r="AS56" s="8"/>
      <c r="AT56" s="8"/>
      <c r="AU56" s="8"/>
      <c r="AV56" s="8"/>
      <c r="AW56" s="8"/>
      <c r="AX56" s="8"/>
      <c r="AY56" s="8"/>
      <c r="AZ56" s="8"/>
      <c r="BA56" s="10"/>
      <c r="BB56" s="10"/>
      <c r="BC56" s="10"/>
      <c r="BD56" s="10"/>
      <c r="BE56" s="11"/>
      <c r="BF56" s="1022" t="s">
        <v>401</v>
      </c>
      <c r="BG56" s="1023"/>
      <c r="BH56" s="1265">
        <v>1</v>
      </c>
      <c r="BI56" s="1266"/>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22" t="s">
        <v>402</v>
      </c>
      <c r="B57" s="1023"/>
      <c r="C57" s="1265">
        <v>1</v>
      </c>
      <c r="D57" s="1266"/>
      <c r="E57" s="8" t="s">
        <v>77</v>
      </c>
      <c r="F57" s="8"/>
      <c r="G57" s="8"/>
      <c r="H57" s="8"/>
      <c r="I57" s="8"/>
      <c r="J57" s="8"/>
      <c r="K57" s="8"/>
      <c r="L57" s="8"/>
      <c r="M57" s="8"/>
      <c r="N57" s="8"/>
      <c r="O57" s="10"/>
      <c r="P57" s="10"/>
      <c r="Q57" s="10"/>
      <c r="R57" s="10"/>
      <c r="S57" s="11"/>
      <c r="T57" s="1022" t="s">
        <v>402</v>
      </c>
      <c r="U57" s="1023"/>
      <c r="V57" s="1265">
        <v>1</v>
      </c>
      <c r="W57" s="1266"/>
      <c r="X57" s="8" t="s">
        <v>77</v>
      </c>
      <c r="Y57" s="8"/>
      <c r="Z57" s="8"/>
      <c r="AA57" s="8"/>
      <c r="AB57" s="8"/>
      <c r="AC57" s="8"/>
      <c r="AD57" s="8"/>
      <c r="AE57" s="8"/>
      <c r="AF57" s="8"/>
      <c r="AG57" s="8"/>
      <c r="AH57" s="10"/>
      <c r="AI57" s="10"/>
      <c r="AJ57" s="10"/>
      <c r="AK57" s="10"/>
      <c r="AL57" s="11"/>
      <c r="AM57" s="1022" t="s">
        <v>402</v>
      </c>
      <c r="AN57" s="1023"/>
      <c r="AO57" s="1265">
        <v>1</v>
      </c>
      <c r="AP57" s="1266"/>
      <c r="AQ57" s="8" t="s">
        <v>77</v>
      </c>
      <c r="AR57" s="8"/>
      <c r="AS57" s="8"/>
      <c r="AT57" s="8"/>
      <c r="AU57" s="8"/>
      <c r="AV57" s="8"/>
      <c r="AW57" s="8"/>
      <c r="AX57" s="8"/>
      <c r="AY57" s="8"/>
      <c r="AZ57" s="8"/>
      <c r="BA57" s="10"/>
      <c r="BB57" s="10"/>
      <c r="BC57" s="10"/>
      <c r="BD57" s="10"/>
      <c r="BE57" s="11"/>
      <c r="BF57" s="1022" t="s">
        <v>402</v>
      </c>
      <c r="BG57" s="1023"/>
      <c r="BH57" s="1265">
        <v>1</v>
      </c>
      <c r="BI57" s="1266"/>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4">
      <c r="A58" s="90"/>
      <c r="B58" s="87" t="s">
        <v>403</v>
      </c>
      <c r="C58" s="1031">
        <f>(C54*(((C55+C56+C57)^3)-(C55^3)))/12</f>
        <v>100</v>
      </c>
      <c r="D58" s="1032"/>
      <c r="E58" s="8" t="s">
        <v>404</v>
      </c>
      <c r="F58" s="8"/>
      <c r="G58" s="8"/>
      <c r="H58" s="8"/>
      <c r="I58" s="8"/>
      <c r="J58" s="8"/>
      <c r="K58" s="8"/>
      <c r="L58" s="8"/>
      <c r="M58" s="8"/>
      <c r="N58" s="8"/>
      <c r="O58" s="10"/>
      <c r="P58" s="10"/>
      <c r="Q58" s="10"/>
      <c r="R58" s="10"/>
      <c r="S58" s="11"/>
      <c r="T58" s="90"/>
      <c r="U58" s="87" t="s">
        <v>403</v>
      </c>
      <c r="V58" s="1031">
        <f>(V54*(((V55+V56+V57)^3)-(V55^3)))/12</f>
        <v>100</v>
      </c>
      <c r="W58" s="1032"/>
      <c r="X58" s="8" t="s">
        <v>404</v>
      </c>
      <c r="Y58" s="8"/>
      <c r="Z58" s="8"/>
      <c r="AA58" s="8"/>
      <c r="AB58" s="8"/>
      <c r="AC58" s="8"/>
      <c r="AD58" s="8"/>
      <c r="AE58" s="8"/>
      <c r="AF58" s="8"/>
      <c r="AG58" s="8"/>
      <c r="AH58" s="10"/>
      <c r="AI58" s="10"/>
      <c r="AJ58" s="10"/>
      <c r="AK58" s="10"/>
      <c r="AL58" s="11"/>
      <c r="AM58" s="90"/>
      <c r="AN58" s="87" t="s">
        <v>403</v>
      </c>
      <c r="AO58" s="1031">
        <f>(AO54*(((AO55+AO56+AO57)^3)-(AO55^3)))/12</f>
        <v>100</v>
      </c>
      <c r="AP58" s="1032"/>
      <c r="AQ58" s="8" t="s">
        <v>404</v>
      </c>
      <c r="AR58" s="8"/>
      <c r="AS58" s="8"/>
      <c r="AT58" s="8"/>
      <c r="AU58" s="8"/>
      <c r="AV58" s="8"/>
      <c r="AW58" s="8"/>
      <c r="AX58" s="8"/>
      <c r="AY58" s="8"/>
      <c r="AZ58" s="8"/>
      <c r="BA58" s="10"/>
      <c r="BB58" s="10"/>
      <c r="BC58" s="10"/>
      <c r="BD58" s="10"/>
      <c r="BE58" s="11"/>
      <c r="BF58" s="90"/>
      <c r="BG58" s="87" t="s">
        <v>403</v>
      </c>
      <c r="BH58" s="1031">
        <f>(BH54*(((BH55+BH56+BH57)^3)-(BH55^3)))/12</f>
        <v>100</v>
      </c>
      <c r="BI58" s="1032"/>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16">
        <f>IF(C47&gt;0,0.001*((N46*(C47-C46)*C53^3)/(48*C58*(C47-C46))),0)</f>
        <v>0</v>
      </c>
      <c r="D59" s="1017"/>
      <c r="E59" s="8" t="s">
        <v>406</v>
      </c>
      <c r="F59" s="10"/>
      <c r="G59" s="10"/>
      <c r="H59" s="10"/>
      <c r="I59" s="10"/>
      <c r="J59" s="10"/>
      <c r="K59" s="10"/>
      <c r="L59" s="10"/>
      <c r="M59" s="10"/>
      <c r="N59" s="10"/>
      <c r="O59" s="10"/>
      <c r="P59" s="10"/>
      <c r="Q59" s="10"/>
      <c r="R59" s="10"/>
      <c r="S59" s="11"/>
      <c r="T59" s="12"/>
      <c r="U59" s="87" t="s">
        <v>405</v>
      </c>
      <c r="V59" s="1016">
        <f>IF(V47&gt;0,0.001*((AG46*(V47-V46)*V53^3)/(48*V58*(V47-V46))),0)</f>
        <v>0</v>
      </c>
      <c r="W59" s="1017"/>
      <c r="X59" s="8" t="s">
        <v>406</v>
      </c>
      <c r="Y59" s="10"/>
      <c r="Z59" s="10"/>
      <c r="AA59" s="10"/>
      <c r="AB59" s="10"/>
      <c r="AC59" s="10"/>
      <c r="AD59" s="10"/>
      <c r="AE59" s="10"/>
      <c r="AF59" s="10"/>
      <c r="AG59" s="10"/>
      <c r="AH59" s="10"/>
      <c r="AI59" s="10"/>
      <c r="AJ59" s="10"/>
      <c r="AK59" s="10"/>
      <c r="AL59" s="11"/>
      <c r="AM59" s="12"/>
      <c r="AN59" s="87" t="s">
        <v>405</v>
      </c>
      <c r="AO59" s="1016">
        <f>IF(AO47&gt;0,0.001*((AZ46*(AO47-AO46)*AO53^3)/(48*AO58*(AO47-AO46))),0)</f>
        <v>0</v>
      </c>
      <c r="AP59" s="1017"/>
      <c r="AQ59" s="8" t="s">
        <v>406</v>
      </c>
      <c r="AR59" s="10"/>
      <c r="AS59" s="10"/>
      <c r="AT59" s="10"/>
      <c r="AU59" s="10"/>
      <c r="AV59" s="10"/>
      <c r="AW59" s="10"/>
      <c r="AX59" s="10"/>
      <c r="AY59" s="10"/>
      <c r="AZ59" s="10"/>
      <c r="BA59" s="10"/>
      <c r="BB59" s="10"/>
      <c r="BC59" s="10"/>
      <c r="BD59" s="10"/>
      <c r="BE59" s="11"/>
      <c r="BF59" s="12"/>
      <c r="BG59" s="87" t="s">
        <v>405</v>
      </c>
      <c r="BH59" s="1016">
        <f>IF(BH47&gt;0,0.001*((BS46*(BH47-BH46)*BH53^3)/(48*BH58*(BH47-BH46))),0)</f>
        <v>0</v>
      </c>
      <c r="BI59" s="1017"/>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c r="A60" s="91"/>
      <c r="B60" s="92" t="s">
        <v>407</v>
      </c>
      <c r="C60" s="1029">
        <f>C50*C53*0.5*SUM(C55:D57)/(4*C58)</f>
        <v>0</v>
      </c>
      <c r="D60" s="1030"/>
      <c r="E60" s="93" t="s">
        <v>408</v>
      </c>
      <c r="F60" s="94"/>
      <c r="G60" s="94"/>
      <c r="H60" s="94"/>
      <c r="I60" s="94"/>
      <c r="J60" s="94"/>
      <c r="K60" s="94"/>
      <c r="L60" s="94"/>
      <c r="M60" s="94"/>
      <c r="N60" s="94"/>
      <c r="O60" s="94"/>
      <c r="P60" s="94"/>
      <c r="Q60" s="94"/>
      <c r="R60" s="94"/>
      <c r="S60" s="95"/>
      <c r="T60" s="91"/>
      <c r="U60" s="92" t="s">
        <v>407</v>
      </c>
      <c r="V60" s="1029">
        <f>V50*V53*0.5*SUM(V55:W57)/(4*V58)</f>
        <v>0</v>
      </c>
      <c r="W60" s="1030"/>
      <c r="X60" s="93" t="s">
        <v>408</v>
      </c>
      <c r="Y60" s="94"/>
      <c r="Z60" s="94"/>
      <c r="AA60" s="94"/>
      <c r="AB60" s="94"/>
      <c r="AC60" s="94"/>
      <c r="AD60" s="94"/>
      <c r="AE60" s="94"/>
      <c r="AF60" s="94"/>
      <c r="AG60" s="94"/>
      <c r="AH60" s="94"/>
      <c r="AI60" s="94"/>
      <c r="AJ60" s="94"/>
      <c r="AK60" s="94"/>
      <c r="AL60" s="95"/>
      <c r="AM60" s="91"/>
      <c r="AN60" s="92" t="s">
        <v>407</v>
      </c>
      <c r="AO60" s="1029">
        <f>AO50*AO53*0.5*SUM(AO55:AP57)/(4*AO58)</f>
        <v>0</v>
      </c>
      <c r="AP60" s="1030"/>
      <c r="AQ60" s="93" t="s">
        <v>408</v>
      </c>
      <c r="AR60" s="94"/>
      <c r="AS60" s="94"/>
      <c r="AT60" s="94"/>
      <c r="AU60" s="94"/>
      <c r="AV60" s="94"/>
      <c r="AW60" s="94"/>
      <c r="AX60" s="94"/>
      <c r="AY60" s="94"/>
      <c r="AZ60" s="94"/>
      <c r="BA60" s="94"/>
      <c r="BB60" s="94"/>
      <c r="BC60" s="94"/>
      <c r="BD60" s="94"/>
      <c r="BE60" s="95"/>
      <c r="BF60" s="91"/>
      <c r="BG60" s="92" t="s">
        <v>407</v>
      </c>
      <c r="BH60" s="1029">
        <f>BH50*BH53*0.5*SUM(BH55:BI57)/(4*BH58)</f>
        <v>0</v>
      </c>
      <c r="BI60" s="1030"/>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22" t="s">
        <v>635</v>
      </c>
      <c r="B61" s="1023"/>
      <c r="C61" s="1278"/>
      <c r="D61" s="1279"/>
      <c r="E61" s="553" t="s">
        <v>636</v>
      </c>
      <c r="F61" s="10"/>
      <c r="G61" s="10"/>
      <c r="H61" s="10"/>
      <c r="I61" s="10"/>
      <c r="J61" s="10"/>
      <c r="K61" s="10"/>
      <c r="L61" s="10"/>
      <c r="M61" s="10"/>
      <c r="N61" s="10"/>
      <c r="O61" s="10"/>
      <c r="P61" s="10"/>
      <c r="Q61" s="10"/>
      <c r="R61" s="10"/>
      <c r="S61" s="11"/>
      <c r="T61" s="1022" t="s">
        <v>635</v>
      </c>
      <c r="U61" s="1023"/>
      <c r="V61" s="1278"/>
      <c r="W61" s="1279"/>
      <c r="X61" s="1267" t="s">
        <v>636</v>
      </c>
      <c r="Y61" s="1268"/>
      <c r="Z61" s="1268"/>
      <c r="AA61" s="1268"/>
      <c r="AB61" s="1268"/>
      <c r="AC61" s="1268"/>
      <c r="AD61" s="1268"/>
      <c r="AE61" s="1268"/>
      <c r="AF61" s="1268"/>
      <c r="AG61" s="1268"/>
      <c r="AH61" s="1268"/>
      <c r="AI61" s="1268"/>
      <c r="AJ61" s="1268"/>
      <c r="AK61" s="1268"/>
      <c r="AL61" s="1269"/>
      <c r="AM61" s="1022" t="s">
        <v>635</v>
      </c>
      <c r="AN61" s="1023"/>
      <c r="AO61" s="1278"/>
      <c r="AP61" s="1279"/>
      <c r="AQ61" t="s">
        <v>636</v>
      </c>
      <c r="AR61" s="10"/>
      <c r="AS61" s="10"/>
      <c r="AT61" s="10"/>
      <c r="AU61" s="10"/>
      <c r="AV61" s="10"/>
      <c r="AW61" s="10"/>
      <c r="AX61" s="10"/>
      <c r="AY61" s="10"/>
      <c r="AZ61" s="10"/>
      <c r="BA61" s="10"/>
      <c r="BB61" s="10"/>
      <c r="BC61" s="10"/>
      <c r="BD61" s="10"/>
      <c r="BE61" s="11"/>
      <c r="BF61" s="1022" t="s">
        <v>635</v>
      </c>
      <c r="BG61" s="1023"/>
      <c r="BH61" s="1272"/>
      <c r="BI61" s="1273"/>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16" t="str" cm="1">
        <f t="array" ref="C62">_xlfn.IFS(AND(NOT(C55=0),C56&gt;=C61,C57&gt;=C61,NOT(ISBLANK(C61)),NOT(C61=0)),"PASS",AND(C55=0,(C56+C57)&gt;=C61,NOT(ISBLANK(C61)),NOT(C61=0)),"PASS", AND(NOT(C55=0),OR(C56&lt;C61,C57&lt;C61,ISBLANK(C61),C61=0)),"FAIL",AND(C55=0,OR((C56+C57)&lt;C61,ISBLANK(C61),C61=0)),"FAIL")</f>
        <v>FAIL</v>
      </c>
      <c r="D62" s="1117"/>
      <c r="E62" s="8"/>
      <c r="F62" s="10"/>
      <c r="G62" s="10"/>
      <c r="H62" s="10"/>
      <c r="I62" s="10"/>
      <c r="J62" s="10"/>
      <c r="K62" s="10"/>
      <c r="L62" s="10"/>
      <c r="M62" s="10"/>
      <c r="N62" s="10"/>
      <c r="O62" s="10"/>
      <c r="P62" s="10"/>
      <c r="Q62" s="10"/>
      <c r="R62" s="10"/>
      <c r="S62" s="11"/>
      <c r="T62" s="12"/>
      <c r="U62" s="293"/>
      <c r="V62" s="1116" t="str" cm="1">
        <f t="array" ref="V62">_xlfn.IFS(AND(NOT(V55=0),V56&gt;=V61,V57&gt;=V61,NOT(ISBLANK(V61)),NOT(V61=0)),"PASS",AND(V55=0,(V56+V57)&gt;=V61,NOT(ISBLANK(V61)),NOT(V61=0)),"PASS", AND(NOT(V55=0),OR(V56&lt;V61,V57&lt;V61,ISBLANK(V61),V61=0)),"FAIL",AND(V55=0,OR((V56+V57)&lt;V61,ISBLANK(V61),V61=0)),"FAIL")</f>
        <v>FAIL</v>
      </c>
      <c r="W62" s="1117"/>
      <c r="X62" s="8"/>
      <c r="Y62" s="10"/>
      <c r="Z62" s="10"/>
      <c r="AA62" s="10"/>
      <c r="AB62" s="10"/>
      <c r="AC62" s="10"/>
      <c r="AD62" s="10"/>
      <c r="AE62" s="10"/>
      <c r="AF62" s="10"/>
      <c r="AG62" s="10"/>
      <c r="AH62" s="10"/>
      <c r="AI62" s="10"/>
      <c r="AJ62" s="10"/>
      <c r="AK62" s="10"/>
      <c r="AL62" s="11"/>
      <c r="AM62" s="12"/>
      <c r="AN62" s="293"/>
      <c r="AO62" s="1116" t="str">
        <f t="array" ref="AO62">_xlfn.IFS(AND(NOT(AO55=0),AO56&gt;=AO61,AO57&gt;=AO61,NOT(ISBLANK(AO61)),NOT(AO61=0)),"PASS",AND(AO55=0,(AO56+AO57)&gt;=AO61,NOT(ISBLANK(AO61)),NOT(AO61=0)),"PASS", AND(NOT(AO55=0),OR(AO56&lt;AO61,AO57&lt;AO61,ISBLANK(AO61),AO61=0)),"FAIL",AND(AO55=0,OR((AO56+AO57)&lt;AO61,ISBLANK(AO61),AO61=0)),"FAIL")</f>
        <v>FAIL</v>
      </c>
      <c r="AP62" s="1117"/>
      <c r="AQ62" s="8"/>
      <c r="AR62" s="10"/>
      <c r="AS62" s="10"/>
      <c r="AT62" s="10"/>
      <c r="AU62" s="10"/>
      <c r="AV62" s="10"/>
      <c r="AW62" s="10"/>
      <c r="AX62" s="10"/>
      <c r="AY62" s="10"/>
      <c r="AZ62" s="10"/>
      <c r="BA62" s="10"/>
      <c r="BB62" s="10"/>
      <c r="BC62" s="10"/>
      <c r="BD62" s="10"/>
      <c r="BE62" s="11"/>
      <c r="BF62" s="12"/>
      <c r="BG62" s="293"/>
      <c r="BH62" s="1116" t="str">
        <f t="array" ref="BH62">_xlfn.IFS(AND(NOT(BH55=0),BH56&gt;=BH61,BH57&gt;=BH61,NOT(ISBLANK(BH61)),NOT(BH61=0)),"PASS",AND(BH55=0,(BH56+BH57)&gt;=BH61,NOT(ISBLANK(BH61)),NOT(BH61=0)),"PASS", AND(NOT(BH55=0),OR(BH56&lt;BH61,BH57&lt;BH61,ISBLANK(BH61),BH61=0)),"FAIL",AND(BH55=0,OR((BH56+BH57)&lt;BH61,ISBLANK(BH61),BH61=0)),"FAIL")</f>
        <v>FAIL</v>
      </c>
      <c r="BI62" s="1117"/>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0" t="s">
        <v>637</v>
      </c>
      <c r="BG63" s="1271"/>
      <c r="BH63" s="1271"/>
      <c r="BI63" s="1271"/>
      <c r="BJ63" s="1271"/>
      <c r="BK63" s="1271"/>
      <c r="BL63" s="1271"/>
      <c r="BM63" s="1271"/>
      <c r="BN63" s="1271"/>
      <c r="BO63" s="1271"/>
      <c r="BP63" s="1271"/>
      <c r="BQ63" s="1271"/>
      <c r="BR63" s="1271"/>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0"/>
      <c r="I82" s="1050"/>
      <c r="J82" s="104"/>
      <c r="K82" s="104"/>
      <c r="L82" s="104"/>
      <c r="M82" s="104"/>
      <c r="N82" s="104"/>
      <c r="O82" s="104"/>
      <c r="P82" s="104"/>
      <c r="Q82" s="104"/>
      <c r="R82" s="104"/>
      <c r="S82" s="149"/>
      <c r="T82" s="148"/>
      <c r="U82" s="581"/>
      <c r="V82" s="835" t="s">
        <v>638</v>
      </c>
      <c r="W82" s="836" t="s">
        <v>413</v>
      </c>
      <c r="Y82" s="104"/>
      <c r="Z82" s="104"/>
      <c r="AA82" s="1050"/>
      <c r="AB82" s="1050"/>
      <c r="AC82" s="104"/>
      <c r="AD82" s="104"/>
      <c r="AE82" s="104"/>
      <c r="AF82" s="104"/>
      <c r="AG82" s="104"/>
      <c r="AH82" s="104"/>
      <c r="AI82" s="104"/>
      <c r="AJ82" s="104"/>
      <c r="AK82" s="104"/>
      <c r="AL82" s="149"/>
      <c r="AM82" s="148"/>
      <c r="AN82" s="581"/>
      <c r="AO82" s="835" t="s">
        <v>638</v>
      </c>
      <c r="AP82" s="836" t="s">
        <v>413</v>
      </c>
      <c r="AR82" s="104"/>
      <c r="AS82" s="104"/>
      <c r="AT82" s="1050"/>
      <c r="AU82" s="1050"/>
      <c r="AV82" s="104"/>
      <c r="AW82" s="104"/>
      <c r="AX82" s="104"/>
      <c r="AY82" s="104"/>
      <c r="AZ82" s="104"/>
      <c r="BA82" s="104"/>
      <c r="BB82" s="104"/>
      <c r="BC82" s="104"/>
      <c r="BD82" s="104"/>
      <c r="BE82" s="149"/>
      <c r="BF82" s="148"/>
      <c r="BG82" s="581"/>
      <c r="BH82" s="835" t="s">
        <v>638</v>
      </c>
      <c r="BI82" s="836" t="s">
        <v>413</v>
      </c>
      <c r="BK82" s="104"/>
      <c r="BL82" s="104"/>
      <c r="BM82" s="1050"/>
      <c r="BN82" s="1050"/>
      <c r="BO82" s="104"/>
      <c r="BP82" s="104"/>
      <c r="BQ82" s="104"/>
      <c r="BR82" s="104"/>
      <c r="BS82" s="104"/>
      <c r="BT82" s="104"/>
      <c r="BU82" s="104"/>
      <c r="BV82" s="104"/>
      <c r="BW82" s="104"/>
      <c r="BX82" s="149"/>
      <c r="BY82" s="148"/>
      <c r="BZ82" s="581"/>
      <c r="CA82" s="835" t="s">
        <v>638</v>
      </c>
      <c r="CB82" s="836" t="s">
        <v>413</v>
      </c>
      <c r="CD82" s="104"/>
      <c r="CE82" s="104"/>
      <c r="CF82" s="1050"/>
      <c r="CG82" s="1050"/>
      <c r="CH82" s="104"/>
      <c r="CI82" s="104"/>
      <c r="CJ82" s="104"/>
      <c r="CK82" s="104"/>
      <c r="CL82" s="104"/>
      <c r="CM82" s="104"/>
      <c r="CN82" s="104"/>
      <c r="CO82" s="104"/>
      <c r="CP82" s="104"/>
      <c r="CQ82" s="149"/>
    </row>
    <row r="83" spans="1:95" ht="14.4">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56" priority="23" stopIfTrue="1">
      <formula>C62="PASS"</formula>
    </cfRule>
    <cfRule type="expression" dxfId="55" priority="24" stopIfTrue="1">
      <formula>C62="FAIL"</formula>
    </cfRule>
  </conditionalFormatting>
  <conditionalFormatting sqref="AO62">
    <cfRule type="expression" dxfId="54" priority="9" stopIfTrue="1">
      <formula>AO62="PASS"</formula>
    </cfRule>
    <cfRule type="expression" dxfId="53" priority="10" stopIfTrue="1">
      <formula>AO62="FAIL"</formula>
    </cfRule>
  </conditionalFormatting>
  <conditionalFormatting sqref="V62">
    <cfRule type="expression" dxfId="52" priority="13" stopIfTrue="1">
      <formula>V62="PASS"</formula>
    </cfRule>
    <cfRule type="expression" dxfId="51" priority="14" stopIfTrue="1">
      <formula>V62="FAIL"</formula>
    </cfRule>
  </conditionalFormatting>
  <conditionalFormatting sqref="BH62">
    <cfRule type="expression" dxfId="50" priority="5" stopIfTrue="1">
      <formula>BH62="PASS"</formula>
    </cfRule>
    <cfRule type="expression" dxfId="49" priority="6" stopIfTrue="1">
      <formula>BH62="FAIL"</formula>
    </cfRule>
  </conditionalFormatting>
  <conditionalFormatting sqref="C53:D53">
    <cfRule type="cellIs" dxfId="48" priority="4" operator="lessThan">
      <formula>200</formula>
    </cfRule>
  </conditionalFormatting>
  <conditionalFormatting sqref="V53:W53">
    <cfRule type="cellIs" dxfId="47" priority="3" operator="lessThan">
      <formula>200</formula>
    </cfRule>
  </conditionalFormatting>
  <conditionalFormatting sqref="AO53:AP53">
    <cfRule type="cellIs" dxfId="46" priority="2" operator="lessThan">
      <formula>200</formula>
    </cfRule>
  </conditionalFormatting>
  <conditionalFormatting sqref="BH53:BI53">
    <cfRule type="cellIs" dxfId="45"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topLeftCell="A31" zoomScaleNormal="100" zoomScaleSheetLayoutView="100" workbookViewId="0">
      <selection activeCell="BT3" sqref="BT3:BX3"/>
    </sheetView>
  </sheetViews>
  <sheetFormatPr baseColWidth="10" defaultColWidth="11.44140625" defaultRowHeight="13.2"/>
  <cols>
    <col min="1" max="76" width="5" style="123" customWidth="1"/>
    <col min="77" max="16384" width="11.44140625" style="123"/>
  </cols>
  <sheetData>
    <row r="1" spans="1:76">
      <c r="A1" s="1075" t="s">
        <v>639</v>
      </c>
      <c r="B1" s="1075"/>
      <c r="C1" s="1075"/>
      <c r="D1" s="1075"/>
      <c r="E1" s="1075"/>
      <c r="F1" s="1075"/>
      <c r="G1" s="1075"/>
      <c r="H1" s="1075"/>
      <c r="I1" s="1075"/>
      <c r="J1" s="1075"/>
      <c r="K1" s="1075"/>
      <c r="L1" s="1075"/>
      <c r="M1" s="1075"/>
      <c r="N1" s="1075"/>
      <c r="O1" s="1075"/>
      <c r="P1" s="1075"/>
      <c r="Q1" s="1075"/>
      <c r="R1" s="1075"/>
      <c r="S1" s="1075"/>
      <c r="T1" s="1075" t="s">
        <v>640</v>
      </c>
      <c r="U1" s="1075"/>
      <c r="V1" s="1075"/>
      <c r="W1" s="1075"/>
      <c r="X1" s="1075"/>
      <c r="Y1" s="1075"/>
      <c r="Z1" s="1075"/>
      <c r="AA1" s="1075"/>
      <c r="AB1" s="1075"/>
      <c r="AC1" s="1075"/>
      <c r="AD1" s="1075"/>
      <c r="AE1" s="1075"/>
      <c r="AF1" s="1075"/>
      <c r="AG1" s="1075"/>
      <c r="AH1" s="1075"/>
      <c r="AI1" s="1075"/>
      <c r="AJ1" s="1075"/>
      <c r="AK1" s="1075"/>
      <c r="AL1" s="1075"/>
      <c r="AM1" s="1075" t="s">
        <v>641</v>
      </c>
      <c r="AN1" s="1075"/>
      <c r="AO1" s="1075"/>
      <c r="AP1" s="1075"/>
      <c r="AQ1" s="1075"/>
      <c r="AR1" s="1075"/>
      <c r="AS1" s="1075"/>
      <c r="AT1" s="1075"/>
      <c r="AU1" s="1075"/>
      <c r="AV1" s="1075"/>
      <c r="AW1" s="1075"/>
      <c r="AX1" s="1075"/>
      <c r="AY1" s="1075"/>
      <c r="AZ1" s="1075"/>
      <c r="BA1" s="1075"/>
      <c r="BB1" s="1075"/>
      <c r="BC1" s="1075"/>
      <c r="BD1" s="1075"/>
      <c r="BE1" s="1075"/>
      <c r="BF1" s="1075" t="s">
        <v>642</v>
      </c>
      <c r="BG1" s="1075"/>
      <c r="BH1" s="1075"/>
      <c r="BI1" s="1075"/>
      <c r="BJ1" s="1075"/>
      <c r="BK1" s="1075"/>
      <c r="BL1" s="1075"/>
      <c r="BM1" s="1075"/>
      <c r="BN1" s="1075"/>
      <c r="BO1" s="1075"/>
      <c r="BP1" s="1075"/>
      <c r="BQ1" s="1075"/>
      <c r="BR1" s="1075"/>
      <c r="BS1" s="1075"/>
      <c r="BT1" s="1075"/>
      <c r="BU1" s="1075"/>
      <c r="BV1" s="1075"/>
      <c r="BW1" s="1075"/>
      <c r="BX1" s="1075"/>
    </row>
    <row r="3" spans="1:76">
      <c r="A3" s="123" t="s">
        <v>48</v>
      </c>
      <c r="D3" s="1226" t="str">
        <f>IF('Cover Sheet'!$D$14&gt;0,'Cover Sheet'!$D$14,"")</f>
        <v>Ecole Centrale Lyon</v>
      </c>
      <c r="E3" s="1226"/>
      <c r="F3" s="1226"/>
      <c r="G3" s="1226"/>
      <c r="H3" s="1226"/>
      <c r="I3" s="1226"/>
      <c r="J3" s="1226"/>
      <c r="K3" s="123" t="s">
        <v>49</v>
      </c>
      <c r="O3" s="1226" t="str">
        <f>IF('Cover Sheet'!O14&gt;0,'Cover Sheet'!O14,"")</f>
        <v>81 FSCH</v>
      </c>
      <c r="P3" s="1226"/>
      <c r="Q3" s="1226"/>
      <c r="R3" s="1226"/>
      <c r="S3" s="1226"/>
      <c r="T3" s="123" t="s">
        <v>48</v>
      </c>
      <c r="W3" s="1226" t="str">
        <f>IF('Cover Sheet'!$D$14&gt;0,'Cover Sheet'!$D$14,"")</f>
        <v>Ecole Centrale Lyon</v>
      </c>
      <c r="X3" s="1226"/>
      <c r="Y3" s="1226"/>
      <c r="Z3" s="1226"/>
      <c r="AA3" s="1226"/>
      <c r="AB3" s="1226"/>
      <c r="AC3" s="1226"/>
      <c r="AD3" s="123" t="s">
        <v>49</v>
      </c>
      <c r="AH3" s="1226" t="str">
        <f>IF('Cover Sheet'!O14&gt;0,'Cover Sheet'!O14,"")</f>
        <v>81 FSCH</v>
      </c>
      <c r="AI3" s="1226"/>
      <c r="AJ3" s="1226"/>
      <c r="AK3" s="1226"/>
      <c r="AL3" s="1226"/>
      <c r="AM3" s="123" t="s">
        <v>48</v>
      </c>
      <c r="AP3" s="1226" t="str">
        <f>IF('Cover Sheet'!$D$14&gt;0,'Cover Sheet'!$D$14,"")</f>
        <v>Ecole Centrale Lyon</v>
      </c>
      <c r="AQ3" s="1226"/>
      <c r="AR3" s="1226"/>
      <c r="AS3" s="1226"/>
      <c r="AT3" s="1226"/>
      <c r="AU3" s="1226"/>
      <c r="AV3" s="1226"/>
      <c r="AW3" s="123" t="s">
        <v>49</v>
      </c>
      <c r="BA3" s="1226" t="str">
        <f>IF('Cover Sheet'!O14&gt;0,'Cover Sheet'!O14,"")</f>
        <v>81 FSCH</v>
      </c>
      <c r="BB3" s="1226"/>
      <c r="BC3" s="1226"/>
      <c r="BD3" s="1226"/>
      <c r="BE3" s="1226"/>
      <c r="BF3" s="123" t="s">
        <v>48</v>
      </c>
      <c r="BI3" s="1226" t="str">
        <f>IF('Cover Sheet'!$D$14&gt;0,'Cover Sheet'!$D$14,"")</f>
        <v>Ecole Centrale Lyon</v>
      </c>
      <c r="BJ3" s="1226"/>
      <c r="BK3" s="1226"/>
      <c r="BL3" s="1226"/>
      <c r="BM3" s="1226"/>
      <c r="BN3" s="1226"/>
      <c r="BO3" s="1226"/>
      <c r="BP3" s="123" t="s">
        <v>49</v>
      </c>
      <c r="BT3" s="1226" t="str">
        <f>IF('Cover Sheet'!O14&gt;0,'Cover Sheet'!O14,"")</f>
        <v>81 FSCH</v>
      </c>
      <c r="BU3" s="1226"/>
      <c r="BV3" s="1226"/>
      <c r="BW3" s="1226"/>
      <c r="BX3" s="1226"/>
    </row>
    <row r="5" spans="1:76" ht="12.75" customHeight="1">
      <c r="A5" s="1053"/>
      <c r="B5" s="1054"/>
      <c r="C5" s="1054"/>
      <c r="D5" s="1054"/>
      <c r="E5" s="1054"/>
      <c r="F5" s="1054"/>
      <c r="G5" s="1054"/>
      <c r="H5" s="1054"/>
      <c r="I5" s="1054"/>
      <c r="J5" s="1054"/>
      <c r="K5" s="1054"/>
      <c r="L5" s="1054"/>
      <c r="M5" s="1054"/>
      <c r="N5" s="1054"/>
      <c r="O5" s="1054"/>
      <c r="P5" s="1054"/>
      <c r="Q5" s="1054"/>
      <c r="R5" s="1054"/>
      <c r="S5" s="1055"/>
      <c r="T5" s="1053"/>
      <c r="U5" s="1054"/>
      <c r="V5" s="1054"/>
      <c r="W5" s="1054"/>
      <c r="X5" s="1054"/>
      <c r="Y5" s="1054"/>
      <c r="Z5" s="1054"/>
      <c r="AA5" s="1054"/>
      <c r="AB5" s="1054"/>
      <c r="AC5" s="1054"/>
      <c r="AD5" s="1054"/>
      <c r="AE5" s="1054"/>
      <c r="AF5" s="1054"/>
      <c r="AG5" s="1054"/>
      <c r="AH5" s="1054"/>
      <c r="AI5" s="1054"/>
      <c r="AJ5" s="1054"/>
      <c r="AK5" s="1054"/>
      <c r="AL5" s="1055"/>
      <c r="AM5" s="1053"/>
      <c r="AN5" s="1054"/>
      <c r="AO5" s="1054"/>
      <c r="AP5" s="1054"/>
      <c r="AQ5" s="1054"/>
      <c r="AR5" s="1054"/>
      <c r="AS5" s="1054"/>
      <c r="AT5" s="1054"/>
      <c r="AU5" s="1054"/>
      <c r="AV5" s="1054"/>
      <c r="AW5" s="1054"/>
      <c r="AX5" s="1054"/>
      <c r="AY5" s="1054"/>
      <c r="AZ5" s="1054"/>
      <c r="BA5" s="1054"/>
      <c r="BB5" s="1054"/>
      <c r="BC5" s="1054"/>
      <c r="BD5" s="1054"/>
      <c r="BE5" s="1055"/>
      <c r="BF5" s="1053"/>
      <c r="BG5" s="1054"/>
      <c r="BH5" s="1054"/>
      <c r="BI5" s="1054"/>
      <c r="BJ5" s="1054"/>
      <c r="BK5" s="1054"/>
      <c r="BL5" s="1054"/>
      <c r="BM5" s="1054"/>
      <c r="BN5" s="1054"/>
      <c r="BO5" s="1054"/>
      <c r="BP5" s="1054"/>
      <c r="BQ5" s="1054"/>
      <c r="BR5" s="1054"/>
      <c r="BS5" s="1054"/>
      <c r="BT5" s="1054"/>
      <c r="BU5" s="1054"/>
      <c r="BV5" s="1054"/>
      <c r="BW5" s="1054"/>
      <c r="BX5" s="1055"/>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6" t="s">
        <v>378</v>
      </c>
      <c r="B48" s="1077"/>
      <c r="C48" s="1078"/>
      <c r="D48" s="1079">
        <v>0</v>
      </c>
      <c r="E48" s="1080"/>
      <c r="F48" s="195"/>
      <c r="H48" s="198"/>
      <c r="I48" s="196"/>
      <c r="J48" s="196"/>
      <c r="K48" s="196"/>
      <c r="L48" s="196"/>
      <c r="M48" s="196"/>
      <c r="N48" s="196"/>
      <c r="O48" s="196"/>
      <c r="P48" s="196"/>
      <c r="Q48" s="196"/>
      <c r="R48" s="196"/>
      <c r="S48" s="197"/>
      <c r="T48" s="1076" t="s">
        <v>378</v>
      </c>
      <c r="U48" s="1077"/>
      <c r="V48" s="1078"/>
      <c r="W48" s="1079">
        <v>0</v>
      </c>
      <c r="X48" s="1080"/>
      <c r="Y48" s="195"/>
      <c r="AA48" s="198"/>
      <c r="AB48" s="196"/>
      <c r="AC48" s="196"/>
      <c r="AD48" s="196"/>
      <c r="AE48" s="196"/>
      <c r="AF48" s="196"/>
      <c r="AG48" s="196"/>
      <c r="AH48" s="196"/>
      <c r="AI48" s="196"/>
      <c r="AJ48" s="196"/>
      <c r="AK48" s="196"/>
      <c r="AL48" s="197"/>
      <c r="AM48" s="1076" t="s">
        <v>378</v>
      </c>
      <c r="AN48" s="1077"/>
      <c r="AO48" s="1078"/>
      <c r="AP48" s="1079">
        <v>0</v>
      </c>
      <c r="AQ48" s="1080"/>
      <c r="AR48" s="195"/>
      <c r="AT48" s="198"/>
      <c r="AU48" s="196"/>
      <c r="AV48" s="196"/>
      <c r="AW48" s="196"/>
      <c r="AX48" s="196"/>
      <c r="AY48" s="196"/>
      <c r="AZ48" s="196"/>
      <c r="BA48" s="196"/>
      <c r="BB48" s="196"/>
      <c r="BC48" s="196"/>
      <c r="BD48" s="196"/>
      <c r="BE48" s="197"/>
      <c r="BF48" s="1076" t="s">
        <v>378</v>
      </c>
      <c r="BG48" s="1077"/>
      <c r="BH48" s="1078"/>
      <c r="BI48" s="1079">
        <v>0</v>
      </c>
      <c r="BJ48" s="1080"/>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1" t="s">
        <v>447</v>
      </c>
      <c r="C51" s="1082"/>
      <c r="D51" s="1083">
        <v>0</v>
      </c>
      <c r="E51" s="1084"/>
      <c r="F51" s="198"/>
      <c r="G51" s="198"/>
      <c r="H51" s="198"/>
      <c r="I51" s="198"/>
      <c r="J51" s="198"/>
      <c r="K51" s="198"/>
      <c r="L51" s="198"/>
      <c r="M51" s="198"/>
      <c r="N51" s="198"/>
      <c r="O51" s="196"/>
      <c r="P51" s="196"/>
      <c r="Q51" s="196"/>
      <c r="R51" s="196"/>
      <c r="S51" s="197"/>
      <c r="U51" s="1081" t="s">
        <v>447</v>
      </c>
      <c r="V51" s="1082"/>
      <c r="W51" s="1083">
        <v>0</v>
      </c>
      <c r="X51" s="1084"/>
      <c r="Y51" s="198"/>
      <c r="Z51" s="198"/>
      <c r="AA51" s="198"/>
      <c r="AB51" s="198"/>
      <c r="AC51" s="198"/>
      <c r="AD51" s="198"/>
      <c r="AE51" s="198"/>
      <c r="AF51" s="198"/>
      <c r="AG51" s="198"/>
      <c r="AH51" s="196"/>
      <c r="AI51" s="196"/>
      <c r="AJ51" s="196"/>
      <c r="AK51" s="196"/>
      <c r="AL51" s="197"/>
      <c r="AN51" s="1081" t="s">
        <v>447</v>
      </c>
      <c r="AO51" s="1082"/>
      <c r="AP51" s="1083">
        <v>0</v>
      </c>
      <c r="AQ51" s="1084"/>
      <c r="AR51" s="198"/>
      <c r="AS51" s="198"/>
      <c r="AT51" s="198"/>
      <c r="AU51" s="198"/>
      <c r="AV51" s="198"/>
      <c r="AW51" s="198"/>
      <c r="AX51" s="198"/>
      <c r="AY51" s="198"/>
      <c r="AZ51" s="198"/>
      <c r="BA51" s="196"/>
      <c r="BB51" s="196"/>
      <c r="BC51" s="196"/>
      <c r="BD51" s="196"/>
      <c r="BE51" s="197"/>
      <c r="BG51" s="1081" t="s">
        <v>447</v>
      </c>
      <c r="BH51" s="1082"/>
      <c r="BI51" s="1083">
        <v>0</v>
      </c>
      <c r="BJ51" s="1084"/>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0" t="s">
        <v>448</v>
      </c>
      <c r="B53" s="1071"/>
      <c r="C53" s="1072"/>
      <c r="D53" s="1073">
        <f>IF(D51&gt;0,D48/(PI()*25*D51),0)</f>
        <v>0</v>
      </c>
      <c r="E53" s="1074"/>
      <c r="F53" s="198"/>
      <c r="G53" s="198"/>
      <c r="H53" s="198"/>
      <c r="I53" s="198"/>
      <c r="J53" s="198"/>
      <c r="K53" s="198"/>
      <c r="L53" s="198"/>
      <c r="M53" s="198"/>
      <c r="N53" s="198"/>
      <c r="O53" s="198"/>
      <c r="P53" s="196"/>
      <c r="Q53" s="196"/>
      <c r="R53" s="196"/>
      <c r="S53" s="197"/>
      <c r="T53" s="1070" t="s">
        <v>448</v>
      </c>
      <c r="U53" s="1071"/>
      <c r="V53" s="1072"/>
      <c r="W53" s="1073">
        <f>IF(W51&gt;0,W48/(PI()*25*W51),0)</f>
        <v>0</v>
      </c>
      <c r="X53" s="1074"/>
      <c r="Y53" s="198"/>
      <c r="Z53" s="198"/>
      <c r="AA53" s="198"/>
      <c r="AB53" s="198"/>
      <c r="AC53" s="198"/>
      <c r="AD53" s="198"/>
      <c r="AE53" s="198"/>
      <c r="AF53" s="198"/>
      <c r="AG53" s="198"/>
      <c r="AH53" s="198"/>
      <c r="AI53" s="196"/>
      <c r="AJ53" s="196"/>
      <c r="AK53" s="196"/>
      <c r="AL53" s="197"/>
      <c r="AM53" s="1070" t="s">
        <v>448</v>
      </c>
      <c r="AN53" s="1071"/>
      <c r="AO53" s="1072"/>
      <c r="AP53" s="1073">
        <f>IF(AP51&gt;0,AP48/(PI()*25*AP51),0)</f>
        <v>0</v>
      </c>
      <c r="AQ53" s="1074"/>
      <c r="AR53" s="198"/>
      <c r="AS53" s="198"/>
      <c r="AT53" s="198"/>
      <c r="AU53" s="198"/>
      <c r="AV53" s="198"/>
      <c r="AW53" s="198"/>
      <c r="AX53" s="198"/>
      <c r="AY53" s="198"/>
      <c r="AZ53" s="198"/>
      <c r="BA53" s="198"/>
      <c r="BB53" s="196"/>
      <c r="BC53" s="196"/>
      <c r="BD53" s="196"/>
      <c r="BE53" s="197"/>
      <c r="BF53" s="1070" t="s">
        <v>448</v>
      </c>
      <c r="BG53" s="1071"/>
      <c r="BH53" s="1072"/>
      <c r="BI53" s="1073">
        <f>IF(BI51&gt;0,BI48/(PI()*25*BI51),0)</f>
        <v>0</v>
      </c>
      <c r="BJ53" s="1074"/>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2.8">
      <c r="A59" s="148"/>
      <c r="B59" s="581"/>
      <c r="C59" s="835" t="s">
        <v>638</v>
      </c>
      <c r="D59" s="836" t="s">
        <v>413</v>
      </c>
      <c r="E59"/>
      <c r="F59" s="104"/>
      <c r="G59" s="104"/>
      <c r="H59" s="1050"/>
      <c r="I59" s="1050"/>
      <c r="J59" s="104"/>
      <c r="K59" s="104"/>
      <c r="L59" s="104"/>
      <c r="M59" s="104"/>
      <c r="N59" s="104"/>
      <c r="O59" s="104"/>
      <c r="P59" s="104"/>
      <c r="Q59" s="104"/>
      <c r="R59" s="104"/>
      <c r="S59" s="149"/>
      <c r="T59" s="148"/>
      <c r="U59" s="581"/>
      <c r="V59" s="835" t="s">
        <v>638</v>
      </c>
      <c r="W59" s="836" t="s">
        <v>413</v>
      </c>
      <c r="X59"/>
      <c r="Y59" s="104"/>
      <c r="Z59" s="104"/>
      <c r="AA59" s="1050"/>
      <c r="AB59" s="1050"/>
      <c r="AC59" s="104"/>
      <c r="AD59" s="104"/>
      <c r="AE59" s="104"/>
      <c r="AF59" s="104"/>
      <c r="AG59" s="104"/>
      <c r="AH59" s="104"/>
      <c r="AI59" s="104"/>
      <c r="AJ59" s="104"/>
      <c r="AK59" s="104"/>
      <c r="AL59" s="149"/>
      <c r="AM59" s="148"/>
      <c r="AN59" s="581"/>
      <c r="AO59" s="835" t="s">
        <v>638</v>
      </c>
      <c r="AP59" s="836" t="s">
        <v>413</v>
      </c>
      <c r="AQ59"/>
      <c r="AR59" s="104"/>
      <c r="AS59" s="104"/>
      <c r="AT59" s="1050"/>
      <c r="AU59" s="1050"/>
      <c r="AV59" s="104"/>
      <c r="AW59" s="104"/>
      <c r="AX59" s="104"/>
      <c r="AY59" s="104"/>
      <c r="AZ59" s="104"/>
      <c r="BA59" s="104"/>
      <c r="BB59" s="104"/>
      <c r="BC59" s="104"/>
      <c r="BD59" s="104"/>
      <c r="BE59" s="149"/>
      <c r="BF59" s="148"/>
      <c r="BG59" s="581"/>
      <c r="BH59" s="835" t="s">
        <v>638</v>
      </c>
      <c r="BI59" s="836" t="s">
        <v>413</v>
      </c>
      <c r="BJ59"/>
      <c r="BK59" s="104"/>
      <c r="BL59" s="104"/>
      <c r="BM59" s="1050"/>
      <c r="BN59" s="1050"/>
      <c r="BO59" s="104"/>
      <c r="BP59" s="104"/>
      <c r="BQ59" s="104"/>
      <c r="BR59" s="104"/>
      <c r="BS59" s="104"/>
      <c r="BT59" s="104"/>
      <c r="BU59" s="104"/>
      <c r="BV59" s="104"/>
      <c r="BW59" s="104"/>
      <c r="BX59" s="149"/>
    </row>
    <row r="60" spans="1:76" ht="14.4">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 ref="W3:AC3"/>
    <mergeCell ref="AH3:AL3"/>
    <mergeCell ref="T48:V48"/>
    <mergeCell ref="D48:E48"/>
    <mergeCell ref="A5:S5"/>
    <mergeCell ref="T5:AL5"/>
    <mergeCell ref="W48:X48"/>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BF1:BX1"/>
    <mergeCell ref="BI3:BO3"/>
    <mergeCell ref="BT3:BX3"/>
    <mergeCell ref="BF48:BH48"/>
    <mergeCell ref="BI48:BJ48"/>
    <mergeCell ref="BF5:BX5"/>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4140625" defaultRowHeight="13.2"/>
  <cols>
    <col min="1" max="1" width="3.44140625" customWidth="1"/>
    <col min="2" max="2" width="45.6640625" customWidth="1"/>
    <col min="3" max="3" width="16.6640625" bestFit="1" customWidth="1"/>
    <col min="4" max="4" width="15.44140625" bestFit="1" customWidth="1"/>
    <col min="5" max="5" width="17.33203125" bestFit="1" customWidth="1"/>
    <col min="6" max="6" width="15.44140625" bestFit="1" customWidth="1"/>
    <col min="7" max="7" width="17.33203125" bestFit="1" customWidth="1"/>
    <col min="8" max="8" width="15.44140625" bestFit="1" customWidth="1"/>
    <col min="9" max="9" width="17.33203125" bestFit="1" customWidth="1"/>
    <col min="10" max="10" width="15.44140625" bestFit="1" customWidth="1"/>
  </cols>
  <sheetData>
    <row r="1" spans="2:14" ht="15.6">
      <c r="B1" s="1" t="s">
        <v>648</v>
      </c>
    </row>
    <row r="2" spans="2:14">
      <c r="L2" s="164" t="s">
        <v>249</v>
      </c>
      <c r="M2" s="164"/>
      <c r="N2" s="164"/>
    </row>
    <row r="3" spans="2:14">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3">
    <cfRule type="cellIs" dxfId="44" priority="126" stopIfTrue="1" operator="lessThan">
      <formula>1</formula>
    </cfRule>
    <cfRule type="cellIs" dxfId="43" priority="127" stopIfTrue="1" operator="greaterThanOrEqual">
      <formula>1</formula>
    </cfRule>
  </conditionalFormatting>
  <conditionalFormatting sqref="D24">
    <cfRule type="cellIs" dxfId="42" priority="124" stopIfTrue="1" operator="lessThan">
      <formula>1</formula>
    </cfRule>
    <cfRule type="cellIs" dxfId="41" priority="125" stopIfTrue="1" operator="greaterThanOrEqual">
      <formula>1</formula>
    </cfRule>
  </conditionalFormatting>
  <conditionalFormatting sqref="D25">
    <cfRule type="cellIs" dxfId="40" priority="119" stopIfTrue="1" operator="equal">
      <formula>"N/A"</formula>
    </cfRule>
    <cfRule type="cellIs" dxfId="39" priority="120" stopIfTrue="1" operator="equal">
      <formula>"FAIL"</formula>
    </cfRule>
    <cfRule type="cellIs" dxfId="38" priority="121" stopIfTrue="1" operator="equal">
      <formula>"PASS"</formula>
    </cfRule>
  </conditionalFormatting>
  <conditionalFormatting sqref="D22">
    <cfRule type="cellIs" dxfId="37" priority="84" stopIfTrue="1" operator="lessThan">
      <formula>1</formula>
    </cfRule>
    <cfRule type="cellIs" dxfId="36" priority="85" stopIfTrue="1" operator="greaterThanOrEqual">
      <formula>1</formula>
    </cfRule>
  </conditionalFormatting>
  <conditionalFormatting sqref="F25">
    <cfRule type="cellIs" dxfId="35" priority="37" stopIfTrue="1" operator="equal">
      <formula>"N/A"</formula>
    </cfRule>
    <cfRule type="cellIs" dxfId="34" priority="38" stopIfTrue="1" operator="equal">
      <formula>"FAIL"</formula>
    </cfRule>
    <cfRule type="cellIs" dxfId="33" priority="39" stopIfTrue="1" operator="equal">
      <formula>"PASS"</formula>
    </cfRule>
  </conditionalFormatting>
  <conditionalFormatting sqref="J25">
    <cfRule type="cellIs" dxfId="32" priority="28" stopIfTrue="1" operator="equal">
      <formula>"N/A"</formula>
    </cfRule>
    <cfRule type="cellIs" dxfId="31" priority="29" stopIfTrue="1" operator="equal">
      <formula>"FAIL"</formula>
    </cfRule>
    <cfRule type="cellIs" dxfId="30" priority="30" stopIfTrue="1" operator="equal">
      <formula>"PASS"</formula>
    </cfRule>
  </conditionalFormatting>
  <conditionalFormatting sqref="F22">
    <cfRule type="cellIs" dxfId="29" priority="26" stopIfTrue="1" operator="lessThan">
      <formula>1</formula>
    </cfRule>
    <cfRule type="cellIs" dxfId="28" priority="27" stopIfTrue="1" operator="greaterThanOrEqual">
      <formula>1</formula>
    </cfRule>
  </conditionalFormatting>
  <conditionalFormatting sqref="J22">
    <cfRule type="cellIs" dxfId="27" priority="22" stopIfTrue="1" operator="lessThan">
      <formula>1</formula>
    </cfRule>
    <cfRule type="cellIs" dxfId="26" priority="23" stopIfTrue="1" operator="greaterThanOrEqual">
      <formula>1</formula>
    </cfRule>
  </conditionalFormatting>
  <conditionalFormatting sqref="F24">
    <cfRule type="cellIs" dxfId="25" priority="20" stopIfTrue="1" operator="lessThan">
      <formula>1</formula>
    </cfRule>
    <cfRule type="cellIs" dxfId="24" priority="21" stopIfTrue="1" operator="greaterThanOrEqual">
      <formula>1</formula>
    </cfRule>
  </conditionalFormatting>
  <conditionalFormatting sqref="J24">
    <cfRule type="cellIs" dxfId="23" priority="16" stopIfTrue="1" operator="lessThan">
      <formula>1</formula>
    </cfRule>
    <cfRule type="cellIs" dxfId="22" priority="17" stopIfTrue="1" operator="greaterThanOrEqual">
      <formula>1</formula>
    </cfRule>
  </conditionalFormatting>
  <conditionalFormatting sqref="F23">
    <cfRule type="cellIs" dxfId="21" priority="14" stopIfTrue="1" operator="lessThan">
      <formula>1</formula>
    </cfRule>
    <cfRule type="cellIs" dxfId="20" priority="15" stopIfTrue="1" operator="greaterThanOrEqual">
      <formula>1</formula>
    </cfRule>
  </conditionalFormatting>
  <conditionalFormatting sqref="J23">
    <cfRule type="cellIs" dxfId="19" priority="10" stopIfTrue="1" operator="lessThan">
      <formula>1</formula>
    </cfRule>
    <cfRule type="cellIs" dxfId="18" priority="11" stopIfTrue="1" operator="greaterThanOrEqual">
      <formula>1</formula>
    </cfRule>
  </conditionalFormatting>
  <conditionalFormatting sqref="H25">
    <cfRule type="cellIs" dxfId="17" priority="7" stopIfTrue="1" operator="equal">
      <formula>"N/A"</formula>
    </cfRule>
    <cfRule type="cellIs" dxfId="16" priority="8" stopIfTrue="1" operator="equal">
      <formula>"FAIL"</formula>
    </cfRule>
    <cfRule type="cellIs" dxfId="15" priority="9" stopIfTrue="1" operator="equal">
      <formula>"PASS"</formula>
    </cfRule>
  </conditionalFormatting>
  <conditionalFormatting sqref="H22">
    <cfRule type="cellIs" dxfId="14" priority="5" stopIfTrue="1" operator="lessThan">
      <formula>1</formula>
    </cfRule>
    <cfRule type="cellIs" dxfId="13" priority="6" stopIfTrue="1" operator="greaterThanOrEqual">
      <formula>1</formula>
    </cfRule>
  </conditionalFormatting>
  <conditionalFormatting sqref="H24">
    <cfRule type="cellIs" dxfId="12" priority="3" stopIfTrue="1" operator="lessThan">
      <formula>1</formula>
    </cfRule>
    <cfRule type="cellIs" dxfId="11" priority="4" stopIfTrue="1" operator="greaterThanOrEqual">
      <formula>1</formula>
    </cfRule>
  </conditionalFormatting>
  <conditionalFormatting sqref="H23">
    <cfRule type="cellIs" dxfId="10" priority="1" stopIfTrue="1" operator="lessThan">
      <formula>1</formula>
    </cfRule>
    <cfRule type="cellIs" dxfId="9" priority="2" stopIfTrue="1" operator="greaterThanOrEqual">
      <formula>1</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4140625" defaultRowHeight="13.2"/>
  <cols>
    <col min="1" max="1" width="4.33203125" customWidth="1"/>
    <col min="2" max="2" width="29" customWidth="1"/>
    <col min="3" max="3" width="13.5546875" customWidth="1"/>
    <col min="4" max="4" width="7.44140625" customWidth="1"/>
    <col min="5" max="5" width="6.109375" bestFit="1" customWidth="1"/>
    <col min="6" max="6" width="7.44140625" customWidth="1"/>
    <col min="7" max="7" width="6.109375" bestFit="1" customWidth="1"/>
  </cols>
  <sheetData>
    <row r="1" spans="2:7" ht="15.6">
      <c r="B1" s="1" t="s">
        <v>665</v>
      </c>
    </row>
    <row r="3" spans="2:7">
      <c r="B3" s="57" t="s">
        <v>666</v>
      </c>
      <c r="C3" s="850" t="str">
        <f>IF(C5="YES","CHECK",IF(OR(C16&lt;=1,C16=""),"FAIL",IF(C16&lt;2,"CHECK","PASS")))</f>
        <v>FAIL</v>
      </c>
      <c r="D3" s="1280"/>
      <c r="E3" s="1281"/>
      <c r="F3" s="1281"/>
      <c r="G3" s="1281"/>
    </row>
    <row r="4" spans="2:7">
      <c r="B4" s="821"/>
      <c r="C4" s="847"/>
      <c r="D4" s="845"/>
      <c r="E4" s="845"/>
      <c r="F4" s="845"/>
      <c r="G4" s="845"/>
    </row>
    <row r="5" spans="2:7">
      <c r="B5" s="57" t="s">
        <v>667</v>
      </c>
      <c r="C5" s="848"/>
      <c r="D5" s="845"/>
      <c r="E5" s="845"/>
      <c r="F5" s="845"/>
      <c r="G5" s="845"/>
    </row>
    <row r="6" spans="2:7">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c r="B16" s="402" t="s">
        <v>674</v>
      </c>
      <c r="C16" s="447" t="str">
        <f>IF(NOT(C14=0),C10/C14,"")</f>
        <v/>
      </c>
      <c r="D16" s="4"/>
      <c r="E16" s="164" t="s">
        <v>249</v>
      </c>
      <c r="G16" s="64"/>
    </row>
    <row r="17" spans="2:13">
      <c r="C17" s="373" t="str">
        <f>IF(AND(C16&gt;=1,C16&lt;2),"Safety factor must be &gt;2 as per T3.2.8. Please elaborate.","")</f>
        <v/>
      </c>
    </row>
    <row r="18" spans="2:13">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zoomScaleNormal="100" zoomScaleSheetLayoutView="100" workbookViewId="0">
      <selection activeCell="E15" sqref="E15"/>
    </sheetView>
  </sheetViews>
  <sheetFormatPr baseColWidth="10" defaultColWidth="11.44140625" defaultRowHeight="13.2"/>
  <cols>
    <col min="1" max="1" width="5.109375" customWidth="1"/>
    <col min="2" max="2" width="46.88671875" customWidth="1"/>
    <col min="3" max="3" width="11.44140625" customWidth="1"/>
    <col min="4" max="4" width="10.5546875" customWidth="1"/>
    <col min="5" max="5" width="5.88671875" customWidth="1"/>
    <col min="6" max="6" width="8.6640625" customWidth="1"/>
    <col min="7" max="7" width="11.44140625" customWidth="1"/>
    <col min="8" max="8" width="12.44140625" bestFit="1" customWidth="1"/>
    <col min="9" max="9" width="11.44140625" customWidth="1"/>
    <col min="10" max="10" width="5.109375" customWidth="1"/>
    <col min="11" max="15" width="11.44140625" customWidth="1"/>
  </cols>
  <sheetData>
    <row r="1" spans="2:15" ht="15.6">
      <c r="B1" s="1" t="s">
        <v>676</v>
      </c>
      <c r="G1" s="104"/>
      <c r="H1" s="104"/>
      <c r="I1" s="104"/>
      <c r="J1" s="104"/>
      <c r="K1" s="104"/>
      <c r="L1" s="104"/>
      <c r="M1" s="104"/>
      <c r="N1" s="104"/>
      <c r="O1" s="104"/>
    </row>
    <row r="2" spans="2:15">
      <c r="B2" s="3" t="s">
        <v>677</v>
      </c>
      <c r="G2" s="104"/>
      <c r="H2" s="104"/>
      <c r="I2" s="104"/>
      <c r="J2" s="104"/>
      <c r="K2" s="104"/>
      <c r="L2" s="104"/>
      <c r="M2" s="104"/>
      <c r="N2" s="104"/>
      <c r="O2" s="104"/>
    </row>
    <row r="3" spans="2:15" s="6" customFormat="1" ht="26.4">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74">
        <v>25.4</v>
      </c>
      <c r="D13" s="1275"/>
      <c r="G13" s="104"/>
      <c r="H13" s="104"/>
      <c r="I13" s="120"/>
      <c r="J13" s="104"/>
      <c r="K13" s="104"/>
      <c r="L13" s="104"/>
      <c r="M13" s="104"/>
      <c r="N13" s="104"/>
      <c r="O13" s="104"/>
    </row>
    <row r="14" spans="2:15">
      <c r="B14" s="42" t="s">
        <v>236</v>
      </c>
      <c r="C14" s="1274">
        <v>1.2</v>
      </c>
      <c r="D14" s="1275"/>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4">
      <c r="B16" s="53"/>
      <c r="C16" s="52" t="s">
        <v>231</v>
      </c>
      <c r="D16" s="52" t="s">
        <v>678</v>
      </c>
      <c r="G16" s="133"/>
      <c r="H16" s="133"/>
      <c r="I16" s="134"/>
      <c r="J16" s="133"/>
      <c r="K16" s="133"/>
      <c r="L16" s="133"/>
      <c r="M16" s="133"/>
      <c r="N16" s="133"/>
      <c r="O16" s="133"/>
    </row>
    <row r="17" spans="2:15">
      <c r="B17" s="42" t="s">
        <v>237</v>
      </c>
      <c r="C17" s="1282">
        <f>C13/1000</f>
        <v>2.5399999999999999E-2</v>
      </c>
      <c r="D17" s="1283"/>
      <c r="G17" s="104"/>
      <c r="H17" s="104"/>
      <c r="I17" s="120"/>
      <c r="J17" s="104"/>
      <c r="K17" s="104"/>
      <c r="L17" s="104"/>
      <c r="M17" s="104"/>
      <c r="N17" s="104"/>
      <c r="O17" s="104"/>
    </row>
    <row r="18" spans="2:15">
      <c r="B18" s="42" t="s">
        <v>238</v>
      </c>
      <c r="C18" s="1282">
        <f>C14/1000</f>
        <v>1.1999999999999999E-3</v>
      </c>
      <c r="D18" s="1283"/>
      <c r="G18" s="104"/>
      <c r="H18" s="104"/>
      <c r="I18" s="120"/>
      <c r="J18" s="104"/>
      <c r="K18" s="104"/>
      <c r="L18" s="104"/>
      <c r="M18" s="135"/>
      <c r="N18" s="104"/>
      <c r="O18" s="104"/>
    </row>
    <row r="19" spans="2:15">
      <c r="B19" s="42" t="s">
        <v>239</v>
      </c>
      <c r="C19" s="35">
        <f>IF(C5="Round",((C17)^4-((C17-2*C18))^4)*3.142/64,((C17)^4-((C17-2*C18))^4)/12)</f>
        <v>6.6959174567999997E-9</v>
      </c>
      <c r="D19" s="18">
        <v>0</v>
      </c>
      <c r="G19" s="104"/>
      <c r="H19" s="104"/>
      <c r="I19" s="120"/>
      <c r="J19" s="104"/>
      <c r="K19" s="104"/>
      <c r="L19" s="120"/>
      <c r="M19" s="135"/>
      <c r="N19" s="104"/>
      <c r="O19" s="104"/>
    </row>
    <row r="20" spans="2:15">
      <c r="B20" s="42" t="s">
        <v>240</v>
      </c>
      <c r="C20" s="36">
        <f>C7*C19</f>
        <v>1339.1834913599998</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91.231850660247574</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27825.714451375512</v>
      </c>
      <c r="D23" s="36">
        <f>(D$21*D8+D10*$D$22)/1000000</f>
        <v>0</v>
      </c>
      <c r="E23" s="40">
        <f t="shared" si="0"/>
        <v>0</v>
      </c>
      <c r="G23" s="104"/>
      <c r="H23" s="104"/>
      <c r="I23" s="104"/>
      <c r="J23" s="104"/>
      <c r="K23" s="104"/>
      <c r="L23" s="120"/>
      <c r="M23" s="104"/>
      <c r="N23" s="104"/>
      <c r="O23" s="104"/>
    </row>
    <row r="24" spans="2:15">
      <c r="B24" s="42" t="s">
        <v>243</v>
      </c>
      <c r="C24" s="36">
        <f>C21*C9/1000000</f>
        <v>33299.625490990366</v>
      </c>
      <c r="D24" s="36">
        <f>(D$21*D9+D11*$D$22)/1000000</f>
        <v>0</v>
      </c>
      <c r="E24" s="40">
        <f t="shared" si="0"/>
        <v>0</v>
      </c>
      <c r="G24" s="104"/>
      <c r="H24" s="104"/>
      <c r="I24" s="104"/>
      <c r="J24" s="104"/>
      <c r="K24" s="104"/>
      <c r="L24" s="120"/>
      <c r="M24" s="104"/>
      <c r="N24" s="104"/>
      <c r="O24" s="104"/>
    </row>
    <row r="25" spans="2:15">
      <c r="B25" s="42" t="s">
        <v>246</v>
      </c>
      <c r="C25" s="36">
        <f>4*C9*(C19*2/(C17))/1</f>
        <v>769.76688873448825</v>
      </c>
      <c r="D25" s="36">
        <f>4*D9*(D19*2/(C17))/1</f>
        <v>0</v>
      </c>
      <c r="E25" s="40">
        <f t="shared" si="0"/>
        <v>0</v>
      </c>
      <c r="G25" s="104"/>
      <c r="H25" s="104"/>
      <c r="I25" s="104"/>
      <c r="J25" s="104"/>
      <c r="K25" s="104"/>
      <c r="L25" s="104"/>
      <c r="M25" s="104"/>
      <c r="N25" s="104"/>
      <c r="O25" s="104"/>
    </row>
    <row r="26" spans="2:15">
      <c r="B26" s="42" t="s">
        <v>247</v>
      </c>
      <c r="C26" s="36">
        <f>C25*1^3/(48*C7*C19)</f>
        <v>1.1975065616797903E-2</v>
      </c>
      <c r="D26" s="36">
        <f>IF(D19&gt;0,C25*1^3/(48*D7*D19),0)</f>
        <v>0</v>
      </c>
      <c r="E26" s="40">
        <f>IF(D26=0,999,100*D26/C26)</f>
        <v>999</v>
      </c>
      <c r="G26" s="104"/>
      <c r="H26" s="104"/>
      <c r="I26" s="104"/>
      <c r="J26" s="104"/>
      <c r="K26" s="104"/>
      <c r="L26" s="104"/>
      <c r="M26" s="104"/>
      <c r="N26" s="104"/>
      <c r="O26" s="104"/>
    </row>
    <row r="27" spans="2:15">
      <c r="B27" s="42" t="s">
        <v>248</v>
      </c>
      <c r="C27" s="36">
        <f>0.5*C25*(C25*1^3/(48*C7*C19))</f>
        <v>4.6090045011169334</v>
      </c>
      <c r="D27" s="36">
        <f>IF(D19&gt;0,0.5*D25*(D25*1^3/(48*D7*D19)),0)</f>
        <v>0</v>
      </c>
      <c r="E27" s="40">
        <f t="shared" si="0"/>
        <v>0</v>
      </c>
      <c r="G27" s="104"/>
      <c r="H27" s="104"/>
      <c r="I27" s="104"/>
      <c r="J27" s="104"/>
      <c r="K27" s="104"/>
      <c r="L27" s="104"/>
      <c r="M27" s="104"/>
      <c r="N27" s="104"/>
      <c r="O27" s="104"/>
    </row>
    <row r="28" spans="2:15">
      <c r="B28" s="3" t="s">
        <v>682</v>
      </c>
      <c r="G28" s="104"/>
      <c r="H28" s="104"/>
      <c r="I28" s="104"/>
      <c r="J28" s="104"/>
      <c r="K28" s="104"/>
      <c r="L28" s="104"/>
      <c r="M28" s="104"/>
      <c r="N28" s="104"/>
      <c r="O28" s="104"/>
    </row>
    <row r="29" spans="2:15">
      <c r="B29" s="3" t="s">
        <v>683</v>
      </c>
      <c r="D29" s="43"/>
      <c r="G29" s="104"/>
      <c r="H29" s="228" t="s">
        <v>249</v>
      </c>
      <c r="I29" s="228"/>
      <c r="J29" s="104"/>
      <c r="K29" s="104"/>
      <c r="L29" s="104"/>
      <c r="M29" s="104"/>
      <c r="N29" s="104"/>
      <c r="O29" s="104"/>
    </row>
    <row r="30" spans="2: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7 E20:E25">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topLeftCell="A28" zoomScaleNormal="100" zoomScaleSheetLayoutView="100" workbookViewId="0">
      <selection activeCell="H27" sqref="H27"/>
    </sheetView>
  </sheetViews>
  <sheetFormatPr baseColWidth="10" defaultColWidth="11.4414062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bestFit="1" customWidth="1"/>
    <col min="9" max="9" width="11.44140625" customWidth="1"/>
    <col min="10" max="10" width="5.109375" customWidth="1"/>
    <col min="11" max="15" width="11.44140625" customWidth="1"/>
  </cols>
  <sheetData>
    <row r="1" spans="2:15" ht="15.6">
      <c r="B1" s="1" t="s">
        <v>685</v>
      </c>
      <c r="G1" s="104"/>
      <c r="H1" s="104"/>
      <c r="I1" s="104"/>
      <c r="J1" s="104"/>
      <c r="K1" s="104"/>
      <c r="L1" s="104"/>
      <c r="M1" s="104"/>
      <c r="N1" s="104"/>
      <c r="O1" s="104"/>
    </row>
    <row r="2" spans="2:15">
      <c r="B2" s="3"/>
      <c r="G2" s="104"/>
      <c r="H2" s="104"/>
      <c r="I2" s="104"/>
      <c r="J2" s="104"/>
      <c r="K2" s="104"/>
      <c r="L2" s="104"/>
      <c r="M2" s="104"/>
      <c r="N2" s="104"/>
      <c r="O2" s="104"/>
    </row>
    <row r="3" spans="2:15" s="6" customFormat="1" ht="26.4">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74">
        <v>30</v>
      </c>
      <c r="D13" s="1275"/>
      <c r="G13" s="104"/>
      <c r="H13" s="104"/>
      <c r="I13" s="120"/>
      <c r="J13" s="104"/>
      <c r="K13" s="104"/>
      <c r="L13" s="104"/>
      <c r="M13" s="104"/>
      <c r="N13" s="104"/>
      <c r="O13" s="104"/>
    </row>
    <row r="14" spans="2:15">
      <c r="B14" s="374" t="s">
        <v>688</v>
      </c>
      <c r="C14" s="1274">
        <v>2</v>
      </c>
      <c r="D14" s="1275"/>
      <c r="G14" s="104"/>
      <c r="H14" s="104"/>
      <c r="I14" s="120"/>
      <c r="J14" s="104"/>
      <c r="K14" s="104"/>
      <c r="L14" s="104"/>
      <c r="M14" s="104"/>
      <c r="N14" s="104"/>
      <c r="O14" s="104"/>
    </row>
    <row r="15" spans="2:15">
      <c r="B15" s="374" t="s">
        <v>689</v>
      </c>
      <c r="C15" s="1284">
        <v>48</v>
      </c>
      <c r="D15" s="1284"/>
      <c r="G15" s="104"/>
      <c r="H15" s="104"/>
      <c r="I15" s="120"/>
      <c r="J15" s="104"/>
      <c r="K15" s="104"/>
      <c r="L15" s="104"/>
      <c r="M15" s="104"/>
      <c r="N15" s="104"/>
      <c r="O15" s="104"/>
    </row>
    <row r="16" spans="2:15">
      <c r="B16" s="374" t="s">
        <v>690</v>
      </c>
      <c r="C16" s="1284">
        <v>3</v>
      </c>
      <c r="D16" s="1284"/>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4">
      <c r="B18" s="53"/>
      <c r="C18" s="52" t="s">
        <v>231</v>
      </c>
      <c r="D18" s="52" t="s">
        <v>686</v>
      </c>
      <c r="G18" s="133"/>
      <c r="H18" s="133"/>
      <c r="I18" s="134"/>
      <c r="J18" s="133"/>
      <c r="K18" s="133"/>
      <c r="L18" s="133"/>
      <c r="M18" s="133"/>
      <c r="N18" s="133"/>
      <c r="O18" s="133"/>
    </row>
    <row r="19" spans="2:15">
      <c r="B19" s="42" t="s">
        <v>691</v>
      </c>
      <c r="C19" s="35">
        <f>C13/2000</f>
        <v>1.4999999999999999E-2</v>
      </c>
      <c r="D19" s="211">
        <f>C15/2000</f>
        <v>2.4E-2</v>
      </c>
      <c r="G19" s="104"/>
      <c r="H19" s="104"/>
      <c r="I19" s="120"/>
      <c r="J19" s="104"/>
      <c r="K19" s="104"/>
      <c r="L19" s="104"/>
      <c r="M19" s="104"/>
      <c r="N19" s="104"/>
      <c r="O19" s="104"/>
    </row>
    <row r="20" spans="2:15">
      <c r="B20" s="42" t="s">
        <v>692</v>
      </c>
      <c r="C20" s="35">
        <f>C19-C14/1000</f>
        <v>1.2999999999999999E-2</v>
      </c>
      <c r="D20" s="211">
        <f>D19-C16/1000</f>
        <v>2.1000000000000001E-2</v>
      </c>
      <c r="G20" s="104"/>
      <c r="H20" s="104"/>
      <c r="I20" s="120"/>
      <c r="J20" s="104"/>
      <c r="K20" s="104"/>
      <c r="L20" s="104"/>
      <c r="M20" s="135"/>
      <c r="N20" s="104"/>
      <c r="O20" s="104"/>
    </row>
    <row r="21" spans="2:15">
      <c r="B21" s="42" t="s">
        <v>693</v>
      </c>
      <c r="C21" s="212">
        <f>PI()*(C19^2-C20^2)</f>
        <v>1.7592918860102845E-4</v>
      </c>
      <c r="D21" s="215">
        <f>0.5*PI()*(D19^2-D20^2)</f>
        <v>2.12057504117311E-4</v>
      </c>
      <c r="G21" s="104"/>
      <c r="H21" s="104"/>
      <c r="I21" s="120"/>
      <c r="J21" s="104"/>
      <c r="K21" s="104"/>
      <c r="L21" s="104"/>
      <c r="M21" s="135"/>
      <c r="N21" s="104"/>
      <c r="O21" s="104"/>
    </row>
    <row r="22" spans="2:15">
      <c r="B22" s="374" t="s">
        <v>694</v>
      </c>
      <c r="C22" s="172" t="s">
        <v>120</v>
      </c>
      <c r="D22" s="670">
        <f>(4*(D19^3-D20^3))/(3*PI()*(D19^2-D20^2))</f>
        <v>1.4345165537349498E-2</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1.0277626857209169E-8</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225456742.42014</v>
      </c>
      <c r="E26" s="40">
        <f>100*C26/D26</f>
        <v>133.06321948045724</v>
      </c>
      <c r="G26" s="120"/>
      <c r="H26" s="671"/>
      <c r="I26" s="120"/>
      <c r="J26" s="104"/>
      <c r="K26" s="104"/>
      <c r="L26" s="104"/>
      <c r="M26" s="104"/>
      <c r="N26" s="104"/>
      <c r="O26" s="104"/>
    </row>
    <row r="27" spans="2:15">
      <c r="B27" s="3" t="s">
        <v>682</v>
      </c>
      <c r="G27" s="104"/>
      <c r="H27" s="228" t="s">
        <v>249</v>
      </c>
      <c r="I27" s="228"/>
      <c r="J27" s="104"/>
      <c r="K27" s="104"/>
      <c r="L27" s="104"/>
      <c r="M27" s="104"/>
      <c r="N27" s="104"/>
      <c r="O27" s="104"/>
    </row>
    <row r="28" spans="2:15">
      <c r="B28" s="3" t="s">
        <v>697</v>
      </c>
      <c r="D28" s="43"/>
      <c r="G28" s="104"/>
      <c r="H28" s="104"/>
      <c r="I28" s="104"/>
      <c r="J28" s="104"/>
      <c r="K28" s="104"/>
      <c r="L28" s="104"/>
      <c r="M28" s="104"/>
      <c r="N28" s="104"/>
      <c r="O28" s="104"/>
    </row>
    <row r="29" spans="2: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7" sqref="A7"/>
    </sheetView>
  </sheetViews>
  <sheetFormatPr baseColWidth="10" defaultColWidth="11.44140625" defaultRowHeight="13.2"/>
  <cols>
    <col min="1" max="3" width="5" customWidth="1"/>
    <col min="4" max="4" width="6.6640625" customWidth="1"/>
    <col min="5" max="38" width="5" customWidth="1"/>
  </cols>
  <sheetData>
    <row r="1" spans="1:38">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5" t="s">
        <v>699</v>
      </c>
      <c r="B5" s="1286"/>
      <c r="C5" s="1286"/>
      <c r="D5" s="1286"/>
      <c r="E5" s="1286"/>
      <c r="F5" s="1286"/>
      <c r="G5" s="1286"/>
      <c r="H5" s="1286"/>
      <c r="I5" s="1286"/>
      <c r="J5" s="1286"/>
      <c r="K5" s="1286"/>
      <c r="L5" s="1286"/>
      <c r="M5" s="1286"/>
      <c r="N5" s="1286"/>
      <c r="O5" s="1286"/>
      <c r="P5" s="1286"/>
      <c r="Q5" s="1286"/>
      <c r="R5" s="1286"/>
      <c r="S5" s="1286"/>
      <c r="T5" s="25"/>
      <c r="U5" s="26"/>
      <c r="V5" s="26"/>
      <c r="W5" s="26"/>
      <c r="X5" s="26"/>
      <c r="Y5" s="26"/>
      <c r="Z5" s="26"/>
      <c r="AA5" s="26"/>
      <c r="AB5" s="26"/>
      <c r="AC5" s="26"/>
      <c r="AD5" s="26"/>
      <c r="AE5" s="26"/>
      <c r="AF5" s="26"/>
      <c r="AG5" s="26"/>
      <c r="AH5" s="26"/>
      <c r="AI5" s="26"/>
      <c r="AJ5" s="26"/>
      <c r="AK5" s="26"/>
      <c r="AL5" s="27"/>
    </row>
    <row r="6" spans="1:38">
      <c r="A6" s="1287"/>
      <c r="B6" s="860"/>
      <c r="C6" s="860"/>
      <c r="D6" s="860"/>
      <c r="E6" s="860"/>
      <c r="F6" s="860"/>
      <c r="G6" s="860"/>
      <c r="H6" s="860"/>
      <c r="I6" s="860"/>
      <c r="J6" s="860"/>
      <c r="K6" s="860"/>
      <c r="L6" s="860"/>
      <c r="M6" s="860"/>
      <c r="N6" s="860"/>
      <c r="O6" s="860"/>
      <c r="P6" s="860"/>
      <c r="Q6" s="860"/>
      <c r="R6" s="860"/>
      <c r="S6" s="860"/>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B7" sqref="B7"/>
    </sheetView>
  </sheetViews>
  <sheetFormatPr baseColWidth="10" defaultColWidth="11.44140625" defaultRowHeight="13.2"/>
  <cols>
    <col min="1" max="3" width="5" customWidth="1"/>
    <col min="4" max="4" width="6.6640625" customWidth="1"/>
    <col min="5" max="38" width="5" customWidth="1"/>
  </cols>
  <sheetData>
    <row r="1" spans="1:38">
      <c r="A1" s="943" t="s">
        <v>698</v>
      </c>
      <c r="B1" s="943"/>
      <c r="C1" s="943"/>
      <c r="D1" s="943"/>
      <c r="E1" s="943"/>
      <c r="F1" s="943"/>
      <c r="G1" s="943"/>
      <c r="H1" s="943"/>
      <c r="I1" s="943"/>
      <c r="J1" s="943"/>
      <c r="K1" s="943"/>
      <c r="L1" s="943"/>
      <c r="M1" s="943"/>
      <c r="N1" s="943"/>
      <c r="O1" s="943"/>
      <c r="P1" s="943"/>
      <c r="Q1" s="943"/>
      <c r="R1" s="943"/>
      <c r="S1" s="943"/>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7" t="str">
        <f>IF('Cover Sheet'!D14:J14&gt;0,'Cover Sheet'!D14:J14,"")</f>
        <v>Ecole Centrale Lyon</v>
      </c>
      <c r="E3" s="977"/>
      <c r="F3" s="977"/>
      <c r="G3" s="977"/>
      <c r="H3" s="977"/>
      <c r="I3" s="977"/>
      <c r="J3" s="977"/>
      <c r="K3" t="s">
        <v>49</v>
      </c>
      <c r="O3" s="977" t="str">
        <f>IF('Cover Sheet'!O14:S14&gt;0,'Cover Sheet'!O14:S14,"")</f>
        <v>81 FSCH</v>
      </c>
      <c r="P3" s="977"/>
      <c r="Q3" s="977"/>
      <c r="R3" s="977"/>
      <c r="S3" s="977"/>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8" t="s">
        <v>700</v>
      </c>
      <c r="B5" s="1289"/>
      <c r="C5" s="1289"/>
      <c r="D5" s="1289"/>
      <c r="E5" s="1289"/>
      <c r="F5" s="1289"/>
      <c r="G5" s="1289"/>
      <c r="H5" s="1289"/>
      <c r="I5" s="1289"/>
      <c r="J5" s="1289"/>
      <c r="K5" s="1289"/>
      <c r="L5" s="1289"/>
      <c r="M5" s="1289"/>
      <c r="N5" s="1289"/>
      <c r="O5" s="1289"/>
      <c r="P5" s="1289"/>
      <c r="Q5" s="1289"/>
      <c r="R5" s="1289"/>
      <c r="S5" s="1289"/>
      <c r="T5" s="25"/>
      <c r="U5" s="26"/>
      <c r="V5" s="26"/>
      <c r="W5" s="26"/>
      <c r="X5" s="26"/>
      <c r="Y5" s="26"/>
      <c r="Z5" s="26"/>
      <c r="AA5" s="26"/>
      <c r="AB5" s="26"/>
      <c r="AC5" s="26"/>
      <c r="AD5" s="26"/>
      <c r="AE5" s="26"/>
      <c r="AF5" s="26"/>
      <c r="AG5" s="26"/>
      <c r="AH5" s="26"/>
      <c r="AI5" s="26"/>
      <c r="AJ5" s="26"/>
      <c r="AK5" s="26"/>
      <c r="AL5" s="27"/>
    </row>
    <row r="6" spans="1:38">
      <c r="A6" s="1290"/>
      <c r="B6" s="1291"/>
      <c r="C6" s="1291"/>
      <c r="D6" s="1291"/>
      <c r="E6" s="1291"/>
      <c r="F6" s="1291"/>
      <c r="G6" s="1291"/>
      <c r="H6" s="1291"/>
      <c r="I6" s="1291"/>
      <c r="J6" s="1291"/>
      <c r="K6" s="1291"/>
      <c r="L6" s="1291"/>
      <c r="M6" s="1291"/>
      <c r="N6" s="1291"/>
      <c r="O6" s="1291"/>
      <c r="P6" s="1291"/>
      <c r="Q6" s="1291"/>
      <c r="R6" s="1291"/>
      <c r="S6" s="129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zoomScaleNormal="100" zoomScaleSheetLayoutView="100" workbookViewId="0">
      <selection activeCell="Q3" sqref="Q3"/>
    </sheetView>
  </sheetViews>
  <sheetFormatPr baseColWidth="10" defaultColWidth="11.44140625" defaultRowHeight="13.2"/>
  <cols>
    <col min="1" max="21" width="5" customWidth="1"/>
    <col min="22" max="22" width="6.33203125" customWidth="1"/>
    <col min="23" max="38" width="5" customWidth="1"/>
  </cols>
  <sheetData>
    <row r="1" spans="1:38">
      <c r="A1" s="1033" t="s">
        <v>701</v>
      </c>
      <c r="B1" s="1034"/>
      <c r="C1" s="1034"/>
      <c r="D1" s="1034"/>
      <c r="E1" s="1034"/>
      <c r="F1" s="1034"/>
      <c r="G1" s="1034"/>
      <c r="H1" s="1034"/>
      <c r="I1" s="1034"/>
      <c r="J1" s="1034"/>
      <c r="K1" s="1034"/>
      <c r="L1" s="1034"/>
      <c r="M1" s="1034"/>
      <c r="N1" s="1034"/>
      <c r="O1" s="1034"/>
      <c r="P1" s="1034"/>
      <c r="Q1" s="1034"/>
      <c r="R1" s="1034"/>
      <c r="S1" s="1035"/>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18" zoomScaleNormal="100" zoomScaleSheetLayoutView="100" workbookViewId="0">
      <selection activeCell="B45" sqref="B45"/>
    </sheetView>
  </sheetViews>
  <sheetFormatPr baseColWidth="10" defaultColWidth="11.44140625" defaultRowHeight="13.2"/>
  <cols>
    <col min="1" max="1" width="5" customWidth="1"/>
    <col min="2" max="2" width="6.109375" customWidth="1"/>
    <col min="3" max="38" width="5" customWidth="1"/>
  </cols>
  <sheetData>
    <row r="1" spans="1:38">
      <c r="A1" s="943" t="s">
        <v>732</v>
      </c>
      <c r="B1" s="943"/>
      <c r="C1" s="943"/>
      <c r="D1" s="943"/>
      <c r="E1" s="943"/>
      <c r="F1" s="943"/>
      <c r="G1" s="943"/>
      <c r="H1" s="943"/>
      <c r="I1" s="943"/>
      <c r="J1" s="943"/>
      <c r="K1" s="943"/>
      <c r="L1" s="943"/>
      <c r="M1" s="943"/>
      <c r="N1" s="943"/>
      <c r="O1" s="943"/>
      <c r="P1" s="943"/>
      <c r="Q1" s="943"/>
      <c r="R1" s="943"/>
      <c r="S1" s="943"/>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21" width="5" customWidth="1"/>
    <col min="22" max="22" width="6.44140625" customWidth="1"/>
    <col min="23" max="38" width="5" customWidth="1"/>
  </cols>
  <sheetData>
    <row r="1" spans="1:38">
      <c r="A1" s="943" t="s">
        <v>745</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Normal="100" zoomScaleSheetLayoutView="100" workbookViewId="0">
      <selection sqref="A1:S1"/>
    </sheetView>
  </sheetViews>
  <sheetFormatPr baseColWidth="10" defaultColWidth="11.44140625" defaultRowHeight="13.2"/>
  <cols>
    <col min="1" max="1" width="5" customWidth="1"/>
    <col min="2" max="2" width="6.33203125" customWidth="1"/>
    <col min="3" max="38" width="5" customWidth="1"/>
  </cols>
  <sheetData>
    <row r="1" spans="1:38">
      <c r="A1" s="943" t="s">
        <v>757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zoomScaleNormal="100" zoomScaleSheetLayoutView="100" workbookViewId="0">
      <selection activeCell="B25" sqref="B25"/>
    </sheetView>
  </sheetViews>
  <sheetFormatPr baseColWidth="10" defaultColWidth="11.44140625" defaultRowHeight="13.2"/>
  <cols>
    <col min="1" max="1" width="5" customWidth="1"/>
    <col min="2" max="2" width="5.88671875" customWidth="1"/>
    <col min="3" max="38" width="5" customWidth="1"/>
  </cols>
  <sheetData>
    <row r="1" spans="1:38">
      <c r="A1" s="943" t="s">
        <v>767</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4140625" defaultRowHeight="13.2"/>
  <cols>
    <col min="1" max="2" width="5" customWidth="1"/>
    <col min="3" max="3" width="6.5546875" customWidth="1"/>
    <col min="4" max="38" width="5" customWidth="1"/>
  </cols>
  <sheetData>
    <row r="1" spans="1:38">
      <c r="A1" s="943" t="s">
        <v>780</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47" zoomScaleNormal="100" zoomScaleSheetLayoutView="100" workbookViewId="0">
      <selection activeCell="B55" sqref="B55"/>
    </sheetView>
  </sheetViews>
  <sheetFormatPr baseColWidth="10" defaultColWidth="11.44140625" defaultRowHeight="13.2"/>
  <cols>
    <col min="1" max="2" width="5" customWidth="1"/>
    <col min="3" max="3" width="6.5546875" customWidth="1"/>
    <col min="4" max="38" width="5" customWidth="1"/>
  </cols>
  <sheetData>
    <row r="1" spans="1:38">
      <c r="A1" s="1292" t="s">
        <v>785</v>
      </c>
      <c r="B1" s="1293"/>
      <c r="C1" s="1293"/>
      <c r="D1" s="1293"/>
      <c r="E1" s="1293"/>
      <c r="F1" s="1293"/>
      <c r="G1" s="1293"/>
      <c r="H1" s="1293"/>
      <c r="I1" s="1293"/>
      <c r="J1" s="1293"/>
      <c r="K1" s="1293"/>
      <c r="L1" s="1293"/>
      <c r="M1" s="1293"/>
      <c r="N1" s="1293"/>
      <c r="O1" s="1293"/>
      <c r="P1" s="1293"/>
      <c r="Q1" s="1293"/>
      <c r="R1" s="1293"/>
      <c r="S1" s="1293"/>
      <c r="T1" s="1293" t="s">
        <v>786</v>
      </c>
      <c r="U1" s="1293"/>
      <c r="V1" s="1293"/>
      <c r="W1" s="1293"/>
      <c r="X1" s="1293"/>
      <c r="Y1" s="1293"/>
      <c r="Z1" s="1293"/>
      <c r="AA1" s="1293"/>
      <c r="AB1" s="1293"/>
      <c r="AC1" s="1293"/>
      <c r="AD1" s="1293"/>
      <c r="AE1" s="1293"/>
      <c r="AF1" s="1293"/>
      <c r="AG1" s="1293"/>
      <c r="AH1" s="1293"/>
      <c r="AI1" s="1293"/>
      <c r="AJ1" s="1293"/>
      <c r="AK1" s="1293"/>
      <c r="AL1" s="1294"/>
    </row>
    <row r="2" spans="1:38" ht="14.4">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4">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4">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4">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4">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4">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4">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4">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4">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4">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4">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4">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4">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4">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4">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4">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4">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4">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4">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4">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4">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4">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4">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4">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4">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4">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4">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4">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4">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4">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4">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4">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4">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4">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4">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4">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4">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4">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4">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4">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4">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4">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4">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topLeftCell="A31" zoomScaleNormal="100" zoomScaleSheetLayoutView="100" workbookViewId="0">
      <selection activeCell="AJ56" sqref="AJ56"/>
    </sheetView>
  </sheetViews>
  <sheetFormatPr baseColWidth="10" defaultColWidth="11.44140625" defaultRowHeight="13.2"/>
  <cols>
    <col min="1" max="21" width="5" customWidth="1"/>
    <col min="22" max="22" width="6.44140625" customWidth="1"/>
    <col min="23" max="38" width="5" customWidth="1"/>
  </cols>
  <sheetData>
    <row r="1" spans="1:38">
      <c r="A1" s="1295" t="s">
        <v>808</v>
      </c>
      <c r="B1" s="1295"/>
      <c r="C1" s="1295"/>
      <c r="D1" s="1295"/>
      <c r="E1" s="1295"/>
      <c r="F1" s="1295"/>
      <c r="G1" s="1295"/>
      <c r="H1" s="1295"/>
      <c r="I1" s="1295"/>
      <c r="J1" s="1295"/>
      <c r="K1" s="1295"/>
      <c r="L1" s="1295"/>
      <c r="M1" s="1295"/>
      <c r="N1" s="1295"/>
      <c r="O1" s="1295"/>
      <c r="P1" s="1295"/>
      <c r="Q1" s="1295"/>
      <c r="R1" s="1295"/>
      <c r="S1" s="1296"/>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Normal="100" zoomScaleSheetLayoutView="100" workbookViewId="0">
      <selection sqref="A1:S1"/>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297" t="s">
        <v>832</v>
      </c>
      <c r="B1" s="1297"/>
      <c r="C1" s="1297"/>
      <c r="D1" s="1297"/>
      <c r="E1" s="1297"/>
      <c r="F1" s="1297"/>
      <c r="G1" s="1297"/>
      <c r="H1" s="1297"/>
      <c r="I1" s="1297"/>
      <c r="J1" s="1297"/>
      <c r="K1" s="1297"/>
      <c r="L1" s="1297"/>
      <c r="M1" s="1297"/>
      <c r="N1" s="1297"/>
      <c r="O1" s="1297"/>
      <c r="P1" s="1297"/>
      <c r="Q1" s="1297"/>
      <c r="R1" s="1297"/>
      <c r="S1" s="1297"/>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399999999999999">
      <c r="A36" s="451"/>
      <c r="B36" s="460" t="s">
        <v>840</v>
      </c>
      <c r="C36" s="461"/>
      <c r="D36" s="461"/>
      <c r="E36" s="453"/>
      <c r="F36" s="453"/>
      <c r="G36" s="453"/>
      <c r="H36" s="453"/>
      <c r="I36" s="453"/>
      <c r="J36" s="453"/>
      <c r="K36" s="453"/>
      <c r="L36" s="453"/>
      <c r="M36" s="453"/>
      <c r="N36" s="453"/>
      <c r="O36" s="453"/>
      <c r="P36" s="453"/>
      <c r="Q36" s="453"/>
      <c r="R36" s="453"/>
      <c r="S36" s="454"/>
    </row>
    <row r="37" spans="1:19" ht="17.399999999999999">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8" t="s">
        <v>843</v>
      </c>
      <c r="C39" s="1299"/>
      <c r="D39" s="1299"/>
      <c r="E39" s="1299"/>
      <c r="F39" s="1299"/>
      <c r="G39" s="1299"/>
      <c r="H39" s="1299"/>
      <c r="I39" s="1299"/>
      <c r="J39" s="1299"/>
      <c r="K39" s="1299"/>
      <c r="L39" s="1299"/>
      <c r="M39" s="1299"/>
      <c r="N39" s="1299"/>
      <c r="O39" s="1299"/>
      <c r="P39" s="1299"/>
      <c r="Q39" s="1299"/>
      <c r="R39" s="1299"/>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Normal="100" zoomScaleSheetLayoutView="100" workbookViewId="0">
      <selection activeCell="B25" sqref="B25"/>
    </sheetView>
  </sheetViews>
  <sheetFormatPr baseColWidth="10" defaultColWidth="11.44140625" defaultRowHeight="13.2"/>
  <cols>
    <col min="1" max="1" width="5" customWidth="1"/>
    <col min="2" max="2" width="5.88671875" customWidth="1"/>
    <col min="3" max="38" width="5" customWidth="1"/>
  </cols>
  <sheetData>
    <row r="1" spans="1:38">
      <c r="A1" s="943" t="s">
        <v>844</v>
      </c>
      <c r="B1" s="943"/>
      <c r="C1" s="943"/>
      <c r="D1" s="943"/>
      <c r="E1" s="943"/>
      <c r="F1" s="943"/>
      <c r="G1" s="943"/>
      <c r="H1" s="943"/>
      <c r="I1" s="943"/>
      <c r="J1" s="943"/>
      <c r="K1" s="943"/>
      <c r="L1" s="943"/>
      <c r="M1" s="943"/>
      <c r="N1" s="943"/>
      <c r="O1" s="943"/>
      <c r="P1" s="943"/>
      <c r="Q1" s="943"/>
      <c r="R1" s="943"/>
      <c r="S1" s="943"/>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39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399999999999999">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0" t="s">
        <v>845</v>
      </c>
      <c r="C30" s="1301"/>
      <c r="D30" s="1301"/>
      <c r="E30" s="1301"/>
      <c r="F30" s="1301"/>
      <c r="G30" s="1301"/>
      <c r="H30" s="1301"/>
      <c r="I30" s="1301"/>
      <c r="J30" s="1301"/>
      <c r="K30" s="1301"/>
      <c r="L30" s="1301"/>
      <c r="M30" s="1301"/>
      <c r="N30" s="1301"/>
      <c r="O30" s="1301"/>
      <c r="P30" s="1301"/>
      <c r="Q30" s="1301"/>
      <c r="R30" s="1301"/>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Normal="100" zoomScaleSheetLayoutView="100" workbookViewId="0">
      <selection activeCell="AB30" sqref="AB30"/>
    </sheetView>
  </sheetViews>
  <sheetFormatPr baseColWidth="10" defaultColWidth="11.44140625" defaultRowHeight="13.2"/>
  <cols>
    <col min="1" max="27" width="5" customWidth="1"/>
    <col min="28" max="28" width="6.109375" customWidth="1"/>
    <col min="29" max="38" width="5" customWidth="1"/>
  </cols>
  <sheetData>
    <row r="1" spans="1:38">
      <c r="A1" s="943" t="s">
        <v>846</v>
      </c>
      <c r="B1" s="943"/>
      <c r="C1" s="943"/>
      <c r="D1" s="943"/>
      <c r="E1" s="943"/>
      <c r="F1" s="943"/>
      <c r="G1" s="943"/>
      <c r="H1" s="943"/>
      <c r="I1" s="943"/>
      <c r="J1" s="943"/>
      <c r="K1" s="943"/>
      <c r="L1" s="943"/>
      <c r="M1" s="943"/>
      <c r="N1" s="943"/>
      <c r="O1" s="943"/>
      <c r="P1" s="943"/>
      <c r="Q1" s="943"/>
      <c r="R1" s="943"/>
      <c r="S1" s="943"/>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Normal="100" zoomScaleSheetLayoutView="100" workbookViewId="0">
      <selection activeCell="B26" sqref="B26"/>
    </sheetView>
  </sheetViews>
  <sheetFormatPr baseColWidth="10" defaultColWidth="11.44140625" defaultRowHeight="13.2"/>
  <cols>
    <col min="1" max="27" width="5" style="123" customWidth="1"/>
    <col min="28" max="28" width="6.109375" style="123" customWidth="1"/>
    <col min="29" max="38" width="5" style="123" customWidth="1"/>
    <col min="39" max="16384" width="11.44140625" style="123"/>
  </cols>
  <sheetData>
    <row r="1" spans="1:21">
      <c r="A1" s="1075" t="s">
        <v>879</v>
      </c>
      <c r="B1" s="1075"/>
      <c r="C1" s="1075"/>
      <c r="D1" s="1075"/>
      <c r="E1" s="1075"/>
      <c r="F1" s="1075"/>
      <c r="G1" s="1075"/>
      <c r="H1" s="1075"/>
      <c r="I1" s="1075"/>
      <c r="J1" s="1075"/>
      <c r="K1" s="1075"/>
      <c r="L1" s="1075"/>
      <c r="M1" s="1075"/>
      <c r="N1" s="1075"/>
      <c r="O1" s="1075"/>
      <c r="P1" s="1075"/>
      <c r="Q1" s="1075"/>
      <c r="R1" s="1075"/>
      <c r="S1" s="1075"/>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 customHeight="1">
      <c r="A11" s="329"/>
      <c r="B11" s="1302" t="s">
        <v>885</v>
      </c>
      <c r="C11" s="1302"/>
      <c r="D11" s="1302"/>
      <c r="E11" s="1302"/>
      <c r="F11" s="1302"/>
      <c r="G11" s="1302"/>
      <c r="H11" s="1302"/>
      <c r="I11" s="1302"/>
      <c r="J11" s="1302"/>
      <c r="K11" s="1302"/>
      <c r="L11" s="1302"/>
      <c r="M11" s="1302"/>
      <c r="N11" s="1302"/>
      <c r="O11" s="1302"/>
      <c r="P11" s="1302"/>
      <c r="Q11" s="1302"/>
      <c r="R11" s="1302"/>
      <c r="S11" s="1302"/>
    </row>
    <row r="12" spans="1:21">
      <c r="A12" s="329"/>
      <c r="B12" s="1302"/>
      <c r="C12" s="1302"/>
      <c r="D12" s="1302"/>
      <c r="E12" s="1302"/>
      <c r="F12" s="1302"/>
      <c r="G12" s="1302"/>
      <c r="H12" s="1302"/>
      <c r="I12" s="1302"/>
      <c r="J12" s="1302"/>
      <c r="K12" s="1302"/>
      <c r="L12" s="1302"/>
      <c r="M12" s="1302"/>
      <c r="N12" s="1302"/>
      <c r="O12" s="1302"/>
      <c r="P12" s="1302"/>
      <c r="Q12" s="1302"/>
      <c r="R12" s="1302"/>
      <c r="S12" s="1302"/>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3" t="s">
        <v>888</v>
      </c>
      <c r="C17" s="1303"/>
      <c r="D17" s="1303"/>
      <c r="E17" s="1303"/>
      <c r="F17" s="1303"/>
      <c r="G17" s="1303"/>
      <c r="H17" s="1303"/>
      <c r="I17" s="1303"/>
      <c r="J17" s="1303"/>
      <c r="K17" s="1303"/>
      <c r="L17" s="1303"/>
      <c r="M17" s="1303"/>
      <c r="N17" s="1303"/>
      <c r="O17" s="1303"/>
      <c r="P17" s="1303"/>
      <c r="Q17" s="1303"/>
      <c r="R17" s="1303"/>
      <c r="S17" s="1303"/>
    </row>
    <row r="18" spans="1:19">
      <c r="A18" s="329"/>
      <c r="B18" s="1303"/>
      <c r="C18" s="1303"/>
      <c r="D18" s="1303"/>
      <c r="E18" s="1303"/>
      <c r="F18" s="1303"/>
      <c r="G18" s="1303"/>
      <c r="H18" s="1303"/>
      <c r="I18" s="1303"/>
      <c r="J18" s="1303"/>
      <c r="K18" s="1303"/>
      <c r="L18" s="1303"/>
      <c r="M18" s="1303"/>
      <c r="N18" s="1303"/>
      <c r="O18" s="1303"/>
      <c r="P18" s="1303"/>
      <c r="Q18" s="1303"/>
      <c r="R18" s="1303"/>
      <c r="S18" s="1303"/>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8A44BB8-8928-4DE6-8899-2A534A92EE6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Loic Save de Beaurecueil</cp:lastModifiedBy>
  <cp:revision/>
  <dcterms:created xsi:type="dcterms:W3CDTF">2011-03-12T12:50:23Z</dcterms:created>
  <dcterms:modified xsi:type="dcterms:W3CDTF">2023-05-14T18:30:54Z</dcterms:modified>
  <cp:category/>
  <cp:contentStatus/>
</cp:coreProperties>
</file>