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45\Documents\02-Etudes\2019-ECL\Trans Semestres\01-EPSA\03-Trans Saisons\Git\ELIZ-2021\CR_Cost_Report\01_BOM\00_Cost_Report_Document\"/>
    </mc:Choice>
  </mc:AlternateContent>
  <xr:revisionPtr revIDLastSave="0" documentId="13_ncr:1_{9EBE66A5-5658-425F-A812-80974907989B}" xr6:coauthVersionLast="46" xr6:coauthVersionMax="46" xr10:uidLastSave="{00000000-0000-0000-0000-000000000000}"/>
  <bookViews>
    <workbookView xWindow="-120" yWindow="-120" windowWidth="29040" windowHeight="15840" tabRatio="667" activeTab="1" xr2:uid="{00000000-000D-0000-FFFF-FFFF0000000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Material" sheetId="2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6" l="1"/>
  <c r="I26" i="6"/>
  <c r="K26" i="6"/>
  <c r="D10" i="11"/>
  <c r="D11" i="11"/>
  <c r="D12" i="11"/>
  <c r="D13" i="11"/>
  <c r="D9" i="11"/>
  <c r="D33" i="6"/>
  <c r="D32" i="6"/>
  <c r="D31" i="6"/>
  <c r="D6" i="6"/>
  <c r="G9" i="11"/>
  <c r="E9" i="11"/>
  <c r="B6" i="13"/>
  <c r="B7" i="13" l="1"/>
  <c r="G11" i="11"/>
  <c r="G12" i="11"/>
  <c r="G13" i="11"/>
  <c r="G10" i="11"/>
  <c r="E11" i="11"/>
  <c r="E12" i="11"/>
  <c r="E13" i="11"/>
  <c r="E10" i="11"/>
  <c r="C38" i="11" l="1"/>
  <c r="D4" i="6"/>
  <c r="D5" i="6"/>
  <c r="D7" i="6"/>
  <c r="D13" i="6"/>
  <c r="R41" i="6" s="1"/>
  <c r="E69" i="2" l="1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R33" i="2"/>
  <c r="K33" i="2"/>
  <c r="E33" i="2"/>
  <c r="E27" i="2"/>
  <c r="E26" i="2"/>
  <c r="U25" i="2"/>
  <c r="V25" i="2" s="1"/>
  <c r="E25" i="2"/>
  <c r="U24" i="2"/>
  <c r="V24" i="2" s="1"/>
  <c r="E24" i="2"/>
  <c r="E23" i="2"/>
  <c r="E22" i="2"/>
  <c r="V21" i="2"/>
  <c r="Q21" i="2"/>
  <c r="E21" i="2"/>
  <c r="V20" i="2"/>
  <c r="Q20" i="2"/>
  <c r="V19" i="2"/>
  <c r="Q19" i="2"/>
  <c r="V18" i="2"/>
  <c r="Q18" i="2"/>
  <c r="V17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Q4" i="2"/>
  <c r="J4" i="2"/>
  <c r="E4" i="2"/>
  <c r="V22" i="2" l="1"/>
  <c r="D61" i="2"/>
  <c r="Q22" i="2"/>
  <c r="E16" i="2"/>
  <c r="Q11" i="2"/>
  <c r="E28" i="2"/>
  <c r="W7" i="2"/>
  <c r="K37" i="2"/>
  <c r="R39" i="2"/>
  <c r="J12" i="2"/>
  <c r="E40" i="2"/>
  <c r="D62" i="2"/>
  <c r="I46" i="6" l="1"/>
  <c r="G27" i="8"/>
  <c r="I36" i="6" s="1"/>
  <c r="K36" i="6" s="1"/>
  <c r="N49" i="6" l="1"/>
  <c r="J14" i="5"/>
  <c r="N83" i="6" s="1"/>
  <c r="N37" i="6" l="1"/>
  <c r="L31" i="11"/>
  <c r="R46" i="6"/>
  <c r="T46" i="6" s="1"/>
  <c r="R45" i="6"/>
  <c r="T45" i="6" s="1"/>
  <c r="B32" i="10"/>
  <c r="N38" i="6" s="1"/>
  <c r="G14" i="11" l="1"/>
  <c r="I16" i="6" s="1"/>
  <c r="R48" i="6"/>
  <c r="T48" i="6" s="1"/>
  <c r="B28" i="10" l="1"/>
  <c r="B29" i="10" s="1"/>
  <c r="R42" i="6" s="1"/>
  <c r="B22" i="10"/>
  <c r="B23" i="10" s="1"/>
  <c r="R43" i="6" s="1"/>
  <c r="B15" i="10"/>
  <c r="B17" i="10" s="1"/>
  <c r="R44" i="6" s="1"/>
  <c r="C12" i="13" l="1"/>
  <c r="D14" i="6" s="1"/>
  <c r="R7" i="5"/>
  <c r="G5" i="5"/>
  <c r="R26" i="6" s="1"/>
  <c r="S5" i="5"/>
  <c r="R5" i="5"/>
  <c r="R8" i="5" l="1"/>
  <c r="I13" i="6"/>
  <c r="K46" i="6"/>
  <c r="I35" i="6"/>
  <c r="K35" i="6" s="1"/>
  <c r="I43" i="6" l="1"/>
  <c r="K43" i="6" s="1"/>
  <c r="I41" i="6"/>
  <c r="K41" i="6" s="1"/>
  <c r="G6" i="8"/>
  <c r="K40" i="6"/>
  <c r="K39" i="6"/>
  <c r="I44" i="6" l="1"/>
  <c r="B2" i="4"/>
  <c r="R12" i="6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G4" i="5"/>
  <c r="R20" i="6" s="1"/>
  <c r="R21" i="6" l="1"/>
  <c r="T21" i="6" s="1"/>
  <c r="T20" i="6"/>
  <c r="F13" i="4"/>
  <c r="F14" i="4"/>
  <c r="R18" i="6" s="1"/>
  <c r="T18" i="6" s="1"/>
  <c r="F12" i="4"/>
  <c r="E12" i="4"/>
  <c r="R14" i="6"/>
  <c r="T14" i="6" s="1"/>
  <c r="B7" i="4"/>
  <c r="R13" i="6" s="1"/>
  <c r="T13" i="6" s="1"/>
  <c r="T12" i="6"/>
  <c r="N14" i="6"/>
  <c r="N16" i="6"/>
  <c r="R15" i="6"/>
  <c r="T15" i="6" s="1"/>
  <c r="N18" i="6" l="1"/>
  <c r="N17" i="6"/>
  <c r="S81" i="6"/>
  <c r="S67" i="6"/>
  <c r="I42" i="6" l="1"/>
  <c r="I33" i="6"/>
  <c r="I31" i="6"/>
  <c r="N6" i="6" l="1"/>
  <c r="F14" i="11" l="1"/>
  <c r="L30" i="11"/>
  <c r="L29" i="11"/>
  <c r="N8" i="6"/>
  <c r="I11" i="6" l="1"/>
  <c r="K11" i="6" s="1"/>
  <c r="D12" i="6"/>
  <c r="I17" i="6"/>
  <c r="K17" i="6" s="1"/>
  <c r="N9" i="6"/>
  <c r="N10" i="6"/>
  <c r="R37" i="6"/>
  <c r="T37" i="6" s="1"/>
  <c r="R38" i="6"/>
  <c r="T38" i="6" s="1"/>
  <c r="R36" i="6"/>
  <c r="T36" i="6" s="1"/>
  <c r="R35" i="6"/>
  <c r="T35" i="6" s="1"/>
  <c r="I10" i="6"/>
  <c r="K10" i="6" s="1"/>
  <c r="I7" i="6"/>
  <c r="K7" i="6" s="1"/>
  <c r="R39" i="6"/>
  <c r="T39" i="6" s="1"/>
  <c r="E29" i="3"/>
  <c r="F29" i="3" s="1"/>
  <c r="G4" i="8"/>
  <c r="K42" i="6"/>
  <c r="G12" i="8"/>
  <c r="G5" i="8"/>
  <c r="G3" i="8"/>
  <c r="R6" i="6"/>
  <c r="R5" i="6"/>
  <c r="T5" i="6" s="1"/>
  <c r="K13" i="6"/>
  <c r="K44" i="6"/>
  <c r="K33" i="6"/>
  <c r="K31" i="6"/>
  <c r="K32" i="6"/>
  <c r="B22" i="3"/>
  <c r="R4" i="6" s="1"/>
  <c r="B2" i="3"/>
  <c r="T6" i="6" l="1"/>
  <c r="R47" i="6"/>
  <c r="T47" i="6" s="1"/>
  <c r="S100" i="6" s="1"/>
  <c r="I34" i="6"/>
  <c r="K34" i="6" s="1"/>
  <c r="K16" i="6"/>
  <c r="I37" i="6"/>
  <c r="F31" i="3"/>
  <c r="R40" i="6"/>
  <c r="T40" i="6" s="1"/>
  <c r="S93" i="6" s="1"/>
  <c r="R7" i="6"/>
  <c r="T7" i="6" s="1"/>
  <c r="T4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I9" i="6" s="1"/>
  <c r="K9" i="6" s="1"/>
  <c r="E3" i="9"/>
  <c r="I23" i="6" s="1"/>
  <c r="K23" i="6" s="1"/>
  <c r="E7" i="9"/>
  <c r="E8" i="9"/>
  <c r="E12" i="9"/>
  <c r="E13" i="9"/>
  <c r="E14" i="9"/>
  <c r="E16" i="9"/>
  <c r="E17" i="9"/>
  <c r="E18" i="9"/>
  <c r="E19" i="9"/>
  <c r="E6" i="9"/>
  <c r="I19" i="6" s="1"/>
  <c r="K19" i="6" s="1"/>
  <c r="I21" i="6"/>
  <c r="K21" i="6" s="1"/>
  <c r="C22" i="11"/>
  <c r="C23" i="11" s="1"/>
  <c r="D9" i="6" s="1"/>
  <c r="I14" i="6"/>
  <c r="K14" i="6" s="1"/>
  <c r="C24" i="11" l="1"/>
  <c r="H9" i="11" s="1"/>
  <c r="K34" i="11"/>
  <c r="E34" i="11"/>
  <c r="E35" i="11" s="1"/>
  <c r="H34" i="11"/>
  <c r="G34" i="11"/>
  <c r="I18" i="6"/>
  <c r="K18" i="6" s="1"/>
  <c r="C34" i="11"/>
  <c r="R23" i="6"/>
  <c r="R49" i="6"/>
  <c r="R10" i="6"/>
  <c r="T10" i="6" s="1"/>
  <c r="S53" i="6" s="1"/>
  <c r="I45" i="6"/>
  <c r="K45" i="6" s="1"/>
  <c r="K37" i="6"/>
  <c r="I38" i="6"/>
  <c r="K38" i="6" s="1"/>
  <c r="R16" i="6"/>
  <c r="R8" i="6"/>
  <c r="I12" i="6"/>
  <c r="K12" i="6" s="1"/>
  <c r="I15" i="6"/>
  <c r="K15" i="6" s="1"/>
  <c r="D34" i="11"/>
  <c r="F34" i="11"/>
  <c r="I20" i="6"/>
  <c r="K20" i="6" s="1"/>
  <c r="I6" i="6"/>
  <c r="K6" i="6" s="1"/>
  <c r="I8" i="6"/>
  <c r="K8" i="6" s="1"/>
  <c r="I5" i="6"/>
  <c r="K5" i="6" s="1"/>
  <c r="I4" i="6"/>
  <c r="K4" i="6" s="1"/>
  <c r="J34" i="11" l="1"/>
  <c r="I34" i="11"/>
  <c r="H12" i="11"/>
  <c r="H11" i="11"/>
  <c r="H13" i="11"/>
  <c r="H10" i="11"/>
  <c r="K53" i="6"/>
  <c r="K49" i="6"/>
  <c r="J33" i="11"/>
  <c r="E33" i="11"/>
  <c r="L32" i="11" s="1"/>
  <c r="G33" i="11"/>
  <c r="K33" i="11"/>
  <c r="H33" i="11"/>
  <c r="D33" i="11"/>
  <c r="C33" i="11"/>
  <c r="F33" i="11"/>
  <c r="I33" i="11"/>
  <c r="K50" i="6" l="1"/>
  <c r="L34" i="11"/>
  <c r="K52" i="6"/>
  <c r="K51" i="6"/>
  <c r="B33" i="10"/>
  <c r="B34" i="10" s="1"/>
  <c r="K54" i="6"/>
  <c r="L33" i="11"/>
  <c r="S94" i="6" l="1"/>
  <c r="S95" i="6" s="1"/>
  <c r="S97" i="6" s="1"/>
  <c r="S82" i="6"/>
  <c r="S92" i="6" s="1"/>
  <c r="S101" i="6"/>
  <c r="S105" i="6" s="1"/>
  <c r="S91" i="6"/>
  <c r="S90" i="6"/>
  <c r="S89" i="6"/>
  <c r="S88" i="6"/>
  <c r="S63" i="6"/>
  <c r="S61" i="6"/>
  <c r="S64" i="6"/>
  <c r="S60" i="6"/>
  <c r="S75" i="6"/>
  <c r="S78" i="6"/>
  <c r="S74" i="6"/>
  <c r="S77" i="6"/>
  <c r="S62" i="6"/>
  <c r="S79" i="6"/>
  <c r="S76" i="6"/>
  <c r="S65" i="6"/>
  <c r="S54" i="6"/>
  <c r="S66" i="6" s="1"/>
  <c r="S68" i="6"/>
  <c r="S83" i="6" l="1"/>
  <c r="S85" i="6" s="1"/>
  <c r="S86" i="6" s="1"/>
  <c r="S102" i="6"/>
  <c r="S104" i="6" s="1"/>
  <c r="S98" i="6"/>
  <c r="S55" i="6"/>
  <c r="S57" i="6" s="1"/>
  <c r="S58" i="6" s="1"/>
  <c r="S69" i="6"/>
  <c r="S71" i="6" s="1"/>
  <c r="S72" i="6" s="1"/>
  <c r="S80" i="6"/>
</calcChain>
</file>

<file path=xl/sharedStrings.xml><?xml version="1.0" encoding="utf-8"?>
<sst xmlns="http://schemas.openxmlformats.org/spreadsheetml/2006/main" count="844" uniqueCount="566">
  <si>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</si>
  <si>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</si>
  <si>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</si>
  <si>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</si>
  <si>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</si>
  <si>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</si>
  <si>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</si>
  <si>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</si>
  <si>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</si>
  <si>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</si>
  <si>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</si>
  <si>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</si>
  <si>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</si>
  <si>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</si>
  <si>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</si>
  <si>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</si>
  <si>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</si>
  <si>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</si>
  <si>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</si>
  <si>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</si>
  <si>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</si>
  <si>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</si>
  <si>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</si>
  <si>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</si>
  <si>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</si>
  <si>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 xml:space="preserve">Description </t>
  </si>
  <si>
    <t>Operator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</si>
  <si>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</si>
  <si>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</si>
  <si>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</si>
  <si>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</si>
  <si>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</si>
  <si>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</si>
  <si>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</si>
  <si>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IT</t>
  </si>
  <si>
    <t>Computers</t>
  </si>
  <si>
    <t>Internet/phone access</t>
  </si>
  <si>
    <t>Office furniture</t>
  </si>
  <si>
    <t>Fume extractor</t>
  </si>
  <si>
    <t>Manufacturing</t>
  </si>
  <si>
    <t>Workstations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</si>
  <si>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</si>
  <si>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</si>
  <si>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</si>
  <si>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</si>
  <si>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</si>
  <si>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</si>
  <si>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</si>
  <si>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</si>
  <si>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</si>
  <si>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</si>
  <si>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</si>
  <si>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</si>
  <si>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</si>
  <si>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</si>
  <si>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</si>
  <si>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</si>
  <si>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</si>
  <si>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</si>
  <si>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</si>
  <si>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</si>
  <si>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</si>
  <si>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</si>
  <si>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</si>
  <si>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</si>
  <si>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</si>
  <si>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</si>
  <si>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</si>
  <si>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</si>
  <si>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</si>
  <si>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</si>
  <si>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</si>
  <si>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</si>
  <si>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</si>
  <si>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</si>
  <si>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</si>
  <si>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</si>
  <si>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</si>
  <si>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</si>
  <si>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</si>
  <si>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</si>
  <si>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</si>
  <si>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</si>
  <si>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</si>
  <si>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</si>
  <si>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</si>
  <si>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</si>
  <si>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</si>
  <si>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</si>
  <si>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</si>
  <si>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</si>
  <si>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</si>
  <si>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</si>
  <si>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</si>
  <si>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</si>
  <si>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</si>
  <si>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</si>
  <si>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</si>
  <si>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</si>
  <si>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</si>
  <si>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</si>
  <si>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</si>
  <si>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</si>
  <si>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</si>
  <si>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</si>
  <si>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</si>
  <si>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</si>
  <si>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</si>
  <si>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</si>
  <si>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</si>
  <si>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</si>
  <si>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</si>
  <si>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</si>
  <si>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</si>
  <si>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</si>
  <si>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</si>
  <si>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</si>
  <si>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</si>
  <si>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</si>
  <si>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</si>
  <si>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</si>
  <si>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</si>
  <si>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</si>
  <si>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</si>
  <si>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</si>
  <si>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</si>
  <si>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</si>
  <si>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</si>
  <si>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</si>
  <si>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</si>
  <si>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</si>
  <si>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</si>
  <si>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</si>
  <si>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</si>
  <si>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</si>
  <si>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</si>
  <si>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</si>
  <si>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</si>
  <si>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</si>
  <si>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</si>
  <si>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</si>
  <si>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Operator - Grade 4</t>
  </si>
  <si>
    <t>https://www.juristique.org/social/duree-du-travail</t>
  </si>
  <si>
    <t>Working time</t>
  </si>
  <si>
    <t>Days/year</t>
  </si>
  <si>
    <t>Days of weekend</t>
  </si>
  <si>
    <t>Bank holliday</t>
  </si>
  <si>
    <t>Theoretical worked days</t>
  </si>
  <si>
    <t>Theoretical worked week</t>
  </si>
  <si>
    <t>https://www.kelwatt.fr/guide/prix-electricite-entreprise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</si>
  <si>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</si>
  <si>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</si>
  <si>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</si>
  <si>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</si>
  <si>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</si>
  <si>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</si>
  <si>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</si>
  <si>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</si>
  <si>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</si>
  <si>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</si>
  <si>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</si>
  <si>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</si>
  <si>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</si>
  <si>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</si>
  <si>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</si>
  <si>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</si>
  <si>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</si>
  <si>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</si>
  <si>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</si>
  <si>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</si>
  <si>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</si>
  <si>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</si>
  <si>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</si>
  <si>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</si>
  <si>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</si>
  <si>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</si>
  <si>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Comment on price</t>
  </si>
  <si>
    <t>/Year/user</t>
  </si>
  <si>
    <t>/month/user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</si>
  <si>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</si>
  <si>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</si>
  <si>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</si>
  <si>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</si>
  <si>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</si>
  <si>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</si>
  <si>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</si>
  <si>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</si>
  <si>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Orange Document</t>
  </si>
  <si>
    <t>Spec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</si>
  <si>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</si>
  <si>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</si>
  <si>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</si>
  <si>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</si>
  <si>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</si>
  <si>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</si>
  <si>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</si>
  <si>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</si>
  <si>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</si>
  <si>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</si>
  <si>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</si>
  <si>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</si>
  <si>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</si>
  <si>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</si>
  <si>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</si>
  <si>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</si>
  <si>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</si>
  <si>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</si>
  <si>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</si>
  <si>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</si>
  <si>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</si>
  <si>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</si>
  <si>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</si>
  <si>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</si>
  <si>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</si>
  <si>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</si>
  <si>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</si>
  <si>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</si>
  <si>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</si>
  <si>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</si>
  <si>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</si>
  <si>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</si>
  <si>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</si>
  <si>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</si>
  <si>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</si>
  <si>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</si>
  <si>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</si>
  <si>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</si>
  <si>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</si>
  <si>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https://www.orexad.com/fr/projecteur-de-profil-pj-h30/p-G1213001821</t>
  </si>
  <si>
    <t>Profil projector</t>
  </si>
  <si>
    <t>510x342 mm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</si>
  <si>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</si>
  <si>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</si>
  <si>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</si>
  <si>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</si>
  <si>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</si>
  <si>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</si>
  <si>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</si>
  <si>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</si>
  <si>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</si>
  <si>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</si>
  <si>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</si>
  <si>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</si>
  <si>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</si>
  <si>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</si>
  <si>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</si>
  <si>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</si>
  <si>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</si>
  <si>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</si>
  <si>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Variable cost for 1 op (€/hour)</t>
  </si>
  <si>
    <t xml:space="preserve">Shopfloor allocation </t>
  </si>
  <si>
    <t>Maintenance manwork cost</t>
  </si>
  <si>
    <t>Manwork</t>
  </si>
  <si>
    <t>Maintenance manwork</t>
  </si>
  <si>
    <t>Power consumption (kW)</t>
  </si>
  <si>
    <t>Cost/hour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</si>
  <si>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</si>
  <si>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</si>
  <si>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</si>
  <si>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</si>
  <si>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</si>
  <si>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</si>
  <si>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</si>
  <si>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</si>
  <si>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</si>
  <si>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</si>
  <si>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</si>
  <si>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</si>
  <si>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</si>
  <si>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</si>
  <si>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</si>
  <si>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</si>
  <si>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</si>
  <si>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</si>
  <si>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</si>
  <si>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</si>
  <si>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</si>
  <si>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</si>
  <si>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</si>
  <si>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</si>
  <si>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</si>
  <si>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</si>
  <si>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</si>
  <si>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</si>
  <si>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</si>
  <si>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</si>
  <si>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</si>
  <si>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</si>
  <si>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</si>
  <si>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</si>
  <si>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</si>
  <si>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</si>
  <si>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</si>
  <si>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</si>
  <si>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</si>
  <si>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</si>
  <si>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</si>
  <si>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</si>
  <si>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</si>
  <si>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</si>
  <si>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</si>
  <si>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</si>
  <si>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</si>
  <si>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</si>
  <si>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</si>
  <si>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</si>
  <si>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</si>
  <si>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</si>
  <si>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</si>
  <si>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</si>
  <si>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</si>
  <si>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</si>
  <si>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</si>
  <si>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</si>
  <si>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</si>
  <si>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</si>
  <si>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</si>
  <si>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</si>
  <si>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</si>
  <si>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</si>
  <si>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</si>
  <si>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</si>
  <si>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</si>
  <si>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</si>
  <si>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</si>
  <si>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</si>
  <si>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</si>
  <si>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</si>
  <si>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</si>
  <si>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</si>
  <si>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</si>
  <si>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</si>
  <si>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</si>
  <si>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</si>
  <si>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</si>
  <si>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</si>
  <si>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</si>
  <si>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</si>
  <si>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</si>
  <si>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</si>
  <si>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</si>
  <si>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</si>
  <si>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</si>
  <si>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</si>
  <si>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</si>
  <si>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</si>
  <si>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</si>
  <si>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</si>
  <si>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</si>
  <si>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</si>
  <si>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</si>
  <si>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</si>
  <si>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</si>
  <si>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</si>
  <si>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</si>
  <si>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</si>
  <si>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</si>
  <si>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</si>
  <si>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</si>
  <si>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</si>
  <si>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</si>
  <si>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</si>
  <si>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</si>
  <si>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</si>
  <si>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</si>
  <si>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</si>
  <si>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</si>
  <si>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</si>
  <si>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</si>
  <si>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</si>
  <si>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</si>
  <si>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</si>
  <si>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</si>
  <si>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</si>
  <si>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</si>
  <si>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</si>
  <si>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</si>
  <si>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</si>
  <si>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</si>
  <si>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</si>
  <si>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</si>
  <si>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</si>
  <si>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</si>
  <si>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</si>
  <si>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</si>
  <si>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</si>
  <si>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</si>
  <si>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</si>
  <si>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</si>
  <si>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</si>
  <si>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</si>
  <si>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</si>
  <si>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</si>
  <si>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</si>
  <si>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</si>
  <si>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</si>
  <si>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</si>
  <si>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Laser cutting</t>
  </si>
  <si>
    <t>Cost of machining part (€/mm)</t>
  </si>
  <si>
    <t>http://www.eau-direct.fr/gestion/prix.html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</si>
  <si>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</si>
  <si>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</si>
  <si>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</si>
  <si>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</si>
  <si>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</si>
  <si>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</si>
  <si>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</si>
  <si>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</si>
  <si>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</si>
  <si>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</si>
  <si>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</si>
  <si>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</si>
  <si>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</si>
  <si>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</si>
  <si>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</si>
  <si>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</si>
  <si>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</si>
  <si>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</si>
  <si>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</si>
  <si>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</si>
  <si>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</si>
  <si>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</si>
  <si>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</si>
  <si>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</si>
  <si>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</si>
  <si>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</si>
  <si>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</si>
  <si>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</si>
  <si>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</si>
  <si>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</si>
  <si>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</si>
  <si>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</si>
  <si>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</si>
  <si>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</si>
  <si>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</si>
  <si>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</si>
  <si>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</si>
  <si>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</si>
  <si>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</si>
  <si>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</si>
  <si>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</si>
  <si>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</si>
  <si>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</si>
  <si>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</si>
  <si>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</si>
  <si>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</si>
  <si>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</si>
  <si>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</si>
  <si>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</si>
  <si>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</si>
  <si>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</si>
  <si>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</si>
  <si>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</si>
  <si>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</si>
  <si>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</si>
  <si>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</si>
  <si>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</si>
  <si>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</si>
  <si>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</si>
  <si>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</si>
  <si>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Fixed cost (5% of the time)</t>
  </si>
  <si>
    <t>Tool holders and fixtures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</si>
  <si>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</si>
  <si>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</si>
  <si>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</si>
  <si>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</si>
  <si>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</si>
  <si>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</si>
  <si>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</si>
  <si>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</si>
  <si>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</si>
  <si>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</si>
  <si>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</si>
  <si>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</si>
  <si>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</si>
  <si>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</si>
  <si>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</si>
  <si>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</si>
  <si>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</si>
  <si>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</si>
  <si>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</si>
  <si>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</si>
  <si>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</si>
  <si>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</si>
  <si>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</si>
  <si>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</si>
  <si>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</si>
  <si>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</si>
  <si>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</si>
  <si>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</si>
  <si>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</si>
  <si>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</si>
  <si>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</si>
  <si>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</si>
  <si>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of programing part Operator (€)</t>
  </si>
  <si>
    <t>Cost of programing part Technician(€)</t>
  </si>
  <si>
    <t>Cost of measuring part Operator (€)</t>
  </si>
  <si>
    <t>Cost of measuring part Technician(€)</t>
  </si>
  <si>
    <t>Req manpower for laser 'special)</t>
  </si>
  <si>
    <t>Price for cutting Delrin</t>
  </si>
  <si>
    <t>Cost per year</t>
  </si>
  <si>
    <t>cost/hour</t>
  </si>
  <si>
    <r>
      <t>Water rate/m</t>
    </r>
    <r>
      <rPr>
        <vertAlign val="superscript"/>
        <sz val="11"/>
        <color theme="1"/>
        <rFont val="Calibri"/>
        <family val="2"/>
        <scheme val="minor"/>
      </rPr>
      <t>3</t>
    </r>
  </si>
  <si>
    <t>Printer consumable 
(4000 A4pages B&amp;W, 1600 A4pages Colors)</t>
  </si>
  <si>
    <t>Overhead Summary</t>
  </si>
  <si>
    <t>Manufacturing Summary</t>
  </si>
  <si>
    <t>Programming time and supply order/ mm^3 (50% of machining time)</t>
  </si>
  <si>
    <t>Programming time and supply order / mm^3 (50% of machining time)</t>
  </si>
  <si>
    <t xml:space="preserve">Manpower </t>
  </si>
  <si>
    <t>Gross wage/month</t>
  </si>
  <si>
    <t>Yearly wage cost for the company</t>
  </si>
  <si>
    <t>Yearly wage cost for the company (95%)</t>
  </si>
  <si>
    <t>Data for working time</t>
  </si>
  <si>
    <t>Other</t>
  </si>
  <si>
    <t>Workforce allocation</t>
  </si>
  <si>
    <t>Sum of allocated op (hrs)</t>
  </si>
  <si>
    <t>Required regarding OPE on workstations (hrs)</t>
  </si>
  <si>
    <t>incl tax</t>
  </si>
  <si>
    <t>excl tax</t>
  </si>
  <si>
    <t>Water</t>
  </si>
  <si>
    <t>Sources</t>
  </si>
  <si>
    <t>Power needed (kVA)</t>
  </si>
  <si>
    <t>Subscription (€) (excl tax)</t>
  </si>
  <si>
    <t>Subscription (€/kVA) (excl tax)</t>
  </si>
  <si>
    <t>Price/kWh (excl tax)</t>
  </si>
  <si>
    <r>
      <t>Water (€/m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</si>
  <si>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Price (€) (incl tax)</t>
  </si>
  <si>
    <t>Price ($) (incl tax)</t>
  </si>
  <si>
    <t>Price (€) (excl tax)</t>
  </si>
  <si>
    <t>Categories</t>
  </si>
  <si>
    <t>Softwares</t>
  </si>
  <si>
    <t>Printing</t>
  </si>
  <si>
    <t>Computer</t>
  </si>
  <si>
    <t>Accessories</t>
  </si>
  <si>
    <t>Internet access</t>
  </si>
  <si>
    <t>Phones</t>
  </si>
  <si>
    <t>Incl tax</t>
  </si>
  <si>
    <t>Excl tax</t>
  </si>
  <si>
    <t>Price ($) (excl tax)</t>
  </si>
  <si>
    <t>Machinery equipment</t>
  </si>
  <si>
    <t>Tool cabinet</t>
  </si>
  <si>
    <t xml:space="preserve">Organising </t>
  </si>
  <si>
    <t>Handling</t>
  </si>
  <si>
    <t>Cleaning</t>
  </si>
  <si>
    <t>Shelves without door</t>
  </si>
  <si>
    <t>Shelves with door</t>
  </si>
  <si>
    <t>Minimal Wage in France</t>
  </si>
  <si>
    <t xml:space="preserve">https://travail-emploi.gouv.fr/droit-du-travail/la-remuneration/article/le-smic-montants-en-vigueur-a-compter-du-1er-janvier-2021 </t>
  </si>
  <si>
    <t>Payed holliday (5 week) and payed leave (2,5 day)</t>
  </si>
  <si>
    <t>Minimal French wage</t>
  </si>
  <si>
    <t>Wage cost calculation for the company</t>
  </si>
  <si>
    <t>https://www.service-public.fr/professionnels-entreprises/vosdroits/services-en-ligne-et-formulaires/simulateur-cout-embauche</t>
  </si>
  <si>
    <t>French labour law impose this minimal rate to earn the min wage</t>
  </si>
  <si>
    <t>Total of week per year without, holiday, bank  holiday…</t>
  </si>
  <si>
    <t>It is a prototyping company, soit does not run nonstop. 
6%: maintenance and cleaning of shop floor</t>
  </si>
  <si>
    <t xml:space="preserve">People cannot be working nonstop. </t>
  </si>
  <si>
    <t xml:space="preserve">VAT </t>
  </si>
  <si>
    <t>Euro to Dollar Rate</t>
  </si>
  <si>
    <t>Administrative Workforce</t>
  </si>
  <si>
    <t>Operative Workforce</t>
  </si>
  <si>
    <t xml:space="preserve">Human Resource </t>
  </si>
  <si>
    <t>Logistic</t>
  </si>
  <si>
    <t xml:space="preserve">Commercial </t>
  </si>
  <si>
    <t>Accountant</t>
  </si>
  <si>
    <t>French VAT</t>
  </si>
  <si>
    <t>The 13/05/2021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</si>
</sst>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000000"/>
      <name val="Corbel"/>
      <family val="2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1">
    <xf numFmtId="0" fontId="0" fillId="0" borderId="0" xfId="0"/>
    <xf numFmtId="11" fontId="0" fillId="0" borderId="0" xfId="0" applyNumberFormat="1"/>
    <xf numFmtId="44" fontId="0" fillId="0" borderId="0" xfId="1" applyFont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9" fontId="0" fillId="0" borderId="0" xfId="3" applyFont="1"/>
    <xf numFmtId="1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Fill="1"/>
    <xf numFmtId="11" fontId="0" fillId="0" borderId="0" xfId="1" applyNumberFormat="1" applyFont="1"/>
    <xf numFmtId="0" fontId="0" fillId="0" borderId="0" xfId="0" applyAlignment="1">
      <alignment horizontal="left"/>
    </xf>
    <xf numFmtId="44" fontId="0" fillId="0" borderId="0" xfId="0" applyNumberFormat="1" applyBorder="1"/>
    <xf numFmtId="0" fontId="2" fillId="0" borderId="0" xfId="0" applyFont="1" applyFill="1" applyAlignment="1">
      <alignment horizontal="center" vertical="center"/>
    </xf>
    <xf numFmtId="0" fontId="3" fillId="0" borderId="0" xfId="2" applyFont="1"/>
    <xf numFmtId="0" fontId="0" fillId="9" borderId="10" xfId="0" applyFill="1" applyBorder="1"/>
    <xf numFmtId="0" fontId="0" fillId="9" borderId="0" xfId="0" applyFill="1" applyBorder="1"/>
    <xf numFmtId="0" fontId="0" fillId="9" borderId="4" xfId="0" applyFill="1" applyBorder="1"/>
    <xf numFmtId="0" fontId="0" fillId="9" borderId="5" xfId="0" applyFill="1" applyBorder="1"/>
    <xf numFmtId="0" fontId="0" fillId="8" borderId="10" xfId="0" applyFill="1" applyBorder="1"/>
    <xf numFmtId="0" fontId="0" fillId="8" borderId="0" xfId="0" applyFill="1" applyBorder="1"/>
    <xf numFmtId="0" fontId="0" fillId="8" borderId="4" xfId="0" applyFill="1" applyBorder="1"/>
    <xf numFmtId="0" fontId="0" fillId="8" borderId="5" xfId="0" applyFill="1" applyBorder="1"/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1" fontId="0" fillId="0" borderId="12" xfId="0" applyNumberFormat="1" applyBorder="1"/>
    <xf numFmtId="0" fontId="0" fillId="10" borderId="4" xfId="0" applyFill="1" applyBorder="1"/>
    <xf numFmtId="0" fontId="0" fillId="10" borderId="5" xfId="0" applyFill="1" applyBorder="1"/>
    <xf numFmtId="9" fontId="0" fillId="15" borderId="0" xfId="3" applyFont="1" applyFill="1"/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9" fontId="2" fillId="8" borderId="0" xfId="0" applyNumberFormat="1" applyFont="1" applyFill="1" applyBorder="1" applyAlignment="1">
      <alignment vertical="center"/>
    </xf>
    <xf numFmtId="0" fontId="2" fillId="9" borderId="10" xfId="0" applyFont="1" applyFill="1" applyBorder="1" applyAlignment="1">
      <alignment vertical="center"/>
    </xf>
    <xf numFmtId="9" fontId="2" fillId="9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0" xfId="0" applyNumberFormat="1"/>
    <xf numFmtId="0" fontId="2" fillId="12" borderId="1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9" fontId="0" fillId="0" borderId="12" xfId="3" applyFont="1" applyBorder="1"/>
    <xf numFmtId="166" fontId="0" fillId="0" borderId="12" xfId="0" applyNumberFormat="1" applyBorder="1"/>
    <xf numFmtId="0" fontId="0" fillId="0" borderId="12" xfId="0" applyNumberFormat="1" applyBorder="1"/>
    <xf numFmtId="0" fontId="0" fillId="0" borderId="14" xfId="0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Border="1"/>
    <xf numFmtId="44" fontId="0" fillId="0" borderId="17" xfId="0" applyNumberFormat="1" applyBorder="1"/>
    <xf numFmtId="0" fontId="0" fillId="0" borderId="15" xfId="0" applyBorder="1"/>
    <xf numFmtId="1" fontId="0" fillId="0" borderId="16" xfId="0" applyNumberFormat="1" applyBorder="1"/>
    <xf numFmtId="9" fontId="0" fillId="0" borderId="16" xfId="3" applyFont="1" applyBorder="1" applyAlignment="1">
      <alignment wrapText="1"/>
    </xf>
    <xf numFmtId="9" fontId="0" fillId="0" borderId="17" xfId="3" applyFont="1" applyBorder="1"/>
    <xf numFmtId="9" fontId="0" fillId="0" borderId="18" xfId="3" applyFont="1" applyBorder="1"/>
    <xf numFmtId="0" fontId="2" fillId="13" borderId="1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0" borderId="16" xfId="0" applyNumberFormat="1" applyBorder="1"/>
    <xf numFmtId="0" fontId="0" fillId="13" borderId="4" xfId="0" applyFill="1" applyBorder="1"/>
    <xf numFmtId="0" fontId="0" fillId="0" borderId="18" xfId="0" applyBorder="1"/>
    <xf numFmtId="0" fontId="2" fillId="14" borderId="1" xfId="0" applyFont="1" applyFill="1" applyBorder="1" applyAlignment="1">
      <alignment horizontal="center" vertical="center"/>
    </xf>
    <xf numFmtId="0" fontId="0" fillId="0" borderId="14" xfId="0" applyNumberFormat="1" applyBorder="1"/>
    <xf numFmtId="0" fontId="2" fillId="14" borderId="4" xfId="0" applyFont="1" applyFill="1" applyBorder="1" applyAlignment="1">
      <alignment horizontal="center" vertical="center"/>
    </xf>
    <xf numFmtId="44" fontId="2" fillId="0" borderId="15" xfId="0" applyNumberFormat="1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11" fontId="0" fillId="0" borderId="16" xfId="0" applyNumberFormat="1" applyFont="1" applyFill="1" applyBorder="1" applyAlignment="1">
      <alignment horizontal="right" vertical="center"/>
    </xf>
    <xf numFmtId="9" fontId="0" fillId="0" borderId="16" xfId="3" applyFont="1" applyFill="1" applyBorder="1" applyAlignment="1">
      <alignment horizontal="right" vertical="center"/>
    </xf>
    <xf numFmtId="44" fontId="0" fillId="0" borderId="18" xfId="0" applyNumberFormat="1" applyFont="1" applyFill="1" applyBorder="1" applyAlignment="1">
      <alignment horizontal="right" vertical="center"/>
    </xf>
    <xf numFmtId="8" fontId="0" fillId="0" borderId="12" xfId="0" applyNumberFormat="1" applyBorder="1"/>
    <xf numFmtId="0" fontId="2" fillId="0" borderId="12" xfId="0" applyFont="1" applyFill="1" applyBorder="1" applyAlignment="1">
      <alignment horizontal="center" vertical="center"/>
    </xf>
    <xf numFmtId="9" fontId="2" fillId="0" borderId="12" xfId="3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8" fontId="0" fillId="0" borderId="15" xfId="0" applyNumberFormat="1" applyBorder="1"/>
    <xf numFmtId="8" fontId="0" fillId="0" borderId="18" xfId="0" applyNumberFormat="1" applyBorder="1"/>
    <xf numFmtId="44" fontId="0" fillId="0" borderId="15" xfId="1" applyFont="1" applyBorder="1"/>
    <xf numFmtId="44" fontId="0" fillId="0" borderId="16" xfId="1" applyFont="1" applyFill="1" applyBorder="1" applyAlignment="1">
      <alignment horizontal="center" vertical="center"/>
    </xf>
    <xf numFmtId="44" fontId="0" fillId="0" borderId="18" xfId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8" fontId="0" fillId="0" borderId="14" xfId="0" applyNumberFormat="1" applyBorder="1"/>
    <xf numFmtId="8" fontId="0" fillId="0" borderId="16" xfId="0" applyNumberFormat="1" applyBorder="1"/>
    <xf numFmtId="0" fontId="0" fillId="0" borderId="17" xfId="0" applyNumberFormat="1" applyBorder="1"/>
    <xf numFmtId="44" fontId="0" fillId="0" borderId="14" xfId="1" applyFont="1" applyFill="1" applyBorder="1"/>
    <xf numFmtId="0" fontId="0" fillId="0" borderId="19" xfId="0" applyBorder="1"/>
    <xf numFmtId="0" fontId="0" fillId="0" borderId="22" xfId="0" applyBorder="1"/>
    <xf numFmtId="0" fontId="0" fillId="0" borderId="21" xfId="0" applyBorder="1"/>
    <xf numFmtId="0" fontId="0" fillId="0" borderId="19" xfId="0" applyFill="1" applyBorder="1"/>
    <xf numFmtId="0" fontId="0" fillId="0" borderId="22" xfId="0" applyFill="1" applyBorder="1"/>
    <xf numFmtId="0" fontId="0" fillId="0" borderId="21" xfId="0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11" xfId="3" applyFont="1" applyFill="1" applyBorder="1" applyAlignment="1">
      <alignment horizontal="center" vertical="center"/>
    </xf>
    <xf numFmtId="11" fontId="2" fillId="8" borderId="11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1" xfId="3" applyFont="1" applyFill="1" applyBorder="1" applyAlignment="1">
      <alignment horizontal="center" vertical="center"/>
    </xf>
    <xf numFmtId="11" fontId="2" fillId="9" borderId="11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9" fontId="2" fillId="10" borderId="11" xfId="3" applyFont="1" applyFill="1" applyBorder="1" applyAlignment="1">
      <alignment horizontal="center" vertical="center"/>
    </xf>
    <xf numFmtId="11" fontId="2" fillId="10" borderId="11" xfId="0" applyNumberFormat="1" applyFont="1" applyFill="1" applyBorder="1" applyAlignment="1">
      <alignment horizontal="center" vertical="center"/>
    </xf>
    <xf numFmtId="0" fontId="2" fillId="10" borderId="11" xfId="0" applyNumberFormat="1" applyFont="1" applyFill="1" applyBorder="1" applyAlignment="1">
      <alignment horizontal="center" vertical="center"/>
    </xf>
    <xf numFmtId="11" fontId="2" fillId="8" borderId="11" xfId="4" applyNumberFormat="1" applyFont="1" applyFill="1" applyBorder="1" applyAlignment="1">
      <alignment horizontal="center" vertical="center"/>
    </xf>
    <xf numFmtId="0" fontId="3" fillId="8" borderId="10" xfId="0" applyFont="1" applyFill="1" applyBorder="1"/>
    <xf numFmtId="0" fontId="3" fillId="8" borderId="11" xfId="0" applyFont="1" applyFill="1" applyBorder="1"/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0" borderId="16" xfId="0" applyBorder="1"/>
    <xf numFmtId="0" fontId="4" fillId="8" borderId="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44" fontId="0" fillId="0" borderId="14" xfId="1" applyFont="1" applyBorder="1"/>
    <xf numFmtId="0" fontId="2" fillId="0" borderId="16" xfId="0" applyFont="1" applyFill="1" applyBorder="1" applyAlignment="1">
      <alignment horizontal="center" vertical="center"/>
    </xf>
    <xf numFmtId="9" fontId="2" fillId="0" borderId="16" xfId="3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8" borderId="6" xfId="0" applyFill="1" applyBorder="1"/>
    <xf numFmtId="44" fontId="0" fillId="0" borderId="17" xfId="1" applyFont="1" applyBorder="1"/>
    <xf numFmtId="44" fontId="0" fillId="0" borderId="16" xfId="1" applyFont="1" applyFill="1" applyBorder="1" applyAlignment="1">
      <alignment horizontal="right" vertical="center"/>
    </xf>
    <xf numFmtId="44" fontId="0" fillId="0" borderId="30" xfId="0" applyNumberFormat="1" applyFont="1" applyFill="1" applyBorder="1" applyAlignment="1">
      <alignment horizontal="right" vertical="center"/>
    </xf>
    <xf numFmtId="44" fontId="0" fillId="0" borderId="32" xfId="0" applyNumberFormat="1" applyBorder="1"/>
    <xf numFmtId="9" fontId="0" fillId="0" borderId="18" xfId="3" applyFont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34" xfId="0" applyBorder="1"/>
    <xf numFmtId="0" fontId="0" fillId="0" borderId="35" xfId="0" applyBorder="1"/>
    <xf numFmtId="0" fontId="5" fillId="0" borderId="16" xfId="2" applyBorder="1"/>
    <xf numFmtId="0" fontId="0" fillId="0" borderId="36" xfId="0" applyBorder="1"/>
    <xf numFmtId="0" fontId="5" fillId="0" borderId="18" xfId="2" applyBorder="1"/>
    <xf numFmtId="0" fontId="0" fillId="0" borderId="37" xfId="0" applyBorder="1"/>
    <xf numFmtId="0" fontId="5" fillId="0" borderId="32" xfId="2" applyBorder="1"/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44" fontId="0" fillId="0" borderId="31" xfId="1" applyFont="1" applyBorder="1"/>
    <xf numFmtId="0" fontId="0" fillId="0" borderId="31" xfId="0" applyBorder="1"/>
    <xf numFmtId="44" fontId="0" fillId="0" borderId="31" xfId="0" applyNumberFormat="1" applyBorder="1"/>
    <xf numFmtId="0" fontId="0" fillId="0" borderId="38" xfId="0" applyBorder="1"/>
    <xf numFmtId="0" fontId="0" fillId="0" borderId="40" xfId="0" applyBorder="1"/>
    <xf numFmtId="0" fontId="0" fillId="0" borderId="39" xfId="0" applyBorder="1"/>
    <xf numFmtId="0" fontId="2" fillId="0" borderId="40" xfId="0" applyFont="1" applyBorder="1"/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44" fontId="0" fillId="0" borderId="29" xfId="1" applyFont="1" applyBorder="1"/>
    <xf numFmtId="0" fontId="0" fillId="0" borderId="29" xfId="0" applyBorder="1"/>
    <xf numFmtId="44" fontId="0" fillId="0" borderId="29" xfId="0" applyNumberFormat="1" applyBorder="1"/>
    <xf numFmtId="44" fontId="2" fillId="0" borderId="39" xfId="1" applyFont="1" applyBorder="1"/>
    <xf numFmtId="0" fontId="0" fillId="0" borderId="0" xfId="0" applyAlignment="1"/>
    <xf numFmtId="0" fontId="5" fillId="0" borderId="15" xfId="2" applyBorder="1"/>
    <xf numFmtId="0" fontId="2" fillId="0" borderId="0" xfId="0" applyFont="1" applyAlignment="1">
      <alignment horizontal="center" vertical="center"/>
    </xf>
    <xf numFmtId="0" fontId="0" fillId="0" borderId="44" xfId="0" applyBorder="1"/>
    <xf numFmtId="0" fontId="0" fillId="0" borderId="32" xfId="0" applyBorder="1"/>
    <xf numFmtId="0" fontId="2" fillId="0" borderId="0" xfId="0" applyFont="1" applyBorder="1" applyAlignment="1">
      <alignment vertical="center" textRotation="45"/>
    </xf>
    <xf numFmtId="0" fontId="0" fillId="0" borderId="46" xfId="0" applyBorder="1"/>
    <xf numFmtId="0" fontId="0" fillId="0" borderId="47" xfId="0" applyBorder="1"/>
    <xf numFmtId="0" fontId="2" fillId="0" borderId="42" xfId="0" applyFont="1" applyBorder="1"/>
    <xf numFmtId="0" fontId="0" fillId="0" borderId="43" xfId="0" applyBorder="1"/>
    <xf numFmtId="0" fontId="0" fillId="0" borderId="48" xfId="0" applyBorder="1"/>
    <xf numFmtId="0" fontId="2" fillId="0" borderId="45" xfId="0" applyFont="1" applyBorder="1"/>
    <xf numFmtId="0" fontId="2" fillId="0" borderId="4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36" xfId="0" applyFont="1" applyBorder="1"/>
    <xf numFmtId="6" fontId="0" fillId="0" borderId="12" xfId="0" applyNumberFormat="1" applyBorder="1"/>
    <xf numFmtId="165" fontId="0" fillId="0" borderId="12" xfId="0" applyNumberFormat="1" applyBorder="1"/>
    <xf numFmtId="17" fontId="0" fillId="0" borderId="22" xfId="0" applyNumberFormat="1" applyBorder="1"/>
    <xf numFmtId="6" fontId="0" fillId="0" borderId="31" xfId="0" applyNumberFormat="1" applyBorder="1"/>
    <xf numFmtId="8" fontId="0" fillId="0" borderId="31" xfId="0" applyNumberFormat="1" applyBorder="1"/>
    <xf numFmtId="0" fontId="0" fillId="0" borderId="50" xfId="0" applyBorder="1"/>
    <xf numFmtId="0" fontId="2" fillId="0" borderId="50" xfId="0" applyFont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5" fillId="0" borderId="32" xfId="2" applyBorder="1" applyAlignment="1">
      <alignment wrapText="1"/>
    </xf>
    <xf numFmtId="0" fontId="0" fillId="0" borderId="16" xfId="0" applyBorder="1" applyAlignment="1">
      <alignment wrapText="1"/>
    </xf>
    <xf numFmtId="0" fontId="5" fillId="0" borderId="16" xfId="2" applyBorder="1" applyAlignment="1">
      <alignment wrapText="1"/>
    </xf>
    <xf numFmtId="0" fontId="5" fillId="0" borderId="18" xfId="2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4" fontId="0" fillId="0" borderId="40" xfId="1" applyFont="1" applyBorder="1"/>
    <xf numFmtId="165" fontId="0" fillId="0" borderId="14" xfId="0" applyNumberFormat="1" applyBorder="1"/>
    <xf numFmtId="165" fontId="0" fillId="0" borderId="17" xfId="0" applyNumberFormat="1" applyBorder="1"/>
    <xf numFmtId="0" fontId="5" fillId="0" borderId="14" xfId="2" applyBorder="1"/>
    <xf numFmtId="0" fontId="5" fillId="0" borderId="17" xfId="2" applyBorder="1"/>
    <xf numFmtId="0" fontId="5" fillId="0" borderId="39" xfId="2" applyBorder="1"/>
    <xf numFmtId="0" fontId="4" fillId="9" borderId="4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44" fontId="0" fillId="0" borderId="26" xfId="0" applyNumberFormat="1" applyBorder="1" applyAlignment="1">
      <alignment horizontal="center" vertical="center"/>
    </xf>
    <xf numFmtId="44" fontId="0" fillId="0" borderId="27" xfId="0" applyNumberFormat="1" applyBorder="1" applyAlignment="1">
      <alignment horizontal="center" vertical="center"/>
    </xf>
    <xf numFmtId="44" fontId="0" fillId="0" borderId="2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 textRotation="45"/>
    </xf>
    <xf numFmtId="0" fontId="2" fillId="0" borderId="43" xfId="0" applyFont="1" applyBorder="1" applyAlignment="1">
      <alignment horizontal="center" vertical="center" textRotation="45"/>
    </xf>
    <xf numFmtId="44" fontId="0" fillId="0" borderId="15" xfId="0" applyNumberFormat="1" applyBorder="1" applyAlignment="1">
      <alignment horizontal="center"/>
    </xf>
    <xf numFmtId="44" fontId="0" fillId="0" borderId="18" xfId="0" applyNumberFormat="1" applyBorder="1" applyAlignment="1">
      <alignment horizontal="center"/>
    </xf>
    <xf numFmtId="0" fontId="2" fillId="0" borderId="23" xfId="0" applyFont="1" applyBorder="1" applyAlignment="1">
      <alignment horizontal="center" vertical="center" textRotation="45" wrapText="1"/>
    </xf>
    <xf numFmtId="0" fontId="2" fillId="0" borderId="10" xfId="0" applyFont="1" applyBorder="1" applyAlignment="1">
      <alignment horizontal="center" vertical="center" textRotation="45" wrapText="1"/>
    </xf>
    <xf numFmtId="0" fontId="2" fillId="0" borderId="4" xfId="0" applyFont="1" applyBorder="1" applyAlignment="1">
      <alignment horizontal="center" vertical="center" textRotation="45" wrapText="1"/>
    </xf>
    <xf numFmtId="0" fontId="2" fillId="0" borderId="23" xfId="0" applyFont="1" applyBorder="1" applyAlignment="1">
      <alignment horizontal="center" vertical="center" textRotation="45"/>
    </xf>
    <xf numFmtId="0" fontId="2" fillId="0" borderId="24" xfId="0" applyFont="1" applyBorder="1" applyAlignment="1">
      <alignment horizontal="center" vertical="center" textRotation="45"/>
    </xf>
    <xf numFmtId="0" fontId="2" fillId="0" borderId="25" xfId="0" applyFont="1" applyBorder="1" applyAlignment="1">
      <alignment horizontal="center" vertical="center" textRotation="45"/>
    </xf>
    <xf numFmtId="0" fontId="2" fillId="0" borderId="42" xfId="0" applyFont="1" applyBorder="1" applyAlignment="1">
      <alignment horizontal="center" vertical="center" textRotation="45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0" borderId="14" xfId="2" applyBorder="1" applyAlignment="1">
      <alignment horizontal="center"/>
    </xf>
    <xf numFmtId="0" fontId="5" fillId="0" borderId="15" xfId="2" applyBorder="1" applyAlignment="1">
      <alignment horizontal="center"/>
    </xf>
    <xf numFmtId="0" fontId="5" fillId="0" borderId="12" xfId="2" applyBorder="1" applyAlignment="1">
      <alignment horizontal="center"/>
    </xf>
    <xf numFmtId="0" fontId="5" fillId="0" borderId="16" xfId="2" applyBorder="1" applyAlignment="1">
      <alignment horizontal="center"/>
    </xf>
    <xf numFmtId="0" fontId="5" fillId="0" borderId="17" xfId="2" applyBorder="1" applyAlignment="1">
      <alignment horizontal="center"/>
    </xf>
    <xf numFmtId="0" fontId="5" fillId="0" borderId="18" xfId="2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44" xfId="2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5" fillId="0" borderId="22" xfId="2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51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33" xfId="0" applyFont="1" applyFill="1" applyBorder="1" applyAlignment="1">
      <alignment horizontal="center" vertical="center"/>
    </xf>
    <xf numFmtId="0" fontId="0" fillId="0" borderId="52" xfId="0" applyBorder="1"/>
    <xf numFmtId="0" fontId="0" fillId="0" borderId="29" xfId="0" applyNumberFormat="1" applyBorder="1"/>
    <xf numFmtId="8" fontId="0" fillId="0" borderId="30" xfId="0" applyNumberFormat="1" applyBorder="1"/>
    <xf numFmtId="0" fontId="2" fillId="12" borderId="23" xfId="0" applyFont="1" applyFill="1" applyBorder="1" applyAlignment="1">
      <alignment horizontal="center" vertical="center" wrapText="1"/>
    </xf>
    <xf numFmtId="0" fontId="2" fillId="12" borderId="24" xfId="0" applyFont="1" applyFill="1" applyBorder="1" applyAlignment="1">
      <alignment horizontal="center" vertical="center" wrapText="1"/>
    </xf>
    <xf numFmtId="0" fontId="2" fillId="12" borderId="25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/>
    </xf>
    <xf numFmtId="0" fontId="2" fillId="12" borderId="24" xfId="0" applyFont="1" applyFill="1" applyBorder="1" applyAlignment="1">
      <alignment horizontal="center" vertical="center"/>
    </xf>
    <xf numFmtId="0" fontId="2" fillId="12" borderId="25" xfId="0" applyFont="1" applyFill="1" applyBorder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8" fillId="0" borderId="22" xfId="0" applyFont="1" applyBorder="1" applyAlignment="1">
      <alignment horizontal="justify" vertical="center"/>
    </xf>
    <xf numFmtId="0" fontId="8" fillId="0" borderId="36" xfId="0" applyFont="1" applyBorder="1" applyAlignment="1">
      <alignment horizontal="justify" vertical="center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achineseeker.fr/mss/schaublin+13" TargetMode="External"/><Relationship Id="rId1" Type="http://schemas.openxmlformats.org/officeDocument/2006/relationships/hyperlink" Target="https://www.surplex.com/fr/vente/c/tours-paralleles-4340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ravail-emploi.gouv.fr/droit-du-travail/la-remuneration/article/le-smic-montants-en-vigueur-a-compter-du-1er-janvier-2021" TargetMode="External"/><Relationship Id="rId2" Type="http://schemas.openxmlformats.org/officeDocument/2006/relationships/hyperlink" Target="https://www.service-public.fr/professionnels-entreprises/vosdroits/services-en-ligne-et-formulaires/simulateur-cout-embauche" TargetMode="External"/><Relationship Id="rId1" Type="http://schemas.openxmlformats.org/officeDocument/2006/relationships/hyperlink" Target="https://www.gestionnaire-paie.com/convention-collective-automobile-salaires-minima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juristique.org/social/duree-du-travai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urnisseurs-electricite.com/edf/pro/tarifs-reglementes/jaune" TargetMode="External"/><Relationship Id="rId2" Type="http://schemas.openxmlformats.org/officeDocument/2006/relationships/hyperlink" Target="https://www.kelwatt.fr/guide/prix-electricite-entreprise" TargetMode="External"/><Relationship Id="rId1" Type="http://schemas.openxmlformats.org/officeDocument/2006/relationships/hyperlink" Target="http://www.eau-direct.fr/gestion/prix.html" TargetMode="External"/><Relationship Id="rId4" Type="http://schemas.openxmlformats.org/officeDocument/2006/relationships/hyperlink" Target="https://www.fournisseurs-electricite.com/guides/compteur/puissance/estimation?fbclid=IwAR0M9rlabDNFJxLa_aehdEGtK33qlQUwFO2xf_a1OlrFo_cEoo8_Df1M5h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mitutoyo.fr/web/mitutoyo/fr_FR/mitutoyo/01.05.033/Base%20magn%C3%A9tique%20avec%20r%C3%A9glage%20fin/$catalogue/mitutoyoData/PR/7011SN/index.xhtml" TargetMode="External"/><Relationship Id="rId13" Type="http://schemas.openxmlformats.org/officeDocument/2006/relationships/hyperlink" Target="https://shop.mitutoyo.fr/web/mitutoyo/fr_FR/mitutoyo/01.02.01.031/Microm.%20d%27ext%C3%A9rieur%20col%20de%20cygne/$catalogue/mitutoyoData/PR/103-141-10/index.xhtml" TargetMode="External"/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7" Type="http://schemas.openxmlformats.org/officeDocument/2006/relationships/hyperlink" Target="https://shop.mitutoyo.fr/web/mitutoyo/fr_FR/mitutoyo/01.05.03/Support%20articul%C3%A9%20magn%C3%A9ti/$catalogue/mitutoyoData/PR/7019B/index.xhtml" TargetMode="External"/><Relationship Id="rId12" Type="http://schemas.openxmlformats.org/officeDocument/2006/relationships/hyperlink" Target="https://shop.mitutoyo.fr/web/mitutoyo/fr_FR/mitutoyo/01.02.01.032/Microm.%20d%27ext%C3%A9rieur%20col%20de%20cygne%20en%20jeu/$catalogue/mitutoyoData/PR/103-915-10/index.xhtml" TargetMode="External"/><Relationship Id="rId17" Type="http://schemas.openxmlformats.org/officeDocument/2006/relationships/hyperlink" Target="https://www.orexad.com/fr/colonne-de-mesure-817clm-cap-600-770-pupitre-2d/p-G1197000019" TargetMode="External"/><Relationship Id="rId2" Type="http://schemas.openxmlformats.org/officeDocument/2006/relationships/hyperlink" Target="http://www.starrett.com/metrology/product-detail/3753A-8~200" TargetMode="External"/><Relationship Id="rId16" Type="http://schemas.openxmlformats.org/officeDocument/2006/relationships/hyperlink" Target="https://www.orexad.com/fr/projecteur-de-profil-pj-h30/p-G1213001821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Relationship Id="rId6" Type="http://schemas.openxmlformats.org/officeDocument/2006/relationships/hyperlink" Target="https://shop.mitutoyo.fr/web/mitutoyo/fr_FR/mitutoyo/01.05.0331/Base%20pneumatique/index.xhtml" TargetMode="External"/><Relationship Id="rId11" Type="http://schemas.openxmlformats.org/officeDocument/2006/relationships/hyperlink" Target="https://shop.mitutoyo.fr/web/mitutoyo/fr_FR/mitutoyo/01.02.01.0/Microm%C3%A8tre%20DIGIMATIC%20IP65%20en%20jeu%200-100%20mm/$catalogue/mitutoyoData/PR/293-963/index.xhtml" TargetMode="External"/><Relationship Id="rId5" Type="http://schemas.openxmlformats.org/officeDocument/2006/relationships/hyperlink" Target="https://shop.mitutoyo.fr/web/mitutoyo/fr_FR/mitutoyo/1300888710750/Comparateur%20m%C3%A9canique%2C%20dos%20plat/$catalogue/mitutoyoData/PR/2044SB/index.xhtml" TargetMode="External"/><Relationship Id="rId15" Type="http://schemas.openxmlformats.org/officeDocument/2006/relationships/hyperlink" Target="https://shop.mitutoyo.fr/web/mitutoyo/fr_FR/mitutoyo/1355993040307/Microm%C3%A8tre%20d%27int%C3%A9rieur%20Holtest%20en%20jeu/$catalogue/mitutoyoData/PR/368-991/index.xhtml" TargetMode="External"/><Relationship Id="rId10" Type="http://schemas.openxmlformats.org/officeDocument/2006/relationships/hyperlink" Target="https://shop.mitutoyo.fr/web/mitutoyo/fr_FR/mitutoyo/01.07.01/Jeu%20de%20cales%20-%20m%C3%A9trique%20-%20Cert.%20Insp.%20-%20ISO/$catalogue/mitutoyoData/PR/516-942-10/index.xhtml" TargetMode="External"/><Relationship Id="rId4" Type="http://schemas.openxmlformats.org/officeDocument/2006/relationships/hyperlink" Target="https://shop.mitutoyo.fr/web/mitutoyo/fr_FR/mitutoyo/1305198758390/Comparateur%20%C3%A0%20palpeur%20orientable%2C%20mod%C3%A8le%20horizontal/$catalogue/mitutoyoData/PR/513-908/index.xhtml" TargetMode="External"/><Relationship Id="rId9" Type="http://schemas.openxmlformats.org/officeDocument/2006/relationships/hyperlink" Target="https://shop.mitutoyo.fr/web/mitutoyo/fr_FR/mitutoyo/01.05.077/Paire%20de%20v%C3%A9s/$catalogue/mitutoyoData/PR/911-111/index.xhtml" TargetMode="External"/><Relationship Id="rId14" Type="http://schemas.openxmlformats.org/officeDocument/2006/relationships/hyperlink" Target="https://shop.mitutoyo.fr/web/mitutoyo/fr_FR/mitutoyo/01.02.01.031/Microm.%20d%27ext%C3%A9rieur%20col%20de%20cygne/$catalogue/mitutoyoData/PR/103-142-10/index.x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hp.com/FranceStore/Merch/Product.aspx?id=2ZC41ET&amp;opt=ABF&amp;mastersku=2ZC41ET&amp;masteropt=ABF&amp;sel=NTB&amp;" TargetMode="External"/><Relationship Id="rId13" Type="http://schemas.openxmlformats.org/officeDocument/2006/relationships/hyperlink" Target="https://store.hp.com/FranceStore/Merch/Product.aspx?id=T6T83AA&amp;opt=ABF&amp;mastersku=T6T83AA&amp;masteropt=ABF&amp;sel=ACC&amp;" TargetMode="External"/><Relationship Id="rId3" Type="http://schemas.openxmlformats.org/officeDocument/2006/relationships/hyperlink" Target="https://store.hp.com/FranceStore/Merch/Product.aspx?id=G5J38A&amp;opt=A80&amp;sel=PRN" TargetMode="External"/><Relationship Id="rId7" Type="http://schemas.openxmlformats.org/officeDocument/2006/relationships/hyperlink" Target="https://www.officedepot.fr/a/pb/Papier-Office-Depot-A3-80-g-m2-Blanc-Everyday-2500-Feuilles/pr=&amp;id=3057842/" TargetMode="External"/><Relationship Id="rId12" Type="http://schemas.openxmlformats.org/officeDocument/2006/relationships/hyperlink" Target="https://store.hp.com/FranceStore/Merch/Product.aspx?id=1KM17AA&amp;opt=&amp;mastersku=1KM17AA&amp;masteropt=&amp;sel=DEF&amp;" TargetMode="External"/><Relationship Id="rId2" Type="http://schemas.openxmlformats.org/officeDocument/2006/relationships/hyperlink" Target="https://products.office.com/fr-fr/compare-all-microsoft-office-products?tab=2" TargetMode="External"/><Relationship Id="rId16" Type="http://schemas.openxmlformats.org/officeDocument/2006/relationships/hyperlink" Target="https://www.telecomsupplier.fr/avaya-1608-i-ip-telephone-paquet-de-4.html" TargetMode="External"/><Relationship Id="rId1" Type="http://schemas.openxmlformats.org/officeDocument/2006/relationships/hyperlink" Target="https://www.autodesk.fr/products/fusion-360/subscribe?plc=F360&amp;term=1-YEAR&amp;support=ADVANCED&amp;quantity=1" TargetMode="External"/><Relationship Id="rId6" Type="http://schemas.openxmlformats.org/officeDocument/2006/relationships/hyperlink" Target="https://www.officedepot.fr/a/pb/Papier-Office-Depot-A4-80-g-m2-Blanc-Business-2500-Feuilles/pr=&amp;id=1456200/" TargetMode="External"/><Relationship Id="rId11" Type="http://schemas.openxmlformats.org/officeDocument/2006/relationships/hyperlink" Target="https://store.hp.com/FranceStore/Merch/Product.aspx?id=3ML21AT&amp;opt=ABB&amp;mastersku=3ML21AT&amp;masteropt=ABB&amp;sel=MTO&amp;" TargetMode="External"/><Relationship Id="rId5" Type="http://schemas.openxmlformats.org/officeDocument/2006/relationships/hyperlink" Target="https://store.hp.com/FranceStore/Merch/Product.aspx?id=3HZ52AE&amp;opt=&amp;mastersku=3HZ52AE&amp;masteropt=&amp;sel=SUP&amp;" TargetMode="External"/><Relationship Id="rId15" Type="http://schemas.openxmlformats.org/officeDocument/2006/relationships/hyperlink" Target="https://www.telecomsupplier.fr/avaya-3730-dect-combine.html" TargetMode="External"/><Relationship Id="rId10" Type="http://schemas.openxmlformats.org/officeDocument/2006/relationships/hyperlink" Target="https://store.hp.com/FranceStore/Merch/Product.aspx?id=4CZ83ET&amp;opt=ABF&amp;mastersku=4CZ83ET&amp;masteropt=ABF&amp;sel=DTP&amp;" TargetMode="External"/><Relationship Id="rId4" Type="http://schemas.openxmlformats.org/officeDocument/2006/relationships/hyperlink" Target="https://store.hp.com/FranceStore/Merch/Product.aspx?id=L0S70AE&amp;opt=&amp;mastersku=L0S70AE&amp;masteropt=&amp;sel=SUP&amp;" TargetMode="External"/><Relationship Id="rId9" Type="http://schemas.openxmlformats.org/officeDocument/2006/relationships/hyperlink" Target="https://store.hp.com/FranceStore/Merch/Product.aspx?id=6QN64ET&amp;opt=ABF&amp;sel=DTP" TargetMode="External"/><Relationship Id="rId14" Type="http://schemas.openxmlformats.org/officeDocument/2006/relationships/hyperlink" Target="https://store.hp.com/FranceStore/Merch/Product.aspx?id=1MK33AA&amp;opt=ABB&amp;mastersku=1MK33AA&amp;masteropt=ABB&amp;sel=ACC&amp;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ancebureau.com/media/catalogue-mobilier/bureau-modulaire-kibo.pdf" TargetMode="External"/><Relationship Id="rId7" Type="http://schemas.openxmlformats.org/officeDocument/2006/relationships/hyperlink" Target="https://www.francebureau.com/alto-16.html" TargetMode="External"/><Relationship Id="rId2" Type="http://schemas.openxmlformats.org/officeDocument/2006/relationships/hyperlink" Target="https://www.francebureau.com/media/catalogue-mobilier/bureau-modulaire-kibo.pdf" TargetMode="External"/><Relationship Id="rId1" Type="http://schemas.openxmlformats.org/officeDocument/2006/relationships/hyperlink" Target="https://www.francebureau.com/media/catalogue-mobilier/bureau-modulaire-kibo.pdf" TargetMode="External"/><Relationship Id="rId6" Type="http://schemas.openxmlformats.org/officeDocument/2006/relationships/hyperlink" Target="https://www.francebureau.com/media/catalogue-mobilier/table-reunion-modulable-arc-reunion.pdf" TargetMode="External"/><Relationship Id="rId5" Type="http://schemas.openxmlformats.org/officeDocument/2006/relationships/hyperlink" Target="https://www.francebureau.com/media/catalogue-mobilier/bureau-direction-etretat.pdf" TargetMode="External"/><Relationship Id="rId4" Type="http://schemas.openxmlformats.org/officeDocument/2006/relationships/hyperlink" Target="https://www.francebureau.com/media/catalogue-mobilier/bureau-modulaire-kibo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exad.com/fr/compresseur-a-vis-lubrifie-serie-l/p-G3697000582" TargetMode="External"/><Relationship Id="rId13" Type="http://schemas.openxmlformats.org/officeDocument/2006/relationships/hyperlink" Target="https://www.orexad.com/fr/armoire-a-portes-battantes/p-G1359000412" TargetMode="External"/><Relationship Id="rId18" Type="http://schemas.openxmlformats.org/officeDocument/2006/relationships/hyperlink" Target="https://www.manutan.fr/fr/maf/aspirateur-eau-et-poussieres-nt-70-2-me-tc-karcher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orexad.com/fr/etabli-standard/p-G1359000830" TargetMode="External"/><Relationship Id="rId12" Type="http://schemas.openxmlformats.org/officeDocument/2006/relationships/hyperlink" Target="https://www.orexad.com/fr/systemes-cn/p-G1359000803" TargetMode="External"/><Relationship Id="rId17" Type="http://schemas.openxmlformats.org/officeDocument/2006/relationships/hyperlink" Target="https://www.orexad.com/fr/transpalette-galvanise-2-5t/p-G3019000006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6" Type="http://schemas.openxmlformats.org/officeDocument/2006/relationships/hyperlink" Target="https://www.manutan.fr/fr/maf/pack-portique-d-atelier-chariot-palan-force-1600-kg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orexad.com/fr/etabli-standard/p-G1359000849" TargetMode="External"/><Relationship Id="rId11" Type="http://schemas.openxmlformats.org/officeDocument/2006/relationships/hyperlink" Target="https://www.orexad.com/fr/desserte-de-transport/p-G1359000463" TargetMode="External"/><Relationship Id="rId5" Type="http://schemas.openxmlformats.org/officeDocument/2006/relationships/hyperlink" Target="https://www.baileigh.com/semi-auto-band-saw-bs-330sa" TargetMode="External"/><Relationship Id="rId15" Type="http://schemas.openxmlformats.org/officeDocument/2006/relationships/hyperlink" Target="https://www.orexad.com/fr/vestiaire-ventile-sur-socle/r-PR_1012867?" TargetMode="External"/><Relationship Id="rId10" Type="http://schemas.openxmlformats.org/officeDocument/2006/relationships/hyperlink" Target="https://www.orexad.com/fr/rayonnage-mi-lourd-double-face-horizontale-g-lever/r-PR_G1408014469?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fond-tole-rayonnage-a-tablettes-tolees-g-robust/p-G1408010697" TargetMode="External"/><Relationship Id="rId14" Type="http://schemas.openxmlformats.org/officeDocument/2006/relationships/hyperlink" Target="https://www.orexad.com/fr/bac-rako/p-G138300009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26"/>
  <sheetViews>
    <sheetView showGridLines="0" topLeftCell="B1" zoomScale="103" zoomScaleNormal="59" workbookViewId="0">
      <selection activeCell="C39" sqref="C39"/>
    </sheetView>
  </sheetViews>
  <sheetFormatPr baseColWidth="10" defaultRowHeight="15" x14ac:dyDescent="0.25"/>
  <cols>
    <col min="1" max="1" width="3.140625" customWidth="1"/>
    <col min="2" max="2" width="14.7109375" bestFit="1" customWidth="1"/>
    <col min="3" max="3" width="33" customWidth="1"/>
    <col min="4" max="4" width="13.42578125" bestFit="1" customWidth="1"/>
    <col min="5" max="5" width="66.28515625" bestFit="1" customWidth="1"/>
    <col min="6" max="6" width="4.85546875" customWidth="1"/>
    <col min="7" max="7" width="21.140625" bestFit="1" customWidth="1"/>
    <col min="8" max="8" width="86.28515625" bestFit="1" customWidth="1"/>
    <col min="9" max="9" width="13.42578125" bestFit="1" customWidth="1"/>
    <col min="10" max="10" width="26.85546875" customWidth="1"/>
    <col min="11" max="11" width="12.42578125" bestFit="1" customWidth="1"/>
    <col min="12" max="12" width="4.5703125" customWidth="1"/>
    <col min="13" max="13" width="87.5703125" bestFit="1" customWidth="1"/>
    <col min="14" max="14" width="14.28515625" customWidth="1"/>
    <col min="15" max="15" width="29.85546875" customWidth="1"/>
    <col min="16" max="16" width="11.42578125" customWidth="1"/>
    <col min="17" max="17" width="32.28515625" customWidth="1"/>
    <col min="18" max="18" width="21.140625" customWidth="1"/>
    <col min="19" max="19" width="34.7109375" customWidth="1"/>
    <col min="20" max="20" width="20.85546875" customWidth="1"/>
    <col min="21" max="21" width="4.7109375" customWidth="1"/>
    <col min="22" max="22" width="29.42578125" bestFit="1" customWidth="1"/>
    <col min="23" max="23" width="14.5703125" bestFit="1" customWidth="1"/>
    <col min="25" max="25" width="4.85546875" customWidth="1"/>
  </cols>
  <sheetData>
    <row r="1" spans="2:20" ht="15.75" thickBot="1" x14ac:dyDescent="0.3"/>
    <row r="2" spans="2:20" ht="15.75" thickBot="1" x14ac:dyDescent="0.3">
      <c r="B2" s="315" t="s">
        <v>41</v>
      </c>
      <c r="C2" s="316"/>
      <c r="D2" s="316"/>
      <c r="E2" s="317"/>
      <c r="G2" s="229" t="s">
        <v>14</v>
      </c>
      <c r="H2" s="230"/>
      <c r="I2" s="230"/>
      <c r="J2" s="230"/>
      <c r="K2" s="231"/>
      <c r="M2" s="232" t="s">
        <v>205</v>
      </c>
      <c r="N2" s="233"/>
      <c r="O2" s="233"/>
      <c r="P2" s="233"/>
      <c r="Q2" s="233"/>
      <c r="R2" s="233"/>
      <c r="S2" s="233"/>
      <c r="T2" s="234"/>
    </row>
    <row r="3" spans="2:20" ht="15.75" thickBot="1" x14ac:dyDescent="0.3">
      <c r="B3" s="318" t="s">
        <v>28</v>
      </c>
      <c r="C3" s="318" t="s">
        <v>16</v>
      </c>
      <c r="D3" s="318" t="s">
        <v>42</v>
      </c>
      <c r="E3" s="51" t="s">
        <v>223</v>
      </c>
      <c r="G3" s="89" t="s">
        <v>28</v>
      </c>
      <c r="H3" s="90" t="s">
        <v>25</v>
      </c>
      <c r="I3" s="90" t="s">
        <v>17</v>
      </c>
      <c r="J3" s="91" t="s">
        <v>367</v>
      </c>
      <c r="K3" s="92" t="s">
        <v>203</v>
      </c>
      <c r="M3" s="115" t="s">
        <v>15</v>
      </c>
      <c r="N3" s="116"/>
      <c r="O3" s="116" t="s">
        <v>16</v>
      </c>
      <c r="P3" s="116" t="s">
        <v>208</v>
      </c>
      <c r="Q3" s="116" t="s">
        <v>213</v>
      </c>
      <c r="R3" s="116" t="s">
        <v>17</v>
      </c>
      <c r="S3" s="117" t="s">
        <v>367</v>
      </c>
      <c r="T3" s="118" t="s">
        <v>203</v>
      </c>
    </row>
    <row r="4" spans="2:20" x14ac:dyDescent="0.25">
      <c r="B4" s="48" t="s">
        <v>43</v>
      </c>
      <c r="C4" s="55" t="s">
        <v>26</v>
      </c>
      <c r="D4" s="56">
        <f>'Manpower &amp; time'!D10</f>
        <v>27700.799999999999</v>
      </c>
      <c r="E4" s="249" t="s">
        <v>500</v>
      </c>
      <c r="G4" s="103" t="s">
        <v>29</v>
      </c>
      <c r="H4" s="97" t="s">
        <v>195</v>
      </c>
      <c r="I4" s="93">
        <f>SUM(Metrology!E14:E17)</f>
        <v>2320</v>
      </c>
      <c r="J4" s="72">
        <v>10</v>
      </c>
      <c r="K4" s="84">
        <f>I4/J4</f>
        <v>232</v>
      </c>
      <c r="M4" s="235" t="s">
        <v>467</v>
      </c>
      <c r="N4" s="265"/>
      <c r="O4" s="97" t="s">
        <v>204</v>
      </c>
      <c r="P4" s="55" t="s">
        <v>209</v>
      </c>
      <c r="Q4" s="55"/>
      <c r="R4" s="56">
        <f>'CNC mill'!B22</f>
        <v>108020</v>
      </c>
      <c r="S4" s="55">
        <v>10</v>
      </c>
      <c r="T4" s="57">
        <f>R4/S4</f>
        <v>10802</v>
      </c>
    </row>
    <row r="5" spans="2:20" x14ac:dyDescent="0.25">
      <c r="B5" s="49"/>
      <c r="C5" s="26" t="s">
        <v>44</v>
      </c>
      <c r="D5" s="29">
        <f>'Manpower &amp; time'!D11</f>
        <v>42421.2</v>
      </c>
      <c r="E5" s="250"/>
      <c r="G5" s="104"/>
      <c r="H5" s="98" t="s">
        <v>194</v>
      </c>
      <c r="I5" s="80">
        <f>SUM(Metrology!E18:E19)</f>
        <v>1838.4</v>
      </c>
      <c r="J5" s="54">
        <v>10</v>
      </c>
      <c r="K5" s="94">
        <f t="shared" ref="K5:K43" si="0">I5/J5</f>
        <v>183.84</v>
      </c>
      <c r="M5" s="44" t="s">
        <v>254</v>
      </c>
      <c r="N5" s="121">
        <v>22.4</v>
      </c>
      <c r="O5" s="98" t="s">
        <v>206</v>
      </c>
      <c r="P5" s="26" t="s">
        <v>209</v>
      </c>
      <c r="Q5" s="26"/>
      <c r="R5" s="29">
        <f>'CNC mill'!B23*'CNC mill'!C23</f>
        <v>4000</v>
      </c>
      <c r="S5" s="26">
        <v>5</v>
      </c>
      <c r="T5" s="58">
        <f t="shared" ref="T5:T7" si="1">R5/S5</f>
        <v>800</v>
      </c>
    </row>
    <row r="6" spans="2:20" x14ac:dyDescent="0.25">
      <c r="B6" s="49"/>
      <c r="C6" s="26" t="s">
        <v>45</v>
      </c>
      <c r="D6" s="29">
        <f>'Manpower &amp; time'!D13</f>
        <v>71409.599999999991</v>
      </c>
      <c r="E6" s="250"/>
      <c r="G6" s="104"/>
      <c r="H6" s="98" t="s">
        <v>193</v>
      </c>
      <c r="I6" s="80">
        <f>SUM(Metrology!E2:E8)+Metrology!E2+Metrology!E4+Metrology!E3+Metrology!E7+Metrology!E8</f>
        <v>1272</v>
      </c>
      <c r="J6" s="54">
        <v>10</v>
      </c>
      <c r="K6" s="94">
        <f t="shared" si="0"/>
        <v>127.2</v>
      </c>
      <c r="M6" s="44" t="s">
        <v>221</v>
      </c>
      <c r="N6" s="122">
        <f>D10</f>
        <v>0.8</v>
      </c>
      <c r="O6" s="98" t="s">
        <v>207</v>
      </c>
      <c r="P6" s="26" t="s">
        <v>209</v>
      </c>
      <c r="Q6" s="26"/>
      <c r="R6" s="29">
        <f>'CNC mill'!B24</f>
        <v>2500</v>
      </c>
      <c r="S6" s="26">
        <v>5</v>
      </c>
      <c r="T6" s="58">
        <f t="shared" si="1"/>
        <v>500</v>
      </c>
    </row>
    <row r="7" spans="2:20" ht="15.75" thickBot="1" x14ac:dyDescent="0.3">
      <c r="B7" s="50"/>
      <c r="C7" s="59" t="s">
        <v>46</v>
      </c>
      <c r="D7" s="60">
        <f>'Manpower &amp; time'!D11</f>
        <v>42421.2</v>
      </c>
      <c r="E7" s="251"/>
      <c r="G7" s="104"/>
      <c r="H7" s="98" t="s">
        <v>32</v>
      </c>
      <c r="I7" s="29">
        <f>Metrology!E23</f>
        <v>48334.81</v>
      </c>
      <c r="J7" s="54">
        <v>10</v>
      </c>
      <c r="K7" s="94">
        <f t="shared" si="0"/>
        <v>4833.4809999999998</v>
      </c>
      <c r="M7" s="44" t="s">
        <v>222</v>
      </c>
      <c r="N7" s="121">
        <v>5</v>
      </c>
      <c r="O7" s="98" t="s">
        <v>22</v>
      </c>
      <c r="P7" s="26" t="s">
        <v>209</v>
      </c>
      <c r="Q7" s="26" t="s">
        <v>214</v>
      </c>
      <c r="R7" s="29">
        <f>0.05*R4</f>
        <v>5401</v>
      </c>
      <c r="S7" s="26">
        <v>1</v>
      </c>
      <c r="T7" s="58">
        <f t="shared" si="1"/>
        <v>5401</v>
      </c>
    </row>
    <row r="8" spans="2:20" x14ac:dyDescent="0.25">
      <c r="B8" s="48" t="s">
        <v>47</v>
      </c>
      <c r="C8" s="55" t="s">
        <v>48</v>
      </c>
      <c r="D8" s="55">
        <v>35</v>
      </c>
      <c r="E8" s="61" t="s">
        <v>552</v>
      </c>
      <c r="G8" s="104"/>
      <c r="H8" s="98" t="s">
        <v>196</v>
      </c>
      <c r="I8" s="80">
        <f>SUM(Metrology!E10:E12)</f>
        <v>3209.6000000000004</v>
      </c>
      <c r="J8" s="54">
        <v>10</v>
      </c>
      <c r="K8" s="94">
        <f t="shared" si="0"/>
        <v>320.96000000000004</v>
      </c>
      <c r="M8" s="44" t="s">
        <v>468</v>
      </c>
      <c r="N8" s="123">
        <f>1/10000</f>
        <v>1E-4</v>
      </c>
      <c r="O8" s="98" t="s">
        <v>19</v>
      </c>
      <c r="P8" s="26" t="s">
        <v>210</v>
      </c>
      <c r="Q8" s="26" t="s">
        <v>255</v>
      </c>
      <c r="R8" s="53">
        <f>N5*0.8*D13</f>
        <v>1.4031359999999997</v>
      </c>
      <c r="S8" s="26"/>
      <c r="T8" s="138"/>
    </row>
    <row r="9" spans="2:20" x14ac:dyDescent="0.25">
      <c r="B9" s="49"/>
      <c r="C9" s="26" t="s">
        <v>49</v>
      </c>
      <c r="D9" s="31">
        <f>'Manpower &amp; time'!C23</f>
        <v>45.1</v>
      </c>
      <c r="E9" s="62" t="s">
        <v>553</v>
      </c>
      <c r="G9" s="104"/>
      <c r="H9" s="98" t="s">
        <v>197</v>
      </c>
      <c r="I9" s="80">
        <f>2*Metrology!E21</f>
        <v>492.90039304557206</v>
      </c>
      <c r="J9" s="54">
        <v>10</v>
      </c>
      <c r="K9" s="94">
        <f t="shared" si="0"/>
        <v>49.290039304557205</v>
      </c>
      <c r="M9" s="44" t="s">
        <v>507</v>
      </c>
      <c r="N9" s="123">
        <f>N8*0.5</f>
        <v>5.0000000000000002E-5</v>
      </c>
      <c r="O9" s="98" t="s">
        <v>212</v>
      </c>
      <c r="P9" s="26" t="s">
        <v>210</v>
      </c>
      <c r="Q9" s="26" t="s">
        <v>260</v>
      </c>
      <c r="R9" s="27">
        <v>20</v>
      </c>
      <c r="S9" s="26"/>
      <c r="T9" s="138"/>
    </row>
    <row r="10" spans="2:20" ht="30.75" thickBot="1" x14ac:dyDescent="0.3">
      <c r="B10" s="49"/>
      <c r="C10" s="26" t="s">
        <v>50</v>
      </c>
      <c r="D10" s="52">
        <v>0.8</v>
      </c>
      <c r="E10" s="63" t="s">
        <v>554</v>
      </c>
      <c r="G10" s="105"/>
      <c r="H10" s="99" t="s">
        <v>478</v>
      </c>
      <c r="I10" s="60">
        <f>Metrology!E25</f>
        <v>5390</v>
      </c>
      <c r="J10" s="95">
        <v>10</v>
      </c>
      <c r="K10" s="85">
        <f t="shared" si="0"/>
        <v>539</v>
      </c>
      <c r="M10" s="44" t="s">
        <v>369</v>
      </c>
      <c r="N10" s="123">
        <f>N8*0.4</f>
        <v>4.0000000000000003E-5</v>
      </c>
      <c r="O10" s="98" t="s">
        <v>211</v>
      </c>
      <c r="P10" s="26" t="s">
        <v>210</v>
      </c>
      <c r="Q10" s="26" t="s">
        <v>298</v>
      </c>
      <c r="R10" s="29">
        <f>1*'CNC mill'!F31</f>
        <v>88.025599999999997</v>
      </c>
      <c r="S10" s="26">
        <v>1</v>
      </c>
      <c r="T10" s="58">
        <f t="shared" ref="T10" si="2">R10/S10</f>
        <v>88.025599999999997</v>
      </c>
    </row>
    <row r="11" spans="2:20" ht="15.75" thickBot="1" x14ac:dyDescent="0.3">
      <c r="B11" s="50"/>
      <c r="C11" s="59" t="s">
        <v>241</v>
      </c>
      <c r="D11" s="64">
        <v>0.95</v>
      </c>
      <c r="E11" s="153" t="s">
        <v>555</v>
      </c>
      <c r="G11" s="106" t="s">
        <v>33</v>
      </c>
      <c r="H11" s="100" t="s">
        <v>256</v>
      </c>
      <c r="I11" s="56">
        <f>Energies!B7</f>
        <v>2874.8160000000003</v>
      </c>
      <c r="J11" s="55">
        <v>1</v>
      </c>
      <c r="K11" s="84">
        <f t="shared" si="0"/>
        <v>2874.8160000000003</v>
      </c>
      <c r="M11" s="139" t="s">
        <v>240</v>
      </c>
      <c r="N11" s="140">
        <v>20</v>
      </c>
      <c r="O11" s="99"/>
      <c r="P11" s="59"/>
      <c r="Q11" s="59"/>
      <c r="R11" s="59"/>
      <c r="S11" s="59"/>
      <c r="T11" s="70"/>
    </row>
    <row r="12" spans="2:20" x14ac:dyDescent="0.25">
      <c r="B12" s="66" t="s">
        <v>300</v>
      </c>
      <c r="C12" s="55" t="s">
        <v>150</v>
      </c>
      <c r="D12" s="56">
        <f>Energies!B7</f>
        <v>2874.8160000000003</v>
      </c>
      <c r="E12" s="57"/>
      <c r="G12" s="107"/>
      <c r="H12" s="154" t="s">
        <v>257</v>
      </c>
      <c r="I12" s="27">
        <f>16*D8*D9*D13</f>
        <v>1977.5447999999999</v>
      </c>
      <c r="J12" s="26">
        <v>1</v>
      </c>
      <c r="K12" s="94">
        <f t="shared" si="0"/>
        <v>1977.5447999999999</v>
      </c>
      <c r="M12" s="244" t="s">
        <v>18</v>
      </c>
      <c r="N12" s="245"/>
      <c r="O12" s="97" t="s">
        <v>310</v>
      </c>
      <c r="P12" s="55" t="s">
        <v>209</v>
      </c>
      <c r="Q12" s="55"/>
      <c r="R12" s="141">
        <f>'CNC lathe'!B2</f>
        <v>133720</v>
      </c>
      <c r="S12" s="55">
        <v>10</v>
      </c>
      <c r="T12" s="57">
        <f>R12/S12</f>
        <v>13372</v>
      </c>
    </row>
    <row r="13" spans="2:20" ht="15.75" thickBot="1" x14ac:dyDescent="0.3">
      <c r="B13" s="67"/>
      <c r="C13" s="26" t="s">
        <v>151</v>
      </c>
      <c r="D13" s="53">
        <f>Energies!B8</f>
        <v>7.8299999999999995E-2</v>
      </c>
      <c r="E13" s="68"/>
      <c r="G13" s="107"/>
      <c r="H13" s="101" t="s">
        <v>400</v>
      </c>
      <c r="I13" s="27">
        <f>Energies!C12*60</f>
        <v>132.96</v>
      </c>
      <c r="J13" s="26">
        <v>1</v>
      </c>
      <c r="K13" s="94">
        <f t="shared" si="0"/>
        <v>132.96</v>
      </c>
      <c r="M13" s="42" t="s">
        <v>254</v>
      </c>
      <c r="N13" s="126">
        <v>29.8</v>
      </c>
      <c r="O13" s="98" t="s">
        <v>299</v>
      </c>
      <c r="P13" s="26" t="s">
        <v>209</v>
      </c>
      <c r="Q13" s="26"/>
      <c r="R13" s="29">
        <f>12*'CNC lathe'!B6+6*'CNC lathe'!B7</f>
        <v>19200</v>
      </c>
      <c r="S13" s="26">
        <v>10</v>
      </c>
      <c r="T13" s="58">
        <f>R13/S13</f>
        <v>1920</v>
      </c>
    </row>
    <row r="14" spans="2:20" ht="18" thickBot="1" x14ac:dyDescent="0.3">
      <c r="B14" s="69"/>
      <c r="C14" s="59" t="s">
        <v>502</v>
      </c>
      <c r="D14" s="60">
        <f>Energies!C12</f>
        <v>2.2160000000000002</v>
      </c>
      <c r="E14" s="70"/>
      <c r="G14" s="109" t="s">
        <v>252</v>
      </c>
      <c r="H14" s="97" t="s">
        <v>139</v>
      </c>
      <c r="I14" s="56">
        <f>D7</f>
        <v>42421.2</v>
      </c>
      <c r="J14" s="72">
        <v>1</v>
      </c>
      <c r="K14" s="84">
        <f t="shared" si="0"/>
        <v>42421.2</v>
      </c>
      <c r="M14" s="42" t="s">
        <v>221</v>
      </c>
      <c r="N14" s="127">
        <f>D10</f>
        <v>0.8</v>
      </c>
      <c r="O14" s="98" t="s">
        <v>312</v>
      </c>
      <c r="P14" s="26" t="s">
        <v>209</v>
      </c>
      <c r="Q14" s="26"/>
      <c r="R14" s="29">
        <f>'CNC lathe'!B8*30</f>
        <v>4800</v>
      </c>
      <c r="S14" s="26">
        <v>5</v>
      </c>
      <c r="T14" s="58">
        <f t="shared" ref="T14:T15" si="3">R14/S14</f>
        <v>960</v>
      </c>
    </row>
    <row r="15" spans="2:20" x14ac:dyDescent="0.25">
      <c r="B15" s="71" t="s">
        <v>301</v>
      </c>
      <c r="C15" s="55" t="s">
        <v>557</v>
      </c>
      <c r="D15" s="72">
        <v>1.12964</v>
      </c>
      <c r="E15" s="61"/>
      <c r="G15" s="110"/>
      <c r="H15" s="98" t="s">
        <v>247</v>
      </c>
      <c r="I15" s="29">
        <f>D6*0.4</f>
        <v>28563.839999999997</v>
      </c>
      <c r="J15" s="54">
        <v>1</v>
      </c>
      <c r="K15" s="94">
        <f t="shared" si="0"/>
        <v>28563.839999999997</v>
      </c>
      <c r="M15" s="42" t="s">
        <v>222</v>
      </c>
      <c r="N15" s="126">
        <v>5</v>
      </c>
      <c r="O15" s="98" t="s">
        <v>22</v>
      </c>
      <c r="P15" s="26" t="s">
        <v>209</v>
      </c>
      <c r="Q15" s="26" t="s">
        <v>214</v>
      </c>
      <c r="R15" s="27">
        <f>0.05*R12</f>
        <v>6686</v>
      </c>
      <c r="S15" s="26">
        <v>1</v>
      </c>
      <c r="T15" s="58">
        <f t="shared" si="3"/>
        <v>6686</v>
      </c>
    </row>
    <row r="16" spans="2:20" ht="15.75" thickBot="1" x14ac:dyDescent="0.3">
      <c r="B16" s="73"/>
      <c r="C16" s="59" t="s">
        <v>556</v>
      </c>
      <c r="D16" s="64">
        <v>0.2</v>
      </c>
      <c r="E16" s="65"/>
      <c r="G16" s="110"/>
      <c r="H16" s="98" t="s">
        <v>479</v>
      </c>
      <c r="I16" s="29">
        <f>'Manpower &amp; time'!G14</f>
        <v>13173.018000000011</v>
      </c>
      <c r="J16" s="54">
        <v>1</v>
      </c>
      <c r="K16" s="94">
        <f t="shared" si="0"/>
        <v>13173.018000000011</v>
      </c>
      <c r="M16" s="42" t="s">
        <v>468</v>
      </c>
      <c r="N16" s="128">
        <f>1/10000</f>
        <v>1E-4</v>
      </c>
      <c r="O16" s="98" t="s">
        <v>19</v>
      </c>
      <c r="P16" s="26" t="s">
        <v>210</v>
      </c>
      <c r="Q16" s="26" t="s">
        <v>255</v>
      </c>
      <c r="R16" s="53">
        <f>N13*0.8*D13</f>
        <v>1.8666720000000001</v>
      </c>
      <c r="S16" s="26"/>
      <c r="T16" s="138"/>
    </row>
    <row r="17" spans="2:20" ht="15.75" thickBot="1" x14ac:dyDescent="0.3">
      <c r="G17" s="111"/>
      <c r="H17" s="99" t="s">
        <v>253</v>
      </c>
      <c r="I17" s="60">
        <f>'Manpower &amp; time'!C38</f>
        <v>15028.084199999999</v>
      </c>
      <c r="J17" s="95">
        <v>1</v>
      </c>
      <c r="K17" s="85">
        <f t="shared" si="0"/>
        <v>15028.084199999999</v>
      </c>
      <c r="M17" s="42" t="s">
        <v>506</v>
      </c>
      <c r="N17" s="128">
        <f>N16*0.5</f>
        <v>5.0000000000000002E-5</v>
      </c>
      <c r="O17" s="98" t="s">
        <v>212</v>
      </c>
      <c r="P17" s="26" t="s">
        <v>210</v>
      </c>
      <c r="Q17" s="26" t="s">
        <v>255</v>
      </c>
      <c r="R17" s="27">
        <v>10</v>
      </c>
      <c r="S17" s="26"/>
      <c r="T17" s="138"/>
    </row>
    <row r="18" spans="2:20" ht="15.75" thickBot="1" x14ac:dyDescent="0.3">
      <c r="B18" s="315" t="s">
        <v>41</v>
      </c>
      <c r="C18" s="316"/>
      <c r="D18" s="316"/>
      <c r="E18" s="317"/>
      <c r="G18" s="112" t="s">
        <v>34</v>
      </c>
      <c r="H18" s="97" t="s">
        <v>35</v>
      </c>
      <c r="I18" s="56">
        <f>IT!E12+2*IT!E13+IT!E14+6*IT!E16+IT!E17+4*IT!E18+IT!E19</f>
        <v>6843.36</v>
      </c>
      <c r="J18" s="72">
        <v>3</v>
      </c>
      <c r="K18" s="84">
        <f t="shared" si="0"/>
        <v>2281.12</v>
      </c>
      <c r="M18" s="42" t="s">
        <v>369</v>
      </c>
      <c r="N18" s="128">
        <f>N16*0.4</f>
        <v>4.0000000000000003E-5</v>
      </c>
      <c r="O18" s="98" t="s">
        <v>211</v>
      </c>
      <c r="P18" s="26" t="s">
        <v>210</v>
      </c>
      <c r="Q18" s="26" t="s">
        <v>298</v>
      </c>
      <c r="R18" s="29">
        <f>'CNC lathe'!F14</f>
        <v>88.025599999999997</v>
      </c>
      <c r="S18" s="26">
        <v>1</v>
      </c>
      <c r="T18" s="58">
        <f>R18/S18</f>
        <v>88.025599999999997</v>
      </c>
    </row>
    <row r="19" spans="2:20" ht="15.75" thickBot="1" x14ac:dyDescent="0.3">
      <c r="B19" s="318" t="s">
        <v>28</v>
      </c>
      <c r="C19" s="318" t="s">
        <v>16</v>
      </c>
      <c r="D19" s="318" t="s">
        <v>42</v>
      </c>
      <c r="E19" s="51" t="s">
        <v>223</v>
      </c>
      <c r="G19" s="113"/>
      <c r="H19" s="98" t="s">
        <v>202</v>
      </c>
      <c r="I19" s="29">
        <f>IT!E6</f>
        <v>192.96</v>
      </c>
      <c r="J19" s="54">
        <v>3</v>
      </c>
      <c r="K19" s="94">
        <f t="shared" si="0"/>
        <v>64.320000000000007</v>
      </c>
      <c r="M19" s="222" t="s">
        <v>240</v>
      </c>
      <c r="N19" s="137">
        <v>15</v>
      </c>
      <c r="O19" s="99"/>
      <c r="P19" s="59"/>
      <c r="Q19" s="59"/>
      <c r="R19" s="59"/>
      <c r="S19" s="59"/>
      <c r="T19" s="70"/>
    </row>
    <row r="20" spans="2:20" ht="30" x14ac:dyDescent="0.25">
      <c r="B20" s="322" t="s">
        <v>558</v>
      </c>
      <c r="C20" s="98" t="s">
        <v>563</v>
      </c>
      <c r="D20" s="56"/>
      <c r="E20" s="249" t="s">
        <v>500</v>
      </c>
      <c r="G20" s="113"/>
      <c r="H20" s="156" t="s">
        <v>503</v>
      </c>
      <c r="I20" s="29">
        <f>2*IT!E7+IT!E8+2*IT!E9+IT!E10</f>
        <v>277.54199999999997</v>
      </c>
      <c r="J20" s="54">
        <v>1</v>
      </c>
      <c r="K20" s="94">
        <f t="shared" si="0"/>
        <v>277.54199999999997</v>
      </c>
      <c r="M20" s="266" t="s">
        <v>20</v>
      </c>
      <c r="N20" s="267"/>
      <c r="O20" s="97" t="s">
        <v>21</v>
      </c>
      <c r="P20" s="55" t="s">
        <v>209</v>
      </c>
      <c r="Q20" s="55"/>
      <c r="R20" s="56">
        <f>'Laser cutter'!G4</f>
        <v>185010.26875818847</v>
      </c>
      <c r="S20" s="55">
        <v>10</v>
      </c>
      <c r="T20" s="57">
        <f>R20/S20</f>
        <v>18501.026875818847</v>
      </c>
    </row>
    <row r="21" spans="2:20" x14ac:dyDescent="0.25">
      <c r="B21" s="323"/>
      <c r="C21" s="329" t="s">
        <v>560</v>
      </c>
      <c r="D21" s="29"/>
      <c r="E21" s="250"/>
      <c r="G21" s="113"/>
      <c r="H21" s="98" t="s">
        <v>179</v>
      </c>
      <c r="I21" s="29">
        <f>IT!E4*12*3</f>
        <v>316.8</v>
      </c>
      <c r="J21" s="54">
        <v>1</v>
      </c>
      <c r="K21" s="94">
        <f t="shared" si="0"/>
        <v>316.8</v>
      </c>
      <c r="M21" s="41" t="s">
        <v>254</v>
      </c>
      <c r="N21" s="129">
        <v>7.5</v>
      </c>
      <c r="O21" s="98" t="s">
        <v>22</v>
      </c>
      <c r="P21" s="26" t="s">
        <v>209</v>
      </c>
      <c r="Q21" s="26" t="s">
        <v>214</v>
      </c>
      <c r="R21" s="29">
        <f>0.05*R20</f>
        <v>9250.5134379094234</v>
      </c>
      <c r="S21" s="26">
        <v>1</v>
      </c>
      <c r="T21" s="58">
        <f>R21/S21</f>
        <v>9250.5134379094234</v>
      </c>
    </row>
    <row r="22" spans="2:20" x14ac:dyDescent="0.25">
      <c r="B22" s="323"/>
      <c r="C22" s="329" t="s">
        <v>561</v>
      </c>
      <c r="D22" s="29"/>
      <c r="E22" s="250"/>
      <c r="G22" s="113"/>
      <c r="H22" s="98"/>
      <c r="I22" s="29"/>
      <c r="J22" s="54"/>
      <c r="K22" s="94"/>
      <c r="M22" s="223"/>
      <c r="N22" s="129"/>
      <c r="O22" s="98"/>
      <c r="P22" s="26"/>
      <c r="Q22" s="26"/>
      <c r="R22" s="29"/>
      <c r="S22" s="26"/>
      <c r="T22" s="58"/>
    </row>
    <row r="23" spans="2:20" ht="15.75" thickBot="1" x14ac:dyDescent="0.3">
      <c r="B23" s="324"/>
      <c r="C23" s="330" t="s">
        <v>562</v>
      </c>
      <c r="D23" s="29"/>
      <c r="E23" s="251"/>
      <c r="G23" s="113"/>
      <c r="H23" s="98" t="s">
        <v>180</v>
      </c>
      <c r="I23" s="29">
        <f>IT!E3*2</f>
        <v>796.80000000000007</v>
      </c>
      <c r="J23" s="54">
        <v>1</v>
      </c>
      <c r="K23" s="94">
        <f t="shared" si="0"/>
        <v>796.80000000000007</v>
      </c>
      <c r="M23" s="41" t="s">
        <v>221</v>
      </c>
      <c r="N23" s="130">
        <v>0.7</v>
      </c>
      <c r="O23" s="98" t="s">
        <v>23</v>
      </c>
      <c r="P23" s="26" t="s">
        <v>210</v>
      </c>
      <c r="Q23" s="26" t="s">
        <v>255</v>
      </c>
      <c r="R23" s="53">
        <f>N21*0.8*D13</f>
        <v>0.4698</v>
      </c>
      <c r="S23" s="26"/>
      <c r="T23" s="138"/>
    </row>
    <row r="24" spans="2:20" x14ac:dyDescent="0.25">
      <c r="B24" s="322" t="s">
        <v>559</v>
      </c>
      <c r="C24" s="183" t="s">
        <v>26</v>
      </c>
      <c r="D24" s="56"/>
      <c r="E24" s="249" t="s">
        <v>500</v>
      </c>
      <c r="G24" s="113"/>
      <c r="H24" s="98"/>
      <c r="I24" s="29"/>
      <c r="J24" s="54"/>
      <c r="K24" s="94"/>
      <c r="M24" s="223"/>
      <c r="N24" s="130"/>
      <c r="O24" s="98"/>
      <c r="P24" s="26"/>
      <c r="Q24" s="26"/>
      <c r="R24" s="53"/>
      <c r="S24" s="26"/>
      <c r="T24" s="138"/>
    </row>
    <row r="25" spans="2:20" x14ac:dyDescent="0.25">
      <c r="B25" s="323"/>
      <c r="C25" s="98" t="s">
        <v>44</v>
      </c>
      <c r="D25" s="29"/>
      <c r="E25" s="250"/>
      <c r="G25" s="113"/>
      <c r="H25" s="98"/>
      <c r="I25" s="29"/>
      <c r="J25" s="54"/>
      <c r="K25" s="94"/>
      <c r="M25" s="223"/>
      <c r="N25" s="130"/>
      <c r="O25" s="98"/>
      <c r="P25" s="26"/>
      <c r="Q25" s="26"/>
      <c r="R25" s="53"/>
      <c r="S25" s="26"/>
      <c r="T25" s="138"/>
    </row>
    <row r="26" spans="2:20" ht="15.75" thickBot="1" x14ac:dyDescent="0.3">
      <c r="B26" s="324"/>
      <c r="C26" s="98" t="s">
        <v>45</v>
      </c>
      <c r="D26" s="29"/>
      <c r="E26" s="251"/>
      <c r="G26" s="113"/>
      <c r="H26" s="98" t="s">
        <v>36</v>
      </c>
      <c r="I26" s="29">
        <f>12*IT!E21</f>
        <v>1224</v>
      </c>
      <c r="J26" s="54">
        <v>1</v>
      </c>
      <c r="K26" s="94">
        <f t="shared" si="0"/>
        <v>1224</v>
      </c>
      <c r="M26" s="41" t="s">
        <v>222</v>
      </c>
      <c r="N26" s="129">
        <v>5</v>
      </c>
      <c r="O26" s="98" t="s">
        <v>396</v>
      </c>
      <c r="P26" s="26" t="s">
        <v>210</v>
      </c>
      <c r="Q26" s="26" t="s">
        <v>255</v>
      </c>
      <c r="R26" s="29">
        <f>'Laser cutter'!G5/20</f>
        <v>5.0728</v>
      </c>
      <c r="S26" s="26"/>
      <c r="T26" s="138"/>
    </row>
    <row r="27" spans="2:20" x14ac:dyDescent="0.25">
      <c r="B27" s="325" t="s">
        <v>47</v>
      </c>
      <c r="C27" s="97" t="s">
        <v>48</v>
      </c>
      <c r="D27" s="55">
        <v>35</v>
      </c>
      <c r="E27" s="61" t="s">
        <v>552</v>
      </c>
      <c r="G27" s="113"/>
      <c r="H27" s="319"/>
      <c r="I27" s="178"/>
      <c r="J27" s="320"/>
      <c r="K27" s="321"/>
      <c r="M27" s="223"/>
      <c r="N27" s="129"/>
      <c r="O27" s="98"/>
      <c r="P27" s="26"/>
      <c r="Q27" s="26"/>
      <c r="R27" s="29"/>
      <c r="S27" s="26"/>
      <c r="T27" s="138"/>
    </row>
    <row r="28" spans="2:20" x14ac:dyDescent="0.25">
      <c r="B28" s="326"/>
      <c r="C28" s="98" t="s">
        <v>49</v>
      </c>
      <c r="D28" s="31">
        <f>'Manpower &amp; time'!C22</f>
        <v>225.5</v>
      </c>
      <c r="E28" s="62" t="s">
        <v>553</v>
      </c>
      <c r="G28" s="113"/>
      <c r="H28" s="319"/>
      <c r="I28" s="178"/>
      <c r="J28" s="320"/>
      <c r="K28" s="321"/>
      <c r="M28" s="223"/>
      <c r="N28" s="129"/>
      <c r="O28" s="98"/>
      <c r="P28" s="26"/>
      <c r="Q28" s="26"/>
      <c r="R28" s="29"/>
      <c r="S28" s="26"/>
      <c r="T28" s="138"/>
    </row>
    <row r="29" spans="2:20" ht="30" x14ac:dyDescent="0.25">
      <c r="B29" s="326"/>
      <c r="C29" s="98" t="s">
        <v>50</v>
      </c>
      <c r="D29" s="52">
        <v>0.8</v>
      </c>
      <c r="E29" s="63" t="s">
        <v>554</v>
      </c>
      <c r="G29" s="113"/>
      <c r="H29" s="319"/>
      <c r="I29" s="178"/>
      <c r="J29" s="320"/>
      <c r="K29" s="321"/>
      <c r="M29" s="223"/>
      <c r="N29" s="129"/>
      <c r="O29" s="98"/>
      <c r="P29" s="26"/>
      <c r="Q29" s="26"/>
      <c r="R29" s="29"/>
      <c r="S29" s="26"/>
      <c r="T29" s="138"/>
    </row>
    <row r="30" spans="2:20" ht="15.75" thickBot="1" x14ac:dyDescent="0.3">
      <c r="B30" s="327"/>
      <c r="C30" s="99" t="s">
        <v>241</v>
      </c>
      <c r="D30" s="64">
        <v>0.95</v>
      </c>
      <c r="E30" s="153" t="s">
        <v>555</v>
      </c>
      <c r="G30" s="113"/>
      <c r="H30" s="319"/>
      <c r="I30" s="178"/>
      <c r="J30" s="320"/>
      <c r="K30" s="321"/>
      <c r="M30" s="223"/>
      <c r="N30" s="129"/>
      <c r="O30" s="98"/>
      <c r="P30" s="26"/>
      <c r="Q30" s="26"/>
      <c r="R30" s="29"/>
      <c r="S30" s="26"/>
      <c r="T30" s="138"/>
    </row>
    <row r="31" spans="2:20" ht="15.75" thickBot="1" x14ac:dyDescent="0.3">
      <c r="B31" s="322" t="s">
        <v>300</v>
      </c>
      <c r="C31" s="97" t="s">
        <v>150</v>
      </c>
      <c r="D31" s="56">
        <f>Energies!B23</f>
        <v>0</v>
      </c>
      <c r="E31" s="57"/>
      <c r="G31" s="114"/>
      <c r="H31" s="99" t="s">
        <v>368</v>
      </c>
      <c r="I31" s="60">
        <f>IT!E24+IT!E23</f>
        <v>381</v>
      </c>
      <c r="J31" s="95">
        <v>3</v>
      </c>
      <c r="K31" s="85">
        <f t="shared" si="0"/>
        <v>127</v>
      </c>
      <c r="M31" s="41" t="s">
        <v>469</v>
      </c>
      <c r="N31" s="131">
        <v>4.6000000000000001E-4</v>
      </c>
      <c r="O31" s="119"/>
      <c r="P31" s="81"/>
      <c r="Q31" s="81"/>
      <c r="R31" s="81"/>
      <c r="S31" s="81"/>
      <c r="T31" s="142"/>
    </row>
    <row r="32" spans="2:20" x14ac:dyDescent="0.25">
      <c r="B32" s="323"/>
      <c r="C32" s="98" t="s">
        <v>151</v>
      </c>
      <c r="D32" s="53">
        <f>Energies!B24</f>
        <v>0</v>
      </c>
      <c r="E32" s="68"/>
      <c r="G32" s="103" t="s">
        <v>362</v>
      </c>
      <c r="H32" s="97" t="s">
        <v>37</v>
      </c>
      <c r="I32" s="96">
        <v>200</v>
      </c>
      <c r="J32" s="72">
        <v>1</v>
      </c>
      <c r="K32" s="84">
        <f t="shared" si="0"/>
        <v>200</v>
      </c>
      <c r="M32" s="41" t="s">
        <v>492</v>
      </c>
      <c r="N32" s="132">
        <v>1.5</v>
      </c>
      <c r="O32" s="119"/>
      <c r="P32" s="82"/>
      <c r="Q32" s="81"/>
      <c r="R32" s="82"/>
      <c r="S32" s="81"/>
      <c r="T32" s="143"/>
    </row>
    <row r="33" spans="2:20" ht="18" thickBot="1" x14ac:dyDescent="0.3">
      <c r="B33" s="324"/>
      <c r="C33" s="99" t="s">
        <v>502</v>
      </c>
      <c r="D33" s="60">
        <f>Energies!C28</f>
        <v>0</v>
      </c>
      <c r="E33" s="70"/>
      <c r="G33" s="105"/>
      <c r="H33" s="99" t="s">
        <v>302</v>
      </c>
      <c r="I33" s="60">
        <f>Office!D2*2+Office!D3*2+Office!D4*2+Office!D5*2+Office!D6+Office!D7+Office!D8*10</f>
        <v>10550</v>
      </c>
      <c r="J33" s="59">
        <v>10</v>
      </c>
      <c r="K33" s="85">
        <f>I33/J33</f>
        <v>1055</v>
      </c>
      <c r="M33" s="41" t="s">
        <v>493</v>
      </c>
      <c r="N33" s="132">
        <v>1</v>
      </c>
      <c r="O33" s="120"/>
      <c r="P33" s="83"/>
      <c r="Q33" s="83"/>
      <c r="R33" s="83"/>
      <c r="S33" s="83"/>
      <c r="T33" s="144"/>
    </row>
    <row r="34" spans="2:20" ht="15.75" thickBot="1" x14ac:dyDescent="0.3">
      <c r="B34" s="322" t="s">
        <v>301</v>
      </c>
      <c r="C34" s="97" t="s">
        <v>557</v>
      </c>
      <c r="D34" s="72">
        <v>1.2076</v>
      </c>
      <c r="E34" s="61" t="s">
        <v>565</v>
      </c>
      <c r="G34" s="106" t="s">
        <v>39</v>
      </c>
      <c r="H34" s="155" t="s">
        <v>382</v>
      </c>
      <c r="I34" s="56">
        <f>SUM(Manufacturing!G3:G8)+Manufacturing!G9*4</f>
        <v>19442.431854396091</v>
      </c>
      <c r="J34" s="55">
        <v>10</v>
      </c>
      <c r="K34" s="84">
        <f t="shared" si="0"/>
        <v>1944.2431854396091</v>
      </c>
      <c r="M34" s="145" t="s">
        <v>336</v>
      </c>
      <c r="N34" s="146">
        <v>8</v>
      </c>
      <c r="O34" s="99"/>
      <c r="P34" s="59"/>
      <c r="Q34" s="59"/>
      <c r="R34" s="59"/>
      <c r="S34" s="59"/>
      <c r="T34" s="70"/>
    </row>
    <row r="35" spans="2:20" ht="15.75" thickBot="1" x14ac:dyDescent="0.3">
      <c r="B35" s="324"/>
      <c r="C35" s="99" t="s">
        <v>556</v>
      </c>
      <c r="D35" s="64">
        <v>0.2</v>
      </c>
      <c r="E35" s="65" t="s">
        <v>564</v>
      </c>
      <c r="G35" s="107"/>
      <c r="H35" s="98" t="s">
        <v>370</v>
      </c>
      <c r="I35" s="29">
        <f>Manufacturing!G26</f>
        <v>3259</v>
      </c>
      <c r="J35" s="26">
        <v>10</v>
      </c>
      <c r="K35" s="94">
        <f t="shared" si="0"/>
        <v>325.89999999999998</v>
      </c>
      <c r="M35" s="46" t="s">
        <v>24</v>
      </c>
      <c r="N35" s="147"/>
      <c r="O35" s="97" t="s">
        <v>234</v>
      </c>
      <c r="P35" s="55" t="s">
        <v>209</v>
      </c>
      <c r="Q35" s="55"/>
      <c r="R35" s="56">
        <f>Welding!F2+Welding!F3</f>
        <v>5308.6</v>
      </c>
      <c r="S35" s="55">
        <v>10</v>
      </c>
      <c r="T35" s="57">
        <f>R35/S35</f>
        <v>530.86</v>
      </c>
    </row>
    <row r="36" spans="2:20" x14ac:dyDescent="0.25">
      <c r="G36" s="107"/>
      <c r="H36" s="98" t="s">
        <v>475</v>
      </c>
      <c r="I36" s="29">
        <f>Manufacturing!G27</f>
        <v>1031.54</v>
      </c>
      <c r="J36" s="26">
        <v>10</v>
      </c>
      <c r="K36" s="94">
        <f t="shared" si="0"/>
        <v>103.154</v>
      </c>
      <c r="M36" s="44"/>
      <c r="N36" s="121"/>
      <c r="O36" s="98" t="s">
        <v>38</v>
      </c>
      <c r="P36" s="26" t="s">
        <v>209</v>
      </c>
      <c r="Q36" s="26"/>
      <c r="R36" s="29">
        <f>Welding!F4</f>
        <v>3859.6</v>
      </c>
      <c r="S36" s="26">
        <v>10</v>
      </c>
      <c r="T36" s="58">
        <f t="shared" ref="T36:T40" si="4">R36/S36</f>
        <v>385.96</v>
      </c>
    </row>
    <row r="37" spans="2:20" x14ac:dyDescent="0.25">
      <c r="G37" s="107"/>
      <c r="H37" s="98" t="s">
        <v>291</v>
      </c>
      <c r="I37" s="29">
        <f>Manufacturing!G11*3+Manufacturing!G12*3</f>
        <v>8137.4519999999993</v>
      </c>
      <c r="J37" s="26">
        <v>10</v>
      </c>
      <c r="K37" s="94">
        <f t="shared" si="0"/>
        <v>813.74519999999995</v>
      </c>
      <c r="M37" s="44" t="s">
        <v>221</v>
      </c>
      <c r="N37" s="122">
        <f>D10</f>
        <v>0.8</v>
      </c>
      <c r="O37" s="98" t="s">
        <v>239</v>
      </c>
      <c r="P37" s="26" t="s">
        <v>209</v>
      </c>
      <c r="Q37" s="26"/>
      <c r="R37" s="29">
        <f>Welding!F6</f>
        <v>146</v>
      </c>
      <c r="S37" s="26">
        <v>5</v>
      </c>
      <c r="T37" s="58">
        <f t="shared" si="4"/>
        <v>29.2</v>
      </c>
    </row>
    <row r="38" spans="2:20" x14ac:dyDescent="0.25">
      <c r="G38" s="107"/>
      <c r="H38" s="156" t="s">
        <v>345</v>
      </c>
      <c r="I38" s="29">
        <f>0.5*I37</f>
        <v>4068.7259999999997</v>
      </c>
      <c r="J38" s="26">
        <v>10</v>
      </c>
      <c r="K38" s="94">
        <f t="shared" si="0"/>
        <v>406.87259999999998</v>
      </c>
      <c r="M38" s="44" t="s">
        <v>444</v>
      </c>
      <c r="N38" s="133">
        <f>Welding!B32</f>
        <v>140.43083213990764</v>
      </c>
      <c r="O38" s="98" t="s">
        <v>27</v>
      </c>
      <c r="P38" s="26" t="s">
        <v>209</v>
      </c>
      <c r="Q38" s="26"/>
      <c r="R38" s="29">
        <f>Welding!F6+Welding!F7</f>
        <v>196</v>
      </c>
      <c r="S38" s="26">
        <v>2</v>
      </c>
      <c r="T38" s="58">
        <f t="shared" si="4"/>
        <v>98</v>
      </c>
    </row>
    <row r="39" spans="2:20" x14ac:dyDescent="0.25">
      <c r="G39" s="107"/>
      <c r="H39" s="98" t="s">
        <v>346</v>
      </c>
      <c r="I39" s="29">
        <v>4000</v>
      </c>
      <c r="J39" s="26">
        <v>5</v>
      </c>
      <c r="K39" s="94">
        <f t="shared" si="0"/>
        <v>800</v>
      </c>
      <c r="M39" s="44"/>
      <c r="N39" s="121"/>
      <c r="O39" s="98" t="s">
        <v>226</v>
      </c>
      <c r="P39" s="26" t="s">
        <v>209</v>
      </c>
      <c r="Q39" s="26"/>
      <c r="R39" s="29">
        <f>Welding!F5</f>
        <v>8579</v>
      </c>
      <c r="S39" s="26">
        <v>10</v>
      </c>
      <c r="T39" s="58">
        <f t="shared" si="4"/>
        <v>857.9</v>
      </c>
    </row>
    <row r="40" spans="2:20" x14ac:dyDescent="0.25">
      <c r="G40" s="107"/>
      <c r="H40" s="98" t="s">
        <v>347</v>
      </c>
      <c r="I40" s="29">
        <v>3000</v>
      </c>
      <c r="J40" s="26">
        <v>1</v>
      </c>
      <c r="K40" s="94">
        <f t="shared" si="0"/>
        <v>3000</v>
      </c>
      <c r="M40" s="44"/>
      <c r="N40" s="121"/>
      <c r="O40" s="98" t="s">
        <v>22</v>
      </c>
      <c r="P40" s="26" t="s">
        <v>209</v>
      </c>
      <c r="Q40" s="26" t="s">
        <v>238</v>
      </c>
      <c r="R40" s="29">
        <f>0.03*(R35+R36)</f>
        <v>275.04599999999999</v>
      </c>
      <c r="S40" s="26">
        <v>1</v>
      </c>
      <c r="T40" s="58">
        <f t="shared" si="4"/>
        <v>275.04599999999999</v>
      </c>
    </row>
    <row r="41" spans="2:20" x14ac:dyDescent="0.25">
      <c r="G41" s="107"/>
      <c r="H41" s="98" t="s">
        <v>351</v>
      </c>
      <c r="I41" s="29">
        <f>Manufacturing!G24</f>
        <v>2302.5700000000002</v>
      </c>
      <c r="J41" s="26">
        <v>10</v>
      </c>
      <c r="K41" s="94">
        <f t="shared" si="0"/>
        <v>230.25700000000001</v>
      </c>
      <c r="M41" s="44"/>
      <c r="N41" s="121"/>
      <c r="O41" s="98" t="s">
        <v>19</v>
      </c>
      <c r="P41" s="26" t="s">
        <v>210</v>
      </c>
      <c r="Q41" s="26" t="s">
        <v>501</v>
      </c>
      <c r="R41" s="53">
        <f>(0.75+0.5)*D13</f>
        <v>9.787499999999999E-2</v>
      </c>
      <c r="S41" s="26"/>
      <c r="T41" s="138"/>
    </row>
    <row r="42" spans="2:20" x14ac:dyDescent="0.25">
      <c r="G42" s="107"/>
      <c r="H42" s="98" t="s">
        <v>40</v>
      </c>
      <c r="I42" s="29">
        <f>Manufacturing!G22*6+Manufacturing!G23*3</f>
        <v>7066.95</v>
      </c>
      <c r="J42" s="26">
        <v>10</v>
      </c>
      <c r="K42" s="94">
        <f t="shared" si="0"/>
        <v>706.69499999999994</v>
      </c>
      <c r="M42" s="124"/>
      <c r="N42" s="125"/>
      <c r="O42" s="98" t="s">
        <v>442</v>
      </c>
      <c r="P42" s="252" t="s">
        <v>210</v>
      </c>
      <c r="Q42" s="253" t="s">
        <v>441</v>
      </c>
      <c r="R42" s="29">
        <f>Welding!B29</f>
        <v>8.5247116655159064E-2</v>
      </c>
      <c r="S42" s="26"/>
      <c r="T42" s="138"/>
    </row>
    <row r="43" spans="2:20" x14ac:dyDescent="0.25">
      <c r="G43" s="107"/>
      <c r="H43" s="98" t="s">
        <v>363</v>
      </c>
      <c r="I43" s="29">
        <f>Manufacturing!G16*5+Manufacturing!G17+Manufacturing!G18+Manufacturing!G19+Manufacturing!G20*3+Manufacturing!G21*30</f>
        <v>7110.13</v>
      </c>
      <c r="J43" s="26">
        <v>10</v>
      </c>
      <c r="K43" s="94">
        <f t="shared" si="0"/>
        <v>711.01300000000003</v>
      </c>
      <c r="M43" s="134"/>
      <c r="N43" s="135"/>
      <c r="O43" s="98" t="s">
        <v>443</v>
      </c>
      <c r="P43" s="252"/>
      <c r="Q43" s="253"/>
      <c r="R43" s="29">
        <f>Welding!B23</f>
        <v>5.0185057685504804E-2</v>
      </c>
      <c r="S43" s="26"/>
      <c r="T43" s="138"/>
    </row>
    <row r="44" spans="2:20" ht="15.75" thickBot="1" x14ac:dyDescent="0.3">
      <c r="C44" s="328"/>
      <c r="G44" s="107"/>
      <c r="H44" s="101" t="s">
        <v>343</v>
      </c>
      <c r="I44" s="29">
        <f>Manufacturing!G14</f>
        <v>12999</v>
      </c>
      <c r="J44" s="26">
        <v>10</v>
      </c>
      <c r="K44" s="94">
        <f>I44/J44</f>
        <v>1299.9000000000001</v>
      </c>
      <c r="M44" s="23"/>
      <c r="N44" s="148"/>
      <c r="O44" s="99" t="s">
        <v>227</v>
      </c>
      <c r="P44" s="59" t="s">
        <v>210</v>
      </c>
      <c r="Q44" s="59" t="s">
        <v>441</v>
      </c>
      <c r="R44" s="60">
        <f>Welding!B17</f>
        <v>14.354066985645932</v>
      </c>
      <c r="S44" s="59"/>
      <c r="T44" s="70"/>
    </row>
    <row r="45" spans="2:20" x14ac:dyDescent="0.25">
      <c r="C45" s="328"/>
      <c r="G45" s="107"/>
      <c r="H45" s="101" t="s">
        <v>344</v>
      </c>
      <c r="I45" s="29">
        <f>15*D13*D8*D9</f>
        <v>1853.9482499999999</v>
      </c>
      <c r="J45" s="26">
        <v>1</v>
      </c>
      <c r="K45" s="94">
        <f>I45/J45</f>
        <v>1853.9482499999999</v>
      </c>
      <c r="M45" s="244" t="s">
        <v>383</v>
      </c>
      <c r="N45" s="245"/>
      <c r="O45" s="97" t="s">
        <v>447</v>
      </c>
      <c r="P45" s="55" t="s">
        <v>209</v>
      </c>
      <c r="Q45" s="55"/>
      <c r="R45" s="141">
        <f>'Conventionnal machinning'!B2</f>
        <v>15000</v>
      </c>
      <c r="S45" s="55">
        <v>10</v>
      </c>
      <c r="T45" s="57">
        <f>R45/S45</f>
        <v>1500</v>
      </c>
    </row>
    <row r="46" spans="2:20" ht="15.75" thickBot="1" x14ac:dyDescent="0.3">
      <c r="C46" s="328"/>
      <c r="G46" s="108"/>
      <c r="H46" s="102" t="s">
        <v>477</v>
      </c>
      <c r="I46" s="60">
        <f>2*Manufacturing!G29</f>
        <v>2150</v>
      </c>
      <c r="J46" s="59">
        <v>10</v>
      </c>
      <c r="K46" s="85">
        <f>I46/J46</f>
        <v>215</v>
      </c>
      <c r="M46" s="42" t="s">
        <v>254</v>
      </c>
      <c r="N46" s="126">
        <v>6</v>
      </c>
      <c r="O46" s="98" t="s">
        <v>453</v>
      </c>
      <c r="P46" s="26" t="s">
        <v>209</v>
      </c>
      <c r="Q46" s="26"/>
      <c r="R46" s="29">
        <f>'Conventionnal machinning'!B3</f>
        <v>10000</v>
      </c>
      <c r="S46" s="26">
        <v>10</v>
      </c>
      <c r="T46" s="58">
        <f>R46/S46</f>
        <v>1000</v>
      </c>
    </row>
    <row r="47" spans="2:20" ht="15.75" thickBot="1" x14ac:dyDescent="0.3">
      <c r="C47" s="328"/>
      <c r="G47" s="15"/>
      <c r="H47" s="11"/>
      <c r="K47" s="6"/>
      <c r="M47" s="42" t="s">
        <v>221</v>
      </c>
      <c r="N47" s="127">
        <v>0.44</v>
      </c>
      <c r="O47" s="98" t="s">
        <v>461</v>
      </c>
      <c r="P47" s="26" t="s">
        <v>209</v>
      </c>
      <c r="Q47" s="26"/>
      <c r="R47" s="29">
        <f>(R6+R5+R13+R14)*0.25</f>
        <v>7625</v>
      </c>
      <c r="S47" s="26">
        <v>5</v>
      </c>
      <c r="T47" s="58">
        <f t="shared" ref="T47:T48" si="5">R47/S47</f>
        <v>1525</v>
      </c>
    </row>
    <row r="48" spans="2:20" ht="15.75" thickBot="1" x14ac:dyDescent="0.3">
      <c r="C48" s="328"/>
      <c r="G48" s="237" t="s">
        <v>504</v>
      </c>
      <c r="H48" s="238"/>
      <c r="I48" s="238"/>
      <c r="J48" s="238"/>
      <c r="K48" s="239"/>
      <c r="M48" s="42" t="s">
        <v>222</v>
      </c>
      <c r="N48" s="126">
        <v>5</v>
      </c>
      <c r="O48" s="98" t="s">
        <v>22</v>
      </c>
      <c r="P48" s="26" t="s">
        <v>209</v>
      </c>
      <c r="Q48" s="26" t="s">
        <v>454</v>
      </c>
      <c r="R48" s="27">
        <f>0.03*(R46+R45)</f>
        <v>750</v>
      </c>
      <c r="S48" s="26">
        <v>1</v>
      </c>
      <c r="T48" s="58">
        <f t="shared" si="5"/>
        <v>750</v>
      </c>
    </row>
    <row r="49" spans="7:20" x14ac:dyDescent="0.25">
      <c r="G49" s="254" t="s">
        <v>303</v>
      </c>
      <c r="H49" s="242" t="s">
        <v>463</v>
      </c>
      <c r="I49" s="242"/>
      <c r="J49" s="243"/>
      <c r="K49" s="84">
        <f>SUM(K4:K46)*1.05</f>
        <v>135671.07148848139</v>
      </c>
      <c r="M49" s="42" t="s">
        <v>470</v>
      </c>
      <c r="N49" s="128">
        <f>3*1/10000</f>
        <v>2.9999999999999997E-4</v>
      </c>
      <c r="O49" s="98" t="s">
        <v>19</v>
      </c>
      <c r="P49" s="26" t="s">
        <v>210</v>
      </c>
      <c r="Q49" s="26" t="s">
        <v>255</v>
      </c>
      <c r="R49" s="53">
        <f>N46*0.8*D13</f>
        <v>0.37584000000000001</v>
      </c>
      <c r="S49" s="26"/>
      <c r="T49" s="138"/>
    </row>
    <row r="50" spans="7:20" ht="15.75" thickBot="1" x14ac:dyDescent="0.3">
      <c r="G50" s="255"/>
      <c r="H50" s="240" t="s">
        <v>265</v>
      </c>
      <c r="I50" s="240"/>
      <c r="J50" s="241"/>
      <c r="K50" s="85">
        <f>K49/SUM('Manpower &amp; time'!C34:J34)</f>
        <v>12.5840943283425</v>
      </c>
      <c r="M50" s="136" t="s">
        <v>240</v>
      </c>
      <c r="N50" s="137">
        <v>10</v>
      </c>
      <c r="O50" s="99" t="s">
        <v>455</v>
      </c>
      <c r="P50" s="59" t="s">
        <v>210</v>
      </c>
      <c r="Q50" s="59" t="s">
        <v>255</v>
      </c>
      <c r="R50" s="149">
        <v>10</v>
      </c>
      <c r="S50" s="59"/>
      <c r="T50" s="70"/>
    </row>
    <row r="51" spans="7:20" ht="15.75" thickBot="1" x14ac:dyDescent="0.3">
      <c r="G51" s="256" t="s">
        <v>304</v>
      </c>
      <c r="H51" s="243" t="s">
        <v>305</v>
      </c>
      <c r="I51" s="246"/>
      <c r="J51" s="246"/>
      <c r="K51" s="86">
        <f>'Manpower &amp; time'!H10</f>
        <v>16.671371555273993</v>
      </c>
    </row>
    <row r="52" spans="7:20" ht="15.75" thickBot="1" x14ac:dyDescent="0.3">
      <c r="G52" s="257"/>
      <c r="H52" s="247" t="s">
        <v>316</v>
      </c>
      <c r="I52" s="248"/>
      <c r="J52" s="248"/>
      <c r="K52" s="87">
        <f>'Manpower &amp; time'!H11</f>
        <v>25.530655685777631</v>
      </c>
      <c r="M52" s="259" t="s">
        <v>505</v>
      </c>
      <c r="N52" s="260"/>
      <c r="O52" s="260"/>
      <c r="P52" s="260"/>
      <c r="Q52" s="260"/>
      <c r="R52" s="260"/>
      <c r="S52" s="261"/>
    </row>
    <row r="53" spans="7:20" x14ac:dyDescent="0.25">
      <c r="G53" s="257"/>
      <c r="H53" s="247" t="s">
        <v>458</v>
      </c>
      <c r="I53" s="248"/>
      <c r="J53" s="248"/>
      <c r="K53" s="87">
        <f>'Manpower &amp; time'!H12</f>
        <v>32.222242635413359</v>
      </c>
      <c r="M53" s="235" t="s">
        <v>467</v>
      </c>
      <c r="N53" s="236"/>
      <c r="O53" s="224" t="s">
        <v>274</v>
      </c>
      <c r="P53" s="224"/>
      <c r="Q53" s="224"/>
      <c r="R53" s="224"/>
      <c r="S53" s="74">
        <f>SUM(T4:T7)+T10</f>
        <v>17591.025600000001</v>
      </c>
    </row>
    <row r="54" spans="7:20" ht="15.75" thickBot="1" x14ac:dyDescent="0.3">
      <c r="G54" s="258"/>
      <c r="H54" s="241" t="s">
        <v>306</v>
      </c>
      <c r="I54" s="262"/>
      <c r="J54" s="262"/>
      <c r="K54" s="88">
        <f>'Manpower &amp; time'!H13</f>
        <v>42.97695280329426</v>
      </c>
      <c r="M54" s="271" t="s">
        <v>471</v>
      </c>
      <c r="N54" s="272"/>
      <c r="O54" s="225" t="s">
        <v>275</v>
      </c>
      <c r="P54" s="225"/>
      <c r="Q54" s="225"/>
      <c r="R54" s="225"/>
      <c r="S54" s="75">
        <f>S53/(N6*D8*D9)+K50</f>
        <v>26.514269811396034</v>
      </c>
    </row>
    <row r="55" spans="7:20" x14ac:dyDescent="0.25">
      <c r="K55" s="14"/>
      <c r="M55" s="37" t="s">
        <v>474</v>
      </c>
      <c r="N55" s="38">
        <v>2.5</v>
      </c>
      <c r="O55" s="225" t="s">
        <v>276</v>
      </c>
      <c r="P55" s="225"/>
      <c r="Q55" s="225"/>
      <c r="R55" s="225"/>
      <c r="S55" s="75">
        <f>S54+R9+R8</f>
        <v>47.91740581139603</v>
      </c>
    </row>
    <row r="56" spans="7:20" x14ac:dyDescent="0.25">
      <c r="K56" s="14"/>
      <c r="M56" s="37" t="s">
        <v>499</v>
      </c>
      <c r="N56" s="38">
        <v>0.5</v>
      </c>
      <c r="O56" s="225"/>
      <c r="P56" s="225"/>
      <c r="Q56" s="225"/>
      <c r="R56" s="225"/>
      <c r="S56" s="76"/>
    </row>
    <row r="57" spans="7:20" x14ac:dyDescent="0.25">
      <c r="J57" s="10"/>
      <c r="K57" s="14"/>
      <c r="M57" s="21"/>
      <c r="N57" s="22"/>
      <c r="O57" s="225" t="s">
        <v>261</v>
      </c>
      <c r="P57" s="225"/>
      <c r="Q57" s="225"/>
      <c r="R57" s="225"/>
      <c r="S57" s="77">
        <f>('Manpower &amp; time'!H10+S55)*N8/60</f>
        <v>1.076479622777834E-4</v>
      </c>
    </row>
    <row r="58" spans="7:20" x14ac:dyDescent="0.25">
      <c r="J58" s="47"/>
      <c r="K58" s="14"/>
      <c r="M58" s="21"/>
      <c r="N58" s="22"/>
      <c r="O58" s="225" t="s">
        <v>462</v>
      </c>
      <c r="P58" s="225"/>
      <c r="Q58" s="225"/>
      <c r="R58" s="225"/>
      <c r="S58" s="78">
        <f>('Manpower &amp; time'!H10)*N8/60/S57</f>
        <v>0.25811560823687268</v>
      </c>
    </row>
    <row r="59" spans="7:20" x14ac:dyDescent="0.25">
      <c r="J59" s="1"/>
      <c r="K59" s="14"/>
      <c r="M59" s="21"/>
      <c r="N59" s="22"/>
      <c r="O59" s="225"/>
      <c r="P59" s="225"/>
      <c r="Q59" s="225"/>
      <c r="R59" s="225"/>
      <c r="S59" s="77"/>
    </row>
    <row r="60" spans="7:20" x14ac:dyDescent="0.25">
      <c r="M60" s="21"/>
      <c r="N60" s="22"/>
      <c r="O60" s="225" t="s">
        <v>264</v>
      </c>
      <c r="P60" s="225"/>
      <c r="Q60" s="225"/>
      <c r="R60" s="225"/>
      <c r="S60" s="77">
        <f>('Manpower &amp; time'!H10+K50)*N9/60</f>
        <v>2.4379554903013745E-5</v>
      </c>
    </row>
    <row r="61" spans="7:20" x14ac:dyDescent="0.25">
      <c r="K61" s="8"/>
      <c r="M61" s="21"/>
      <c r="N61" s="22"/>
      <c r="O61" s="225" t="s">
        <v>262</v>
      </c>
      <c r="P61" s="225"/>
      <c r="Q61" s="225"/>
      <c r="R61" s="225"/>
      <c r="S61" s="77">
        <f>('Manpower &amp; time'!H11+K50)*N9/60</f>
        <v>3.1762291678433446E-5</v>
      </c>
    </row>
    <row r="62" spans="7:20" x14ac:dyDescent="0.25">
      <c r="K62" s="7"/>
      <c r="M62" s="21"/>
      <c r="N62" s="22"/>
      <c r="O62" s="225" t="s">
        <v>263</v>
      </c>
      <c r="P62" s="225"/>
      <c r="Q62" s="225"/>
      <c r="R62" s="225"/>
      <c r="S62" s="77">
        <f>('Manpower &amp; time'!H13+K50)*N9/60</f>
        <v>4.6300872609697303E-5</v>
      </c>
    </row>
    <row r="63" spans="7:20" x14ac:dyDescent="0.25">
      <c r="K63" s="7"/>
      <c r="M63" s="21"/>
      <c r="N63" s="22"/>
      <c r="O63" s="225" t="s">
        <v>307</v>
      </c>
      <c r="P63" s="225"/>
      <c r="Q63" s="225"/>
      <c r="R63" s="225"/>
      <c r="S63" s="77">
        <f>('Manpower &amp; time'!H10+K50)*N$10/60</f>
        <v>1.9503643922410997E-5</v>
      </c>
    </row>
    <row r="64" spans="7:20" x14ac:dyDescent="0.25">
      <c r="K64" s="7"/>
      <c r="M64" s="21"/>
      <c r="N64" s="22"/>
      <c r="O64" s="225" t="s">
        <v>308</v>
      </c>
      <c r="P64" s="225"/>
      <c r="Q64" s="225"/>
      <c r="R64" s="225"/>
      <c r="S64" s="77">
        <f>('Manpower &amp; time'!H11+K50)*N$10/60</f>
        <v>2.5409833342746758E-5</v>
      </c>
    </row>
    <row r="65" spans="7:19" x14ac:dyDescent="0.25">
      <c r="K65" s="5"/>
      <c r="M65" s="21"/>
      <c r="N65" s="22"/>
      <c r="O65" s="225" t="s">
        <v>309</v>
      </c>
      <c r="P65" s="225"/>
      <c r="Q65" s="225"/>
      <c r="R65" s="225"/>
      <c r="S65" s="77">
        <f>('Manpower &amp; time'!H13+K50)*N$10/60</f>
        <v>3.7040698087757845E-5</v>
      </c>
    </row>
    <row r="66" spans="7:19" ht="15.75" thickBot="1" x14ac:dyDescent="0.3">
      <c r="M66" s="23"/>
      <c r="N66" s="24"/>
      <c r="O66" s="226" t="s">
        <v>273</v>
      </c>
      <c r="P66" s="226"/>
      <c r="Q66" s="226"/>
      <c r="R66" s="226"/>
      <c r="S66" s="79">
        <f>('Manpower &amp; time'!H10+S54)*(N11+N7)/60</f>
        <v>17.994017236112509</v>
      </c>
    </row>
    <row r="67" spans="7:19" x14ac:dyDescent="0.25">
      <c r="M67" s="244" t="s">
        <v>18</v>
      </c>
      <c r="N67" s="273"/>
      <c r="O67" s="224" t="s">
        <v>274</v>
      </c>
      <c r="P67" s="224"/>
      <c r="Q67" s="224"/>
      <c r="R67" s="224"/>
      <c r="S67" s="74">
        <f>SUM(T12:T15)+T18</f>
        <v>23026.025600000001</v>
      </c>
    </row>
    <row r="68" spans="7:19" x14ac:dyDescent="0.25">
      <c r="M68" s="269" t="s">
        <v>471</v>
      </c>
      <c r="N68" s="270"/>
      <c r="O68" s="225" t="s">
        <v>275</v>
      </c>
      <c r="P68" s="225"/>
      <c r="Q68" s="225"/>
      <c r="R68" s="225"/>
      <c r="S68" s="75">
        <f>S67/(N14*D8*D9)+K50</f>
        <v>30.818197590933572</v>
      </c>
    </row>
    <row r="69" spans="7:19" x14ac:dyDescent="0.25">
      <c r="K69" s="7"/>
      <c r="M69" s="39" t="s">
        <v>474</v>
      </c>
      <c r="N69" s="40">
        <v>2.5</v>
      </c>
      <c r="O69" s="225" t="s">
        <v>276</v>
      </c>
      <c r="P69" s="225"/>
      <c r="Q69" s="225"/>
      <c r="R69" s="225"/>
      <c r="S69" s="75">
        <f>S68+R17+R16</f>
        <v>42.684869590933573</v>
      </c>
    </row>
    <row r="70" spans="7:19" x14ac:dyDescent="0.25">
      <c r="M70" s="39" t="s">
        <v>499</v>
      </c>
      <c r="N70" s="40">
        <v>0.5</v>
      </c>
      <c r="O70" s="225"/>
      <c r="P70" s="225"/>
      <c r="Q70" s="225"/>
      <c r="R70" s="225"/>
      <c r="S70" s="76"/>
    </row>
    <row r="71" spans="7:19" x14ac:dyDescent="0.25">
      <c r="G71" s="11"/>
      <c r="M71" s="17"/>
      <c r="N71" s="18"/>
      <c r="O71" s="225" t="s">
        <v>261</v>
      </c>
      <c r="P71" s="225"/>
      <c r="Q71" s="225"/>
      <c r="R71" s="225"/>
      <c r="S71" s="77">
        <f>(K51+S69)*N16/60</f>
        <v>9.8927068577012609E-5</v>
      </c>
    </row>
    <row r="72" spans="7:19" x14ac:dyDescent="0.25">
      <c r="M72" s="17"/>
      <c r="N72" s="18"/>
      <c r="O72" s="225" t="s">
        <v>462</v>
      </c>
      <c r="P72" s="225"/>
      <c r="Q72" s="225"/>
      <c r="R72" s="225"/>
      <c r="S72" s="78">
        <f>(K51)*N16/60/S71</f>
        <v>0.2808697322023595</v>
      </c>
    </row>
    <row r="73" spans="7:19" x14ac:dyDescent="0.25">
      <c r="M73" s="17"/>
      <c r="N73" s="18"/>
      <c r="O73" s="225"/>
      <c r="P73" s="225"/>
      <c r="Q73" s="225"/>
      <c r="R73" s="225"/>
      <c r="S73" s="77"/>
    </row>
    <row r="74" spans="7:19" x14ac:dyDescent="0.25">
      <c r="M74" s="17"/>
      <c r="N74" s="18"/>
      <c r="O74" s="225" t="s">
        <v>264</v>
      </c>
      <c r="P74" s="225"/>
      <c r="Q74" s="225"/>
      <c r="R74" s="225"/>
      <c r="S74" s="77">
        <f>(K51+K50)*N$17/60</f>
        <v>2.4379554903013745E-5</v>
      </c>
    </row>
    <row r="75" spans="7:19" x14ac:dyDescent="0.25">
      <c r="M75" s="17"/>
      <c r="N75" s="18"/>
      <c r="O75" s="225" t="s">
        <v>262</v>
      </c>
      <c r="P75" s="225"/>
      <c r="Q75" s="225"/>
      <c r="R75" s="225"/>
      <c r="S75" s="77">
        <f>(K52+K50)*N$17/60</f>
        <v>3.1762291678433446E-5</v>
      </c>
    </row>
    <row r="76" spans="7:19" x14ac:dyDescent="0.25">
      <c r="M76" s="17"/>
      <c r="N76" s="18"/>
      <c r="O76" s="225" t="s">
        <v>263</v>
      </c>
      <c r="P76" s="225"/>
      <c r="Q76" s="225"/>
      <c r="R76" s="225"/>
      <c r="S76" s="77">
        <f>(K54+K50)*N$17/60</f>
        <v>4.6300872609697303E-5</v>
      </c>
    </row>
    <row r="77" spans="7:19" x14ac:dyDescent="0.25">
      <c r="M77" s="17"/>
      <c r="N77" s="18"/>
      <c r="O77" s="225" t="s">
        <v>307</v>
      </c>
      <c r="P77" s="225"/>
      <c r="Q77" s="225"/>
      <c r="R77" s="225"/>
      <c r="S77" s="77">
        <f>(K51+K50)*N$18/60</f>
        <v>1.9503643922410997E-5</v>
      </c>
    </row>
    <row r="78" spans="7:19" x14ac:dyDescent="0.25">
      <c r="M78" s="17"/>
      <c r="N78" s="18"/>
      <c r="O78" s="225" t="s">
        <v>308</v>
      </c>
      <c r="P78" s="225"/>
      <c r="Q78" s="225"/>
      <c r="R78" s="225"/>
      <c r="S78" s="77">
        <f>(K52+K50)*N$18/60</f>
        <v>2.5409833342746758E-5</v>
      </c>
    </row>
    <row r="79" spans="7:19" x14ac:dyDescent="0.25">
      <c r="M79" s="17"/>
      <c r="N79" s="18"/>
      <c r="O79" s="225" t="s">
        <v>309</v>
      </c>
      <c r="P79" s="225"/>
      <c r="Q79" s="225"/>
      <c r="R79" s="225"/>
      <c r="S79" s="77">
        <f>(K54+K50)*N$18/60</f>
        <v>3.7040698087757845E-5</v>
      </c>
    </row>
    <row r="80" spans="7:19" ht="15.75" thickBot="1" x14ac:dyDescent="0.3">
      <c r="M80" s="17"/>
      <c r="N80" s="18"/>
      <c r="O80" s="227" t="s">
        <v>273</v>
      </c>
      <c r="P80" s="227"/>
      <c r="Q80" s="227"/>
      <c r="R80" s="227"/>
      <c r="S80" s="151">
        <f>(K51+S68)*(N15+N19)/60</f>
        <v>15.829856382069188</v>
      </c>
    </row>
    <row r="81" spans="13:20" x14ac:dyDescent="0.25">
      <c r="M81" s="266" t="s">
        <v>397</v>
      </c>
      <c r="N81" s="268"/>
      <c r="O81" s="224" t="s">
        <v>274</v>
      </c>
      <c r="P81" s="224"/>
      <c r="Q81" s="224"/>
      <c r="R81" s="224"/>
      <c r="S81" s="74">
        <f>T20+T21</f>
        <v>27751.54031372827</v>
      </c>
    </row>
    <row r="82" spans="13:20" x14ac:dyDescent="0.25">
      <c r="M82" s="263" t="s">
        <v>472</v>
      </c>
      <c r="N82" s="264"/>
      <c r="O82" s="225" t="s">
        <v>275</v>
      </c>
      <c r="P82" s="225"/>
      <c r="Q82" s="225"/>
      <c r="R82" s="225"/>
      <c r="S82" s="75">
        <f>S81/(N23*D8*D9)+K50</f>
        <v>37.699746904231247</v>
      </c>
    </row>
    <row r="83" spans="13:20" x14ac:dyDescent="0.25">
      <c r="M83" s="35" t="s">
        <v>473</v>
      </c>
      <c r="N83" s="36">
        <f>'Laser cutter'!J14</f>
        <v>0.71739130434782605</v>
      </c>
      <c r="O83" s="225" t="s">
        <v>276</v>
      </c>
      <c r="P83" s="225"/>
      <c r="Q83" s="225"/>
      <c r="R83" s="225"/>
      <c r="S83" s="75">
        <f>S82+R23+R26</f>
        <v>43.242346904231248</v>
      </c>
    </row>
    <row r="84" spans="13:20" x14ac:dyDescent="0.25">
      <c r="M84" s="263"/>
      <c r="N84" s="264"/>
      <c r="O84" s="225"/>
      <c r="P84" s="225"/>
      <c r="Q84" s="225"/>
      <c r="R84" s="225"/>
      <c r="S84" s="76"/>
    </row>
    <row r="85" spans="13:20" x14ac:dyDescent="0.25">
      <c r="M85" s="263"/>
      <c r="N85" s="264"/>
      <c r="O85" s="225" t="s">
        <v>398</v>
      </c>
      <c r="P85" s="225"/>
      <c r="Q85" s="225"/>
      <c r="R85" s="225"/>
      <c r="S85" s="77">
        <f>(K51*0.4+S83)*N31/60</f>
        <v>3.826501990352798E-4</v>
      </c>
    </row>
    <row r="86" spans="13:20" x14ac:dyDescent="0.25">
      <c r="M86" s="263"/>
      <c r="N86" s="264"/>
      <c r="O86" s="225" t="s">
        <v>462</v>
      </c>
      <c r="P86" s="225"/>
      <c r="Q86" s="225"/>
      <c r="R86" s="225"/>
      <c r="S86" s="78">
        <f>(K51)*N31/60/S85</f>
        <v>0.3340226894241069</v>
      </c>
    </row>
    <row r="87" spans="13:20" x14ac:dyDescent="0.25">
      <c r="M87" s="263"/>
      <c r="N87" s="264"/>
      <c r="O87" s="225"/>
      <c r="P87" s="225"/>
      <c r="Q87" s="225"/>
      <c r="R87" s="225"/>
      <c r="S87" s="138"/>
    </row>
    <row r="88" spans="13:20" x14ac:dyDescent="0.25">
      <c r="M88" s="263"/>
      <c r="N88" s="264"/>
      <c r="O88" s="225" t="s">
        <v>494</v>
      </c>
      <c r="P88" s="225"/>
      <c r="Q88" s="225"/>
      <c r="R88" s="225"/>
      <c r="S88" s="150">
        <f>(K51+K50)*N32/60</f>
        <v>0.73138664709041235</v>
      </c>
    </row>
    <row r="89" spans="13:20" x14ac:dyDescent="0.25">
      <c r="M89" s="263"/>
      <c r="N89" s="264"/>
      <c r="O89" s="225" t="s">
        <v>495</v>
      </c>
      <c r="P89" s="225"/>
      <c r="Q89" s="225"/>
      <c r="R89" s="225"/>
      <c r="S89" s="150">
        <f>(K52+K50)*N32/60</f>
        <v>0.95286875035300334</v>
      </c>
    </row>
    <row r="90" spans="13:20" x14ac:dyDescent="0.25">
      <c r="M90" s="263"/>
      <c r="N90" s="264"/>
      <c r="O90" s="225" t="s">
        <v>496</v>
      </c>
      <c r="P90" s="225"/>
      <c r="Q90" s="225"/>
      <c r="R90" s="225"/>
      <c r="S90" s="150">
        <f>(K51+K50)*N33/60</f>
        <v>0.4875910980602749</v>
      </c>
    </row>
    <row r="91" spans="13:20" x14ac:dyDescent="0.25">
      <c r="M91" s="263"/>
      <c r="N91" s="264"/>
      <c r="O91" s="225" t="s">
        <v>497</v>
      </c>
      <c r="P91" s="225"/>
      <c r="Q91" s="225"/>
      <c r="R91" s="225"/>
      <c r="S91" s="150">
        <f>(K52+K50)*N$33/60</f>
        <v>0.63524583356866893</v>
      </c>
    </row>
    <row r="92" spans="13:20" ht="15.75" thickBot="1" x14ac:dyDescent="0.3">
      <c r="M92" s="32"/>
      <c r="N92" s="33"/>
      <c r="O92" s="226" t="s">
        <v>273</v>
      </c>
      <c r="P92" s="226"/>
      <c r="Q92" s="226"/>
      <c r="R92" s="226"/>
      <c r="S92" s="79">
        <f>(K51+S82)*(N34+N26)/60</f>
        <v>11.780408999559468</v>
      </c>
    </row>
    <row r="93" spans="13:20" x14ac:dyDescent="0.25">
      <c r="M93" s="271" t="s">
        <v>24</v>
      </c>
      <c r="N93" s="272"/>
      <c r="O93" s="228" t="s">
        <v>274</v>
      </c>
      <c r="P93" s="228"/>
      <c r="Q93" s="228"/>
      <c r="R93" s="228"/>
      <c r="S93" s="152">
        <f>SUM(T35:T40)</f>
        <v>2176.9659999999999</v>
      </c>
    </row>
    <row r="94" spans="13:20" x14ac:dyDescent="0.25">
      <c r="M94" s="44"/>
      <c r="N94" s="45"/>
      <c r="O94" s="225" t="s">
        <v>275</v>
      </c>
      <c r="P94" s="225"/>
      <c r="Q94" s="225"/>
      <c r="R94" s="225"/>
      <c r="S94" s="94">
        <f>S93/(N37*D8*D9)+K50</f>
        <v>14.308014188969677</v>
      </c>
      <c r="T94" s="6"/>
    </row>
    <row r="95" spans="13:20" x14ac:dyDescent="0.25">
      <c r="M95" s="21"/>
      <c r="N95" s="22"/>
      <c r="O95" s="225" t="s">
        <v>276</v>
      </c>
      <c r="P95" s="225"/>
      <c r="Q95" s="225"/>
      <c r="R95" s="225"/>
      <c r="S95" s="94">
        <f>S94+R41</f>
        <v>14.405889188969677</v>
      </c>
    </row>
    <row r="96" spans="13:20" x14ac:dyDescent="0.25">
      <c r="M96" s="21"/>
      <c r="N96" s="22"/>
      <c r="O96" s="225"/>
      <c r="P96" s="225"/>
      <c r="Q96" s="225"/>
      <c r="R96" s="225"/>
      <c r="S96" s="138"/>
    </row>
    <row r="97" spans="13:19" x14ac:dyDescent="0.25">
      <c r="M97" s="21"/>
      <c r="N97" s="22"/>
      <c r="O97" s="225" t="s">
        <v>445</v>
      </c>
      <c r="P97" s="225"/>
      <c r="Q97" s="225"/>
      <c r="R97" s="225"/>
      <c r="S97" s="58">
        <f>R42+R44+(S95+K53)*N38/60</f>
        <v>123.57310332275807</v>
      </c>
    </row>
    <row r="98" spans="13:19" x14ac:dyDescent="0.25">
      <c r="M98" s="21"/>
      <c r="N98" s="22"/>
      <c r="O98" s="225" t="s">
        <v>446</v>
      </c>
      <c r="P98" s="225"/>
      <c r="Q98" s="225"/>
      <c r="R98" s="225"/>
      <c r="S98" s="94">
        <f>R43+R44+(S95+K53)*N38/60</f>
        <v>123.53804126378841</v>
      </c>
    </row>
    <row r="99" spans="13:19" ht="15.75" thickBot="1" x14ac:dyDescent="0.3">
      <c r="M99" s="23"/>
      <c r="N99" s="24"/>
      <c r="O99" s="226"/>
      <c r="P99" s="226"/>
      <c r="Q99" s="226"/>
      <c r="R99" s="226"/>
      <c r="S99" s="70"/>
    </row>
    <row r="100" spans="13:19" x14ac:dyDescent="0.25">
      <c r="M100" s="244" t="s">
        <v>383</v>
      </c>
      <c r="N100" s="273"/>
      <c r="O100" s="224" t="s">
        <v>274</v>
      </c>
      <c r="P100" s="224"/>
      <c r="Q100" s="224"/>
      <c r="R100" s="224"/>
      <c r="S100" s="74">
        <f>SUM(T45:T48)</f>
        <v>4775</v>
      </c>
    </row>
    <row r="101" spans="13:19" x14ac:dyDescent="0.25">
      <c r="M101" s="42"/>
      <c r="N101" s="43"/>
      <c r="O101" s="225" t="s">
        <v>275</v>
      </c>
      <c r="P101" s="225"/>
      <c r="Q101" s="225"/>
      <c r="R101" s="225"/>
      <c r="S101" s="75">
        <f>S100/(N47*D8*D9)+K50</f>
        <v>19.459148320913123</v>
      </c>
    </row>
    <row r="102" spans="13:19" x14ac:dyDescent="0.25">
      <c r="M102" s="17"/>
      <c r="N102" s="18"/>
      <c r="O102" s="225" t="s">
        <v>276</v>
      </c>
      <c r="P102" s="225"/>
      <c r="Q102" s="225"/>
      <c r="R102" s="225"/>
      <c r="S102" s="75">
        <f>S101+R50+R49</f>
        <v>29.834988320913123</v>
      </c>
    </row>
    <row r="103" spans="13:19" x14ac:dyDescent="0.25">
      <c r="M103" s="17"/>
      <c r="N103" s="18"/>
      <c r="O103" s="225"/>
      <c r="P103" s="225"/>
      <c r="Q103" s="225"/>
      <c r="R103" s="225"/>
      <c r="S103" s="76"/>
    </row>
    <row r="104" spans="13:19" x14ac:dyDescent="0.25">
      <c r="M104" s="17"/>
      <c r="N104" s="18"/>
      <c r="O104" s="225" t="s">
        <v>261</v>
      </c>
      <c r="P104" s="225"/>
      <c r="Q104" s="225"/>
      <c r="R104" s="225"/>
      <c r="S104" s="77">
        <f>(K51+S102)*N49/60</f>
        <v>2.3253179938093556E-4</v>
      </c>
    </row>
    <row r="105" spans="13:19" ht="15.75" thickBot="1" x14ac:dyDescent="0.3">
      <c r="M105" s="19"/>
      <c r="N105" s="20"/>
      <c r="O105" s="226" t="s">
        <v>273</v>
      </c>
      <c r="P105" s="226"/>
      <c r="Q105" s="226"/>
      <c r="R105" s="226"/>
      <c r="S105" s="79">
        <f>(K51+S101)*(N48+N50)/60</f>
        <v>9.0326299690467788</v>
      </c>
    </row>
    <row r="126" ht="56.25" customHeight="1" x14ac:dyDescent="0.25"/>
  </sheetData>
  <mergeCells count="97">
    <mergeCell ref="B34:B35"/>
    <mergeCell ref="E20:E23"/>
    <mergeCell ref="E24:E26"/>
    <mergeCell ref="B27:B30"/>
    <mergeCell ref="B20:B23"/>
    <mergeCell ref="B24:B26"/>
    <mergeCell ref="B31:B33"/>
    <mergeCell ref="O102:R102"/>
    <mergeCell ref="O103:R103"/>
    <mergeCell ref="M93:N93"/>
    <mergeCell ref="O95:R95"/>
    <mergeCell ref="O96:R96"/>
    <mergeCell ref="O91:R91"/>
    <mergeCell ref="O92:R92"/>
    <mergeCell ref="M100:N100"/>
    <mergeCell ref="O100:R100"/>
    <mergeCell ref="O101:R101"/>
    <mergeCell ref="M88:N88"/>
    <mergeCell ref="M89:N89"/>
    <mergeCell ref="M90:N90"/>
    <mergeCell ref="M91:N91"/>
    <mergeCell ref="M4:N4"/>
    <mergeCell ref="M20:N20"/>
    <mergeCell ref="M81:N81"/>
    <mergeCell ref="M68:N68"/>
    <mergeCell ref="M54:N54"/>
    <mergeCell ref="M67:N67"/>
    <mergeCell ref="M82:N82"/>
    <mergeCell ref="M84:N84"/>
    <mergeCell ref="M85:N85"/>
    <mergeCell ref="M86:N86"/>
    <mergeCell ref="M87:N87"/>
    <mergeCell ref="O58:R58"/>
    <mergeCell ref="O59:R59"/>
    <mergeCell ref="O72:R72"/>
    <mergeCell ref="O73:R73"/>
    <mergeCell ref="O61:R61"/>
    <mergeCell ref="O62:R62"/>
    <mergeCell ref="O63:R63"/>
    <mergeCell ref="O64:R64"/>
    <mergeCell ref="O67:R67"/>
    <mergeCell ref="O68:R68"/>
    <mergeCell ref="O69:R69"/>
    <mergeCell ref="O70:R70"/>
    <mergeCell ref="O71:R71"/>
    <mergeCell ref="O55:R55"/>
    <mergeCell ref="H53:J53"/>
    <mergeCell ref="G49:G50"/>
    <mergeCell ref="G51:G54"/>
    <mergeCell ref="M52:S52"/>
    <mergeCell ref="H54:J54"/>
    <mergeCell ref="O53:R53"/>
    <mergeCell ref="O54:R54"/>
    <mergeCell ref="G2:K2"/>
    <mergeCell ref="M2:T2"/>
    <mergeCell ref="M53:N53"/>
    <mergeCell ref="G48:K48"/>
    <mergeCell ref="H50:J50"/>
    <mergeCell ref="H49:J49"/>
    <mergeCell ref="M45:N45"/>
    <mergeCell ref="H51:J51"/>
    <mergeCell ref="H52:J52"/>
    <mergeCell ref="E4:E7"/>
    <mergeCell ref="M12:N12"/>
    <mergeCell ref="P42:P43"/>
    <mergeCell ref="Q42:Q43"/>
    <mergeCell ref="B2:E2"/>
    <mergeCell ref="B18:E18"/>
    <mergeCell ref="O56:R56"/>
    <mergeCell ref="O57:R57"/>
    <mergeCell ref="O66:R66"/>
    <mergeCell ref="O60:R60"/>
    <mergeCell ref="O105:R105"/>
    <mergeCell ref="O104:R104"/>
    <mergeCell ref="O98:R98"/>
    <mergeCell ref="O99:R99"/>
    <mergeCell ref="O97:R97"/>
    <mergeCell ref="O79:R79"/>
    <mergeCell ref="O80:R80"/>
    <mergeCell ref="O78:R78"/>
    <mergeCell ref="O65:R65"/>
    <mergeCell ref="O93:R93"/>
    <mergeCell ref="O94:R94"/>
    <mergeCell ref="O76:R76"/>
    <mergeCell ref="O83:R83"/>
    <mergeCell ref="O84:R84"/>
    <mergeCell ref="O90:R90"/>
    <mergeCell ref="O85:R85"/>
    <mergeCell ref="O86:R86"/>
    <mergeCell ref="O87:R87"/>
    <mergeCell ref="O88:R88"/>
    <mergeCell ref="O89:R89"/>
    <mergeCell ref="O81:R81"/>
    <mergeCell ref="O74:R74"/>
    <mergeCell ref="O75:R75"/>
    <mergeCell ref="O77:R77"/>
    <mergeCell ref="O82:R8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workbookViewId="0">
      <selection activeCell="A3" sqref="A3"/>
    </sheetView>
  </sheetViews>
  <sheetFormatPr baseColWidth="10" defaultRowHeight="15" x14ac:dyDescent="0.25"/>
  <cols>
    <col min="1" max="1" width="48" bestFit="1" customWidth="1"/>
    <col min="2" max="2" width="23" bestFit="1" customWidth="1"/>
    <col min="3" max="3" width="20" bestFit="1" customWidth="1"/>
    <col min="5" max="5" width="9.5703125" bestFit="1" customWidth="1"/>
    <col min="7" max="7" width="12.85546875" bestFit="1" customWidth="1"/>
    <col min="9" max="10" width="25.28515625" bestFit="1" customWidth="1"/>
    <col min="15" max="15" width="20.7109375" bestFit="1" customWidth="1"/>
  </cols>
  <sheetData>
    <row r="1" spans="1:19" x14ac:dyDescent="0.25">
      <c r="A1" s="3" t="s">
        <v>13</v>
      </c>
    </row>
    <row r="3" spans="1:19" x14ac:dyDescent="0.25">
      <c r="A3" t="s">
        <v>89</v>
      </c>
      <c r="C3" t="s">
        <v>217</v>
      </c>
      <c r="D3" t="s">
        <v>216</v>
      </c>
      <c r="E3" t="s">
        <v>215</v>
      </c>
      <c r="F3" t="s">
        <v>189</v>
      </c>
      <c r="G3" t="s">
        <v>190</v>
      </c>
    </row>
    <row r="4" spans="1:19" x14ac:dyDescent="0.25">
      <c r="A4" t="s">
        <v>87</v>
      </c>
      <c r="B4" t="s">
        <v>318</v>
      </c>
      <c r="C4" t="s">
        <v>317</v>
      </c>
      <c r="E4">
        <v>208995</v>
      </c>
      <c r="G4" s="2">
        <f>E4/Summary!D15</f>
        <v>185010.26875818847</v>
      </c>
      <c r="H4" s="3" t="s">
        <v>88</v>
      </c>
      <c r="P4" t="s">
        <v>388</v>
      </c>
      <c r="Q4" t="s">
        <v>387</v>
      </c>
      <c r="R4" t="s">
        <v>389</v>
      </c>
      <c r="S4" t="s">
        <v>390</v>
      </c>
    </row>
    <row r="5" spans="1:19" x14ac:dyDescent="0.25">
      <c r="A5" t="s">
        <v>392</v>
      </c>
      <c r="B5" t="s">
        <v>394</v>
      </c>
      <c r="C5" t="s">
        <v>395</v>
      </c>
      <c r="F5">
        <v>126.82</v>
      </c>
      <c r="G5" s="2">
        <f>(1-Summary!D16)*'Laser cutter'!F5</f>
        <v>101.456</v>
      </c>
      <c r="H5" s="3" t="s">
        <v>391</v>
      </c>
      <c r="O5" t="s">
        <v>386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393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330</v>
      </c>
      <c r="C9" t="s">
        <v>329</v>
      </c>
      <c r="D9" t="s">
        <v>331</v>
      </c>
      <c r="E9" t="s">
        <v>332</v>
      </c>
    </row>
    <row r="10" spans="1:19" x14ac:dyDescent="0.25">
      <c r="A10" t="s">
        <v>319</v>
      </c>
      <c r="B10" t="s">
        <v>320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321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322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464</v>
      </c>
      <c r="J12" t="s">
        <v>465</v>
      </c>
    </row>
    <row r="13" spans="1:19" x14ac:dyDescent="0.25">
      <c r="B13" t="s">
        <v>323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25">
      <c r="B14" t="s">
        <v>324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466</v>
      </c>
      <c r="J14" s="34">
        <f>J13/I13</f>
        <v>0.71739130434782605</v>
      </c>
    </row>
    <row r="15" spans="1:19" x14ac:dyDescent="0.25">
      <c r="B15" t="s">
        <v>325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326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327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328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333</v>
      </c>
      <c r="B19" t="s">
        <v>320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321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322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323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324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335</v>
      </c>
      <c r="B24" t="s">
        <v>334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321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322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G34"/>
  <sheetViews>
    <sheetView workbookViewId="0">
      <selection activeCell="C17" sqref="C17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25</v>
      </c>
      <c r="B1" t="s">
        <v>217</v>
      </c>
      <c r="C1" t="s">
        <v>216</v>
      </c>
      <c r="D1" t="s">
        <v>215</v>
      </c>
      <c r="E1" t="s">
        <v>189</v>
      </c>
      <c r="F1" t="s">
        <v>190</v>
      </c>
      <c r="G1" t="s">
        <v>200</v>
      </c>
    </row>
    <row r="2" spans="1:7" x14ac:dyDescent="0.25">
      <c r="A2" t="s">
        <v>96</v>
      </c>
      <c r="F2" s="2">
        <v>4386</v>
      </c>
      <c r="G2" s="3" t="s">
        <v>97</v>
      </c>
    </row>
    <row r="3" spans="1:7" x14ac:dyDescent="0.25">
      <c r="A3" t="s">
        <v>235</v>
      </c>
      <c r="F3" s="2">
        <v>922.6</v>
      </c>
      <c r="G3" t="s">
        <v>236</v>
      </c>
    </row>
    <row r="4" spans="1:7" x14ac:dyDescent="0.25">
      <c r="A4" t="s">
        <v>38</v>
      </c>
      <c r="F4" s="2">
        <v>3859.6</v>
      </c>
      <c r="G4" s="3" t="s">
        <v>237</v>
      </c>
    </row>
    <row r="5" spans="1:7" x14ac:dyDescent="0.25">
      <c r="A5" t="s">
        <v>173</v>
      </c>
      <c r="F5" s="2">
        <v>8579</v>
      </c>
      <c r="G5" s="3" t="s">
        <v>174</v>
      </c>
    </row>
    <row r="6" spans="1:7" x14ac:dyDescent="0.25">
      <c r="A6" t="s">
        <v>100</v>
      </c>
      <c r="F6" s="2">
        <v>146</v>
      </c>
      <c r="G6" t="s">
        <v>99</v>
      </c>
    </row>
    <row r="7" spans="1:7" x14ac:dyDescent="0.25">
      <c r="A7" t="s">
        <v>102</v>
      </c>
      <c r="F7" s="2">
        <v>50</v>
      </c>
      <c r="G7" t="s">
        <v>101</v>
      </c>
    </row>
    <row r="8" spans="1:7" x14ac:dyDescent="0.25">
      <c r="F8" s="2"/>
    </row>
    <row r="9" spans="1:7" x14ac:dyDescent="0.25">
      <c r="A9" t="s">
        <v>104</v>
      </c>
      <c r="F9" s="2"/>
      <c r="G9" s="3" t="s">
        <v>103</v>
      </c>
    </row>
    <row r="12" spans="1:7" x14ac:dyDescent="0.25">
      <c r="A12" s="25" t="s">
        <v>401</v>
      </c>
      <c r="B12" s="25"/>
      <c r="C12" s="25" t="s">
        <v>200</v>
      </c>
    </row>
    <row r="13" spans="1:7" x14ac:dyDescent="0.25">
      <c r="A13" s="26" t="s">
        <v>402</v>
      </c>
      <c r="B13" s="27">
        <v>200</v>
      </c>
      <c r="C13" s="26" t="s">
        <v>403</v>
      </c>
    </row>
    <row r="14" spans="1:7" x14ac:dyDescent="0.25">
      <c r="A14" s="26" t="s">
        <v>404</v>
      </c>
      <c r="B14" s="26">
        <v>18</v>
      </c>
      <c r="C14" s="26" t="s">
        <v>403</v>
      </c>
    </row>
    <row r="15" spans="1:7" x14ac:dyDescent="0.25">
      <c r="A15" s="26" t="s">
        <v>405</v>
      </c>
      <c r="B15" s="28">
        <f>B14*5/228</f>
        <v>0.39473684210526316</v>
      </c>
      <c r="C15" s="26"/>
    </row>
    <row r="16" spans="1:7" x14ac:dyDescent="0.25">
      <c r="A16" s="26" t="s">
        <v>406</v>
      </c>
      <c r="B16" s="26">
        <v>5.5</v>
      </c>
      <c r="C16" s="26"/>
    </row>
    <row r="17" spans="1:4" x14ac:dyDescent="0.25">
      <c r="A17" s="26" t="s">
        <v>407</v>
      </c>
      <c r="B17" s="29">
        <f>B15*B13/B16</f>
        <v>14.354066985645932</v>
      </c>
      <c r="C17" s="26"/>
      <c r="D17" s="5"/>
    </row>
    <row r="19" spans="1:4" x14ac:dyDescent="0.25">
      <c r="A19" s="25" t="s">
        <v>408</v>
      </c>
      <c r="B19" s="25"/>
      <c r="C19" s="25" t="s">
        <v>200</v>
      </c>
    </row>
    <row r="20" spans="1:4" x14ac:dyDescent="0.25">
      <c r="A20" s="26" t="s">
        <v>409</v>
      </c>
      <c r="B20" s="26">
        <v>12.8</v>
      </c>
      <c r="C20" s="26" t="s">
        <v>403</v>
      </c>
    </row>
    <row r="21" spans="1:4" x14ac:dyDescent="0.25">
      <c r="A21" s="26" t="s">
        <v>410</v>
      </c>
      <c r="B21" s="26">
        <v>11</v>
      </c>
      <c r="C21" s="26" t="s">
        <v>403</v>
      </c>
    </row>
    <row r="22" spans="1:4" x14ac:dyDescent="0.25">
      <c r="A22" s="26" t="s">
        <v>411</v>
      </c>
      <c r="B22" s="26">
        <f>PI()*0.04*0.04*100*7.8</f>
        <v>3.9207076316800622</v>
      </c>
      <c r="C22" s="26"/>
    </row>
    <row r="23" spans="1:4" x14ac:dyDescent="0.25">
      <c r="A23" s="26" t="s">
        <v>412</v>
      </c>
      <c r="B23" s="27">
        <f>B20*B22/1000</f>
        <v>5.0185057685504804E-2</v>
      </c>
      <c r="C23" s="26"/>
    </row>
    <row r="25" spans="1:4" x14ac:dyDescent="0.25">
      <c r="A25" s="25" t="s">
        <v>413</v>
      </c>
      <c r="B25" s="25"/>
      <c r="C25" s="25" t="s">
        <v>200</v>
      </c>
    </row>
    <row r="26" spans="1:4" x14ac:dyDescent="0.25">
      <c r="A26" s="26" t="s">
        <v>409</v>
      </c>
      <c r="B26" s="26">
        <v>10.050000000000001</v>
      </c>
      <c r="C26" s="30" t="s">
        <v>414</v>
      </c>
    </row>
    <row r="27" spans="1:4" x14ac:dyDescent="0.25">
      <c r="A27" s="26" t="s">
        <v>415</v>
      </c>
      <c r="B27" s="26">
        <v>2</v>
      </c>
      <c r="C27" s="26" t="s">
        <v>403</v>
      </c>
    </row>
    <row r="28" spans="1:4" x14ac:dyDescent="0.25">
      <c r="A28" s="26" t="s">
        <v>411</v>
      </c>
      <c r="B28" s="26">
        <f>PI()*0.1*0.1*100*2.7</f>
        <v>8.4823001646924432</v>
      </c>
      <c r="C28" s="26"/>
    </row>
    <row r="29" spans="1:4" x14ac:dyDescent="0.25">
      <c r="A29" s="26" t="s">
        <v>412</v>
      </c>
      <c r="B29" s="27">
        <f>B26*B28/1000</f>
        <v>8.5247116655159064E-2</v>
      </c>
      <c r="C29" s="26"/>
    </row>
    <row r="30" spans="1:4" x14ac:dyDescent="0.25">
      <c r="C30" s="25"/>
    </row>
    <row r="31" spans="1:4" x14ac:dyDescent="0.25">
      <c r="A31" s="26" t="s">
        <v>437</v>
      </c>
      <c r="B31" s="26"/>
      <c r="C31" s="25" t="s">
        <v>200</v>
      </c>
    </row>
    <row r="32" spans="1:4" x14ac:dyDescent="0.25">
      <c r="A32" s="26" t="s">
        <v>438</v>
      </c>
      <c r="B32" s="31">
        <f>30/(2*PI()*0.034)</f>
        <v>140.43083213990764</v>
      </c>
      <c r="C32" s="26" t="s">
        <v>403</v>
      </c>
    </row>
    <row r="33" spans="1:3" x14ac:dyDescent="0.25">
      <c r="A33" s="26" t="s">
        <v>439</v>
      </c>
      <c r="B33" s="29">
        <f>'Manpower &amp; time'!H11/60</f>
        <v>0.42551092809629387</v>
      </c>
      <c r="C33" s="26"/>
    </row>
    <row r="34" spans="1:3" x14ac:dyDescent="0.25">
      <c r="A34" s="26" t="s">
        <v>440</v>
      </c>
      <c r="B34" s="29">
        <f>B33*B32</f>
        <v>59.754853717186954</v>
      </c>
      <c r="C34" s="26"/>
    </row>
  </sheetData>
  <hyperlinks>
    <hyperlink ref="G5" r:id="rId1" xr:uid="{00000000-0004-0000-0A00-000000000000}"/>
    <hyperlink ref="G9" r:id="rId2" xr:uid="{00000000-0004-0000-0A00-000001000000}"/>
    <hyperlink ref="C26" r:id="rId3" xr:uid="{00000000-0004-0000-0A00-000002000000}"/>
    <hyperlink ref="G2" r:id="rId4" xr:uid="{00000000-0004-0000-0A00-000003000000}"/>
    <hyperlink ref="G4" r:id="rId5" xr:uid="{00000000-0004-0000-0A00-000004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C3"/>
  <sheetViews>
    <sheetView workbookViewId="0">
      <selection activeCell="B3" sqref="B3"/>
    </sheetView>
  </sheetViews>
  <sheetFormatPr baseColWidth="10" defaultRowHeight="15" x14ac:dyDescent="0.25"/>
  <cols>
    <col min="1" max="1" width="35.140625" bestFit="1" customWidth="1"/>
    <col min="2" max="2" width="12.7109375" bestFit="1" customWidth="1"/>
    <col min="3" max="3" width="59.28515625" customWidth="1"/>
  </cols>
  <sheetData>
    <row r="1" spans="1:3" ht="15.75" thickBot="1" x14ac:dyDescent="0.3">
      <c r="A1" s="164" t="s">
        <v>25</v>
      </c>
      <c r="B1" s="175" t="s">
        <v>452</v>
      </c>
      <c r="C1" s="165" t="s">
        <v>200</v>
      </c>
    </row>
    <row r="2" spans="1:3" x14ac:dyDescent="0.25">
      <c r="A2" s="162" t="s">
        <v>450</v>
      </c>
      <c r="B2" s="166">
        <v>15000</v>
      </c>
      <c r="C2" s="163" t="s">
        <v>448</v>
      </c>
    </row>
    <row r="3" spans="1:3" ht="15.75" thickBot="1" x14ac:dyDescent="0.3">
      <c r="A3" s="160" t="s">
        <v>451</v>
      </c>
      <c r="B3" s="149">
        <v>10000</v>
      </c>
      <c r="C3" s="161" t="s">
        <v>449</v>
      </c>
    </row>
  </sheetData>
  <hyperlinks>
    <hyperlink ref="C3" r:id="rId1" xr:uid="{00000000-0004-0000-0B00-000000000000}"/>
    <hyperlink ref="C2" r:id="rId2" xr:uid="{A760E0EB-F23D-4561-BC97-F696B4CA42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9"/>
  <sheetViews>
    <sheetView workbookViewId="0">
      <selection activeCell="C73" sqref="C73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3" t="s">
        <v>5</v>
      </c>
      <c r="S1" s="3" t="s">
        <v>294</v>
      </c>
    </row>
    <row r="2" spans="1:23" x14ac:dyDescent="0.25">
      <c r="A2" t="s">
        <v>0</v>
      </c>
      <c r="G2" t="s">
        <v>9</v>
      </c>
      <c r="M2" t="s">
        <v>6</v>
      </c>
      <c r="S2" s="13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292</v>
      </c>
      <c r="S3" t="s">
        <v>4</v>
      </c>
      <c r="T3" t="s">
        <v>1</v>
      </c>
      <c r="U3" t="s">
        <v>293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266</v>
      </c>
      <c r="S15" t="s">
        <v>6</v>
      </c>
      <c r="T15" t="s">
        <v>266</v>
      </c>
      <c r="U15" t="s">
        <v>480</v>
      </c>
    </row>
    <row r="16" spans="1:23" x14ac:dyDescent="0.25">
      <c r="D16" t="s">
        <v>8</v>
      </c>
      <c r="E16" s="1">
        <f>AVERAGE(E4:E15)</f>
        <v>3.7201299982926756E-5</v>
      </c>
      <c r="N16" t="s">
        <v>267</v>
      </c>
      <c r="O16" t="s">
        <v>2</v>
      </c>
      <c r="P16" t="s">
        <v>76</v>
      </c>
      <c r="Q16" t="s">
        <v>3</v>
      </c>
      <c r="S16" t="s">
        <v>481</v>
      </c>
      <c r="T16" t="s">
        <v>482</v>
      </c>
      <c r="U16" t="s">
        <v>483</v>
      </c>
      <c r="V16" t="s">
        <v>484</v>
      </c>
    </row>
    <row r="17" spans="1:22" x14ac:dyDescent="0.25">
      <c r="N17">
        <v>5</v>
      </c>
      <c r="O17">
        <v>500</v>
      </c>
      <c r="P17" s="2">
        <v>1.61</v>
      </c>
      <c r="Q17" s="12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25">
      <c r="N18">
        <v>10</v>
      </c>
      <c r="O18">
        <v>500</v>
      </c>
      <c r="P18" s="2">
        <v>4.5</v>
      </c>
      <c r="Q18" s="12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25">
      <c r="A19" t="s">
        <v>268</v>
      </c>
      <c r="B19" t="s">
        <v>266</v>
      </c>
      <c r="N19">
        <v>15</v>
      </c>
      <c r="O19">
        <v>500</v>
      </c>
      <c r="P19" s="2">
        <v>4.8</v>
      </c>
      <c r="Q19" s="12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25">
      <c r="B20" t="s">
        <v>267</v>
      </c>
      <c r="C20" t="s">
        <v>2</v>
      </c>
      <c r="D20" t="s">
        <v>76</v>
      </c>
      <c r="E20" t="s">
        <v>3</v>
      </c>
      <c r="N20">
        <v>18</v>
      </c>
      <c r="O20">
        <v>500</v>
      </c>
      <c r="P20" s="2">
        <v>6.36</v>
      </c>
      <c r="Q20" s="12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25">
      <c r="B21">
        <v>10</v>
      </c>
      <c r="C21">
        <v>500</v>
      </c>
      <c r="D21" s="2">
        <v>5.14</v>
      </c>
      <c r="E21" s="12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12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25">
      <c r="B22">
        <v>20</v>
      </c>
      <c r="C22">
        <v>500</v>
      </c>
      <c r="D22" s="2">
        <v>8.35</v>
      </c>
      <c r="E22" s="12">
        <f t="shared" si="6"/>
        <v>5.3157750992693033E-5</v>
      </c>
      <c r="P22" t="s">
        <v>8</v>
      </c>
      <c r="Q22" s="12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25">
      <c r="B23">
        <v>20</v>
      </c>
      <c r="C23">
        <v>990</v>
      </c>
      <c r="D23" s="2">
        <v>17.13</v>
      </c>
      <c r="E23" s="12">
        <f t="shared" si="6"/>
        <v>5.5077256063922563E-5</v>
      </c>
      <c r="P23" s="2"/>
      <c r="S23">
        <v>6060</v>
      </c>
      <c r="T23" t="s">
        <v>485</v>
      </c>
    </row>
    <row r="24" spans="1:22" x14ac:dyDescent="0.25">
      <c r="B24">
        <v>25</v>
      </c>
      <c r="C24">
        <v>500</v>
      </c>
      <c r="D24" s="2">
        <v>13.11</v>
      </c>
      <c r="E24" s="12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25">
      <c r="B25">
        <v>25</v>
      </c>
      <c r="C25">
        <v>990</v>
      </c>
      <c r="D25" s="2">
        <v>26.99</v>
      </c>
      <c r="E25" s="12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25">
      <c r="B26">
        <v>30</v>
      </c>
      <c r="C26">
        <v>500</v>
      </c>
      <c r="D26" s="2">
        <v>16.059999999999999</v>
      </c>
      <c r="E26" s="12">
        <f t="shared" si="6"/>
        <v>4.5440504640992695E-5</v>
      </c>
      <c r="U26" s="2"/>
      <c r="V26" s="1"/>
    </row>
    <row r="27" spans="1:22" x14ac:dyDescent="0.25">
      <c r="B27">
        <v>35</v>
      </c>
      <c r="C27">
        <v>500</v>
      </c>
      <c r="D27" s="2">
        <v>16.059999999999999</v>
      </c>
      <c r="E27" s="12">
        <f t="shared" si="6"/>
        <v>3.338486055256606E-5</v>
      </c>
      <c r="U27" s="2"/>
      <c r="V27" s="1"/>
    </row>
    <row r="28" spans="1:22" x14ac:dyDescent="0.25">
      <c r="D28" t="s">
        <v>8</v>
      </c>
      <c r="E28" s="12">
        <f>AVERAGE(E21:E27)</f>
        <v>6.0986186998733781E-5</v>
      </c>
      <c r="U28" s="2"/>
      <c r="V28" s="1"/>
    </row>
    <row r="29" spans="1:22" x14ac:dyDescent="0.25">
      <c r="V29" s="1"/>
    </row>
    <row r="30" spans="1:22" x14ac:dyDescent="0.25">
      <c r="A30" s="3" t="s">
        <v>297</v>
      </c>
      <c r="G30" s="3" t="s">
        <v>296</v>
      </c>
      <c r="N30" s="3" t="s">
        <v>416</v>
      </c>
    </row>
    <row r="31" spans="1:22" x14ac:dyDescent="0.25">
      <c r="A31" t="s">
        <v>295</v>
      </c>
      <c r="B31" t="s">
        <v>266</v>
      </c>
      <c r="G31" t="s">
        <v>295</v>
      </c>
      <c r="H31" t="s">
        <v>266</v>
      </c>
      <c r="N31" t="s">
        <v>417</v>
      </c>
      <c r="O31" t="s">
        <v>266</v>
      </c>
    </row>
    <row r="32" spans="1:22" x14ac:dyDescent="0.25">
      <c r="B32" t="s">
        <v>267</v>
      </c>
      <c r="C32" t="s">
        <v>2</v>
      </c>
      <c r="D32" t="s">
        <v>76</v>
      </c>
      <c r="E32" t="s">
        <v>3</v>
      </c>
      <c r="H32" t="s">
        <v>267</v>
      </c>
      <c r="I32" t="s">
        <v>2</v>
      </c>
      <c r="J32" t="s">
        <v>76</v>
      </c>
      <c r="K32" t="s">
        <v>3</v>
      </c>
      <c r="O32" t="s">
        <v>267</v>
      </c>
      <c r="P32" t="s">
        <v>2</v>
      </c>
      <c r="Q32" t="s">
        <v>76</v>
      </c>
      <c r="R32" t="s">
        <v>486</v>
      </c>
    </row>
    <row r="33" spans="1:18" x14ac:dyDescent="0.25">
      <c r="B33">
        <v>10</v>
      </c>
      <c r="C33">
        <v>1000</v>
      </c>
      <c r="D33" s="2">
        <v>20.5</v>
      </c>
      <c r="E33" s="12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12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12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12">
        <f t="shared" si="7"/>
        <v>2.2132484273716698E-4</v>
      </c>
      <c r="H34">
        <v>16</v>
      </c>
      <c r="I34">
        <v>300</v>
      </c>
      <c r="J34" s="2">
        <v>15.77</v>
      </c>
      <c r="K34" s="12">
        <f t="shared" si="8"/>
        <v>2.6144515130824893E-4</v>
      </c>
      <c r="O34">
        <v>20</v>
      </c>
      <c r="P34">
        <v>1000</v>
      </c>
      <c r="Q34" s="2">
        <v>9.23</v>
      </c>
      <c r="R34" s="12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12">
        <f t="shared" si="7"/>
        <v>2.1247184902768027E-4</v>
      </c>
      <c r="H35">
        <v>20</v>
      </c>
      <c r="I35">
        <v>300</v>
      </c>
      <c r="J35" s="2">
        <v>23.4</v>
      </c>
      <c r="K35" s="12">
        <f t="shared" si="8"/>
        <v>2.4828171122335673E-4</v>
      </c>
      <c r="O35">
        <v>25</v>
      </c>
      <c r="P35">
        <v>1000</v>
      </c>
      <c r="Q35" s="2">
        <v>14.44</v>
      </c>
      <c r="R35" s="12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12">
        <f t="shared" si="7"/>
        <v>2.0013734093805838E-4</v>
      </c>
      <c r="H36">
        <v>40</v>
      </c>
      <c r="I36">
        <v>300</v>
      </c>
      <c r="J36" s="2">
        <v>81.7</v>
      </c>
      <c r="K36" s="12">
        <f t="shared" si="8"/>
        <v>2.1671598084346415E-4</v>
      </c>
      <c r="O36">
        <v>40</v>
      </c>
      <c r="P36">
        <v>1000</v>
      </c>
      <c r="Q36" s="2">
        <v>34.869999999999997</v>
      </c>
      <c r="R36" s="12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12">
        <f t="shared" si="7"/>
        <v>1.9862536897868538E-4</v>
      </c>
      <c r="J37" t="s">
        <v>8</v>
      </c>
      <c r="K37" s="12">
        <f>AVERAGE(K33:K36)</f>
        <v>2.8145391181008314E-4</v>
      </c>
      <c r="O37">
        <v>60</v>
      </c>
      <c r="P37">
        <v>1000</v>
      </c>
      <c r="Q37" s="2">
        <v>83.14</v>
      </c>
      <c r="R37" s="12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12">
        <f t="shared" si="7"/>
        <v>1.9805948473658087E-4</v>
      </c>
      <c r="J38" s="2"/>
      <c r="K38" s="12"/>
      <c r="O38">
        <v>80</v>
      </c>
      <c r="P38">
        <v>1000</v>
      </c>
      <c r="Q38" s="2">
        <v>139.55000000000001</v>
      </c>
      <c r="R38" s="12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12">
        <f t="shared" si="7"/>
        <v>1.9745160127338264E-4</v>
      </c>
      <c r="J39" s="2"/>
      <c r="K39" s="12"/>
      <c r="Q39" t="s">
        <v>8</v>
      </c>
      <c r="R39" s="12">
        <f>AVERAGE(R33:R38)</f>
        <v>2.8834566715532905E-5</v>
      </c>
    </row>
    <row r="40" spans="1:18" x14ac:dyDescent="0.25">
      <c r="D40" t="s">
        <v>8</v>
      </c>
      <c r="E40" s="12">
        <f>AVERAGE(E33:E39)</f>
        <v>2.1272637062318042E-4</v>
      </c>
      <c r="K40" s="12"/>
    </row>
    <row r="43" spans="1:18" x14ac:dyDescent="0.25">
      <c r="A43" s="3" t="s">
        <v>418</v>
      </c>
    </row>
    <row r="44" spans="1:18" x14ac:dyDescent="0.25">
      <c r="A44" t="s">
        <v>419</v>
      </c>
      <c r="B44" t="s">
        <v>420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421</v>
      </c>
      <c r="G48" t="s">
        <v>422</v>
      </c>
    </row>
    <row r="49" spans="1:10" x14ac:dyDescent="0.25">
      <c r="A49" t="s">
        <v>423</v>
      </c>
      <c r="B49" t="s">
        <v>76</v>
      </c>
      <c r="C49" t="s">
        <v>424</v>
      </c>
      <c r="D49" t="s">
        <v>487</v>
      </c>
      <c r="G49" t="s">
        <v>423</v>
      </c>
      <c r="H49" t="s">
        <v>425</v>
      </c>
      <c r="I49" t="s">
        <v>426</v>
      </c>
      <c r="J49" t="s">
        <v>3</v>
      </c>
    </row>
    <row r="50" spans="1:10" x14ac:dyDescent="0.25">
      <c r="A50" t="s">
        <v>427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428</v>
      </c>
      <c r="H50" s="9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429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430</v>
      </c>
      <c r="H51" s="9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431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432</v>
      </c>
      <c r="H52" s="9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433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434</v>
      </c>
      <c r="H53" s="9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433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435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25">
      <c r="A56" t="s">
        <v>435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435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436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436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436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25">
      <c r="B61" s="2"/>
      <c r="C61" t="s">
        <v>488</v>
      </c>
      <c r="D61" s="1">
        <f>AVERAGE(D51,D50)</f>
        <v>1.7494170995654369E-5</v>
      </c>
    </row>
    <row r="62" spans="1:10" x14ac:dyDescent="0.25">
      <c r="C62" t="s">
        <v>8</v>
      </c>
      <c r="D62" s="1">
        <f>AVERAGE(D56:D60)</f>
        <v>2.2449399217561005E-5</v>
      </c>
    </row>
    <row r="64" spans="1:10" x14ac:dyDescent="0.25">
      <c r="A64" t="s">
        <v>489</v>
      </c>
    </row>
    <row r="65" spans="1:7" x14ac:dyDescent="0.25">
      <c r="A65" t="s">
        <v>4</v>
      </c>
      <c r="B65" t="s">
        <v>1</v>
      </c>
      <c r="C65" t="s">
        <v>2</v>
      </c>
      <c r="D65" t="s">
        <v>490</v>
      </c>
      <c r="E65" t="s">
        <v>7</v>
      </c>
      <c r="F65" t="s">
        <v>3</v>
      </c>
      <c r="G65" t="s">
        <v>200</v>
      </c>
    </row>
    <row r="66" spans="1:7" x14ac:dyDescent="0.25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3" t="s">
        <v>491</v>
      </c>
    </row>
    <row r="67" spans="1:7" x14ac:dyDescent="0.25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25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25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 xr:uid="{00000000-0004-0000-0C00-000000000000}"/>
    <hyperlink ref="S1" r:id="rId2" xr:uid="{00000000-0004-0000-0C00-000001000000}"/>
    <hyperlink ref="G30" r:id="rId3" xr:uid="{00000000-0004-0000-0C00-000002000000}"/>
    <hyperlink ref="N30" r:id="rId4" location="/alliage-25cd4" xr:uid="{00000000-0004-0000-0C00-000003000000}"/>
    <hyperlink ref="A43" r:id="rId5" xr:uid="{00000000-0004-0000-0C00-000004000000}"/>
    <hyperlink ref="G66" r:id="rId6" xr:uid="{00000000-0004-0000-0C00-000005000000}"/>
    <hyperlink ref="A30" r:id="rId7" xr:uid="{00000000-0004-0000-0C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L45"/>
  <sheetViews>
    <sheetView showGridLines="0" tabSelected="1" zoomScale="92" workbookViewId="0">
      <selection activeCell="D17" sqref="D17"/>
    </sheetView>
  </sheetViews>
  <sheetFormatPr baseColWidth="10" defaultRowHeight="15" x14ac:dyDescent="0.25"/>
  <cols>
    <col min="1" max="1" width="17.85546875" customWidth="1"/>
    <col min="2" max="2" width="43.7109375" bestFit="1" customWidth="1"/>
    <col min="3" max="3" width="19.28515625" customWidth="1"/>
    <col min="4" max="4" width="30.85546875" customWidth="1"/>
    <col min="5" max="5" width="48.7109375" bestFit="1" customWidth="1"/>
    <col min="6" max="6" width="19" bestFit="1" customWidth="1"/>
    <col min="7" max="7" width="25.85546875" bestFit="1" customWidth="1"/>
    <col min="8" max="8" width="27.85546875" bestFit="1" customWidth="1"/>
    <col min="9" max="9" width="25.85546875" customWidth="1"/>
    <col min="10" max="10" width="10.140625" bestFit="1" customWidth="1"/>
    <col min="11" max="11" width="12.5703125" bestFit="1" customWidth="1"/>
    <col min="12" max="12" width="9" bestFit="1" customWidth="1"/>
    <col min="14" max="14" width="18" bestFit="1" customWidth="1"/>
    <col min="15" max="15" width="19.42578125" bestFit="1" customWidth="1"/>
    <col min="17" max="17" width="12.5703125" bestFit="1" customWidth="1"/>
  </cols>
  <sheetData>
    <row r="1" spans="1:8" ht="15.75" thickBot="1" x14ac:dyDescent="0.3">
      <c r="A1" s="278" t="s">
        <v>200</v>
      </c>
      <c r="B1" s="164" t="s">
        <v>25</v>
      </c>
      <c r="C1" s="285" t="s">
        <v>200</v>
      </c>
      <c r="D1" s="285"/>
      <c r="E1" s="285"/>
      <c r="F1" s="286"/>
    </row>
    <row r="2" spans="1:8" x14ac:dyDescent="0.25">
      <c r="A2" s="279"/>
      <c r="B2" s="157" t="s">
        <v>140</v>
      </c>
      <c r="C2" s="287" t="s">
        <v>98</v>
      </c>
      <c r="D2" s="287"/>
      <c r="E2" s="287"/>
      <c r="F2" s="288"/>
    </row>
    <row r="3" spans="1:8" x14ac:dyDescent="0.25">
      <c r="A3" s="279"/>
      <c r="B3" s="158" t="s">
        <v>550</v>
      </c>
      <c r="C3" s="289" t="s">
        <v>551</v>
      </c>
      <c r="D3" s="289"/>
      <c r="E3" s="289"/>
      <c r="F3" s="290"/>
    </row>
    <row r="4" spans="1:8" x14ac:dyDescent="0.25">
      <c r="A4" s="279"/>
      <c r="B4" s="158" t="s">
        <v>143</v>
      </c>
      <c r="C4" s="289" t="s">
        <v>142</v>
      </c>
      <c r="D4" s="289"/>
      <c r="E4" s="289"/>
      <c r="F4" s="290"/>
    </row>
    <row r="5" spans="1:8" ht="15.75" thickBot="1" x14ac:dyDescent="0.3">
      <c r="A5" s="280"/>
      <c r="B5" s="160" t="s">
        <v>546</v>
      </c>
      <c r="C5" s="291" t="s">
        <v>547</v>
      </c>
      <c r="D5" s="291"/>
      <c r="E5" s="291"/>
      <c r="F5" s="292"/>
    </row>
    <row r="7" spans="1:8" ht="15.75" thickBot="1" x14ac:dyDescent="0.3"/>
    <row r="8" spans="1:8" ht="15.75" thickBot="1" x14ac:dyDescent="0.3">
      <c r="A8" s="281" t="s">
        <v>304</v>
      </c>
      <c r="B8" s="164" t="s">
        <v>508</v>
      </c>
      <c r="C8" s="175" t="s">
        <v>509</v>
      </c>
      <c r="D8" s="175" t="s">
        <v>510</v>
      </c>
      <c r="E8" s="175" t="s">
        <v>511</v>
      </c>
      <c r="F8" s="175" t="s">
        <v>250</v>
      </c>
      <c r="G8" s="175" t="s">
        <v>460</v>
      </c>
      <c r="H8" s="165" t="s">
        <v>249</v>
      </c>
    </row>
    <row r="9" spans="1:8" x14ac:dyDescent="0.25">
      <c r="A9" s="282"/>
      <c r="B9" s="162" t="s">
        <v>549</v>
      </c>
      <c r="C9" s="166">
        <v>1554.58</v>
      </c>
      <c r="D9" s="166">
        <f>C9*12*1.45</f>
        <v>27049.691999999999</v>
      </c>
      <c r="E9" s="166">
        <f>D9*Summary!$D$11</f>
        <v>25697.207399999999</v>
      </c>
      <c r="F9" s="167"/>
      <c r="G9" s="168">
        <f>D9*(1-Summary!$D$11)*F9</f>
        <v>0</v>
      </c>
      <c r="H9" s="152">
        <f>E9*Summary!$D$11/$C$24</f>
        <v>16.279510547988593</v>
      </c>
    </row>
    <row r="10" spans="1:8" x14ac:dyDescent="0.25">
      <c r="A10" s="282"/>
      <c r="B10" s="162" t="s">
        <v>141</v>
      </c>
      <c r="C10" s="166">
        <v>1592</v>
      </c>
      <c r="D10" s="166">
        <f t="shared" ref="D10:D13" si="0">C10*12*1.45</f>
        <v>27700.799999999999</v>
      </c>
      <c r="E10" s="166">
        <f>D10*Summary!$D$11</f>
        <v>26315.759999999998</v>
      </c>
      <c r="F10" s="167">
        <v>4.5</v>
      </c>
      <c r="G10" s="168">
        <f>D10*(1-Summary!$D$11)*F10</f>
        <v>6232.6800000000048</v>
      </c>
      <c r="H10" s="152">
        <f>E10*Summary!$D$11/$C$24</f>
        <v>16.671371555273993</v>
      </c>
    </row>
    <row r="11" spans="1:8" x14ac:dyDescent="0.25">
      <c r="A11" s="282"/>
      <c r="B11" s="158" t="s">
        <v>224</v>
      </c>
      <c r="C11" s="27">
        <v>2438</v>
      </c>
      <c r="D11" s="166">
        <f t="shared" si="0"/>
        <v>42421.2</v>
      </c>
      <c r="E11" s="27">
        <f>D11*Summary!$D$11</f>
        <v>40300.139999999992</v>
      </c>
      <c r="F11" s="26">
        <v>1</v>
      </c>
      <c r="G11" s="29">
        <f>D11*(1-Summary!$D$11)*F11</f>
        <v>2121.0600000000018</v>
      </c>
      <c r="H11" s="152">
        <f>E11*Summary!$D$11/$C$24</f>
        <v>25.530655685777631</v>
      </c>
    </row>
    <row r="12" spans="1:8" x14ac:dyDescent="0.25">
      <c r="A12" s="282"/>
      <c r="B12" s="158" t="s">
        <v>457</v>
      </c>
      <c r="C12" s="27">
        <v>3077</v>
      </c>
      <c r="D12" s="166">
        <f t="shared" si="0"/>
        <v>53539.799999999996</v>
      </c>
      <c r="E12" s="27">
        <f>D12*Summary!$D$11</f>
        <v>50862.80999999999</v>
      </c>
      <c r="F12" s="26">
        <v>1</v>
      </c>
      <c r="G12" s="29">
        <f>D12*(1-Summary!$D$11)*F12</f>
        <v>2676.9900000000021</v>
      </c>
      <c r="H12" s="152">
        <f>E12*Summary!$D$11/$C$24</f>
        <v>32.222242635413359</v>
      </c>
    </row>
    <row r="13" spans="1:8" ht="15.75" thickBot="1" x14ac:dyDescent="0.3">
      <c r="A13" s="283"/>
      <c r="B13" s="160" t="s">
        <v>225</v>
      </c>
      <c r="C13" s="149">
        <v>4104</v>
      </c>
      <c r="D13" s="149">
        <f t="shared" si="0"/>
        <v>71409.599999999991</v>
      </c>
      <c r="E13" s="176">
        <f>D13*Summary!$D$11</f>
        <v>67839.12</v>
      </c>
      <c r="F13" s="177">
        <v>0.6</v>
      </c>
      <c r="G13" s="178">
        <f>D13*(1-Summary!$D$11)*F13</f>
        <v>2142.2880000000014</v>
      </c>
      <c r="H13" s="152">
        <f>E13*Summary!$D$11/$C$24</f>
        <v>42.97695280329426</v>
      </c>
    </row>
    <row r="14" spans="1:8" ht="15.75" thickBot="1" x14ac:dyDescent="0.3">
      <c r="E14" s="164" t="s">
        <v>242</v>
      </c>
      <c r="F14" s="172">
        <f>SUM(F13+F11+F10)</f>
        <v>6.1</v>
      </c>
      <c r="G14" s="179">
        <f>G13+G11+G10+G12</f>
        <v>13173.018000000011</v>
      </c>
    </row>
    <row r="16" spans="1:8" ht="15.75" thickBot="1" x14ac:dyDescent="0.3">
      <c r="A16" s="180"/>
    </row>
    <row r="17" spans="1:12" ht="15.75" customHeight="1" thickBot="1" x14ac:dyDescent="0.3">
      <c r="A17" s="274" t="s">
        <v>512</v>
      </c>
      <c r="B17" s="164" t="s">
        <v>16</v>
      </c>
      <c r="C17" s="165" t="s">
        <v>42</v>
      </c>
      <c r="E17" s="5"/>
    </row>
    <row r="18" spans="1:12" x14ac:dyDescent="0.25">
      <c r="A18" s="284"/>
      <c r="B18" s="183" t="s">
        <v>144</v>
      </c>
      <c r="C18" s="184">
        <v>365</v>
      </c>
      <c r="E18" s="5"/>
    </row>
    <row r="19" spans="1:12" x14ac:dyDescent="0.25">
      <c r="A19" s="284"/>
      <c r="B19" s="98" t="s">
        <v>145</v>
      </c>
      <c r="C19" s="138">
        <v>104</v>
      </c>
    </row>
    <row r="20" spans="1:12" x14ac:dyDescent="0.25">
      <c r="A20" s="284"/>
      <c r="B20" s="98" t="s">
        <v>146</v>
      </c>
      <c r="C20" s="138">
        <v>8</v>
      </c>
    </row>
    <row r="21" spans="1:12" x14ac:dyDescent="0.25">
      <c r="A21" s="284"/>
      <c r="B21" s="98" t="s">
        <v>548</v>
      </c>
      <c r="C21" s="138">
        <v>27.5</v>
      </c>
    </row>
    <row r="22" spans="1:12" x14ac:dyDescent="0.25">
      <c r="A22" s="284"/>
      <c r="B22" s="98" t="s">
        <v>147</v>
      </c>
      <c r="C22" s="138">
        <f>C18-C19-C20-C21</f>
        <v>225.5</v>
      </c>
    </row>
    <row r="23" spans="1:12" x14ac:dyDescent="0.25">
      <c r="A23" s="284"/>
      <c r="B23" s="98" t="s">
        <v>148</v>
      </c>
      <c r="C23" s="62">
        <f>C22/5</f>
        <v>45.1</v>
      </c>
    </row>
    <row r="24" spans="1:12" ht="15.75" thickBot="1" x14ac:dyDescent="0.3">
      <c r="A24" s="275"/>
      <c r="B24" s="99" t="s">
        <v>459</v>
      </c>
      <c r="C24" s="70">
        <f>Summary!$D$11*Summary!$D$9*Summary!$D$8</f>
        <v>1499.575</v>
      </c>
    </row>
    <row r="27" spans="1:12" ht="15.75" thickBot="1" x14ac:dyDescent="0.3"/>
    <row r="28" spans="1:12" ht="15" customHeight="1" thickBot="1" x14ac:dyDescent="0.3">
      <c r="A28" s="274" t="s">
        <v>514</v>
      </c>
      <c r="B28" s="169"/>
      <c r="C28" s="175" t="s">
        <v>243</v>
      </c>
      <c r="D28" s="175" t="s">
        <v>244</v>
      </c>
      <c r="E28" s="175" t="s">
        <v>384</v>
      </c>
      <c r="F28" s="175" t="s">
        <v>385</v>
      </c>
      <c r="G28" s="175" t="s">
        <v>383</v>
      </c>
      <c r="H28" s="175" t="s">
        <v>245</v>
      </c>
      <c r="I28" s="175" t="s">
        <v>246</v>
      </c>
      <c r="J28" s="175" t="s">
        <v>29</v>
      </c>
      <c r="K28" s="192" t="s">
        <v>22</v>
      </c>
      <c r="L28" s="193" t="s">
        <v>248</v>
      </c>
    </row>
    <row r="29" spans="1:12" x14ac:dyDescent="0.25">
      <c r="A29" s="284"/>
      <c r="B29" s="194" t="s">
        <v>141</v>
      </c>
      <c r="C29" s="183">
        <v>0.85</v>
      </c>
      <c r="D29" s="167">
        <v>0.85</v>
      </c>
      <c r="E29" s="167">
        <v>0.3</v>
      </c>
      <c r="F29" s="167">
        <v>0.85</v>
      </c>
      <c r="G29" s="167">
        <v>0.47</v>
      </c>
      <c r="H29" s="167"/>
      <c r="I29" s="167">
        <v>0.65</v>
      </c>
      <c r="J29" s="167">
        <v>0.41</v>
      </c>
      <c r="K29" s="190">
        <v>0.12</v>
      </c>
      <c r="L29" s="191">
        <f>SUM(C29:K29)</f>
        <v>4.5</v>
      </c>
    </row>
    <row r="30" spans="1:12" x14ac:dyDescent="0.25">
      <c r="A30" s="284"/>
      <c r="B30" s="195" t="s">
        <v>224</v>
      </c>
      <c r="C30" s="98"/>
      <c r="D30" s="26"/>
      <c r="E30" s="26"/>
      <c r="F30" s="26"/>
      <c r="G30" s="26"/>
      <c r="H30" s="26"/>
      <c r="I30" s="26">
        <v>0.5</v>
      </c>
      <c r="J30" s="26">
        <v>0.5</v>
      </c>
      <c r="K30" s="186"/>
      <c r="L30" s="188">
        <f t="shared" ref="L30:L33" si="1">SUM(C30:K30)</f>
        <v>1</v>
      </c>
    </row>
    <row r="31" spans="1:12" x14ac:dyDescent="0.25">
      <c r="A31" s="284"/>
      <c r="B31" s="195" t="s">
        <v>456</v>
      </c>
      <c r="C31" s="98"/>
      <c r="D31" s="26"/>
      <c r="E31" s="26"/>
      <c r="F31" s="26"/>
      <c r="G31" s="26"/>
      <c r="H31" s="26">
        <v>0.85</v>
      </c>
      <c r="I31" s="26"/>
      <c r="J31" s="26">
        <v>0.05</v>
      </c>
      <c r="K31" s="186">
        <v>0.1</v>
      </c>
      <c r="L31" s="188">
        <f t="shared" si="1"/>
        <v>1</v>
      </c>
    </row>
    <row r="32" spans="1:12" x14ac:dyDescent="0.25">
      <c r="A32" s="284"/>
      <c r="B32" s="195" t="s">
        <v>225</v>
      </c>
      <c r="C32" s="98"/>
      <c r="D32" s="26"/>
      <c r="E32" s="26"/>
      <c r="F32" s="26"/>
      <c r="G32" s="26"/>
      <c r="H32" s="26"/>
      <c r="I32" s="26">
        <v>0.35</v>
      </c>
      <c r="J32" s="26">
        <v>0.15</v>
      </c>
      <c r="K32" s="186">
        <v>0.1</v>
      </c>
      <c r="L32" s="188">
        <f t="shared" si="1"/>
        <v>0.6</v>
      </c>
    </row>
    <row r="33" spans="1:12" x14ac:dyDescent="0.25">
      <c r="A33" s="284"/>
      <c r="B33" s="195" t="s">
        <v>515</v>
      </c>
      <c r="C33" s="98">
        <f t="shared" ref="C33:K33" si="2">$C$24*SUM(C29:C32)</f>
        <v>1274.6387500000001</v>
      </c>
      <c r="D33" s="26">
        <f t="shared" si="2"/>
        <v>1274.6387500000001</v>
      </c>
      <c r="E33" s="26">
        <f t="shared" si="2"/>
        <v>449.8725</v>
      </c>
      <c r="F33" s="26">
        <f t="shared" si="2"/>
        <v>1274.6387500000001</v>
      </c>
      <c r="G33" s="26">
        <f t="shared" si="2"/>
        <v>704.80025000000001</v>
      </c>
      <c r="H33" s="26">
        <f t="shared" si="2"/>
        <v>1274.6387500000001</v>
      </c>
      <c r="I33" s="26">
        <f t="shared" si="2"/>
        <v>2249.3625000000002</v>
      </c>
      <c r="J33" s="26">
        <f t="shared" si="2"/>
        <v>1664.5282499999998</v>
      </c>
      <c r="K33" s="186">
        <f t="shared" si="2"/>
        <v>479.86400000000003</v>
      </c>
      <c r="L33" s="188">
        <f t="shared" si="1"/>
        <v>10646.9825</v>
      </c>
    </row>
    <row r="34" spans="1:12" x14ac:dyDescent="0.25">
      <c r="A34" s="284"/>
      <c r="B34" s="195" t="s">
        <v>516</v>
      </c>
      <c r="C34" s="98">
        <f>Summary!$D$10*Summary!$D$9*Summary!$D$8</f>
        <v>1262.8000000000002</v>
      </c>
      <c r="D34" s="26">
        <f>Summary!$D$10*Summary!$D$9*Summary!$D$8</f>
        <v>1262.8000000000002</v>
      </c>
      <c r="E34" s="26">
        <f>Summary!N23*Summary!$D$9*Summary!$D$8</f>
        <v>1104.95</v>
      </c>
      <c r="F34" s="26">
        <f>Summary!$D$10*Summary!$D$9*Summary!$D$8</f>
        <v>1262.8000000000002</v>
      </c>
      <c r="G34" s="26">
        <f>Summary!N47*Summary!$D$9*Summary!$D$8</f>
        <v>694.54000000000008</v>
      </c>
      <c r="H34" s="26">
        <f>Summary!$D$10*Summary!$D$9*Summary!$D$8</f>
        <v>1262.8000000000002</v>
      </c>
      <c r="I34" s="26">
        <f>0.5*C34*2+0.9*E34</f>
        <v>2257.2550000000001</v>
      </c>
      <c r="J34" s="26">
        <f>2*0.4*C34+E34*0.6</f>
        <v>1673.2100000000003</v>
      </c>
      <c r="K34" s="186">
        <f>0.06*Summary!D8*Summary!D9*5</f>
        <v>473.55000000000007</v>
      </c>
      <c r="L34" s="188">
        <f>SUM(C34:K34)-E34+E35</f>
        <v>10591.734999999999</v>
      </c>
    </row>
    <row r="35" spans="1:12" ht="15.75" thickBot="1" x14ac:dyDescent="0.3">
      <c r="A35" s="275"/>
      <c r="B35" s="196"/>
      <c r="C35" s="99"/>
      <c r="D35" s="59" t="s">
        <v>498</v>
      </c>
      <c r="E35" s="59">
        <f>E34*0.4</f>
        <v>441.98</v>
      </c>
      <c r="F35" s="59"/>
      <c r="G35" s="59"/>
      <c r="H35" s="59"/>
      <c r="I35" s="59"/>
      <c r="J35" s="59"/>
      <c r="K35" s="187"/>
      <c r="L35" s="189"/>
    </row>
    <row r="37" spans="1:12" ht="15.75" thickBot="1" x14ac:dyDescent="0.3"/>
    <row r="38" spans="1:12" ht="29.25" customHeight="1" x14ac:dyDescent="0.25">
      <c r="A38" s="274" t="s">
        <v>513</v>
      </c>
      <c r="B38" s="243" t="s">
        <v>251</v>
      </c>
      <c r="C38" s="276">
        <f>SUMPRODUCT(E10:E13*K29:K32)</f>
        <v>15028.084199999999</v>
      </c>
    </row>
    <row r="39" spans="1:12" ht="15.75" thickBot="1" x14ac:dyDescent="0.3">
      <c r="A39" s="275"/>
      <c r="B39" s="241"/>
      <c r="C39" s="277"/>
    </row>
    <row r="40" spans="1:12" x14ac:dyDescent="0.25">
      <c r="A40" s="185"/>
      <c r="C40" s="5"/>
    </row>
    <row r="41" spans="1:12" x14ac:dyDescent="0.25">
      <c r="A41" s="185"/>
    </row>
    <row r="42" spans="1:12" x14ac:dyDescent="0.25">
      <c r="A42" s="185"/>
    </row>
    <row r="43" spans="1:12" x14ac:dyDescent="0.25">
      <c r="A43" s="185"/>
    </row>
    <row r="44" spans="1:12" x14ac:dyDescent="0.25">
      <c r="A44" s="185"/>
    </row>
    <row r="45" spans="1:12" x14ac:dyDescent="0.25">
      <c r="A45" s="185"/>
    </row>
  </sheetData>
  <mergeCells count="12">
    <mergeCell ref="A38:A39"/>
    <mergeCell ref="B38:B39"/>
    <mergeCell ref="C38:C39"/>
    <mergeCell ref="A1:A5"/>
    <mergeCell ref="A8:A13"/>
    <mergeCell ref="A17:A24"/>
    <mergeCell ref="C1:F1"/>
    <mergeCell ref="C2:F2"/>
    <mergeCell ref="C3:F3"/>
    <mergeCell ref="C5:F5"/>
    <mergeCell ref="A28:A35"/>
    <mergeCell ref="C4:F4"/>
  </mergeCells>
  <hyperlinks>
    <hyperlink ref="C2" r:id="rId1" xr:uid="{00000000-0004-0000-0100-000000000000}"/>
    <hyperlink ref="C3" r:id="rId2" xr:uid="{57BD7899-887D-43DC-B562-ADBB9658383C}"/>
    <hyperlink ref="C5" r:id="rId3" xr:uid="{8217434D-7C07-4E8C-BA90-49CA24347AAE}"/>
    <hyperlink ref="C4" r:id="rId4" xr:uid="{5A1E2311-D9D5-4C0B-BC94-4A8AC4615E0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D12"/>
  <sheetViews>
    <sheetView workbookViewId="0">
      <selection activeCell="B7" sqref="B7:D7"/>
    </sheetView>
  </sheetViews>
  <sheetFormatPr baseColWidth="10" defaultRowHeight="15" x14ac:dyDescent="0.25"/>
  <cols>
    <col min="1" max="1" width="49.85546875" bestFit="1" customWidth="1"/>
    <col min="4" max="4" width="42.7109375" customWidth="1"/>
  </cols>
  <sheetData>
    <row r="1" spans="1:4" ht="15.75" thickBot="1" x14ac:dyDescent="0.3">
      <c r="A1" s="293" t="s">
        <v>19</v>
      </c>
      <c r="B1" s="294"/>
      <c r="C1" s="294"/>
      <c r="D1" s="295"/>
    </row>
    <row r="2" spans="1:4" x14ac:dyDescent="0.25">
      <c r="A2" s="299" t="s">
        <v>520</v>
      </c>
      <c r="B2" s="303" t="s">
        <v>149</v>
      </c>
      <c r="C2" s="304"/>
      <c r="D2" s="305"/>
    </row>
    <row r="3" spans="1:4" x14ac:dyDescent="0.25">
      <c r="A3" s="300"/>
      <c r="B3" s="306" t="s">
        <v>258</v>
      </c>
      <c r="C3" s="307"/>
      <c r="D3" s="308"/>
    </row>
    <row r="4" spans="1:4" x14ac:dyDescent="0.25">
      <c r="A4" s="300"/>
      <c r="B4" s="306" t="s">
        <v>259</v>
      </c>
      <c r="C4" s="307"/>
      <c r="D4" s="308"/>
    </row>
    <row r="5" spans="1:4" x14ac:dyDescent="0.25">
      <c r="A5" s="197" t="s">
        <v>523</v>
      </c>
      <c r="B5" s="247">
        <v>38.64</v>
      </c>
      <c r="C5" s="248"/>
      <c r="D5" s="301"/>
    </row>
    <row r="6" spans="1:4" x14ac:dyDescent="0.25">
      <c r="A6" s="197" t="s">
        <v>521</v>
      </c>
      <c r="B6" s="247">
        <f>(24*2 + 7.5)*0.8+16+14</f>
        <v>74.400000000000006</v>
      </c>
      <c r="C6" s="248"/>
      <c r="D6" s="301"/>
    </row>
    <row r="7" spans="1:4" x14ac:dyDescent="0.25">
      <c r="A7" s="197" t="s">
        <v>522</v>
      </c>
      <c r="B7" s="247">
        <f>B6*B5</f>
        <v>2874.8160000000003</v>
      </c>
      <c r="C7" s="248"/>
      <c r="D7" s="301"/>
    </row>
    <row r="8" spans="1:4" ht="15.75" thickBot="1" x14ac:dyDescent="0.3">
      <c r="A8" s="198" t="s">
        <v>524</v>
      </c>
      <c r="B8" s="241">
        <v>7.8299999999999995E-2</v>
      </c>
      <c r="C8" s="262"/>
      <c r="D8" s="302"/>
    </row>
    <row r="9" spans="1:4" ht="15.75" thickBot="1" x14ac:dyDescent="0.3"/>
    <row r="10" spans="1:4" ht="15.75" thickBot="1" x14ac:dyDescent="0.3">
      <c r="A10" s="296" t="s">
        <v>519</v>
      </c>
      <c r="B10" s="297"/>
      <c r="C10" s="297"/>
      <c r="D10" s="298"/>
    </row>
    <row r="11" spans="1:4" x14ac:dyDescent="0.25">
      <c r="A11" s="162"/>
      <c r="B11" s="167" t="s">
        <v>517</v>
      </c>
      <c r="C11" s="167" t="s">
        <v>518</v>
      </c>
      <c r="D11" s="184" t="s">
        <v>200</v>
      </c>
    </row>
    <row r="12" spans="1:4" ht="18" thickBot="1" x14ac:dyDescent="0.3">
      <c r="A12" s="199" t="s">
        <v>525</v>
      </c>
      <c r="B12" s="149">
        <v>2.77</v>
      </c>
      <c r="C12" s="149">
        <f>B12*(1-Summary!D16)</f>
        <v>2.2160000000000002</v>
      </c>
      <c r="D12" s="161" t="s">
        <v>399</v>
      </c>
    </row>
  </sheetData>
  <mergeCells count="10">
    <mergeCell ref="A1:D1"/>
    <mergeCell ref="A10:D10"/>
    <mergeCell ref="A2:A4"/>
    <mergeCell ref="B5:D5"/>
    <mergeCell ref="B6:D6"/>
    <mergeCell ref="B7:D7"/>
    <mergeCell ref="B8:D8"/>
    <mergeCell ref="B2:D2"/>
    <mergeCell ref="B3:D3"/>
    <mergeCell ref="B4:D4"/>
  </mergeCells>
  <hyperlinks>
    <hyperlink ref="D12" r:id="rId1" xr:uid="{00000000-0004-0000-0200-000001000000}"/>
    <hyperlink ref="B2" r:id="rId2" xr:uid="{00000000-0004-0000-0200-000000000000}"/>
    <hyperlink ref="B3" r:id="rId3" location="decomposition-facture" xr:uid="{94ABB3F3-8A9D-47C7-BE28-1552142AD291}"/>
    <hyperlink ref="B4" r:id="rId4" xr:uid="{939CB0FF-E4DB-4E9F-BBC3-A1B6512B43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F25"/>
  <sheetViews>
    <sheetView topLeftCell="A4" workbookViewId="0">
      <selection activeCell="A24" sqref="A24"/>
    </sheetView>
  </sheetViews>
  <sheetFormatPr baseColWidth="10" defaultRowHeight="15" x14ac:dyDescent="0.25"/>
  <cols>
    <col min="1" max="1" width="28.28515625" bestFit="1" customWidth="1"/>
    <col min="2" max="2" width="11.85546875" bestFit="1" customWidth="1"/>
    <col min="3" max="4" width="16.5703125" bestFit="1" customWidth="1"/>
    <col min="5" max="5" width="17" bestFit="1" customWidth="1"/>
    <col min="6" max="6" width="107.140625" customWidth="1"/>
  </cols>
  <sheetData>
    <row r="1" spans="1:6" ht="15.75" thickBot="1" x14ac:dyDescent="0.3">
      <c r="A1" s="193" t="s">
        <v>25</v>
      </c>
      <c r="B1" s="206" t="s">
        <v>188</v>
      </c>
      <c r="C1" s="175" t="s">
        <v>527</v>
      </c>
      <c r="D1" s="175" t="s">
        <v>526</v>
      </c>
      <c r="E1" s="175" t="s">
        <v>528</v>
      </c>
      <c r="F1" s="165" t="s">
        <v>200</v>
      </c>
    </row>
    <row r="2" spans="1:6" ht="30" x14ac:dyDescent="0.25">
      <c r="A2" s="207" t="s">
        <v>113</v>
      </c>
      <c r="B2" s="183" t="s">
        <v>109</v>
      </c>
      <c r="C2" s="167"/>
      <c r="D2" s="203">
        <v>149</v>
      </c>
      <c r="E2" s="204">
        <f>D2*(1-Summary!$D$16)</f>
        <v>119.2</v>
      </c>
      <c r="F2" s="210" t="s">
        <v>108</v>
      </c>
    </row>
    <row r="3" spans="1:6" ht="30" x14ac:dyDescent="0.25">
      <c r="A3" s="208" t="s">
        <v>111</v>
      </c>
      <c r="B3" s="98">
        <v>0.01</v>
      </c>
      <c r="C3" s="26"/>
      <c r="D3" s="200">
        <v>129</v>
      </c>
      <c r="E3" s="80">
        <f>D3*(1-Summary!$D$16)</f>
        <v>103.2</v>
      </c>
      <c r="F3" s="212" t="s">
        <v>110</v>
      </c>
    </row>
    <row r="4" spans="1:6" ht="30" x14ac:dyDescent="0.25">
      <c r="A4" s="208" t="s">
        <v>31</v>
      </c>
      <c r="B4" s="98">
        <v>0.01</v>
      </c>
      <c r="C4" s="26"/>
      <c r="D4" s="200">
        <v>60</v>
      </c>
      <c r="E4" s="80">
        <f>D4*(1-Summary!$D$16)</f>
        <v>48</v>
      </c>
      <c r="F4" s="212" t="s">
        <v>112</v>
      </c>
    </row>
    <row r="5" spans="1:6" x14ac:dyDescent="0.25">
      <c r="A5" s="208"/>
      <c r="B5" s="98"/>
      <c r="C5" s="26"/>
      <c r="D5" s="26"/>
      <c r="E5" s="80"/>
      <c r="F5" s="211"/>
    </row>
    <row r="6" spans="1:6" x14ac:dyDescent="0.25">
      <c r="A6" s="208" t="s">
        <v>115</v>
      </c>
      <c r="B6" s="98"/>
      <c r="C6" s="26"/>
      <c r="D6" s="200">
        <v>392</v>
      </c>
      <c r="E6" s="80">
        <f>D6*(1-Summary!$D$16)</f>
        <v>313.60000000000002</v>
      </c>
      <c r="F6" s="212" t="s">
        <v>114</v>
      </c>
    </row>
    <row r="7" spans="1:6" ht="30" x14ac:dyDescent="0.25">
      <c r="A7" s="208" t="s">
        <v>119</v>
      </c>
      <c r="B7" s="98"/>
      <c r="C7" s="26"/>
      <c r="D7" s="200">
        <v>167</v>
      </c>
      <c r="E7" s="80">
        <f>D7*(1-Summary!$D$16)</f>
        <v>133.6</v>
      </c>
      <c r="F7" s="212" t="s">
        <v>116</v>
      </c>
    </row>
    <row r="8" spans="1:6" ht="30" x14ac:dyDescent="0.25">
      <c r="A8" s="208" t="s">
        <v>118</v>
      </c>
      <c r="B8" s="98"/>
      <c r="C8" s="26"/>
      <c r="D8" s="200">
        <v>94</v>
      </c>
      <c r="E8" s="80">
        <f>D8*(1-Summary!$D$16)</f>
        <v>75.2</v>
      </c>
      <c r="F8" s="212" t="s">
        <v>117</v>
      </c>
    </row>
    <row r="9" spans="1:6" x14ac:dyDescent="0.25">
      <c r="A9" s="208"/>
      <c r="B9" s="98"/>
      <c r="C9" s="26"/>
      <c r="D9" s="26"/>
      <c r="E9" s="80"/>
      <c r="F9" s="211"/>
    </row>
    <row r="10" spans="1:6" ht="30" x14ac:dyDescent="0.25">
      <c r="A10" s="208" t="s">
        <v>120</v>
      </c>
      <c r="B10" s="98"/>
      <c r="C10" s="26"/>
      <c r="D10" s="200">
        <v>282</v>
      </c>
      <c r="E10" s="80">
        <f>D10*(1-Summary!$D$16)</f>
        <v>225.60000000000002</v>
      </c>
      <c r="F10" s="212" t="s">
        <v>121</v>
      </c>
    </row>
    <row r="11" spans="1:6" x14ac:dyDescent="0.25">
      <c r="A11" s="208" t="s">
        <v>123</v>
      </c>
      <c r="B11" s="98"/>
      <c r="C11" s="26"/>
      <c r="D11" s="200">
        <v>408</v>
      </c>
      <c r="E11" s="80">
        <f>D11*(1-Summary!$D$16)</f>
        <v>326.40000000000003</v>
      </c>
      <c r="F11" s="211"/>
    </row>
    <row r="12" spans="1:6" ht="30" x14ac:dyDescent="0.25">
      <c r="A12" s="208" t="s">
        <v>124</v>
      </c>
      <c r="B12" s="98"/>
      <c r="C12" s="26"/>
      <c r="D12" s="200">
        <v>3322</v>
      </c>
      <c r="E12" s="80">
        <f>D12*(1-Summary!$D$16)</f>
        <v>2657.6000000000004</v>
      </c>
      <c r="F12" s="212" t="s">
        <v>122</v>
      </c>
    </row>
    <row r="13" spans="1:6" x14ac:dyDescent="0.25">
      <c r="A13" s="208"/>
      <c r="B13" s="98"/>
      <c r="C13" s="26"/>
      <c r="D13" s="26"/>
      <c r="E13" s="80"/>
      <c r="F13" s="211"/>
    </row>
    <row r="14" spans="1:6" ht="30" x14ac:dyDescent="0.25">
      <c r="A14" s="309" t="s">
        <v>125</v>
      </c>
      <c r="B14" s="98" t="s">
        <v>126</v>
      </c>
      <c r="C14" s="26"/>
      <c r="D14" s="200">
        <v>1390</v>
      </c>
      <c r="E14" s="80">
        <f>D14*(1-Summary!$D$16)</f>
        <v>1112</v>
      </c>
      <c r="F14" s="212" t="s">
        <v>127</v>
      </c>
    </row>
    <row r="15" spans="1:6" ht="30" x14ac:dyDescent="0.25">
      <c r="A15" s="310"/>
      <c r="B15" s="98" t="s">
        <v>129</v>
      </c>
      <c r="C15" s="26"/>
      <c r="D15" s="200">
        <v>1202</v>
      </c>
      <c r="E15" s="80">
        <f>D15*(1-Summary!$D$16)</f>
        <v>961.6</v>
      </c>
      <c r="F15" s="212" t="s">
        <v>128</v>
      </c>
    </row>
    <row r="16" spans="1:6" ht="30" x14ac:dyDescent="0.25">
      <c r="A16" s="310"/>
      <c r="B16" s="98" t="s">
        <v>131</v>
      </c>
      <c r="C16" s="26"/>
      <c r="D16" s="200">
        <v>146</v>
      </c>
      <c r="E16" s="80">
        <f>D16*(1-Summary!$D$16)</f>
        <v>116.80000000000001</v>
      </c>
      <c r="F16" s="212" t="s">
        <v>130</v>
      </c>
    </row>
    <row r="17" spans="1:6" ht="30" x14ac:dyDescent="0.25">
      <c r="A17" s="311"/>
      <c r="B17" s="98" t="s">
        <v>133</v>
      </c>
      <c r="C17" s="26"/>
      <c r="D17" s="200">
        <v>162</v>
      </c>
      <c r="E17" s="80">
        <f>D17*(1-Summary!$D$16)</f>
        <v>129.6</v>
      </c>
      <c r="F17" s="212" t="s">
        <v>132</v>
      </c>
    </row>
    <row r="18" spans="1:6" ht="30" x14ac:dyDescent="0.25">
      <c r="A18" s="309" t="s">
        <v>30</v>
      </c>
      <c r="B18" s="98" t="s">
        <v>135</v>
      </c>
      <c r="C18" s="26"/>
      <c r="D18" s="200">
        <v>1623</v>
      </c>
      <c r="E18" s="80">
        <f>D18*(1-Summary!$D$16)</f>
        <v>1298.4000000000001</v>
      </c>
      <c r="F18" s="212" t="s">
        <v>134</v>
      </c>
    </row>
    <row r="19" spans="1:6" ht="30" x14ac:dyDescent="0.25">
      <c r="A19" s="311"/>
      <c r="B19" s="202" t="s">
        <v>191</v>
      </c>
      <c r="C19" s="26"/>
      <c r="D19" s="200">
        <v>675</v>
      </c>
      <c r="E19" s="80">
        <f>D19*(1-Summary!$D$16)</f>
        <v>540</v>
      </c>
      <c r="F19" s="212" t="s">
        <v>192</v>
      </c>
    </row>
    <row r="20" spans="1:6" x14ac:dyDescent="0.25">
      <c r="A20" s="208"/>
      <c r="B20" s="202"/>
      <c r="C20" s="26"/>
      <c r="D20" s="26"/>
      <c r="E20" s="80"/>
      <c r="F20" s="211"/>
    </row>
    <row r="21" spans="1:6" x14ac:dyDescent="0.25">
      <c r="A21" s="208" t="s">
        <v>136</v>
      </c>
      <c r="B21" s="98" t="s">
        <v>138</v>
      </c>
      <c r="C21" s="201">
        <v>348</v>
      </c>
      <c r="D21" s="53">
        <f>Metrology!C21/(Summary!D15)</f>
        <v>308.06274565348252</v>
      </c>
      <c r="E21" s="80">
        <f>D21*(1-Summary!$D$16)</f>
        <v>246.45019652278603</v>
      </c>
      <c r="F21" s="212" t="s">
        <v>137</v>
      </c>
    </row>
    <row r="22" spans="1:6" x14ac:dyDescent="0.25">
      <c r="A22" s="208"/>
      <c r="B22" s="98"/>
      <c r="C22" s="26"/>
      <c r="D22" s="26"/>
      <c r="E22" s="26"/>
      <c r="F22" s="211"/>
    </row>
    <row r="23" spans="1:6" x14ac:dyDescent="0.25">
      <c r="A23" s="208" t="s">
        <v>229</v>
      </c>
      <c r="B23" s="98" t="s">
        <v>230</v>
      </c>
      <c r="C23" s="26"/>
      <c r="D23" s="26"/>
      <c r="E23" s="27">
        <v>48334.81</v>
      </c>
      <c r="F23" s="212" t="s">
        <v>228</v>
      </c>
    </row>
    <row r="24" spans="1:6" x14ac:dyDescent="0.25">
      <c r="A24" s="208"/>
      <c r="B24" s="98"/>
      <c r="C24" s="26"/>
      <c r="D24" s="26"/>
      <c r="E24" s="26"/>
      <c r="F24" s="211"/>
    </row>
    <row r="25" spans="1:6" ht="15.75" thickBot="1" x14ac:dyDescent="0.3">
      <c r="A25" s="209" t="s">
        <v>232</v>
      </c>
      <c r="B25" s="99" t="s">
        <v>233</v>
      </c>
      <c r="C25" s="59"/>
      <c r="D25" s="59"/>
      <c r="E25" s="149">
        <v>5390</v>
      </c>
      <c r="F25" s="213" t="s">
        <v>231</v>
      </c>
    </row>
  </sheetData>
  <mergeCells count="2">
    <mergeCell ref="A14:A17"/>
    <mergeCell ref="A18:A19"/>
  </mergeCells>
  <hyperlinks>
    <hyperlink ref="F2" r:id="rId1" xr:uid="{00000000-0004-0000-0300-000000000000}"/>
    <hyperlink ref="F21" r:id="rId2" xr:uid="{00000000-0004-0000-0300-000001000000}"/>
    <hyperlink ref="F18" r:id="rId3" xr:uid="{00000000-0004-0000-0300-000002000000}"/>
    <hyperlink ref="F3" r:id="rId4" xr:uid="{17C91CA5-122D-487F-B62C-3980991E1934}"/>
    <hyperlink ref="F4" r:id="rId5" xr:uid="{C2A869EE-2F96-4614-925F-6CA4B371DB72}"/>
    <hyperlink ref="F6" r:id="rId6" xr:uid="{2B39F322-D70F-4855-8356-26E4DE299B5B}"/>
    <hyperlink ref="F7" r:id="rId7" xr:uid="{D0EBC0A2-C619-4A15-A1EE-1433C247088A}"/>
    <hyperlink ref="F8" r:id="rId8" xr:uid="{C6FB60E2-B3C6-4A1E-8DBC-B38B896D44BB}"/>
    <hyperlink ref="F10" r:id="rId9" xr:uid="{5DAA328B-CED5-4D1C-A543-4FCD716CB537}"/>
    <hyperlink ref="F12" r:id="rId10" xr:uid="{4E3EA835-01DE-44C2-81B1-6DEF49D48D22}"/>
    <hyperlink ref="F14" r:id="rId11" xr:uid="{D44C1749-D817-49A8-8100-38DA8F13BDCD}"/>
    <hyperlink ref="F15" r:id="rId12" xr:uid="{CE0DD8F6-C1D9-4C8E-824D-E9DF24ED93BE}"/>
    <hyperlink ref="F16" r:id="rId13" xr:uid="{83E64948-1BB5-4525-9713-79B9118F8959}"/>
    <hyperlink ref="F17" r:id="rId14" xr:uid="{A4A03384-7F4F-4E1D-B7EE-350C37081037}"/>
    <hyperlink ref="F19" r:id="rId15" xr:uid="{F25F3AA7-1A18-4D78-B3C2-7671C1A0AECE}"/>
    <hyperlink ref="F23" r:id="rId16" xr:uid="{FC2F4028-1D2B-4007-A317-C665F746A5E7}"/>
    <hyperlink ref="F25" r:id="rId17" xr:uid="{69B85A02-22FB-402F-8A33-F82B1CD531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F24"/>
  <sheetViews>
    <sheetView workbookViewId="0">
      <selection activeCell="E1" sqref="E1"/>
    </sheetView>
  </sheetViews>
  <sheetFormatPr baseColWidth="10" defaultRowHeight="15" x14ac:dyDescent="0.25"/>
  <cols>
    <col min="1" max="1" width="14.28515625" bestFit="1" customWidth="1"/>
    <col min="2" max="2" width="46.28515625" bestFit="1" customWidth="1"/>
    <col min="3" max="3" width="17.42578125" bestFit="1" customWidth="1"/>
    <col min="4" max="4" width="23.7109375" bestFit="1" customWidth="1"/>
    <col min="5" max="5" width="23.7109375" customWidth="1"/>
    <col min="6" max="6" width="116.5703125" customWidth="1"/>
  </cols>
  <sheetData>
    <row r="1" spans="1:6" ht="15.75" thickBot="1" x14ac:dyDescent="0.3">
      <c r="A1" s="164" t="s">
        <v>529</v>
      </c>
      <c r="B1" s="173" t="s">
        <v>16</v>
      </c>
      <c r="C1" s="173" t="s">
        <v>176</v>
      </c>
      <c r="D1" s="173" t="s">
        <v>517</v>
      </c>
      <c r="E1" s="173" t="s">
        <v>518</v>
      </c>
      <c r="F1" s="174" t="s">
        <v>200</v>
      </c>
    </row>
    <row r="2" spans="1:6" ht="15.75" thickBot="1" x14ac:dyDescent="0.3">
      <c r="A2" s="214"/>
      <c r="B2" s="215"/>
      <c r="C2" s="215"/>
      <c r="D2" s="215"/>
      <c r="E2" s="215"/>
      <c r="F2" s="215"/>
    </row>
    <row r="3" spans="1:6" x14ac:dyDescent="0.25">
      <c r="A3" s="312" t="s">
        <v>530</v>
      </c>
      <c r="B3" s="97" t="s">
        <v>92</v>
      </c>
      <c r="C3" s="55" t="s">
        <v>177</v>
      </c>
      <c r="D3" s="141">
        <v>498</v>
      </c>
      <c r="E3" s="141">
        <f>D3*(1-Summary!$D$16)</f>
        <v>398.40000000000003</v>
      </c>
      <c r="F3" s="181" t="s">
        <v>93</v>
      </c>
    </row>
    <row r="4" spans="1:6" ht="15.75" thickBot="1" x14ac:dyDescent="0.3">
      <c r="A4" s="313"/>
      <c r="B4" s="99" t="s">
        <v>94</v>
      </c>
      <c r="C4" s="59" t="s">
        <v>178</v>
      </c>
      <c r="D4" s="149"/>
      <c r="E4" s="149">
        <v>8.8000000000000007</v>
      </c>
      <c r="F4" s="161" t="s">
        <v>172</v>
      </c>
    </row>
    <row r="5" spans="1:6" ht="15.75" thickBot="1" x14ac:dyDescent="0.3">
      <c r="A5" s="182"/>
      <c r="D5" s="2"/>
      <c r="E5" s="2"/>
    </row>
    <row r="6" spans="1:6" x14ac:dyDescent="0.25">
      <c r="A6" s="312" t="s">
        <v>531</v>
      </c>
      <c r="B6" s="97" t="s">
        <v>152</v>
      </c>
      <c r="C6" s="55"/>
      <c r="D6" s="141">
        <v>241.2</v>
      </c>
      <c r="E6" s="141">
        <f>D6*(1-Summary!$D$16)</f>
        <v>192.96</v>
      </c>
      <c r="F6" s="181" t="s">
        <v>153</v>
      </c>
    </row>
    <row r="7" spans="1:6" x14ac:dyDescent="0.25">
      <c r="A7" s="314"/>
      <c r="B7" s="98" t="s">
        <v>158</v>
      </c>
      <c r="C7" s="26"/>
      <c r="D7" s="27">
        <v>50</v>
      </c>
      <c r="E7" s="27">
        <f>D7*(1-Summary!$D$16)</f>
        <v>40</v>
      </c>
      <c r="F7" s="159" t="s">
        <v>159</v>
      </c>
    </row>
    <row r="8" spans="1:6" x14ac:dyDescent="0.25">
      <c r="A8" s="314"/>
      <c r="B8" s="98" t="s">
        <v>161</v>
      </c>
      <c r="C8" s="26"/>
      <c r="D8" s="27">
        <v>137.99</v>
      </c>
      <c r="E8" s="27">
        <f>D8*(1-Summary!$D$16)</f>
        <v>110.39200000000001</v>
      </c>
      <c r="F8" s="159" t="s">
        <v>160</v>
      </c>
    </row>
    <row r="9" spans="1:6" x14ac:dyDescent="0.25">
      <c r="A9" s="314"/>
      <c r="B9" s="98" t="s">
        <v>181</v>
      </c>
      <c r="C9" s="26"/>
      <c r="D9" s="27"/>
      <c r="E9" s="27">
        <v>23.6</v>
      </c>
      <c r="F9" s="159" t="s">
        <v>182</v>
      </c>
    </row>
    <row r="10" spans="1:6" ht="15.75" thickBot="1" x14ac:dyDescent="0.3">
      <c r="A10" s="313"/>
      <c r="B10" s="99" t="s">
        <v>183</v>
      </c>
      <c r="C10" s="59"/>
      <c r="D10" s="149"/>
      <c r="E10" s="149">
        <v>39.950000000000003</v>
      </c>
      <c r="F10" s="161" t="s">
        <v>184</v>
      </c>
    </row>
    <row r="11" spans="1:6" ht="15.75" thickBot="1" x14ac:dyDescent="0.3">
      <c r="A11" s="182"/>
      <c r="D11" s="2"/>
      <c r="E11" s="2"/>
    </row>
    <row r="12" spans="1:6" x14ac:dyDescent="0.25">
      <c r="A12" s="312" t="s">
        <v>532</v>
      </c>
      <c r="B12" s="97" t="s">
        <v>162</v>
      </c>
      <c r="C12" s="55"/>
      <c r="D12" s="141">
        <v>2097.6</v>
      </c>
      <c r="E12" s="141">
        <f>D12*(1-Summary!$D$16)</f>
        <v>1678.08</v>
      </c>
      <c r="F12" s="181" t="s">
        <v>163</v>
      </c>
    </row>
    <row r="13" spans="1:6" x14ac:dyDescent="0.25">
      <c r="A13" s="314"/>
      <c r="B13" s="98" t="s">
        <v>155</v>
      </c>
      <c r="C13" s="26"/>
      <c r="D13" s="27">
        <v>2150.1</v>
      </c>
      <c r="E13" s="27">
        <f>D13*(1-Summary!$D$16)</f>
        <v>1720.08</v>
      </c>
      <c r="F13" s="159" t="s">
        <v>154</v>
      </c>
    </row>
    <row r="14" spans="1:6" ht="15.75" thickBot="1" x14ac:dyDescent="0.3">
      <c r="A14" s="313"/>
      <c r="B14" s="99" t="s">
        <v>170</v>
      </c>
      <c r="C14" s="59"/>
      <c r="D14" s="149">
        <v>620.4</v>
      </c>
      <c r="E14" s="149">
        <f>D14*(1-Summary!$D$16)</f>
        <v>496.32</v>
      </c>
      <c r="F14" s="161" t="s">
        <v>171</v>
      </c>
    </row>
    <row r="15" spans="1:6" ht="15.75" thickBot="1" x14ac:dyDescent="0.3">
      <c r="A15" s="182"/>
      <c r="D15" s="2"/>
      <c r="E15" s="2"/>
    </row>
    <row r="16" spans="1:6" x14ac:dyDescent="0.25">
      <c r="A16" s="312" t="s">
        <v>533</v>
      </c>
      <c r="B16" s="97" t="s">
        <v>157</v>
      </c>
      <c r="C16" s="55"/>
      <c r="D16" s="141">
        <v>183.6</v>
      </c>
      <c r="E16" s="141">
        <f>D16*(1-Summary!$D$16)</f>
        <v>146.88</v>
      </c>
      <c r="F16" s="181" t="s">
        <v>156</v>
      </c>
    </row>
    <row r="17" spans="1:6" x14ac:dyDescent="0.25">
      <c r="A17" s="314"/>
      <c r="B17" s="98" t="s">
        <v>165</v>
      </c>
      <c r="C17" s="26"/>
      <c r="D17" s="27">
        <v>54</v>
      </c>
      <c r="E17" s="27">
        <f>D17*(1-Summary!$D$16)</f>
        <v>43.2</v>
      </c>
      <c r="F17" s="159" t="s">
        <v>164</v>
      </c>
    </row>
    <row r="18" spans="1:6" x14ac:dyDescent="0.25">
      <c r="A18" s="314"/>
      <c r="B18" s="98" t="s">
        <v>166</v>
      </c>
      <c r="C18" s="26"/>
      <c r="D18" s="27">
        <v>40.799999999999997</v>
      </c>
      <c r="E18" s="27">
        <f>D18*(1-Summary!$D$16)</f>
        <v>32.64</v>
      </c>
      <c r="F18" s="159" t="s">
        <v>167</v>
      </c>
    </row>
    <row r="19" spans="1:6" ht="15.75" thickBot="1" x14ac:dyDescent="0.3">
      <c r="A19" s="313"/>
      <c r="B19" s="99" t="s">
        <v>168</v>
      </c>
      <c r="C19" s="59"/>
      <c r="D19" s="149">
        <v>217.2</v>
      </c>
      <c r="E19" s="149">
        <f>D19*(1-Summary!$D$16)</f>
        <v>173.76</v>
      </c>
      <c r="F19" s="161" t="s">
        <v>169</v>
      </c>
    </row>
    <row r="20" spans="1:6" ht="15.75" thickBot="1" x14ac:dyDescent="0.3">
      <c r="A20" s="182"/>
    </row>
    <row r="21" spans="1:6" ht="15.75" thickBot="1" x14ac:dyDescent="0.3">
      <c r="A21" s="193" t="s">
        <v>534</v>
      </c>
      <c r="B21" s="205" t="s">
        <v>186</v>
      </c>
      <c r="C21" s="170" t="s">
        <v>185</v>
      </c>
      <c r="D21" s="170"/>
      <c r="E21" s="216">
        <v>102</v>
      </c>
      <c r="F21" s="171" t="s">
        <v>187</v>
      </c>
    </row>
    <row r="22" spans="1:6" ht="15.75" thickBot="1" x14ac:dyDescent="0.3">
      <c r="A22" s="182"/>
    </row>
    <row r="23" spans="1:6" x14ac:dyDescent="0.25">
      <c r="A23" s="312" t="s">
        <v>535</v>
      </c>
      <c r="B23" s="97" t="s">
        <v>270</v>
      </c>
      <c r="C23" s="55"/>
      <c r="D23" s="55"/>
      <c r="E23" s="141">
        <v>96</v>
      </c>
      <c r="F23" s="181" t="s">
        <v>269</v>
      </c>
    </row>
    <row r="24" spans="1:6" ht="15.75" thickBot="1" x14ac:dyDescent="0.3">
      <c r="A24" s="313"/>
      <c r="B24" s="99" t="s">
        <v>272</v>
      </c>
      <c r="C24" s="59"/>
      <c r="D24" s="59"/>
      <c r="E24" s="149">
        <v>285</v>
      </c>
      <c r="F24" s="161" t="s">
        <v>271</v>
      </c>
    </row>
  </sheetData>
  <mergeCells count="5">
    <mergeCell ref="A3:A4"/>
    <mergeCell ref="A6:A10"/>
    <mergeCell ref="A12:A14"/>
    <mergeCell ref="A16:A19"/>
    <mergeCell ref="A23:A24"/>
  </mergeCells>
  <hyperlinks>
    <hyperlink ref="F3" r:id="rId1" xr:uid="{FD9041DB-5526-4E8F-BFD7-AA5D94C5B2E4}"/>
    <hyperlink ref="F4" r:id="rId2" xr:uid="{E6B5906C-F2EB-4ABD-BA4B-CF8971DBD144}"/>
    <hyperlink ref="F6" r:id="rId3" xr:uid="{FFF5BA92-621D-46DE-8A93-77B4E8D5335C}"/>
    <hyperlink ref="F7" r:id="rId4" xr:uid="{FE8366DB-ECBE-4BB2-A101-8DFC60ED63B1}"/>
    <hyperlink ref="F8" r:id="rId5" xr:uid="{3A34D2B9-B400-4EBB-ADEA-B50DD16E9C6E}"/>
    <hyperlink ref="F9" r:id="rId6" xr:uid="{7230FFA8-873B-440D-AD71-C1A7ED419CA4}"/>
    <hyperlink ref="F10" r:id="rId7" xr:uid="{9E79F410-3DE5-41E1-AD83-DE8CA1BFCDEB}"/>
    <hyperlink ref="F12" r:id="rId8" xr:uid="{07C655F5-BAB6-4261-B193-0B6630DB43BC}"/>
    <hyperlink ref="F13" r:id="rId9" xr:uid="{B2D6165E-7A6E-4187-9770-841DD800B6D2}"/>
    <hyperlink ref="F14" r:id="rId10" xr:uid="{733AFC55-D6C6-48FF-B2CA-6749EDCE5942}"/>
    <hyperlink ref="F16" r:id="rId11" xr:uid="{F0891ACC-E316-49B1-86B7-7F7F9C09CF94}"/>
    <hyperlink ref="F17" r:id="rId12" xr:uid="{5C9D5D1C-C868-40FA-A5FF-35B918CAA5DB}"/>
    <hyperlink ref="F18" r:id="rId13" xr:uid="{8DFB83E8-5B50-4860-9758-230A5952BE6F}"/>
    <hyperlink ref="F19" r:id="rId14" xr:uid="{AE430928-5516-4D7D-97A4-4CA05BF478EF}"/>
    <hyperlink ref="F23" r:id="rId15" xr:uid="{82CA0279-6909-4488-90C8-2ED8DCD91CB3}"/>
    <hyperlink ref="F24" r:id="rId16" xr:uid="{913CA25F-1E06-451F-97A3-0A3263DD681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E8"/>
  <sheetViews>
    <sheetView workbookViewId="0">
      <selection activeCell="A9" sqref="A9"/>
    </sheetView>
  </sheetViews>
  <sheetFormatPr baseColWidth="10" defaultRowHeight="15" x14ac:dyDescent="0.25"/>
  <cols>
    <col min="1" max="1" width="18.7109375" bestFit="1" customWidth="1"/>
    <col min="2" max="2" width="17.42578125" bestFit="1" customWidth="1"/>
    <col min="5" max="5" width="93.42578125" customWidth="1"/>
  </cols>
  <sheetData>
    <row r="1" spans="1:5" ht="15.75" thickBot="1" x14ac:dyDescent="0.3">
      <c r="A1" s="164" t="s">
        <v>16</v>
      </c>
      <c r="B1" s="175" t="s">
        <v>176</v>
      </c>
      <c r="C1" s="175" t="s">
        <v>536</v>
      </c>
      <c r="D1" s="175" t="s">
        <v>537</v>
      </c>
      <c r="E1" s="165" t="s">
        <v>277</v>
      </c>
    </row>
    <row r="2" spans="1:5" x14ac:dyDescent="0.25">
      <c r="A2" s="162" t="s">
        <v>279</v>
      </c>
      <c r="B2" s="167"/>
      <c r="C2" s="167"/>
      <c r="D2" s="166">
        <v>619</v>
      </c>
      <c r="E2" s="163" t="s">
        <v>278</v>
      </c>
    </row>
    <row r="3" spans="1:5" x14ac:dyDescent="0.25">
      <c r="A3" s="158" t="s">
        <v>280</v>
      </c>
      <c r="B3" s="26"/>
      <c r="C3" s="26"/>
      <c r="D3" s="27">
        <v>248</v>
      </c>
      <c r="E3" s="159" t="s">
        <v>278</v>
      </c>
    </row>
    <row r="4" spans="1:5" x14ac:dyDescent="0.25">
      <c r="A4" s="158" t="s">
        <v>544</v>
      </c>
      <c r="B4" s="26"/>
      <c r="C4" s="26"/>
      <c r="D4" s="27">
        <v>320</v>
      </c>
      <c r="E4" s="159" t="s">
        <v>278</v>
      </c>
    </row>
    <row r="5" spans="1:5" x14ac:dyDescent="0.25">
      <c r="A5" s="158" t="s">
        <v>545</v>
      </c>
      <c r="B5" s="26"/>
      <c r="C5" s="26"/>
      <c r="D5" s="27">
        <v>515</v>
      </c>
      <c r="E5" s="159" t="s">
        <v>278</v>
      </c>
    </row>
    <row r="6" spans="1:5" x14ac:dyDescent="0.25">
      <c r="A6" s="158" t="s">
        <v>281</v>
      </c>
      <c r="B6" s="26"/>
      <c r="C6" s="26"/>
      <c r="D6" s="27">
        <v>1125</v>
      </c>
      <c r="E6" s="159" t="s">
        <v>282</v>
      </c>
    </row>
    <row r="7" spans="1:5" x14ac:dyDescent="0.25">
      <c r="A7" s="158" t="s">
        <v>283</v>
      </c>
      <c r="B7" s="26"/>
      <c r="C7" s="26"/>
      <c r="D7" s="27">
        <v>1851</v>
      </c>
      <c r="E7" s="159" t="s">
        <v>284</v>
      </c>
    </row>
    <row r="8" spans="1:5" ht="15.75" thickBot="1" x14ac:dyDescent="0.3">
      <c r="A8" s="160" t="s">
        <v>285</v>
      </c>
      <c r="B8" s="59"/>
      <c r="C8" s="59"/>
      <c r="D8" s="149">
        <v>417</v>
      </c>
      <c r="E8" s="161" t="s">
        <v>286</v>
      </c>
    </row>
  </sheetData>
  <hyperlinks>
    <hyperlink ref="E2" r:id="rId1" xr:uid="{2131B039-6D68-4CB3-95D7-8D4A25B5C754}"/>
    <hyperlink ref="E3" r:id="rId2" xr:uid="{1E504BA5-2C15-4A87-A57B-A15650729C4A}"/>
    <hyperlink ref="E4" r:id="rId3" xr:uid="{6E2B9B81-99B1-4B6B-B91A-654077C93711}"/>
    <hyperlink ref="E5" r:id="rId4" xr:uid="{6654171F-F120-4516-A062-8F605307B3E1}"/>
    <hyperlink ref="E6" r:id="rId5" xr:uid="{BE11A961-4344-41C0-A52A-76264661B771}"/>
    <hyperlink ref="E7" r:id="rId6" xr:uid="{232DD4D1-2BDF-44BB-A0AD-09C68C94D24A}"/>
    <hyperlink ref="E8" r:id="rId7" xr:uid="{8009E3DA-8BF6-447C-9701-DAFA5C2BE40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H29"/>
  <sheetViews>
    <sheetView workbookViewId="0">
      <selection activeCell="C29" sqref="C29"/>
    </sheetView>
  </sheetViews>
  <sheetFormatPr baseColWidth="10" defaultRowHeight="15" x14ac:dyDescent="0.25"/>
  <cols>
    <col min="1" max="1" width="22.140625" customWidth="1"/>
    <col min="2" max="2" width="31.5703125" bestFit="1" customWidth="1"/>
    <col min="3" max="3" width="15.7109375" bestFit="1" customWidth="1"/>
    <col min="4" max="4" width="16.5703125" bestFit="1" customWidth="1"/>
    <col min="5" max="5" width="17" bestFit="1" customWidth="1"/>
    <col min="6" max="6" width="16.5703125" bestFit="1" customWidth="1"/>
    <col min="7" max="7" width="17" bestFit="1" customWidth="1"/>
    <col min="8" max="8" width="124.85546875" customWidth="1"/>
  </cols>
  <sheetData>
    <row r="1" spans="1:8" ht="15.75" thickBot="1" x14ac:dyDescent="0.3">
      <c r="A1" s="164" t="s">
        <v>28</v>
      </c>
      <c r="B1" s="175" t="s">
        <v>25</v>
      </c>
      <c r="C1" s="175" t="s">
        <v>217</v>
      </c>
      <c r="D1" s="175" t="s">
        <v>527</v>
      </c>
      <c r="E1" s="175" t="s">
        <v>538</v>
      </c>
      <c r="F1" s="175" t="s">
        <v>526</v>
      </c>
      <c r="G1" s="175" t="s">
        <v>528</v>
      </c>
      <c r="H1" s="165" t="s">
        <v>200</v>
      </c>
    </row>
    <row r="2" spans="1:8" ht="15.75" thickBot="1" x14ac:dyDescent="0.3"/>
    <row r="3" spans="1:8" x14ac:dyDescent="0.25">
      <c r="A3" s="312" t="s">
        <v>539</v>
      </c>
      <c r="B3" s="97" t="s">
        <v>82</v>
      </c>
      <c r="C3" s="55"/>
      <c r="D3" s="55"/>
      <c r="E3" s="217">
        <v>1295</v>
      </c>
      <c r="F3" s="55"/>
      <c r="G3" s="141">
        <f>E3/Summary!D15</f>
        <v>1146.3829184518961</v>
      </c>
      <c r="H3" s="181" t="s">
        <v>83</v>
      </c>
    </row>
    <row r="4" spans="1:8" x14ac:dyDescent="0.25">
      <c r="A4" s="314"/>
      <c r="B4" s="98" t="s">
        <v>86</v>
      </c>
      <c r="C4" s="26"/>
      <c r="D4" s="26"/>
      <c r="E4" s="201">
        <v>13995</v>
      </c>
      <c r="F4" s="26"/>
      <c r="G4" s="27">
        <f>E4/Summary!D15</f>
        <v>12388.902659254276</v>
      </c>
      <c r="H4" s="159" t="s">
        <v>84</v>
      </c>
    </row>
    <row r="5" spans="1:8" x14ac:dyDescent="0.25">
      <c r="A5" s="314"/>
      <c r="B5" s="98" t="s">
        <v>91</v>
      </c>
      <c r="C5" s="26"/>
      <c r="D5" s="26"/>
      <c r="E5" s="201">
        <v>395</v>
      </c>
      <c r="F5" s="26"/>
      <c r="G5" s="27">
        <f>E5/Summary!D15</f>
        <v>349.66892107220002</v>
      </c>
      <c r="H5" s="159" t="s">
        <v>90</v>
      </c>
    </row>
    <row r="6" spans="1:8" x14ac:dyDescent="0.25">
      <c r="A6" s="314"/>
      <c r="B6" s="98" t="s">
        <v>349</v>
      </c>
      <c r="C6" s="26"/>
      <c r="D6" s="26"/>
      <c r="E6" s="201">
        <v>3795</v>
      </c>
      <c r="F6" s="26"/>
      <c r="G6" s="27">
        <f>E6/Summary!D15</f>
        <v>3359.4773556177188</v>
      </c>
      <c r="H6" s="159" t="s">
        <v>348</v>
      </c>
    </row>
    <row r="7" spans="1:8" x14ac:dyDescent="0.25">
      <c r="A7" s="314"/>
      <c r="B7" s="98" t="s">
        <v>378</v>
      </c>
      <c r="C7" s="26"/>
      <c r="D7" s="26"/>
      <c r="E7" s="201"/>
      <c r="F7" s="26"/>
      <c r="G7" s="27">
        <v>119</v>
      </c>
      <c r="H7" s="159" t="s">
        <v>379</v>
      </c>
    </row>
    <row r="8" spans="1:8" x14ac:dyDescent="0.25">
      <c r="A8" s="314"/>
      <c r="B8" s="98" t="s">
        <v>376</v>
      </c>
      <c r="C8" s="26"/>
      <c r="D8" s="26"/>
      <c r="E8" s="201"/>
      <c r="F8" s="26"/>
      <c r="G8" s="27">
        <v>379</v>
      </c>
      <c r="H8" s="159" t="s">
        <v>377</v>
      </c>
    </row>
    <row r="9" spans="1:8" ht="15.75" thickBot="1" x14ac:dyDescent="0.3">
      <c r="A9" s="313"/>
      <c r="B9" s="99" t="s">
        <v>381</v>
      </c>
      <c r="C9" s="59"/>
      <c r="D9" s="59"/>
      <c r="E9" s="218"/>
      <c r="F9" s="59"/>
      <c r="G9" s="149">
        <v>425</v>
      </c>
      <c r="H9" s="161" t="s">
        <v>380</v>
      </c>
    </row>
    <row r="10" spans="1:8" ht="15.75" thickBot="1" x14ac:dyDescent="0.3">
      <c r="A10" s="182"/>
      <c r="G10" s="2"/>
    </row>
    <row r="11" spans="1:8" x14ac:dyDescent="0.25">
      <c r="A11" s="312" t="s">
        <v>540</v>
      </c>
      <c r="B11" s="97" t="s">
        <v>218</v>
      </c>
      <c r="C11" s="55" t="s">
        <v>219</v>
      </c>
      <c r="D11" s="219"/>
      <c r="E11" s="55"/>
      <c r="F11" s="55"/>
      <c r="G11" s="141">
        <v>1079.0999999999999</v>
      </c>
      <c r="H11" s="181" t="s">
        <v>95</v>
      </c>
    </row>
    <row r="12" spans="1:8" ht="15.75" thickBot="1" x14ac:dyDescent="0.3">
      <c r="A12" s="313"/>
      <c r="B12" s="99" t="s">
        <v>218</v>
      </c>
      <c r="C12" s="59" t="s">
        <v>220</v>
      </c>
      <c r="D12" s="220"/>
      <c r="E12" s="59"/>
      <c r="F12" s="149">
        <v>2041.73</v>
      </c>
      <c r="G12" s="149">
        <f>F12*(1-Summary!D16)</f>
        <v>1633.384</v>
      </c>
      <c r="H12" s="161" t="s">
        <v>198</v>
      </c>
    </row>
    <row r="13" spans="1:8" ht="15.75" thickBot="1" x14ac:dyDescent="0.3">
      <c r="A13" s="182"/>
    </row>
    <row r="14" spans="1:8" ht="15.75" thickBot="1" x14ac:dyDescent="0.3">
      <c r="A14" s="193" t="s">
        <v>343</v>
      </c>
      <c r="B14" s="205" t="s">
        <v>341</v>
      </c>
      <c r="C14" s="170" t="s">
        <v>342</v>
      </c>
      <c r="D14" s="170"/>
      <c r="E14" s="170"/>
      <c r="F14" s="170"/>
      <c r="G14" s="216">
        <v>12999</v>
      </c>
      <c r="H14" s="221" t="s">
        <v>340</v>
      </c>
    </row>
    <row r="15" spans="1:8" ht="15.75" thickBot="1" x14ac:dyDescent="0.3">
      <c r="A15" s="182"/>
    </row>
    <row r="16" spans="1:8" x14ac:dyDescent="0.25">
      <c r="A16" s="312" t="s">
        <v>541</v>
      </c>
      <c r="B16" s="97" t="s">
        <v>353</v>
      </c>
      <c r="C16" s="55">
        <v>5</v>
      </c>
      <c r="D16" s="55"/>
      <c r="E16" s="55"/>
      <c r="F16" s="55"/>
      <c r="G16" s="141">
        <v>69.400000000000006</v>
      </c>
      <c r="H16" s="181" t="s">
        <v>352</v>
      </c>
    </row>
    <row r="17" spans="1:8" x14ac:dyDescent="0.25">
      <c r="A17" s="314"/>
      <c r="B17" s="98" t="s">
        <v>355</v>
      </c>
      <c r="C17" s="26">
        <v>1</v>
      </c>
      <c r="D17" s="26"/>
      <c r="E17" s="26"/>
      <c r="F17" s="26"/>
      <c r="G17" s="27">
        <v>1433.25</v>
      </c>
      <c r="H17" s="159" t="s">
        <v>354</v>
      </c>
    </row>
    <row r="18" spans="1:8" x14ac:dyDescent="0.25">
      <c r="A18" s="314"/>
      <c r="B18" s="98" t="s">
        <v>357</v>
      </c>
      <c r="C18" s="26">
        <v>1</v>
      </c>
      <c r="D18" s="26"/>
      <c r="E18" s="26"/>
      <c r="F18" s="26"/>
      <c r="G18" s="27">
        <v>1866.02</v>
      </c>
      <c r="H18" s="159" t="s">
        <v>356</v>
      </c>
    </row>
    <row r="19" spans="1:8" x14ac:dyDescent="0.25">
      <c r="A19" s="314"/>
      <c r="B19" s="98" t="s">
        <v>359</v>
      </c>
      <c r="C19" s="26">
        <v>1</v>
      </c>
      <c r="D19" s="26"/>
      <c r="E19" s="26"/>
      <c r="F19" s="26"/>
      <c r="G19" s="27">
        <v>859.65</v>
      </c>
      <c r="H19" s="159" t="s">
        <v>358</v>
      </c>
    </row>
    <row r="20" spans="1:8" x14ac:dyDescent="0.25">
      <c r="A20" s="314"/>
      <c r="B20" s="98" t="s">
        <v>361</v>
      </c>
      <c r="C20" s="26">
        <v>3</v>
      </c>
      <c r="D20" s="26"/>
      <c r="E20" s="26"/>
      <c r="F20" s="26"/>
      <c r="G20" s="27">
        <v>699.07</v>
      </c>
      <c r="H20" s="159" t="s">
        <v>360</v>
      </c>
    </row>
    <row r="21" spans="1:8" x14ac:dyDescent="0.25">
      <c r="A21" s="314"/>
      <c r="B21" s="98" t="s">
        <v>364</v>
      </c>
      <c r="C21" s="26">
        <v>30</v>
      </c>
      <c r="D21" s="26"/>
      <c r="E21" s="26"/>
      <c r="F21" s="26"/>
      <c r="G21" s="27">
        <v>16.899999999999999</v>
      </c>
      <c r="H21" s="159" t="s">
        <v>365</v>
      </c>
    </row>
    <row r="22" spans="1:8" x14ac:dyDescent="0.25">
      <c r="A22" s="314"/>
      <c r="B22" s="98" t="s">
        <v>290</v>
      </c>
      <c r="C22" s="26"/>
      <c r="D22" s="26"/>
      <c r="E22" s="26"/>
      <c r="F22" s="26"/>
      <c r="G22" s="27">
        <v>1001.67</v>
      </c>
      <c r="H22" s="159" t="s">
        <v>287</v>
      </c>
    </row>
    <row r="23" spans="1:8" x14ac:dyDescent="0.25">
      <c r="A23" s="314"/>
      <c r="B23" s="98" t="s">
        <v>288</v>
      </c>
      <c r="C23" s="26"/>
      <c r="D23" s="26"/>
      <c r="E23" s="26"/>
      <c r="F23" s="26"/>
      <c r="G23" s="27">
        <v>352.31</v>
      </c>
      <c r="H23" s="159" t="s">
        <v>289</v>
      </c>
    </row>
    <row r="24" spans="1:8" ht="15.75" thickBot="1" x14ac:dyDescent="0.3">
      <c r="A24" s="313"/>
      <c r="B24" s="99" t="s">
        <v>351</v>
      </c>
      <c r="C24" s="59" t="s">
        <v>366</v>
      </c>
      <c r="D24" s="59"/>
      <c r="E24" s="59"/>
      <c r="F24" s="59"/>
      <c r="G24" s="149">
        <v>2302.5700000000002</v>
      </c>
      <c r="H24" s="161" t="s">
        <v>350</v>
      </c>
    </row>
    <row r="25" spans="1:8" ht="15.75" thickBot="1" x14ac:dyDescent="0.3">
      <c r="A25" s="182"/>
    </row>
    <row r="26" spans="1:8" x14ac:dyDescent="0.25">
      <c r="A26" s="312" t="s">
        <v>542</v>
      </c>
      <c r="B26" s="97" t="s">
        <v>372</v>
      </c>
      <c r="C26" s="55" t="s">
        <v>373</v>
      </c>
      <c r="D26" s="55"/>
      <c r="E26" s="55"/>
      <c r="F26" s="55"/>
      <c r="G26" s="141">
        <v>3259</v>
      </c>
      <c r="H26" s="181" t="s">
        <v>371</v>
      </c>
    </row>
    <row r="27" spans="1:8" ht="15.75" thickBot="1" x14ac:dyDescent="0.3">
      <c r="A27" s="313"/>
      <c r="B27" s="99" t="s">
        <v>475</v>
      </c>
      <c r="C27" s="59"/>
      <c r="D27" s="59"/>
      <c r="E27" s="59"/>
      <c r="F27" s="59"/>
      <c r="G27" s="149">
        <f>1031.54</f>
        <v>1031.54</v>
      </c>
      <c r="H27" s="161" t="s">
        <v>476</v>
      </c>
    </row>
    <row r="28" spans="1:8" ht="15.75" thickBot="1" x14ac:dyDescent="0.3">
      <c r="A28" s="182"/>
    </row>
    <row r="29" spans="1:8" ht="15.75" thickBot="1" x14ac:dyDescent="0.3">
      <c r="A29" s="193" t="s">
        <v>543</v>
      </c>
      <c r="B29" s="205" t="s">
        <v>374</v>
      </c>
      <c r="C29" s="170"/>
      <c r="D29" s="170"/>
      <c r="E29" s="170"/>
      <c r="F29" s="170"/>
      <c r="G29" s="216">
        <v>1075</v>
      </c>
      <c r="H29" s="221" t="s">
        <v>375</v>
      </c>
    </row>
  </sheetData>
  <mergeCells count="4">
    <mergeCell ref="A3:A9"/>
    <mergeCell ref="A11:A12"/>
    <mergeCell ref="A16:A24"/>
    <mergeCell ref="A26:A27"/>
  </mergeCells>
  <hyperlinks>
    <hyperlink ref="H11" r:id="rId1" xr:uid="{00000000-0004-0000-0600-000000000000}"/>
    <hyperlink ref="H12" r:id="rId2" xr:uid="{00000000-0004-0000-0600-000001000000}"/>
    <hyperlink ref="H3" r:id="rId3" xr:uid="{00000000-0004-0000-0600-000002000000}"/>
    <hyperlink ref="H5" r:id="rId4" xr:uid="{00000000-0004-0000-0600-000003000000}"/>
    <hyperlink ref="H4" r:id="rId5" xr:uid="{00000000-0004-0000-0600-000007000000}"/>
    <hyperlink ref="H22" r:id="rId6" xr:uid="{00000000-0004-0000-0600-000008000000}"/>
    <hyperlink ref="H23" r:id="rId7" xr:uid="{00000000-0004-0000-0600-000009000000}"/>
    <hyperlink ref="H14" r:id="rId8" xr:uid="{F19EC9CD-DC53-4EFD-8A0A-48878CDB7422}"/>
    <hyperlink ref="H16" r:id="rId9" xr:uid="{A4C7276F-7168-490B-BEB2-32AC6233E6FA}"/>
    <hyperlink ref="H17" r:id="rId10" xr:uid="{055614BC-01C0-4B4C-A0ED-5FF8F51C7B2E}"/>
    <hyperlink ref="H18" r:id="rId11" xr:uid="{4AAE0EA1-9B29-404E-808F-5F20B5CB209A}"/>
    <hyperlink ref="H19" r:id="rId12" xr:uid="{2064E6CC-B012-4F85-84BD-4BEEE0ADB236}"/>
    <hyperlink ref="H20" r:id="rId13" xr:uid="{20B57005-5733-46FC-A599-FDAE90D8F45C}"/>
    <hyperlink ref="H21" r:id="rId14" xr:uid="{CEA2462A-FEA4-4128-8BC5-F267CC225FDC}"/>
    <hyperlink ref="H24" r:id="rId15" xr:uid="{810E01CC-42CA-420E-A1E9-D2266529E894}"/>
    <hyperlink ref="H26" r:id="rId16" xr:uid="{8DAC8B45-F298-464A-B2E7-151F206A1C68}"/>
    <hyperlink ref="H27" r:id="rId17" xr:uid="{24BF8C79-4A7B-4569-B195-D9C730161DED}"/>
    <hyperlink ref="H29" r:id="rId18" xr:uid="{F2E381E2-49C0-4630-A9BA-32A395E37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workbookViewId="0">
      <selection activeCell="E15" sqref="E15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3" t="s">
        <v>12</v>
      </c>
    </row>
    <row r="2" spans="1:3" x14ac:dyDescent="0.25">
      <c r="A2" t="s">
        <v>51</v>
      </c>
      <c r="B2" s="2">
        <f>97625+10395</f>
        <v>108020</v>
      </c>
      <c r="C2" s="3" t="s">
        <v>53</v>
      </c>
    </row>
    <row r="3" spans="1:3" x14ac:dyDescent="0.25">
      <c r="A3" t="s">
        <v>52</v>
      </c>
    </row>
    <row r="4" spans="1:3" x14ac:dyDescent="0.25">
      <c r="A4" t="s">
        <v>54</v>
      </c>
      <c r="B4" t="s">
        <v>55</v>
      </c>
      <c r="C4">
        <v>1016</v>
      </c>
    </row>
    <row r="5" spans="1:3" x14ac:dyDescent="0.25">
      <c r="B5" t="s">
        <v>56</v>
      </c>
      <c r="C5">
        <v>660</v>
      </c>
    </row>
    <row r="6" spans="1:3" x14ac:dyDescent="0.25">
      <c r="B6" t="s">
        <v>57</v>
      </c>
      <c r="C6">
        <v>635</v>
      </c>
    </row>
    <row r="7" spans="1:3" x14ac:dyDescent="0.25">
      <c r="A7" t="s">
        <v>58</v>
      </c>
    </row>
    <row r="8" spans="1:3" x14ac:dyDescent="0.25">
      <c r="A8" t="s">
        <v>59</v>
      </c>
    </row>
    <row r="9" spans="1:3" x14ac:dyDescent="0.25">
      <c r="A9" t="s">
        <v>60</v>
      </c>
    </row>
    <row r="10" spans="1:3" x14ac:dyDescent="0.25">
      <c r="A10" t="s">
        <v>61</v>
      </c>
      <c r="B10" t="s">
        <v>55</v>
      </c>
      <c r="C10">
        <v>1372</v>
      </c>
    </row>
    <row r="11" spans="1:3" x14ac:dyDescent="0.25">
      <c r="B11" t="s">
        <v>56</v>
      </c>
      <c r="C11">
        <v>610</v>
      </c>
    </row>
    <row r="12" spans="1:3" x14ac:dyDescent="0.25">
      <c r="A12" t="s">
        <v>62</v>
      </c>
      <c r="B12" t="s">
        <v>63</v>
      </c>
    </row>
    <row r="13" spans="1:3" x14ac:dyDescent="0.25">
      <c r="A13" t="s">
        <v>64</v>
      </c>
      <c r="B13" t="s">
        <v>65</v>
      </c>
    </row>
    <row r="14" spans="1:3" x14ac:dyDescent="0.25">
      <c r="A14" t="s">
        <v>66</v>
      </c>
      <c r="B14" t="s">
        <v>67</v>
      </c>
    </row>
    <row r="15" spans="1:3" x14ac:dyDescent="0.25">
      <c r="A15" t="s">
        <v>68</v>
      </c>
      <c r="B15" t="s">
        <v>69</v>
      </c>
    </row>
    <row r="16" spans="1:3" x14ac:dyDescent="0.25">
      <c r="A16" t="s">
        <v>70</v>
      </c>
      <c r="B16" t="s">
        <v>71</v>
      </c>
    </row>
    <row r="17" spans="1:6" x14ac:dyDescent="0.25">
      <c r="A17" t="s">
        <v>23</v>
      </c>
      <c r="B17" t="s">
        <v>72</v>
      </c>
    </row>
    <row r="19" spans="1:6" x14ac:dyDescent="0.25">
      <c r="A19" t="s">
        <v>105</v>
      </c>
      <c r="B19" t="s">
        <v>106</v>
      </c>
      <c r="C19" t="s">
        <v>107</v>
      </c>
    </row>
    <row r="21" spans="1:6" x14ac:dyDescent="0.25">
      <c r="B21" t="s">
        <v>190</v>
      </c>
      <c r="C21" t="s">
        <v>199</v>
      </c>
      <c r="D21" t="s">
        <v>200</v>
      </c>
    </row>
    <row r="22" spans="1:6" x14ac:dyDescent="0.25">
      <c r="A22" t="s">
        <v>51</v>
      </c>
      <c r="B22" s="2">
        <f>97625+10395</f>
        <v>108020</v>
      </c>
      <c r="C22">
        <v>1</v>
      </c>
      <c r="D22" t="s">
        <v>201</v>
      </c>
    </row>
    <row r="23" spans="1:6" x14ac:dyDescent="0.25">
      <c r="A23" t="s">
        <v>105</v>
      </c>
      <c r="B23" s="2">
        <v>100</v>
      </c>
      <c r="C23">
        <v>40</v>
      </c>
      <c r="D23" s="3" t="s">
        <v>106</v>
      </c>
    </row>
    <row r="24" spans="1:6" x14ac:dyDescent="0.25">
      <c r="A24" t="s">
        <v>85</v>
      </c>
      <c r="B24" s="2">
        <v>2500</v>
      </c>
      <c r="C24">
        <v>1</v>
      </c>
      <c r="D24" s="3" t="s">
        <v>81</v>
      </c>
    </row>
    <row r="27" spans="1:6" x14ac:dyDescent="0.25">
      <c r="A27" t="s">
        <v>73</v>
      </c>
      <c r="B27" t="s">
        <v>80</v>
      </c>
    </row>
    <row r="28" spans="1:6" x14ac:dyDescent="0.25">
      <c r="B28" t="s">
        <v>75</v>
      </c>
      <c r="C28" t="s">
        <v>77</v>
      </c>
      <c r="D28" t="s">
        <v>76</v>
      </c>
      <c r="E28" t="s">
        <v>78</v>
      </c>
    </row>
    <row r="29" spans="1:6" x14ac:dyDescent="0.25">
      <c r="A29" t="s">
        <v>74</v>
      </c>
      <c r="B29" s="4">
        <v>0.04</v>
      </c>
      <c r="C29">
        <v>5</v>
      </c>
      <c r="D29" s="2">
        <v>79.52</v>
      </c>
      <c r="E29">
        <f>208*B29</f>
        <v>8.32</v>
      </c>
      <c r="F29" s="5">
        <f>$E$29*D29/C29</f>
        <v>132.32128</v>
      </c>
    </row>
    <row r="30" spans="1:6" x14ac:dyDescent="0.25">
      <c r="A30" t="s">
        <v>79</v>
      </c>
      <c r="C30">
        <v>20</v>
      </c>
      <c r="D30" s="2">
        <v>236.84</v>
      </c>
      <c r="F30" s="5">
        <f>$E$29*D30/C30</f>
        <v>98.525440000000003</v>
      </c>
    </row>
    <row r="31" spans="1:6" x14ac:dyDescent="0.25">
      <c r="C31">
        <v>200</v>
      </c>
      <c r="D31" s="2">
        <v>2116</v>
      </c>
      <c r="F31" s="5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C6" sqref="C6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3" t="s">
        <v>12</v>
      </c>
    </row>
    <row r="2" spans="1:6" x14ac:dyDescent="0.25">
      <c r="A2" s="16" t="s">
        <v>338</v>
      </c>
      <c r="B2" s="2">
        <f>133720</f>
        <v>133720</v>
      </c>
      <c r="C2" t="s">
        <v>337</v>
      </c>
    </row>
    <row r="3" spans="1:6" x14ac:dyDescent="0.25">
      <c r="A3" s="16"/>
      <c r="B3" s="2"/>
    </row>
    <row r="4" spans="1:6" x14ac:dyDescent="0.25">
      <c r="A4" s="16" t="s">
        <v>315</v>
      </c>
      <c r="B4">
        <v>208</v>
      </c>
    </row>
    <row r="5" spans="1:6" x14ac:dyDescent="0.25">
      <c r="B5" t="s">
        <v>175</v>
      </c>
      <c r="C5" t="s">
        <v>200</v>
      </c>
    </row>
    <row r="6" spans="1:6" x14ac:dyDescent="0.25">
      <c r="A6" t="s">
        <v>105</v>
      </c>
      <c r="B6" s="2">
        <v>600</v>
      </c>
      <c r="C6" t="s">
        <v>313</v>
      </c>
    </row>
    <row r="7" spans="1:6" x14ac:dyDescent="0.25">
      <c r="A7" t="s">
        <v>311</v>
      </c>
      <c r="B7" s="2">
        <f>(2500+1500)/2</f>
        <v>2000</v>
      </c>
      <c r="C7" t="s">
        <v>313</v>
      </c>
    </row>
    <row r="8" spans="1:6" x14ac:dyDescent="0.25">
      <c r="A8" t="s">
        <v>312</v>
      </c>
      <c r="B8" s="2">
        <v>160</v>
      </c>
      <c r="C8" t="s">
        <v>314</v>
      </c>
    </row>
    <row r="10" spans="1:6" x14ac:dyDescent="0.25">
      <c r="A10" t="s">
        <v>73</v>
      </c>
      <c r="B10" t="s">
        <v>80</v>
      </c>
    </row>
    <row r="11" spans="1:6" x14ac:dyDescent="0.25">
      <c r="B11" t="s">
        <v>75</v>
      </c>
      <c r="C11" t="s">
        <v>77</v>
      </c>
      <c r="D11" t="s">
        <v>76</v>
      </c>
      <c r="E11" t="s">
        <v>78</v>
      </c>
    </row>
    <row r="12" spans="1:6" x14ac:dyDescent="0.25">
      <c r="A12" t="s">
        <v>74</v>
      </c>
      <c r="B12" s="4">
        <v>0.04</v>
      </c>
      <c r="C12">
        <v>5</v>
      </c>
      <c r="D12" s="2">
        <v>79.52</v>
      </c>
      <c r="E12">
        <f>208*B12</f>
        <v>8.32</v>
      </c>
      <c r="F12" s="5">
        <f>$B$4*$B$12*D12/C12</f>
        <v>132.32128</v>
      </c>
    </row>
    <row r="13" spans="1:6" x14ac:dyDescent="0.25">
      <c r="A13" t="s">
        <v>79</v>
      </c>
      <c r="C13">
        <v>20</v>
      </c>
      <c r="D13" s="2">
        <v>236.84</v>
      </c>
      <c r="F13" s="5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5">
        <f t="shared" si="0"/>
        <v>88.025599999999997</v>
      </c>
    </row>
    <row r="17" spans="2:2" x14ac:dyDescent="0.25">
      <c r="B17" t="s">
        <v>339</v>
      </c>
    </row>
  </sheetData>
  <hyperlinks>
    <hyperlink ref="A1" r:id="rId1" xr:uid="{00000000-0004-0000-08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Louise Am</cp:lastModifiedBy>
  <dcterms:created xsi:type="dcterms:W3CDTF">2019-04-04T18:24:41Z</dcterms:created>
  <dcterms:modified xsi:type="dcterms:W3CDTF">2021-05-14T06:49:23Z</dcterms:modified>
</cp:coreProperties>
</file>