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45\Documents\02-Etudes\2019-ECL\Trans Semestres\01-EPSA\03-Trans Saisons\Git\ELIZ-2021\CR_Cost_Report\01_BOM\00_Cost_Report_Document\"/>
    </mc:Choice>
  </mc:AlternateContent>
  <xr:revisionPtr revIDLastSave="0" documentId="13_ncr:1_{B0C3365B-DD6F-4D76-91B1-EC6FBB215900}" xr6:coauthVersionLast="47" xr6:coauthVersionMax="47" xr10:uidLastSave="{00000000-0000-0000-0000-000000000000}"/>
  <bookViews>
    <workbookView xWindow="-120" yWindow="-120" windowWidth="29040" windowHeight="15840" tabRatio="667" xr2:uid="{00000000-000D-0000-FFFF-FFFF00000000}"/>
  </bookViews>
  <sheets>
    <sheet name="Summary" sheetId="6" r:id="rId1"/>
    <sheet name="Frame tubes" sheetId="16" r:id="rId2"/>
    <sheet name="Manpower &amp; time" sheetId="11" r:id="rId3"/>
    <sheet name="Energies" sheetId="13" r:id="rId4"/>
    <sheet name="IT&amp;Office" sheetId="9" r:id="rId5"/>
    <sheet name="Manufacturing" sheetId="8" r:id="rId6"/>
    <sheet name="Metrology" sheetId="12" r:id="rId7"/>
    <sheet name="Milling" sheetId="3" r:id="rId8"/>
    <sheet name="3D Laser Cutting" sheetId="17" r:id="rId9"/>
    <sheet name="2D Laser Cutting" sheetId="5" r:id="rId10"/>
    <sheet name="Welding" sheetId="10" r:id="rId11"/>
    <sheet name="Conventional Machinery" sheetId="19" r:id="rId12"/>
    <sheet name="Body Manufacturing" sheetId="18" r:id="rId13"/>
    <sheet name="Material" sheetId="2" r:id="rId14"/>
    <sheet name="Pieces" sheetId="20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3" i="6" l="1"/>
  <c r="AA10" i="6"/>
  <c r="F34" i="2"/>
  <c r="Z19" i="6"/>
  <c r="AA61" i="6"/>
  <c r="AA62" i="6"/>
  <c r="I15" i="11"/>
  <c r="AA41" i="6"/>
  <c r="AA40" i="6"/>
  <c r="S40" i="6" l="1"/>
  <c r="E27" i="18"/>
  <c r="E25" i="18"/>
  <c r="E26" i="18"/>
  <c r="S47" i="6"/>
  <c r="E24" i="18"/>
  <c r="S46" i="6" s="1"/>
  <c r="D16" i="18"/>
  <c r="C19" i="16"/>
  <c r="N42" i="6"/>
  <c r="S43" i="6"/>
  <c r="U43" i="6" s="1"/>
  <c r="S42" i="6"/>
  <c r="U42" i="6" s="1"/>
  <c r="S41" i="6"/>
  <c r="U41" i="6" s="1"/>
  <c r="N38" i="6"/>
  <c r="D30" i="10"/>
  <c r="J38" i="11"/>
  <c r="I38" i="11"/>
  <c r="F38" i="11"/>
  <c r="D20" i="10"/>
  <c r="S31" i="6"/>
  <c r="Z54" i="6" s="1"/>
  <c r="AA54" i="6" s="1"/>
  <c r="F3" i="16"/>
  <c r="N30" i="6"/>
  <c r="S26" i="6"/>
  <c r="U26" i="6" s="1"/>
  <c r="S25" i="6"/>
  <c r="U25" i="6" s="1"/>
  <c r="S27" i="6"/>
  <c r="U27" i="6" s="1"/>
  <c r="S24" i="6"/>
  <c r="U24" i="6" s="1"/>
  <c r="S23" i="6"/>
  <c r="U23" i="6" s="1"/>
  <c r="Z82" i="6" l="1"/>
  <c r="S28" i="6"/>
  <c r="U28" i="6" s="1"/>
  <c r="Z49" i="6" s="1"/>
  <c r="B43" i="5"/>
  <c r="C41" i="5"/>
  <c r="D4" i="5"/>
  <c r="E4" i="5" s="1"/>
  <c r="S19" i="6" s="1"/>
  <c r="U19" i="6" s="1"/>
  <c r="N20" i="6"/>
  <c r="C34" i="5"/>
  <c r="E16" i="5"/>
  <c r="E17" i="5"/>
  <c r="E18" i="5"/>
  <c r="E19" i="5"/>
  <c r="E20" i="5"/>
  <c r="C24" i="5" s="1"/>
  <c r="E21" i="5"/>
  <c r="E22" i="5"/>
  <c r="E23" i="5"/>
  <c r="E25" i="5"/>
  <c r="E26" i="5"/>
  <c r="E27" i="5"/>
  <c r="E28" i="5"/>
  <c r="E29" i="5"/>
  <c r="E31" i="5"/>
  <c r="E32" i="5"/>
  <c r="E33" i="5"/>
  <c r="E15" i="5"/>
  <c r="D6" i="5"/>
  <c r="E6" i="5" s="1"/>
  <c r="N26" i="6" s="1"/>
  <c r="Z41" i="6" s="1"/>
  <c r="E17" i="11"/>
  <c r="S9" i="6"/>
  <c r="U9" i="6" s="1"/>
  <c r="Z57" i="6" l="1"/>
  <c r="C30" i="5"/>
  <c r="N23" i="6"/>
  <c r="X36" i="6"/>
  <c r="S20" i="6"/>
  <c r="U20" i="6" s="1"/>
  <c r="Z36" i="6" s="1"/>
  <c r="D7" i="3"/>
  <c r="N5" i="6"/>
  <c r="D26" i="17"/>
  <c r="D25" i="17"/>
  <c r="D6" i="17"/>
  <c r="E6" i="17" s="1"/>
  <c r="S14" i="6" s="1"/>
  <c r="U14" i="6" s="1"/>
  <c r="D8" i="17"/>
  <c r="D7" i="17"/>
  <c r="D5" i="17"/>
  <c r="E5" i="17" s="1"/>
  <c r="E7" i="17"/>
  <c r="S15" i="6" s="1"/>
  <c r="U15" i="6" s="1"/>
  <c r="E8" i="17"/>
  <c r="S16" i="6" s="1"/>
  <c r="U16" i="6" s="1"/>
  <c r="D4" i="17"/>
  <c r="E4" i="17" s="1"/>
  <c r="S13" i="6" s="1"/>
  <c r="H33" i="11"/>
  <c r="K35" i="11"/>
  <c r="K40" i="11"/>
  <c r="F18" i="11" s="1"/>
  <c r="K39" i="11"/>
  <c r="F17" i="11" s="1"/>
  <c r="K38" i="11"/>
  <c r="F16" i="11" s="1"/>
  <c r="K37" i="11"/>
  <c r="F15" i="11" s="1"/>
  <c r="F4" i="19"/>
  <c r="S34" i="6" s="1"/>
  <c r="U34" i="6" s="1"/>
  <c r="F3" i="19"/>
  <c r="S33" i="6" s="1"/>
  <c r="U33" i="6" s="1"/>
  <c r="N14" i="6"/>
  <c r="N6" i="6"/>
  <c r="F19" i="11" l="1"/>
  <c r="S36" i="6"/>
  <c r="U36" i="6" s="1"/>
  <c r="U13" i="6"/>
  <c r="Z22" i="6" s="1"/>
  <c r="F4" i="8" l="1"/>
  <c r="F3" i="8"/>
  <c r="E6" i="3"/>
  <c r="E7" i="3"/>
  <c r="E5" i="3"/>
  <c r="E4" i="3"/>
  <c r="K20" i="6"/>
  <c r="E12" i="8"/>
  <c r="E11" i="8"/>
  <c r="S7" i="6" l="1"/>
  <c r="S6" i="6"/>
  <c r="S5" i="6"/>
  <c r="F6" i="13"/>
  <c r="D14" i="6" s="1"/>
  <c r="S45" i="6" s="1"/>
  <c r="F3" i="13"/>
  <c r="E4" i="13"/>
  <c r="E5" i="13" s="1"/>
  <c r="F5" i="13" s="1"/>
  <c r="F7" i="13"/>
  <c r="C5" i="16"/>
  <c r="C4" i="16"/>
  <c r="C17" i="16" s="1"/>
  <c r="F11" i="8"/>
  <c r="F13" i="8"/>
  <c r="F14" i="8"/>
  <c r="F15" i="8"/>
  <c r="F16" i="8"/>
  <c r="F17" i="8"/>
  <c r="F18" i="8"/>
  <c r="F19" i="8"/>
  <c r="F20" i="8"/>
  <c r="F21" i="8"/>
  <c r="F22" i="8"/>
  <c r="I24" i="6" s="1"/>
  <c r="F12" i="8"/>
  <c r="F6" i="8"/>
  <c r="F7" i="8"/>
  <c r="F8" i="8"/>
  <c r="F10" i="8"/>
  <c r="F5" i="8"/>
  <c r="D18" i="18"/>
  <c r="D17" i="18"/>
  <c r="D12" i="18"/>
  <c r="D11" i="18"/>
  <c r="D10" i="18"/>
  <c r="D9" i="18"/>
  <c r="D8" i="18"/>
  <c r="D7" i="18"/>
  <c r="D6" i="18"/>
  <c r="D5" i="18"/>
  <c r="D4" i="18"/>
  <c r="I10" i="6" l="1"/>
  <c r="D15" i="6"/>
  <c r="S29" i="6"/>
  <c r="S37" i="6"/>
  <c r="S8" i="6"/>
  <c r="U8" i="6" s="1"/>
  <c r="S17" i="6"/>
  <c r="S21" i="6"/>
  <c r="S10" i="6"/>
  <c r="U5" i="6"/>
  <c r="S35" i="6"/>
  <c r="U35" i="6" s="1"/>
  <c r="Z69" i="6" s="1"/>
  <c r="D13" i="6"/>
  <c r="I8" i="6"/>
  <c r="I21" i="6"/>
  <c r="I23" i="6"/>
  <c r="K23" i="6" s="1"/>
  <c r="G23" i="9"/>
  <c r="H23" i="9" s="1"/>
  <c r="G24" i="9"/>
  <c r="H24" i="9" s="1"/>
  <c r="G25" i="9"/>
  <c r="H25" i="9" s="1"/>
  <c r="G26" i="9"/>
  <c r="H26" i="9" s="1"/>
  <c r="G27" i="9"/>
  <c r="H27" i="9" s="1"/>
  <c r="G28" i="9"/>
  <c r="H28" i="9" s="1"/>
  <c r="G29" i="9"/>
  <c r="H29" i="9" s="1"/>
  <c r="F17" i="9"/>
  <c r="G17" i="9" s="1"/>
  <c r="H17" i="9" s="1"/>
  <c r="I15" i="6" s="1"/>
  <c r="K15" i="6" s="1"/>
  <c r="H16" i="9"/>
  <c r="H15" i="9"/>
  <c r="H14" i="9"/>
  <c r="H13" i="9"/>
  <c r="H12" i="9"/>
  <c r="H10" i="9"/>
  <c r="H11" i="9"/>
  <c r="H3" i="9"/>
  <c r="G19" i="9"/>
  <c r="H19" i="9" s="1"/>
  <c r="G18" i="9"/>
  <c r="H18" i="9" s="1"/>
  <c r="F14" i="9"/>
  <c r="F15" i="9"/>
  <c r="F16" i="9"/>
  <c r="F13" i="9"/>
  <c r="F11" i="9"/>
  <c r="F12" i="9"/>
  <c r="G9" i="9"/>
  <c r="H9" i="9" s="1"/>
  <c r="H6" i="9"/>
  <c r="G8" i="9"/>
  <c r="H8" i="9" s="1"/>
  <c r="H7" i="9"/>
  <c r="H5" i="9"/>
  <c r="I12" i="6" s="1"/>
  <c r="F6" i="9"/>
  <c r="F7" i="9"/>
  <c r="F5" i="9"/>
  <c r="F3" i="9"/>
  <c r="G4" i="9"/>
  <c r="H4" i="9" s="1"/>
  <c r="E18" i="12"/>
  <c r="E19" i="12"/>
  <c r="D19" i="12"/>
  <c r="D18" i="12"/>
  <c r="U40" i="6" l="1"/>
  <c r="S44" i="6"/>
  <c r="U44" i="6" s="1"/>
  <c r="Z6" i="6"/>
  <c r="I14" i="6"/>
  <c r="K14" i="6" s="1"/>
  <c r="I18" i="6"/>
  <c r="I13" i="6"/>
  <c r="K13" i="6" s="1"/>
  <c r="I16" i="6"/>
  <c r="K16" i="6" s="1"/>
  <c r="I11" i="6"/>
  <c r="K11" i="6" s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3" i="12"/>
  <c r="F4" i="16"/>
  <c r="F5" i="16"/>
  <c r="F6" i="16"/>
  <c r="F7" i="16"/>
  <c r="D26" i="10"/>
  <c r="D27" i="10" s="1"/>
  <c r="S30" i="6" s="1"/>
  <c r="Z53" i="6" s="1"/>
  <c r="AA53" i="6" s="1"/>
  <c r="F8" i="16" l="1"/>
  <c r="Z61" i="6"/>
  <c r="Z76" i="6"/>
  <c r="I25" i="6"/>
  <c r="K25" i="6" s="1"/>
  <c r="I27" i="6"/>
  <c r="D18" i="10"/>
  <c r="E10" i="10"/>
  <c r="D10" i="10" s="1"/>
  <c r="E11" i="10"/>
  <c r="D11" i="10" s="1"/>
  <c r="E4" i="10"/>
  <c r="D4" i="10" s="1"/>
  <c r="D5" i="10"/>
  <c r="D6" i="10"/>
  <c r="D7" i="10"/>
  <c r="D8" i="10"/>
  <c r="D9" i="10"/>
  <c r="E16" i="11"/>
  <c r="D5" i="6" s="1"/>
  <c r="D15" i="11"/>
  <c r="E15" i="11" s="1"/>
  <c r="D18" i="11"/>
  <c r="E18" i="11" s="1"/>
  <c r="D17" i="11"/>
  <c r="C45" i="11" l="1"/>
  <c r="I7" i="6" s="1"/>
  <c r="D6" i="6"/>
  <c r="D4" i="6"/>
  <c r="I4" i="6"/>
  <c r="G18" i="11"/>
  <c r="D8" i="6"/>
  <c r="I5" i="6" s="1"/>
  <c r="D7" i="6"/>
  <c r="N69" i="2" l="1"/>
  <c r="O69" i="2" s="1"/>
  <c r="N68" i="2"/>
  <c r="O68" i="2" s="1"/>
  <c r="N67" i="2"/>
  <c r="O67" i="2" s="1"/>
  <c r="N66" i="2"/>
  <c r="O66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R53" i="2"/>
  <c r="S53" i="2" s="1"/>
  <c r="L53" i="2"/>
  <c r="M53" i="2" s="1"/>
  <c r="R52" i="2"/>
  <c r="S52" i="2" s="1"/>
  <c r="L52" i="2"/>
  <c r="M52" i="2" s="1"/>
  <c r="R51" i="2"/>
  <c r="S51" i="2" s="1"/>
  <c r="L51" i="2"/>
  <c r="M51" i="2" s="1"/>
  <c r="R50" i="2"/>
  <c r="S50" i="2" s="1"/>
  <c r="L50" i="2"/>
  <c r="M50" i="2" s="1"/>
  <c r="N46" i="2"/>
  <c r="N39" i="2"/>
  <c r="N38" i="2"/>
  <c r="N37" i="2"/>
  <c r="T36" i="2"/>
  <c r="N36" i="2"/>
  <c r="T35" i="2"/>
  <c r="N35" i="2"/>
  <c r="T34" i="2"/>
  <c r="N34" i="2"/>
  <c r="T33" i="2"/>
  <c r="N33" i="2"/>
  <c r="N27" i="2"/>
  <c r="N26" i="2"/>
  <c r="AD25" i="2"/>
  <c r="AE25" i="2" s="1"/>
  <c r="N25" i="2"/>
  <c r="AD24" i="2"/>
  <c r="AE24" i="2" s="1"/>
  <c r="N24" i="2"/>
  <c r="N23" i="2"/>
  <c r="N22" i="2"/>
  <c r="AE21" i="2"/>
  <c r="Z21" i="2"/>
  <c r="N21" i="2"/>
  <c r="AE20" i="2"/>
  <c r="Z20" i="2"/>
  <c r="AE19" i="2"/>
  <c r="Z19" i="2"/>
  <c r="AE18" i="2"/>
  <c r="Z18" i="2"/>
  <c r="AE17" i="2"/>
  <c r="Z17" i="2"/>
  <c r="N15" i="2"/>
  <c r="N14" i="2"/>
  <c r="N13" i="2"/>
  <c r="N12" i="2"/>
  <c r="S11" i="2"/>
  <c r="N11" i="2"/>
  <c r="F30" i="2"/>
  <c r="S10" i="2"/>
  <c r="N10" i="2"/>
  <c r="F29" i="2"/>
  <c r="S9" i="2"/>
  <c r="N9" i="2"/>
  <c r="F28" i="2"/>
  <c r="S8" i="2"/>
  <c r="N8" i="2"/>
  <c r="F27" i="2"/>
  <c r="S7" i="2"/>
  <c r="N7" i="2"/>
  <c r="AF6" i="2"/>
  <c r="F26" i="2"/>
  <c r="S6" i="2"/>
  <c r="N6" i="2"/>
  <c r="AF5" i="2"/>
  <c r="F25" i="2"/>
  <c r="S5" i="2"/>
  <c r="N5" i="2"/>
  <c r="AF4" i="2"/>
  <c r="F24" i="2"/>
  <c r="S4" i="2"/>
  <c r="N4" i="2"/>
  <c r="AE22" i="2" l="1"/>
  <c r="M61" i="2"/>
  <c r="Z22" i="2"/>
  <c r="N16" i="2"/>
  <c r="F31" i="2"/>
  <c r="N28" i="2"/>
  <c r="AF7" i="2"/>
  <c r="T37" i="2"/>
  <c r="S12" i="2"/>
  <c r="N40" i="2"/>
  <c r="M62" i="2"/>
  <c r="E9" i="8" l="1"/>
  <c r="F9" i="8" l="1"/>
  <c r="I19" i="6" s="1"/>
  <c r="K19" i="6" s="1"/>
  <c r="G17" i="11" l="1"/>
  <c r="K24" i="6" l="1"/>
  <c r="G15" i="11" l="1"/>
  <c r="G19" i="11" s="1"/>
  <c r="I6" i="6" s="1"/>
  <c r="N8" i="6"/>
  <c r="K8" i="6" l="1"/>
  <c r="K7" i="6"/>
  <c r="N9" i="6"/>
  <c r="N10" i="6"/>
  <c r="I31" i="6"/>
  <c r="K31" i="6" s="1"/>
  <c r="I28" i="6"/>
  <c r="K28" i="6" s="1"/>
  <c r="K10" i="6"/>
  <c r="K18" i="6"/>
  <c r="K17" i="6"/>
  <c r="K6" i="6" l="1"/>
  <c r="K12" i="6"/>
  <c r="C27" i="11"/>
  <c r="K4" i="6"/>
  <c r="E17" i="12" l="1"/>
  <c r="I30" i="6" s="1"/>
  <c r="K30" i="6" s="1"/>
  <c r="C28" i="11"/>
  <c r="D10" i="6" s="1"/>
  <c r="K5" i="6"/>
  <c r="K27" i="6"/>
  <c r="I29" i="6"/>
  <c r="K29" i="6" s="1"/>
  <c r="I26" i="6"/>
  <c r="K26" i="6" s="1"/>
  <c r="I9" i="6" l="1"/>
  <c r="K9" i="6" s="1"/>
  <c r="G34" i="11"/>
  <c r="G36" i="11" s="1"/>
  <c r="C29" i="11"/>
  <c r="G41" i="11" s="1"/>
  <c r="G42" i="11" s="1"/>
  <c r="D34" i="11"/>
  <c r="D36" i="11" s="1"/>
  <c r="E34" i="11"/>
  <c r="E36" i="11" s="1"/>
  <c r="F34" i="11"/>
  <c r="F36" i="11" s="1"/>
  <c r="I34" i="11"/>
  <c r="J34" i="11"/>
  <c r="J36" i="11" s="1"/>
  <c r="C34" i="11"/>
  <c r="H34" i="11"/>
  <c r="E41" i="11"/>
  <c r="H15" i="11" l="1"/>
  <c r="H17" i="11"/>
  <c r="H16" i="11"/>
  <c r="Z67" i="6" s="1"/>
  <c r="D41" i="11"/>
  <c r="D42" i="11" s="1"/>
  <c r="D31" i="10"/>
  <c r="D32" i="10" s="1"/>
  <c r="Z55" i="6" s="1"/>
  <c r="C16" i="16" s="1"/>
  <c r="K37" i="6"/>
  <c r="K38" i="6"/>
  <c r="H41" i="11"/>
  <c r="C41" i="11"/>
  <c r="F41" i="11"/>
  <c r="F42" i="11" s="1"/>
  <c r="J41" i="11"/>
  <c r="J42" i="11" s="1"/>
  <c r="I41" i="11"/>
  <c r="H18" i="11"/>
  <c r="Z65" i="6" s="1"/>
  <c r="C36" i="11"/>
  <c r="K34" i="11"/>
  <c r="E42" i="11"/>
  <c r="I36" i="11"/>
  <c r="H36" i="11"/>
  <c r="Z66" i="6" l="1"/>
  <c r="Z81" i="6"/>
  <c r="D28" i="17"/>
  <c r="D27" i="17"/>
  <c r="K36" i="6"/>
  <c r="D34" i="10"/>
  <c r="K39" i="6"/>
  <c r="Z17" i="6"/>
  <c r="Z14" i="6"/>
  <c r="Z18" i="6"/>
  <c r="Z15" i="6"/>
  <c r="I42" i="11"/>
  <c r="K36" i="11"/>
  <c r="K41" i="11"/>
  <c r="H42" i="11"/>
  <c r="C42" i="11"/>
  <c r="K42" i="11" l="1"/>
  <c r="I22" i="6"/>
  <c r="K22" i="6" s="1"/>
  <c r="K21" i="6"/>
  <c r="K34" i="6" l="1"/>
  <c r="K35" i="6" s="1"/>
  <c r="Z50" i="6" l="1"/>
  <c r="Z51" i="6" s="1"/>
  <c r="AA51" i="6" s="1"/>
  <c r="Z44" i="6"/>
  <c r="Z77" i="6"/>
  <c r="Z58" i="6"/>
  <c r="Z73" i="6"/>
  <c r="Z70" i="6"/>
  <c r="Z45" i="6"/>
  <c r="Z46" i="6"/>
  <c r="Z37" i="6"/>
  <c r="Z47" i="6" s="1"/>
  <c r="Z13" i="6"/>
  <c r="Z16" i="6"/>
  <c r="Z7" i="6"/>
  <c r="Z8" i="6" s="1"/>
  <c r="Z30" i="6"/>
  <c r="Z31" i="6"/>
  <c r="Z32" i="6"/>
  <c r="Z23" i="6"/>
  <c r="Z33" i="6" s="1"/>
  <c r="Z78" i="6" l="1"/>
  <c r="Z80" i="6" s="1"/>
  <c r="Z74" i="6"/>
  <c r="Z71" i="6"/>
  <c r="Z59" i="6"/>
  <c r="Z62" i="6" s="1"/>
  <c r="Z63" i="6" s="1"/>
  <c r="Z38" i="6"/>
  <c r="Z10" i="6"/>
  <c r="Z11" i="6" s="1"/>
  <c r="Z24" i="6"/>
  <c r="Z26" i="6" l="1"/>
  <c r="G3" i="16" s="1"/>
  <c r="AA27" i="6"/>
  <c r="AA26" i="6"/>
  <c r="Z40" i="6"/>
  <c r="Z27" i="6"/>
  <c r="Z42" i="6" l="1"/>
  <c r="Z28" i="6"/>
  <c r="G5" i="16"/>
  <c r="G4" i="16"/>
  <c r="G6" i="16"/>
  <c r="G7" i="16"/>
  <c r="C15" i="16" l="1"/>
  <c r="F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Am</author>
  </authors>
  <commentList>
    <comment ref="B3" authorId="0" shapeId="0" xr:uid="{43CE24F2-8037-45FD-8E56-05C16C3F5F59}">
      <text>
        <r>
          <rPr>
            <b/>
            <sz val="9"/>
            <color indexed="81"/>
            <rFont val="Tahoma"/>
            <charset val="1"/>
          </rPr>
          <t>Louise Am:</t>
        </r>
        <r>
          <rPr>
            <sz val="9"/>
            <color indexed="81"/>
            <rFont val="Tahoma"/>
            <charset val="1"/>
          </rPr>
          <t xml:space="preserve">
Demander à Boisard</t>
        </r>
      </text>
    </comment>
    <comment ref="B4" authorId="0" shapeId="0" xr:uid="{DE19AA21-248F-4D50-88CF-E4A94A7CDEB2}">
      <text>
        <r>
          <rPr>
            <b/>
            <sz val="9"/>
            <color indexed="81"/>
            <rFont val="Tahoma"/>
            <charset val="1"/>
          </rPr>
          <t>Louise Am:</t>
        </r>
        <r>
          <rPr>
            <sz val="9"/>
            <color indexed="81"/>
            <rFont val="Tahoma"/>
            <charset val="1"/>
          </rPr>
          <t xml:space="preserve">
Boisard
</t>
        </r>
      </text>
    </comment>
  </commentList>
</comments>
</file>

<file path=xl/sharedStrings.xml><?xml version="1.0" encoding="utf-8"?>
<sst xmlns="http://schemas.openxmlformats.org/spreadsheetml/2006/main" count="1738" uniqueCount="1151">
  <si>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</si>
  <si>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</si>
  <si>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</si>
  <si>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</si>
  <si>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</si>
  <si>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</si>
  <si>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</si>
  <si>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</si>
  <si>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</si>
  <si>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</si>
  <si>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</si>
  <si>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</si>
  <si>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</si>
  <si>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</si>
  <si>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</si>
  <si>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Description</t>
  </si>
  <si>
    <t>Cost</t>
  </si>
  <si>
    <t>Electricity</t>
  </si>
  <si>
    <t>2D Laser cut</t>
  </si>
  <si>
    <t>Maintenance</t>
  </si>
  <si>
    <t xml:space="preserve">Electricity </t>
  </si>
  <si>
    <t>Welding</t>
  </si>
  <si>
    <t xml:space="preserve">Description </t>
  </si>
  <si>
    <t>Operator</t>
  </si>
  <si>
    <t>Category</t>
  </si>
  <si>
    <t>Metrology</t>
  </si>
  <si>
    <t>Inside micrometer</t>
  </si>
  <si>
    <t>Indicator</t>
  </si>
  <si>
    <t>Profile projector</t>
  </si>
  <si>
    <t>Internet/phone access</t>
  </si>
  <si>
    <t>Office furniture</t>
  </si>
  <si>
    <t>Fume extractor</t>
  </si>
  <si>
    <t>Manufacturing</t>
  </si>
  <si>
    <t>General Data</t>
  </si>
  <si>
    <t>Value</t>
  </si>
  <si>
    <t>Technician</t>
  </si>
  <si>
    <t>Engineer</t>
  </si>
  <si>
    <t xml:space="preserve">Time </t>
  </si>
  <si>
    <t>Hours/week</t>
  </si>
  <si>
    <t>Week/year</t>
  </si>
  <si>
    <t>Base OPE</t>
  </si>
  <si>
    <t xml:space="preserve">VF-3SSYT </t>
  </si>
  <si>
    <t>https://www.haascnc.com/machines/vertical-mills/vf-series/models/medium/vf-3ssyt.html</t>
  </si>
  <si>
    <t>122Nm @ 2000rpm</t>
  </si>
  <si>
    <t>Max cutting speed</t>
  </si>
  <si>
    <t>21.2m/min</t>
  </si>
  <si>
    <t>13723N</t>
  </si>
  <si>
    <t>Coolant</t>
  </si>
  <si>
    <t>Rocol Ultra cut  250+</t>
  </si>
  <si>
    <t>Prix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</si>
  <si>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</si>
  <si>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</si>
  <si>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</si>
  <si>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</si>
  <si>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</si>
  <si>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</si>
  <si>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</si>
  <si>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</si>
  <si>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https://www.baileigh.com/cnc-laser-table-fl-510hd-500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</si>
  <si>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</si>
  <si>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</si>
  <si>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</si>
  <si>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</si>
  <si>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</si>
  <si>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</si>
  <si>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</si>
  <si>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</si>
  <si>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</si>
  <si>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</si>
  <si>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</si>
  <si>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Tool Holder</t>
  </si>
  <si>
    <t>https://www.hoffmann-group.com/FR/fr/hof/Accessoires-machines/Porte-outils/c/30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</si>
  <si>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</si>
  <si>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</si>
  <si>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</si>
  <si>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</si>
  <si>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</si>
  <si>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</si>
  <si>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</si>
  <si>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</si>
  <si>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</si>
  <si>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</si>
  <si>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</si>
  <si>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</si>
  <si>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</si>
  <si>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</si>
  <si>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</si>
  <si>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</si>
  <si>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</si>
  <si>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</si>
  <si>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</si>
  <si>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</si>
  <si>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</si>
  <si>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</si>
  <si>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</si>
  <si>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</si>
  <si>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</si>
  <si>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</si>
  <si>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</si>
  <si>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</si>
  <si>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</si>
  <si>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</si>
  <si>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https://www.juristique.org/social/duree-du-travail</t>
  </si>
  <si>
    <t>Working time</t>
  </si>
  <si>
    <t>Days/year</t>
  </si>
  <si>
    <t>Days of weekend</t>
  </si>
  <si>
    <t>Bank holliday</t>
  </si>
  <si>
    <t>Theoretical worked days</t>
  </si>
  <si>
    <t>Theoretical worked week</t>
  </si>
  <si>
    <t>https://www.kelwatt.fr/guide/prix-electricite-entreprise</t>
  </si>
  <si>
    <t xml:space="preserve">Electricity Subscription </t>
  </si>
  <si>
    <t>Electricity Rate /kWh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</si>
  <si>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</si>
  <si>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</si>
  <si>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</si>
  <si>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</si>
  <si>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</si>
  <si>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</si>
  <si>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</si>
  <si>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</si>
  <si>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</si>
  <si>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</si>
  <si>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</si>
  <si>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</si>
  <si>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</si>
  <si>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</si>
  <si>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</si>
  <si>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</si>
  <si>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</si>
  <si>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</si>
  <si>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</si>
  <si>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</si>
  <si>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/month/user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</si>
  <si>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</si>
  <si>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</si>
  <si>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</si>
  <si>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</si>
  <si>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Orange Document</t>
  </si>
  <si>
    <t>Spec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</si>
  <si>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</si>
  <si>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</si>
  <si>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</si>
  <si>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</si>
  <si>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</si>
  <si>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</si>
  <si>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</si>
  <si>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</si>
  <si>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</si>
  <si>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</si>
  <si>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Source</t>
  </si>
  <si>
    <t>Printer</t>
  </si>
  <si>
    <t>Cost/year</t>
  </si>
  <si>
    <t>3 Axis CNC Mill Direct</t>
  </si>
  <si>
    <t>Milling tool holders</t>
  </si>
  <si>
    <t>Fixtures</t>
  </si>
  <si>
    <t>Variable</t>
  </si>
  <si>
    <t>No</t>
  </si>
  <si>
    <t>Yes</t>
  </si>
  <si>
    <t>Cutting fluid</t>
  </si>
  <si>
    <t>Cutting tools</t>
  </si>
  <si>
    <t xml:space="preserve">Way of costing 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</si>
  <si>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</si>
  <si>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</si>
  <si>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</si>
  <si>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</si>
  <si>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</si>
  <si>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</si>
  <si>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</si>
  <si>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Gaz</t>
  </si>
  <si>
    <t>https://www.orexad.com/fr/projecteur-de-profil-pj-h30/p-G1213001821</t>
  </si>
  <si>
    <t>Profil projector</t>
  </si>
  <si>
    <t>510x342 mm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</si>
  <si>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</si>
  <si>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</si>
  <si>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</si>
  <si>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</si>
  <si>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</si>
  <si>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</si>
  <si>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</si>
  <si>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Setup time (fixture and tools) (min)</t>
  </si>
  <si>
    <t>People efficiency</t>
  </si>
  <si>
    <t>Sum</t>
  </si>
  <si>
    <t>CNC mill</t>
  </si>
  <si>
    <t>Welding/Assembly</t>
  </si>
  <si>
    <t>Total</t>
  </si>
  <si>
    <t xml:space="preserve">Shopfloor allocation </t>
  </si>
  <si>
    <t>Maintenance manwork cost</t>
  </si>
  <si>
    <t>Manwork</t>
  </si>
  <si>
    <t>Maintenance manwork</t>
  </si>
  <si>
    <t>Power consumption (kW)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</si>
  <si>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</si>
  <si>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</si>
  <si>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</si>
  <si>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</si>
  <si>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</si>
  <si>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</si>
  <si>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</si>
  <si>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</si>
  <si>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</si>
  <si>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</si>
  <si>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</si>
  <si>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</si>
  <si>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</si>
  <si>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</si>
  <si>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</si>
  <si>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</si>
  <si>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 xml:space="preserve"> Cost of Setup + cleaning</t>
  </si>
  <si>
    <t>Yearly fixed cost of machine</t>
  </si>
  <si>
    <t>Fixed cost of machine / hour</t>
  </si>
  <si>
    <t>Cost of machine/hour running</t>
  </si>
  <si>
    <t>https://www.francebureau.com/media/catalogue-mobilier/bureau-modulaire-kibo.pdf</t>
  </si>
  <si>
    <t xml:space="preserve">Angle worktable </t>
  </si>
  <si>
    <t>Drawer</t>
  </si>
  <si>
    <t>Direction worktable</t>
  </si>
  <si>
    <t>https://www.francebureau.com/media/catalogue-mobilier/bureau-direction-etretat.pdf</t>
  </si>
  <si>
    <t>Meeting table</t>
  </si>
  <si>
    <t>https://www.francebureau.com/media/catalogue-mobilier/table-reunion-modulable-arc-reunion.pdf</t>
  </si>
  <si>
    <t>Chair</t>
  </si>
  <si>
    <t>https://www.francebureau.com/alto-16.html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</si>
  <si>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</si>
  <si>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</si>
  <si>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</si>
  <si>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</si>
  <si>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</si>
  <si>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</si>
  <si>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</si>
  <si>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</si>
  <si>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</si>
  <si>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</si>
  <si>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Energies</t>
  </si>
  <si>
    <t>Others</t>
  </si>
  <si>
    <t>Worktable &amp; office storage</t>
  </si>
  <si>
    <t>Fixed Cost</t>
  </si>
  <si>
    <t>Manpower cost</t>
  </si>
  <si>
    <t>Operator cost/hour</t>
  </si>
  <si>
    <t>Engineer cost/hour</t>
  </si>
  <si>
    <t>Cost of measuring part Operator (€/mm^3)</t>
  </si>
  <si>
    <t>Cost of measuring part Technician(€/mm^3)</t>
  </si>
  <si>
    <t>Cost of measuring part Engineer (€/mm^3)</t>
  </si>
  <si>
    <t>Technician cost/hour</t>
  </si>
  <si>
    <t xml:space="preserve">Mild Steel </t>
  </si>
  <si>
    <t>Thickness (mm)</t>
  </si>
  <si>
    <t>mm/min</t>
  </si>
  <si>
    <t>Stainless</t>
  </si>
  <si>
    <t>Aluminium</t>
  </si>
  <si>
    <t>Setup time (min)</t>
  </si>
  <si>
    <t>Other specific tools (scribing tool, eletrical pliers, simple measuring tools, …)</t>
  </si>
  <si>
    <t>Consumables (saw blades, drill bits, taps, abrasives, …)</t>
  </si>
  <si>
    <t>https://www.baileigh.com/variable-speed-drill-press-dp-1200vs</t>
  </si>
  <si>
    <t>Drill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</si>
  <si>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</si>
  <si>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</si>
  <si>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</si>
  <si>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</si>
  <si>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</si>
  <si>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</si>
  <si>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</si>
  <si>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</si>
  <si>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</si>
  <si>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</si>
  <si>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</si>
  <si>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</si>
  <si>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</si>
  <si>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boxes</t>
  </si>
  <si>
    <t>https://www.orexad.com/fr/bac-rako/p-G1383000092</t>
  </si>
  <si>
    <t>Depreciation time (year)</t>
  </si>
  <si>
    <t>Phone/mobile phone</t>
  </si>
  <si>
    <t>Industrial hoover</t>
  </si>
  <si>
    <t>https://www.manutan.fr/fr/maf/aspirateur-eau-et-poussieres-nt-70-2-me-tc-karcher</t>
  </si>
  <si>
    <t>Disc and belt grinder</t>
  </si>
  <si>
    <t>https://www.manutan.fr/fr/maf/ponceuse-combinee-disque-bande-jsg-233-promac-230-v</t>
  </si>
  <si>
    <t>https://www.manutan.fr/fr/maf/etau-magnat</t>
  </si>
  <si>
    <t>Conventionnal machining</t>
  </si>
  <si>
    <t>Oxygen 45CFM@90PSI</t>
  </si>
  <si>
    <t>https://www.cedeo.fr/p/outillage-et-equipements/oxygene-grande-bouteille-10-6m3-ref-g110-i1001l50r2a001-A1204487</t>
  </si>
  <si>
    <t>http://www.eau-direct.fr/gestion/prix.html</t>
  </si>
  <si>
    <t>Water (60m^3)</t>
  </si>
  <si>
    <t>Neutral gas : Argon, quality 2.2</t>
  </si>
  <si>
    <t>Consumption for exhaust system (unity = bottles)</t>
  </si>
  <si>
    <t>Lenght of welding for exhaust system (m)</t>
  </si>
  <si>
    <t>Price (€/m)</t>
  </si>
  <si>
    <t>Price (€/kg, HT)</t>
  </si>
  <si>
    <t>Consumption (m of metal rod / m of welding)</t>
  </si>
  <si>
    <t>Acier 25CD4</t>
  </si>
  <si>
    <t>https://www.metalaladecoupe.com/francais/toles.asp?tbout=acier</t>
  </si>
  <si>
    <t>Acier S235</t>
  </si>
  <si>
    <t>Plaque</t>
  </si>
  <si>
    <t>Retours La Mache usinage</t>
  </si>
  <si>
    <t>Retours La Mache laser toles</t>
  </si>
  <si>
    <t>Type</t>
  </si>
  <si>
    <t>Volume (mm^3)</t>
  </si>
  <si>
    <t>Prix (/kg)</t>
  </si>
  <si>
    <t>Densité (kg/mm^3)</t>
  </si>
  <si>
    <t>Brut 2017A</t>
  </si>
  <si>
    <t>S235</t>
  </si>
  <si>
    <t>Rond plein 2017A</t>
  </si>
  <si>
    <t>S355</t>
  </si>
  <si>
    <t>Rond plein S355J2</t>
  </si>
  <si>
    <t>S700</t>
  </si>
  <si>
    <t>Brut S235</t>
  </si>
  <si>
    <t>AU4G A4</t>
  </si>
  <si>
    <t>Brut Alu 7075T6</t>
  </si>
  <si>
    <t>Rond plein Alu 7075T6</t>
  </si>
  <si>
    <t>Welding (set up, Tack welding, welding and verification)</t>
  </si>
  <si>
    <t>Welding speed (min/m)</t>
  </si>
  <si>
    <t>Conventionnal milling machine</t>
  </si>
  <si>
    <t>https://www.machineseeker.fr/mss/schaublin+13</t>
  </si>
  <si>
    <t>https://www.surplex.com/fr/vente/c/tours-paralleles-4340.html</t>
  </si>
  <si>
    <t>Convetionnal mill and basic tooling</t>
  </si>
  <si>
    <t>Conventionnal Lathe and basic tooling</t>
  </si>
  <si>
    <t xml:space="preserve">Conventionnal turning machine </t>
  </si>
  <si>
    <t>3 % of initial cost /year</t>
  </si>
  <si>
    <t xml:space="preserve">Cutting tools </t>
  </si>
  <si>
    <t>Welder cost/hour</t>
  </si>
  <si>
    <t>Manwork availability (95%) /year (hrs)</t>
  </si>
  <si>
    <t>Fixed cost (5% of the time)</t>
  </si>
  <si>
    <t>Tool holders and fixtures</t>
  </si>
  <si>
    <t>Manpower part of machining cost</t>
  </si>
  <si>
    <t>Sum of fixed cost/year (+5% extra equipment integrated)</t>
  </si>
  <si>
    <t xml:space="preserve">Milling </t>
  </si>
  <si>
    <t>Removal rate (for Aluminium) (min/mm^3)</t>
  </si>
  <si>
    <t>Removal rate (for aluminium) (include measuring) (min/mm^3)</t>
  </si>
  <si>
    <t>Forklift</t>
  </si>
  <si>
    <t>https://www.orexad.com/fr/transpalette-galvanise-2-5t/p-G3019000006</t>
  </si>
  <si>
    <t>Industrial Hoovers</t>
  </si>
  <si>
    <t>Measurement column</t>
  </si>
  <si>
    <t>5% of manwork OPE on shopfloor</t>
  </si>
  <si>
    <t>https://www.acier-detail-decoupe.fr/45-aluminium#/alliage-2017a</t>
  </si>
  <si>
    <t>diam ext (mm)</t>
  </si>
  <si>
    <t>diamètre int (mm)</t>
  </si>
  <si>
    <t>Prix (/m) TTC</t>
  </si>
  <si>
    <t>Prix volumique (€/mm^3) TTC</t>
  </si>
  <si>
    <t>http://www.blockenstock.fr/tube-6060-t6-c102x2607947</t>
  </si>
  <si>
    <t>Prix volumique (€/mm^3) HT</t>
  </si>
  <si>
    <t>Moyenne 2017A</t>
  </si>
  <si>
    <t>Plastic Delrin</t>
  </si>
  <si>
    <t>Prix (€/m^2)</t>
  </si>
  <si>
    <t>https://plastique-en-ligne.com/Plaques/POM-C</t>
  </si>
  <si>
    <t>Programation time (min)</t>
  </si>
  <si>
    <t>Measuring time (min)</t>
  </si>
  <si>
    <t>Cost per year</t>
  </si>
  <si>
    <t>Overhead Summary</t>
  </si>
  <si>
    <t>Manufacturing Summary</t>
  </si>
  <si>
    <t xml:space="preserve">Manpower </t>
  </si>
  <si>
    <t>Data for working time</t>
  </si>
  <si>
    <t>Other</t>
  </si>
  <si>
    <t>Workforce allocation</t>
  </si>
  <si>
    <t>incl tax</t>
  </si>
  <si>
    <t>excl tax</t>
  </si>
  <si>
    <t>Water</t>
  </si>
  <si>
    <t>Price (€) (incl tax)</t>
  </si>
  <si>
    <t>Price (€) (excl tax)</t>
  </si>
  <si>
    <t>Categories</t>
  </si>
  <si>
    <t>Softwares</t>
  </si>
  <si>
    <t>Printing</t>
  </si>
  <si>
    <t>Computer</t>
  </si>
  <si>
    <t>Accessories</t>
  </si>
  <si>
    <t>Internet access</t>
  </si>
  <si>
    <t>Phones</t>
  </si>
  <si>
    <t>Tool cabinet</t>
  </si>
  <si>
    <t xml:space="preserve">Organising </t>
  </si>
  <si>
    <t>Cleaning</t>
  </si>
  <si>
    <t>Shelves without door</t>
  </si>
  <si>
    <t>Shelves with door</t>
  </si>
  <si>
    <t>Minimal Wage in France</t>
  </si>
  <si>
    <t xml:space="preserve">https://travail-emploi.gouv.fr/droit-du-travail/la-remuneration/article/le-smic-montants-en-vigueur-a-compter-du-1er-janvier-2021 </t>
  </si>
  <si>
    <t>Wage cost calculation for the company</t>
  </si>
  <si>
    <t>https://www.service-public.fr/professionnels-entreprises/vosdroits/services-en-ligne-et-formulaires/simulateur-cout-embauche</t>
  </si>
  <si>
    <t>French labour law impose this minimal rate to earn the min wage</t>
  </si>
  <si>
    <t>Total of week per year without, holiday, bank  holiday…</t>
  </si>
  <si>
    <t>It is a prototyping company, soit does not run nonstop. 
6%: maintenance and cleaning of shop floor</t>
  </si>
  <si>
    <t xml:space="preserve">People cannot be working nonstop. </t>
  </si>
  <si>
    <t xml:space="preserve">VAT </t>
  </si>
  <si>
    <t>Euro to Dollar Rate</t>
  </si>
  <si>
    <t>Administrative Workforce</t>
  </si>
  <si>
    <t>Operative Workforce</t>
  </si>
  <si>
    <t>French VAT</t>
  </si>
  <si>
    <t>The 13/05/2021 rate</t>
  </si>
  <si>
    <t>Welder Wages in France</t>
  </si>
  <si>
    <t>https://www.reconversionprofessionnelle.org/salaire-soudeur/</t>
  </si>
  <si>
    <t>Documentation Sources</t>
  </si>
  <si>
    <t>Manpower Cost</t>
  </si>
  <si>
    <t>Staffing</t>
  </si>
  <si>
    <t>Yearly wage cost for the company (total)</t>
  </si>
  <si>
    <t>Welder</t>
  </si>
  <si>
    <t>Sales/Administratives</t>
  </si>
  <si>
    <t xml:space="preserve">Grades in automobile sector </t>
  </si>
  <si>
    <t>https://www.services-automobile.fr/sites/default/files/2018-04/Convention%20collective%20-%20Chapitre%20III.pdf</t>
  </si>
  <si>
    <t>Engineer - Grade II</t>
  </si>
  <si>
    <t>https://www.services-automobile.fr/sites/default/files/2018-04/Convention%20collective%20-%20Chapitre%20V.pdf</t>
  </si>
  <si>
    <t>https://www.services-automobile.fr/sites/default/files/2020-11/1.4%20-%20Chap.III%20bis%20-%20V29_0.pdf</t>
  </si>
  <si>
    <t>Technician - Grade 23</t>
  </si>
  <si>
    <t>Month wage (gross)</t>
  </si>
  <si>
    <t>Payed holliday (5 W) and payed leave (2,5 D)</t>
  </si>
  <si>
    <t>Operator - Grade 9
Welder</t>
  </si>
  <si>
    <t>Operator - Grade 4 
(Laser cutting, bending and painting)</t>
  </si>
  <si>
    <t>Equipements</t>
  </si>
  <si>
    <t>https://lastafelshop.com/product/welding-table-4000-x-2000-complete/?lang=en</t>
  </si>
  <si>
    <t>https://lastafelshop.com/product/starter-packet-big/?lang=en</t>
  </si>
  <si>
    <t>https://fireballtool.com/magic-pack-plus/</t>
  </si>
  <si>
    <t xml:space="preserve">Clamping devices </t>
  </si>
  <si>
    <t>complete pack</t>
  </si>
  <si>
    <t>Squares</t>
  </si>
  <si>
    <t>4000x2000 + adjustable height</t>
  </si>
  <si>
    <t>Welding table</t>
  </si>
  <si>
    <t>Material</t>
  </si>
  <si>
    <t>Provider</t>
  </si>
  <si>
    <t>Price for one bottle (€ HT)</t>
  </si>
  <si>
    <t>Consumption (unity = bottles/year)</t>
  </si>
  <si>
    <t>Conversations with our partner La Giraudière</t>
  </si>
  <si>
    <t>Radius (mm)</t>
  </si>
  <si>
    <t>Weight by welding rod (kg/m)</t>
  </si>
  <si>
    <t>Conversation with our partners (Bery Inox and La Giraudière)</t>
  </si>
  <si>
    <t>Metal rod : Ø ??? mm TIG acier 35CrMo4</t>
  </si>
  <si>
    <t>Conversations with our partner Bery Inox</t>
  </si>
  <si>
    <t>Longueur tube (m)</t>
  </si>
  <si>
    <t>Diamètre tube (mm)</t>
  </si>
  <si>
    <t>Longueur à souder (m)</t>
  </si>
  <si>
    <t>Price of welding metal (€/m, HT)</t>
  </si>
  <si>
    <t>Prix soudure tube total (€ HT)</t>
  </si>
  <si>
    <t>Prix cintrage total (€ HT)</t>
  </si>
  <si>
    <t>Prix peinture total</t>
  </si>
  <si>
    <t xml:space="preserve">Moveable head Indicator </t>
  </si>
  <si>
    <t>Machining</t>
  </si>
  <si>
    <t>Unit of price</t>
  </si>
  <si>
    <t>Total (incl taxe)</t>
  </si>
  <si>
    <t>Need depreciation</t>
  </si>
  <si>
    <t>/year</t>
  </si>
  <si>
    <t>/year/user</t>
  </si>
  <si>
    <t>Comments</t>
  </si>
  <si>
    <t xml:space="preserve">2 license </t>
  </si>
  <si>
    <t>2 PC for CAD</t>
  </si>
  <si>
    <t>1 (always useful)</t>
  </si>
  <si>
    <t>1 for the only laptop</t>
  </si>
  <si>
    <t>6 for the 6 computers</t>
  </si>
  <si>
    <t>x1</t>
  </si>
  <si>
    <t>x3</t>
  </si>
  <si>
    <t>x2</t>
  </si>
  <si>
    <t xml:space="preserve"> 2 standard line, one mobile</t>
  </si>
  <si>
    <t>x4</t>
  </si>
  <si>
    <t>Printer A3/A4/… Scan/Fax…</t>
  </si>
  <si>
    <t>x5 (= technician + engineer + operators )</t>
  </si>
  <si>
    <t>Computers and accessories</t>
  </si>
  <si>
    <t>Printer consumable (4000 A4pages B&amp;W, 1600 A4pages Colors, A4x5000, A3x2000)</t>
  </si>
  <si>
    <t>x10</t>
  </si>
  <si>
    <t>IT&amp;Office</t>
  </si>
  <si>
    <t>Tooling</t>
  </si>
  <si>
    <t>Drill</t>
  </si>
  <si>
    <t>Makita 18V Drilling machine + batteries</t>
  </si>
  <si>
    <t>https://www.manomano.fr/p/perceuse-visseuse-18-v-li-ion-4-ah-13-mm-3-batteriesmakita-ddf482rm3j-1442275</t>
  </si>
  <si>
    <t>Nail gun</t>
  </si>
  <si>
    <t>Makita 18V Pin Nailer</t>
  </si>
  <si>
    <t>https://www.manomano.fr/p/cloueuse-sans-fil-2-batteries-makita-dbn600rtj-1-pcs-10186275</t>
  </si>
  <si>
    <t>Sander</t>
  </si>
  <si>
    <t>Makita 310W Orbital Sander</t>
  </si>
  <si>
    <t>https://www.manomano.fr/p/ponceuse-excentrique-310w-150mm-dans-makpac-makita-bo6030j-19544979?model_id=50464</t>
  </si>
  <si>
    <t>JigSaw</t>
  </si>
  <si>
    <t>Makita 720W JigSaw</t>
  </si>
  <si>
    <t>https://www.manomano.fr/p/scie-sauteuse-pendulaire-4351fctk-makita-28080</t>
  </si>
  <si>
    <t>Air Compressor</t>
  </si>
  <si>
    <t>Michelin Air Compressor 270L</t>
  </si>
  <si>
    <t>https://www.manomano.fr/catalogue/p/michelin-compresseur-270-litres-75-cv-14bars-19634090?model_id=19632092</t>
  </si>
  <si>
    <t>Roller for resin</t>
  </si>
  <si>
    <t>Combined roller Aluminium - D15 X140</t>
  </si>
  <si>
    <t>https://ecomposites.fr/outillage/107-ebulleur-aluminium-combine-d15-x140.html</t>
  </si>
  <si>
    <t>Combined roller Aluminium - D45 X70</t>
  </si>
  <si>
    <t>https://ecomposites.fr/outillage/53-ebulleur-combine-d45x70.html</t>
  </si>
  <si>
    <t>Kit for resin application</t>
  </si>
  <si>
    <t>Brush + rollers + gloves</t>
  </si>
  <si>
    <t>https://ecomposites.fr/les-kits/86-kit-resine-gelcoat.html</t>
  </si>
  <si>
    <t>Spray gun</t>
  </si>
  <si>
    <t>https://www.esska.fr/shop/Pistolet-pulverisateur-a-2-composants-pilote-mixte-N-melange-exterieur--762432000003-8820?hlid=762432000103</t>
  </si>
  <si>
    <t>CNC Mill</t>
  </si>
  <si>
    <t>Spray station</t>
  </si>
  <si>
    <t>All resin types</t>
  </si>
  <si>
    <t>https://www.esska.fr/shop/Unite-de-pulverisation-de-fibres-avec-bras-de-mixage-externe-et-chassis-elargi--ipsb-8000-4880</t>
  </si>
  <si>
    <t>Woodworking station</t>
  </si>
  <si>
    <t>Leman 6 operations</t>
  </si>
  <si>
    <t>https://www.outillage2000.com/machines-a-bois/combines-a-bois/combinee-leman-6-operations-mono-4722.html</t>
  </si>
  <si>
    <t>Resin</t>
  </si>
  <si>
    <t>Fiber fabric</t>
  </si>
  <si>
    <t>Energy Consumption</t>
  </si>
  <si>
    <t>Subscription</t>
  </si>
  <si>
    <t>kVA</t>
  </si>
  <si>
    <t>Power needed</t>
  </si>
  <si>
    <t>Subscription total</t>
  </si>
  <si>
    <t>Price</t>
  </si>
  <si>
    <t>Water price</t>
  </si>
  <si>
    <r>
      <t>€/m</t>
    </r>
    <r>
      <rPr>
        <vertAlign val="superscript"/>
        <sz val="11"/>
        <color theme="1"/>
        <rFont val="Calibri"/>
        <family val="2"/>
        <scheme val="minor"/>
      </rPr>
      <t>3</t>
    </r>
  </si>
  <si>
    <t>€/kVA (escl tax)</t>
  </si>
  <si>
    <t>€ (escl tax)</t>
  </si>
  <si>
    <t>€/kWh (escl tax)</t>
  </si>
  <si>
    <t>Hourly Wage (€/h/employee)</t>
  </si>
  <si>
    <t>Time of the Welding (h)</t>
  </si>
  <si>
    <t>Overall Welding cost (€ HT)</t>
  </si>
  <si>
    <t>Vice</t>
  </si>
  <si>
    <t>Manufacturing tools</t>
  </si>
  <si>
    <t>Machinery</t>
  </si>
  <si>
    <t>Power (kW)</t>
  </si>
  <si>
    <t>For the brackets</t>
  </si>
  <si>
    <t>For the raw material</t>
  </si>
  <si>
    <t>Manufacturing tools (Band Saw, Drill, Metal bender, belt and disc grinder, Vise, forklift…)</t>
  </si>
  <si>
    <t>Roller Cabinet (3 V3 and 3 V5)</t>
  </si>
  <si>
    <t>Cost (incl tax)</t>
  </si>
  <si>
    <t>Shopfloor organisation equipement (locker, shelves, drawer…)</t>
  </si>
  <si>
    <r>
      <t>Water rate/m</t>
    </r>
    <r>
      <rPr>
        <vertAlign val="superscript"/>
        <sz val="11"/>
        <color theme="1"/>
        <rFont val="Corbel"/>
        <family val="2"/>
      </rPr>
      <t>3</t>
    </r>
  </si>
  <si>
    <t xml:space="preserve">Reference of the CNC Mills </t>
  </si>
  <si>
    <t>Chosen CNC Mill</t>
  </si>
  <si>
    <t>Technical info</t>
  </si>
  <si>
    <t>1016,660,635</t>
  </si>
  <si>
    <t>Rotation per minute (rpm)</t>
  </si>
  <si>
    <t>Travel (x,y,z) (mm)</t>
  </si>
  <si>
    <t>Nominal torque and rpm</t>
  </si>
  <si>
    <t>Max load on axis</t>
  </si>
  <si>
    <t>electrospindle</t>
  </si>
  <si>
    <t>yes</t>
  </si>
  <si>
    <t>x=1372, y=610</t>
  </si>
  <si>
    <t>table dimensions (mm)</t>
  </si>
  <si>
    <t>Coolants references</t>
  </si>
  <si>
    <t>Coolant chosen</t>
  </si>
  <si>
    <t>Price (€ incl tax/L)</t>
  </si>
  <si>
    <t>Consumables</t>
  </si>
  <si>
    <t>Laser Cutter 3D</t>
  </si>
  <si>
    <t>OPE of machine in hours (hours/year)</t>
  </si>
  <si>
    <t>Supervision time required (%)</t>
  </si>
  <si>
    <t>Supervision time  (hours/year)</t>
  </si>
  <si>
    <t>Sum of allocated hours (hrs)</t>
  </si>
  <si>
    <t>Time allocated sufficient (true/false)</t>
  </si>
  <si>
    <t>Operation</t>
  </si>
  <si>
    <t xml:space="preserve">Prior programmation </t>
  </si>
  <si>
    <t>-</t>
  </si>
  <si>
    <t>Laser Cutter 2D</t>
  </si>
  <si>
    <t>OPE (machine programmation + operation)</t>
  </si>
  <si>
    <t>Laser cutter tube Fiber</t>
  </si>
  <si>
    <t>Laser cutter tube C02</t>
  </si>
  <si>
    <t>Revision price</t>
  </si>
  <si>
    <t>(€/year)</t>
  </si>
  <si>
    <t xml:space="preserve">Consumables </t>
  </si>
  <si>
    <t>Water draining</t>
  </si>
  <si>
    <t>Discussion with our partner Noel Métal</t>
  </si>
  <si>
    <t>(€/year) lences, buses…</t>
  </si>
  <si>
    <t>(€/year) (3 days /machine)</t>
  </si>
  <si>
    <t>Programation on the machine</t>
  </si>
  <si>
    <t>Programation time / tube (min)</t>
  </si>
  <si>
    <t>Loading of the machine</t>
  </si>
  <si>
    <t>Cutting</t>
  </si>
  <si>
    <t>Cutting time for little sections (s/cut)</t>
  </si>
  <si>
    <t>Cutting time for big sections (s/cut)</t>
  </si>
  <si>
    <t>Graving time (s)</t>
  </si>
  <si>
    <t>Discussion with our partner Noel Métal (little section &lt;254mm)</t>
  </si>
  <si>
    <t>Loading time if raw &lt; 6m (min)</t>
  </si>
  <si>
    <t>Time (s/tube) if  raw &lt; 6m</t>
  </si>
  <si>
    <t>Loading time if raw &gt; 6m (min)</t>
  </si>
  <si>
    <t>Time (s/tube) if  raw &gt;  6m</t>
  </si>
  <si>
    <t>Cost of operator (€/tube) if  raw &lt; 6m</t>
  </si>
  <si>
    <t>Cost of operator (€/tube) if  raw &gt; 6m</t>
  </si>
  <si>
    <t>Setup time per job (fixture and tools) (min)</t>
  </si>
  <si>
    <t>Qty:40</t>
  </si>
  <si>
    <t>Operating perfomances of the Machine</t>
  </si>
  <si>
    <t>Manufacturing cost : Equipement Costs</t>
  </si>
  <si>
    <t>Need 200L/year</t>
  </si>
  <si>
    <t>200L/year</t>
  </si>
  <si>
    <t>Manufacturing cost: Machinery performances</t>
  </si>
  <si>
    <t>Costs</t>
  </si>
  <si>
    <t>50% engineer</t>
  </si>
  <si>
    <t>Total cost of machine/hour (+ variable costs)</t>
  </si>
  <si>
    <t>Cost of the Machinery</t>
  </si>
  <si>
    <t>Cost of the Process</t>
  </si>
  <si>
    <t>Other costs</t>
  </si>
  <si>
    <t>Programming time and supply order (min/ mm^3) (50% of machining time)</t>
  </si>
  <si>
    <t>Measuring and deflash time (min/ mm^3) (40% of machining time)</t>
  </si>
  <si>
    <t>Prices calculated for aluminium</t>
  </si>
  <si>
    <t>Corrective factor if material = aluminium</t>
  </si>
  <si>
    <t>Corrective factor if material = steel</t>
  </si>
  <si>
    <t>Corrective factor if material = Delrin</t>
  </si>
  <si>
    <t>5 % of initial cost each year</t>
  </si>
  <si>
    <t xml:space="preserve"> Cost of Setup + cleaning </t>
  </si>
  <si>
    <t>System</t>
  </si>
  <si>
    <t>Assembly</t>
  </si>
  <si>
    <t>Part ID</t>
  </si>
  <si>
    <t>Component 
(25 chars max)</t>
  </si>
  <si>
    <t>Comment
(40 chars max)</t>
  </si>
  <si>
    <t>Bought/Made</t>
  </si>
  <si>
    <t>Qty</t>
  </si>
  <si>
    <t>Process</t>
  </si>
  <si>
    <t>DBOM</t>
  </si>
  <si>
    <t>FR</t>
  </si>
  <si>
    <t>FR_A0100</t>
  </si>
  <si>
    <t>Frame / Frame Tubes</t>
  </si>
  <si>
    <t>FR_01001</t>
  </si>
  <si>
    <t>Frame</t>
  </si>
  <si>
    <t>25CrMo4 ; 30*1,5, 25*1,5, 20*15, 15*1,5</t>
  </si>
  <si>
    <t>m</t>
  </si>
  <si>
    <t>25CrMo4</t>
  </si>
  <si>
    <t>FR_A0200</t>
  </si>
  <si>
    <t>Bodywork</t>
  </si>
  <si>
    <t>FR_02001</t>
  </si>
  <si>
    <t>Nose</t>
  </si>
  <si>
    <t>Nose of the bodywork</t>
  </si>
  <si>
    <t>b</t>
  </si>
  <si>
    <t>fibreglass</t>
  </si>
  <si>
    <t>FR_02002</t>
  </si>
  <si>
    <t>Side plates</t>
  </si>
  <si>
    <t>Side plate from the front hoop to main</t>
  </si>
  <si>
    <t>FR_02003</t>
  </si>
  <si>
    <t>Additional plates</t>
  </si>
  <si>
    <t>Lower side plate with holes</t>
  </si>
  <si>
    <t>FR_02004</t>
  </si>
  <si>
    <t>Push-clips</t>
  </si>
  <si>
    <t>Attachement of the nose to the frame</t>
  </si>
  <si>
    <t>FR_02005</t>
  </si>
  <si>
    <t>Hook and loop belts</t>
  </si>
  <si>
    <t>Attachement of the bodywork to the frame</t>
  </si>
  <si>
    <t>FR_A0300</t>
  </si>
  <si>
    <t>Pedal (Accelerator)</t>
  </si>
  <si>
    <t>FR_03001</t>
  </si>
  <si>
    <t>Frame throttle</t>
  </si>
  <si>
    <t>laser cut and solded</t>
  </si>
  <si>
    <t>Acier S355</t>
  </si>
  <si>
    <t>FR_03002</t>
  </si>
  <si>
    <t>Footrest</t>
  </si>
  <si>
    <t>laser cut and bended</t>
  </si>
  <si>
    <t>FR_03003</t>
  </si>
  <si>
    <t>Throttle pedal stick</t>
  </si>
  <si>
    <t>link frame and footrest</t>
  </si>
  <si>
    <t>FR_03004</t>
  </si>
  <si>
    <t>rail</t>
  </si>
  <si>
    <t>allow position adjustment</t>
  </si>
  <si>
    <t>FR_03005</t>
  </si>
  <si>
    <t>rail wedge</t>
  </si>
  <si>
    <t>laser cut</t>
  </si>
  <si>
    <t>FR_03006</t>
  </si>
  <si>
    <t>Throttle Threated Rod</t>
  </si>
  <si>
    <t>to position rails</t>
  </si>
  <si>
    <t>FR_03007</t>
  </si>
  <si>
    <t>Front Rail Wedge</t>
  </si>
  <si>
    <t>FR_03008</t>
  </si>
  <si>
    <t>Negative Mechanical Stop</t>
  </si>
  <si>
    <t>to protect potentiometers</t>
  </si>
  <si>
    <t>FR_03009</t>
  </si>
  <si>
    <t>Positive Mechanical Stop</t>
  </si>
  <si>
    <t>FR_03010</t>
  </si>
  <si>
    <t>Throttle pedal bearing</t>
  </si>
  <si>
    <t>allow soft rotation</t>
  </si>
  <si>
    <t>Bronze</t>
  </si>
  <si>
    <t>FR_03011</t>
  </si>
  <si>
    <t>Springs</t>
  </si>
  <si>
    <t>bring back the pedal</t>
  </si>
  <si>
    <t>Acier</t>
  </si>
  <si>
    <t>FR_03012</t>
  </si>
  <si>
    <t>Potentiometer</t>
  </si>
  <si>
    <t>acquire pedal's angular postition</t>
  </si>
  <si>
    <t>FR_03013</t>
  </si>
  <si>
    <t>Rear Threaded rods</t>
  </si>
  <si>
    <t>to position frame</t>
  </si>
  <si>
    <t>FR_03014</t>
  </si>
  <si>
    <t>Front Threaded rods</t>
  </si>
  <si>
    <t>FR_03015</t>
  </si>
  <si>
    <t>Axle Spacer</t>
  </si>
  <si>
    <t>allow good position</t>
  </si>
  <si>
    <t>4x25HEX_8.8</t>
  </si>
  <si>
    <t>M4x25 Screw</t>
  </si>
  <si>
    <t>4x25CHC_8.8</t>
  </si>
  <si>
    <t>M4 FHC Screw</t>
  </si>
  <si>
    <t>6x30HEX_8.8</t>
  </si>
  <si>
    <t>M6x30 Screw</t>
  </si>
  <si>
    <t>8x30HEX_8.8</t>
  </si>
  <si>
    <t>M8x30 shoulder screw</t>
  </si>
  <si>
    <t>M3_n</t>
  </si>
  <si>
    <t>Washer_M3</t>
  </si>
  <si>
    <t>M4_n</t>
  </si>
  <si>
    <t>Washer_M4</t>
  </si>
  <si>
    <t>M6_n</t>
  </si>
  <si>
    <t>Washer_M6</t>
  </si>
  <si>
    <t>M8_n</t>
  </si>
  <si>
    <t>Washer_M8</t>
  </si>
  <si>
    <t>M4_s_8.8</t>
  </si>
  <si>
    <t>Nut 4x9</t>
  </si>
  <si>
    <t>M6_s_8.8</t>
  </si>
  <si>
    <t>Nut 6x12</t>
  </si>
  <si>
    <t>M8_s_8.8</t>
  </si>
  <si>
    <t>Nut 8x16</t>
  </si>
  <si>
    <t>FR_A0400</t>
  </si>
  <si>
    <t>Pedal (Brake)</t>
  </si>
  <si>
    <t>FR_04001</t>
  </si>
  <si>
    <t>Frame brake</t>
  </si>
  <si>
    <t>FR_04002</t>
  </si>
  <si>
    <t>Brake pedal Stick</t>
  </si>
  <si>
    <t>FR_04003</t>
  </si>
  <si>
    <t>FR_04004</t>
  </si>
  <si>
    <t>Master cylinder</t>
  </si>
  <si>
    <t>pressurize brake liquid</t>
  </si>
  <si>
    <t>FR_04005</t>
  </si>
  <si>
    <t>Master cylinder wedge</t>
  </si>
  <si>
    <t>link master cylinder and stick</t>
  </si>
  <si>
    <t>FR_04006</t>
  </si>
  <si>
    <t>Brake fixing rail</t>
  </si>
  <si>
    <t>FR_04007</t>
  </si>
  <si>
    <t>Brake Fixing Rail Wedge</t>
  </si>
  <si>
    <t>rear wedges</t>
  </si>
  <si>
    <t>FR_04008</t>
  </si>
  <si>
    <t>Front Fixing Rail Wedge</t>
  </si>
  <si>
    <t>front wedges</t>
  </si>
  <si>
    <t>FR_04009</t>
  </si>
  <si>
    <t>Distribution Brake Axle</t>
  </si>
  <si>
    <t>link cylinder to ball joint</t>
  </si>
  <si>
    <t>FR_04010</t>
  </si>
  <si>
    <t>Distribution Axle Tread</t>
  </si>
  <si>
    <t>maintain Brake Axle</t>
  </si>
  <si>
    <t>FR_04011</t>
  </si>
  <si>
    <t>Distribution Cylinder</t>
  </si>
  <si>
    <t>support for ball joint</t>
  </si>
  <si>
    <t>FR_04012</t>
  </si>
  <si>
    <t>Distribution Ball Joint</t>
  </si>
  <si>
    <t>allows rotation</t>
  </si>
  <si>
    <t>FR_04013</t>
  </si>
  <si>
    <t>BOTS Support</t>
  </si>
  <si>
    <t>support the BOTS</t>
  </si>
  <si>
    <t>FR_04014</t>
  </si>
  <si>
    <t>BOTS</t>
  </si>
  <si>
    <t>security if brakes don't work</t>
  </si>
  <si>
    <t>FR_04015</t>
  </si>
  <si>
    <t>Brake Pedal Hose Wedge</t>
  </si>
  <si>
    <t>to maintain brake hose</t>
  </si>
  <si>
    <t>FR_04016</t>
  </si>
  <si>
    <t>link axle and axle thread</t>
  </si>
  <si>
    <t>FR_04017</t>
  </si>
  <si>
    <t>Brake Pedale Bearing</t>
  </si>
  <si>
    <t>FR_04018</t>
  </si>
  <si>
    <t>Brake Threated Rod</t>
  </si>
  <si>
    <t>4x30CHC_8.8</t>
  </si>
  <si>
    <t>6x80HEX_8.8</t>
  </si>
  <si>
    <t>M6x80 Screw</t>
  </si>
  <si>
    <t>M10_s_8.8</t>
  </si>
  <si>
    <t>Nut 10x20</t>
  </si>
  <si>
    <t>FR_A0500</t>
  </si>
  <si>
    <t>Impact Attenuator</t>
  </si>
  <si>
    <t>Approved by event</t>
  </si>
  <si>
    <t>Anti-intrusion Plate</t>
  </si>
  <si>
    <t>Steel, (thickness 1.5mm)</t>
  </si>
  <si>
    <t>FR_A0600</t>
  </si>
  <si>
    <t>Floor Pan</t>
  </si>
  <si>
    <t>FR_05001</t>
  </si>
  <si>
    <t>Front plate</t>
  </si>
  <si>
    <t>Floor pan from front hoop to front car</t>
  </si>
  <si>
    <t>Aluminium 2017 t4</t>
  </si>
  <si>
    <t>FR_06002</t>
  </si>
  <si>
    <t>Cockpit plate</t>
  </si>
  <si>
    <t>Floor pan from front hoop to main hoop</t>
  </si>
  <si>
    <t>4x20CHC_8.8</t>
  </si>
  <si>
    <t>M4 Screw</t>
  </si>
  <si>
    <t>M4 Washer</t>
  </si>
  <si>
    <t>M4 Nut</t>
  </si>
  <si>
    <t>FR_A0700</t>
  </si>
  <si>
    <t>Bracket BR</t>
  </si>
  <si>
    <t>FR_07001</t>
  </si>
  <si>
    <t>Cable ties</t>
  </si>
  <si>
    <t>FR_A0800</t>
  </si>
  <si>
    <t>Bracket EL</t>
  </si>
  <si>
    <t>FR_08001 EL</t>
  </si>
  <si>
    <t>Bamocar Bracket 1</t>
  </si>
  <si>
    <t>Bracket for Motor Controller</t>
  </si>
  <si>
    <t>FR_08002 EL</t>
  </si>
  <si>
    <t>Bamocar Bracket 2</t>
  </si>
  <si>
    <t>FR_08003 EL</t>
  </si>
  <si>
    <t>DC-DC Bracket 1</t>
  </si>
  <si>
    <t>Bracket for DC-DC Convertor</t>
  </si>
  <si>
    <t>FR_08004 EL</t>
  </si>
  <si>
    <t>DC-DC Bracket 2</t>
  </si>
  <si>
    <t>FR_08005 EL</t>
  </si>
  <si>
    <t>DataLogger Bracket</t>
  </si>
  <si>
    <t>Bracket for the Data Logger</t>
  </si>
  <si>
    <t>Alu 2017 A</t>
  </si>
  <si>
    <t>FR_08006 EL</t>
  </si>
  <si>
    <t>FR_08007 EL</t>
  </si>
  <si>
    <t>FR_08008 EL</t>
  </si>
  <si>
    <t>FR_A0900</t>
  </si>
  <si>
    <t>Bracket EN</t>
  </si>
  <si>
    <t>FR_09001 EN</t>
  </si>
  <si>
    <t>High bracket</t>
  </si>
  <si>
    <t>Bracket for radiator</t>
  </si>
  <si>
    <t>FR_09002 EN</t>
  </si>
  <si>
    <t>Low bracket</t>
  </si>
  <si>
    <t>FR_09003 EN</t>
  </si>
  <si>
    <t>Transverse bracket</t>
  </si>
  <si>
    <t>FR_09004 EN</t>
  </si>
  <si>
    <t>Junction 1</t>
  </si>
  <si>
    <t>Junction between frame and radiator</t>
  </si>
  <si>
    <t>FR_09005 EN</t>
  </si>
  <si>
    <t>Junction 2</t>
  </si>
  <si>
    <t>Junction between frame and high bracket</t>
  </si>
  <si>
    <t>FR_09006 EN</t>
  </si>
  <si>
    <t>Junction 3</t>
  </si>
  <si>
    <t>Junction between frame and low bracket</t>
  </si>
  <si>
    <t>FR_09007 EN</t>
  </si>
  <si>
    <t>Junction 4</t>
  </si>
  <si>
    <t>Junction between frame/overflow bottle</t>
  </si>
  <si>
    <t>FR_09008 EN</t>
  </si>
  <si>
    <t>L_i_1 Bracket</t>
  </si>
  <si>
    <t>Lower inner 1 Bracket</t>
  </si>
  <si>
    <t>FR_09009 EN</t>
  </si>
  <si>
    <t>L_o_1 Bracket</t>
  </si>
  <si>
    <t>Lower outer 1 Bracket</t>
  </si>
  <si>
    <t>FR_09010 EN</t>
  </si>
  <si>
    <t>L_i_2 Bracket</t>
  </si>
  <si>
    <t>Lower inner 2 Bracket</t>
  </si>
  <si>
    <t>FR_09011 EN</t>
  </si>
  <si>
    <t>L_o_2 Bracket</t>
  </si>
  <si>
    <t>Lower outer 2 Bracket</t>
  </si>
  <si>
    <t>FR_09012 EN</t>
  </si>
  <si>
    <t>M_i_1 Bracket</t>
  </si>
  <si>
    <t>Middle inner 1 Bracket</t>
  </si>
  <si>
    <t>FR_09013 EN</t>
  </si>
  <si>
    <t>M_o_1 Bracket</t>
  </si>
  <si>
    <t>Middle outer 1 Bracket</t>
  </si>
  <si>
    <t>FR_09014 EN</t>
  </si>
  <si>
    <t>M_i_2 Bracket</t>
  </si>
  <si>
    <t>Middle inner 2 Bracket</t>
  </si>
  <si>
    <t>FR_09015 EN</t>
  </si>
  <si>
    <t>M_o_2 Bracket</t>
  </si>
  <si>
    <t>Middle outer 2 Bracket</t>
  </si>
  <si>
    <t>FR_09016 EN</t>
  </si>
  <si>
    <t>U_i_1 Bracket</t>
  </si>
  <si>
    <t>Upper inner 1 Bracket</t>
  </si>
  <si>
    <t>FR_09017 EN</t>
  </si>
  <si>
    <t>U_o_1 Bracket</t>
  </si>
  <si>
    <t>Upper outer 1 Bracket</t>
  </si>
  <si>
    <t>FR_09018 EN</t>
  </si>
  <si>
    <t>U_i_2 Bracket</t>
  </si>
  <si>
    <t>Upper inner 2 Bracket</t>
  </si>
  <si>
    <t>FR_09019 EN</t>
  </si>
  <si>
    <t>U_o_2 Bracket</t>
  </si>
  <si>
    <t>Upper outer 2 Bracket</t>
  </si>
  <si>
    <t>FR_09020 EN</t>
  </si>
  <si>
    <t>Chainshield_bracket</t>
  </si>
  <si>
    <t>Chain shield bracket</t>
  </si>
  <si>
    <t>FR_09021 EN</t>
  </si>
  <si>
    <t>Chainshield_bracket_2</t>
  </si>
  <si>
    <t>FR_A1000</t>
  </si>
  <si>
    <t>Bracket FR</t>
  </si>
  <si>
    <t>FR_10001 FR</t>
  </si>
  <si>
    <t>Floor pan brackets</t>
  </si>
  <si>
    <t>Brackets for the floor pan</t>
  </si>
  <si>
    <t>FR_10002 FR</t>
  </si>
  <si>
    <t>Front Throttle bracket</t>
  </si>
  <si>
    <t>Front brackets for throttle pedal</t>
  </si>
  <si>
    <t>FR_10003 FR</t>
  </si>
  <si>
    <t>Rear Throttle bracket</t>
  </si>
  <si>
    <t>Rear brackets for throttle pedal</t>
  </si>
  <si>
    <t>FR_10004 FR</t>
  </si>
  <si>
    <t>Front Brake bracket</t>
  </si>
  <si>
    <t>Front brackets for brake pedal</t>
  </si>
  <si>
    <t>FR_10005 FR</t>
  </si>
  <si>
    <t>Rear Brake bracket</t>
  </si>
  <si>
    <t>Rear brackets for brake pedal</t>
  </si>
  <si>
    <t>FR_A1100</t>
  </si>
  <si>
    <t>Bracket MS</t>
  </si>
  <si>
    <t>FR_11001 MS</t>
  </si>
  <si>
    <t>Brackets up</t>
  </si>
  <si>
    <t>Brackets for head restraint</t>
  </si>
  <si>
    <t>FR_11002 MS</t>
  </si>
  <si>
    <t>Brackets down</t>
  </si>
  <si>
    <t>FR_11003 MS</t>
  </si>
  <si>
    <t>Bracket seat left</t>
  </si>
  <si>
    <t>Bracket for seat</t>
  </si>
  <si>
    <t>FR_11004 MS</t>
  </si>
  <si>
    <t>Bracket seat right</t>
  </si>
  <si>
    <t>FR_11005 MS</t>
  </si>
  <si>
    <t>Bracket seat rear</t>
  </si>
  <si>
    <t>FR_11006 MS</t>
  </si>
  <si>
    <t>Anti-submarine bracket</t>
  </si>
  <si>
    <t>FR_11007 MS</t>
  </si>
  <si>
    <t>Firewall brackets</t>
  </si>
  <si>
    <t>FR_A1200</t>
  </si>
  <si>
    <t>Bracket ST</t>
  </si>
  <si>
    <t>FR_12001 ST</t>
  </si>
  <si>
    <t>Steering Rack Bracket</t>
  </si>
  <si>
    <t>FR_12002 ST</t>
  </si>
  <si>
    <t>F_Prot_Rack_Bracket</t>
  </si>
  <si>
    <t>Front_Protection_Rack Bracket</t>
  </si>
  <si>
    <t>FR_12003 ST</t>
  </si>
  <si>
    <t>R_Prot_Rack_Bracket</t>
  </si>
  <si>
    <t>Rear_Proctection_Rack_Bracket</t>
  </si>
  <si>
    <t>FR_12004 ST</t>
  </si>
  <si>
    <t>Steering_Bore_Bracket</t>
  </si>
  <si>
    <t>Acier S356</t>
  </si>
  <si>
    <t>FR_12005 ST</t>
  </si>
  <si>
    <t>Steering_Bore</t>
  </si>
  <si>
    <t>Acier S357</t>
  </si>
  <si>
    <t>FR_12006 ST</t>
  </si>
  <si>
    <t>U_Joint_Side_Bracket</t>
  </si>
  <si>
    <t>Acier S358</t>
  </si>
  <si>
    <t>FR_12007 ST</t>
  </si>
  <si>
    <t>U_Joint_Top_Bracket</t>
  </si>
  <si>
    <t>Acier S359</t>
  </si>
  <si>
    <t>FR_12008 ST</t>
  </si>
  <si>
    <t>U_Joint_Down_Bracket</t>
  </si>
  <si>
    <t>Acier S360</t>
  </si>
  <si>
    <t>FR_12009 ST</t>
  </si>
  <si>
    <t>Ball_Joint_Bracket</t>
  </si>
  <si>
    <t>Acier S361</t>
  </si>
  <si>
    <t>FR_1300</t>
  </si>
  <si>
    <t>Bracket SU</t>
  </si>
  <si>
    <t>FR_13001 SU</t>
  </si>
  <si>
    <t>Fw_Ua_Fp_Up Bracket</t>
  </si>
  <si>
    <t>Fwheel_Uaarm_Fpivot_Up Bracket</t>
  </si>
  <si>
    <t>FR_13002 SU</t>
  </si>
  <si>
    <t>Fw_Ua_Fp_Low Bracket</t>
  </si>
  <si>
    <t>Fwheel_Uaarm_Fpivot_Low Bracket</t>
  </si>
  <si>
    <t>FR_13003 SU</t>
  </si>
  <si>
    <t>Fw_Ua_Rp_Up Bracket</t>
  </si>
  <si>
    <t>Fwheel_Uaarm_Rpivot_Up Bracket</t>
  </si>
  <si>
    <t>FR_13004 SU</t>
  </si>
  <si>
    <t>Fw_Ua_Rp_Low Bracket</t>
  </si>
  <si>
    <t>Fwheel_Uaarm_Rpivot_Low Bracket</t>
  </si>
  <si>
    <t>FR_13005 SU</t>
  </si>
  <si>
    <t>Fw_La_Fp_Up Bracket</t>
  </si>
  <si>
    <t>Fwheel_Laarm_Fpivot_Up Bracket</t>
  </si>
  <si>
    <t>FR_13006 SU</t>
  </si>
  <si>
    <t>Fw_La_Fp_Low Bracket</t>
  </si>
  <si>
    <t>Fwheel_Laarm_Fpivot_Low Bracket</t>
  </si>
  <si>
    <t>FR_13007 SU</t>
  </si>
  <si>
    <t>Fw_La_Rp_Up Bracket</t>
  </si>
  <si>
    <t>Fwheel_Laarm_Rpivot_Up Bracket</t>
  </si>
  <si>
    <t>FR_13008 SU</t>
  </si>
  <si>
    <t>Fw_La_Rp_Low Bracket</t>
  </si>
  <si>
    <t>Fwheel_Laarm_Rpivot_Low Bracket</t>
  </si>
  <si>
    <t>Acier S362</t>
  </si>
  <si>
    <t>FR_13009 SU</t>
  </si>
  <si>
    <t>Rw_Ua_Fp_Up Bracket</t>
  </si>
  <si>
    <t>Rwheel_Uaarm_Fpivot_Up Bracket</t>
  </si>
  <si>
    <t>Acier S363</t>
  </si>
  <si>
    <t>FR_13010 SU</t>
  </si>
  <si>
    <t>Rw_Ua_Fp_Low Bracket</t>
  </si>
  <si>
    <t>Rwheel_Uaarm_Fpivot_Low Bracket</t>
  </si>
  <si>
    <t>Acier S364</t>
  </si>
  <si>
    <t>FR_13011 SU</t>
  </si>
  <si>
    <t>Rw_Ua_Rp_Up Bracket</t>
  </si>
  <si>
    <t>Rwheel_Uaarm_Rpivot_Up Bracket</t>
  </si>
  <si>
    <t>Acier S365</t>
  </si>
  <si>
    <t>FR_13012 SU</t>
  </si>
  <si>
    <t>Rw_Ua_Rp_Low Bracket</t>
  </si>
  <si>
    <t>Rwheel_Uaarm_Rpivot_Low Bracket</t>
  </si>
  <si>
    <t>Acier S366</t>
  </si>
  <si>
    <t>FR_13013 SU</t>
  </si>
  <si>
    <t>Rw_La_Fp_Up Bracket</t>
  </si>
  <si>
    <t>Rwheel_Laarm_Fpivot_Up Bracket</t>
  </si>
  <si>
    <t>Acier S367</t>
  </si>
  <si>
    <t>FR_13014 SU</t>
  </si>
  <si>
    <t>Rw_La_Fp_Low Bracket</t>
  </si>
  <si>
    <t>Rwheel_Laarm_Fpivot_Low Bracket</t>
  </si>
  <si>
    <t>Acier S368</t>
  </si>
  <si>
    <t>FR_13015 SU</t>
  </si>
  <si>
    <t>Rw_La_Rp_Up Bracket</t>
  </si>
  <si>
    <t>Rwheel_Laarm_Rpivot_Up Bracket</t>
  </si>
  <si>
    <t>Acier S369</t>
  </si>
  <si>
    <t>FR_13016 SU</t>
  </si>
  <si>
    <t>Rw_La_Rp_Low Bracket</t>
  </si>
  <si>
    <t>Rwheel_Laarm_Rpivot_Low Bracket</t>
  </si>
  <si>
    <t>Acier S370</t>
  </si>
  <si>
    <t>FR_13017 SU</t>
  </si>
  <si>
    <t>Fw_F_Rocker Bracket</t>
  </si>
  <si>
    <t>Fwheel_Front_Rocker Bracket</t>
  </si>
  <si>
    <t>Acier S371</t>
  </si>
  <si>
    <t>FR_13018 SU</t>
  </si>
  <si>
    <t>Fw_R_Rocker Bracket</t>
  </si>
  <si>
    <t>Fwheel_Rear_Rocker Bracket</t>
  </si>
  <si>
    <t>Acier S372</t>
  </si>
  <si>
    <t>FR_13019 SU</t>
  </si>
  <si>
    <t>Rw_F_Rocker Bracket</t>
  </si>
  <si>
    <t>Rwheel_Front_Rocker Bracket</t>
  </si>
  <si>
    <t>Acier S373</t>
  </si>
  <si>
    <t>FR_13020 SU</t>
  </si>
  <si>
    <t>Rw_R_Rocker Bracket</t>
  </si>
  <si>
    <t>Rwheel_Rear_Rocker Bracket</t>
  </si>
  <si>
    <t>Acier S374</t>
  </si>
  <si>
    <t>FR_13021 SU</t>
  </si>
  <si>
    <t>Fw_F_Absorber Bracket</t>
  </si>
  <si>
    <t>Fwheel_Front_Absorber Bracket</t>
  </si>
  <si>
    <t>Acier S375</t>
  </si>
  <si>
    <t>FR_13022 SU</t>
  </si>
  <si>
    <t>Fw_R_Absorber Bracket</t>
  </si>
  <si>
    <t>Fwheel_Rear_Absorber Bracket</t>
  </si>
  <si>
    <t>Acier S376</t>
  </si>
  <si>
    <t>FR_13023 SU</t>
  </si>
  <si>
    <t>Rw_F_Absorber Bracket</t>
  </si>
  <si>
    <t>Rwheel_Front_Absorber Bracket</t>
  </si>
  <si>
    <t>Acier S377</t>
  </si>
  <si>
    <t>FR_13024 SU</t>
  </si>
  <si>
    <t>Rw_R_Absorber Bracket</t>
  </si>
  <si>
    <t>Rwheel_Rear_Absorber Bracket</t>
  </si>
  <si>
    <t>Acier S378</t>
  </si>
  <si>
    <t>FR_13025 SU</t>
  </si>
  <si>
    <t>U_tie-rod Bracket</t>
  </si>
  <si>
    <t>Rear wheel Upper tie-rod Bracket</t>
  </si>
  <si>
    <t>Acier S379</t>
  </si>
  <si>
    <t>FR_13026 SU</t>
  </si>
  <si>
    <t>L_tie-rod Bracket</t>
  </si>
  <si>
    <t>Rear wheel Lower tie-rod Bracket</t>
  </si>
  <si>
    <t>Acier S380</t>
  </si>
  <si>
    <t>FR_13027 SU</t>
  </si>
  <si>
    <t>F_ARB Bracket</t>
  </si>
  <si>
    <t>Acier S381</t>
  </si>
  <si>
    <t>Chosen one</t>
  </si>
  <si>
    <t>Laser cutter tube fiber</t>
  </si>
  <si>
    <t>estimated by our partner</t>
  </si>
  <si>
    <t>3D Laser Cutting</t>
  </si>
  <si>
    <t>Time of operation per tube (s/tube) if  raw &lt; 6m (setup + cutting)</t>
  </si>
  <si>
    <t>Time of operation per tube (s/tube) if  raw &gt; 6m (setup + cutting)</t>
  </si>
  <si>
    <t>Prices calculated for steel</t>
  </si>
  <si>
    <t>Programmation time and supply order (min/tube)</t>
  </si>
  <si>
    <t>Cost of machining part if raw &gt; 6m (€/tube)</t>
  </si>
  <si>
    <t>Cost of machining part if raw &lt; 6m (€/tube)</t>
  </si>
  <si>
    <t>Manpower part of machining cost (average)</t>
  </si>
  <si>
    <t>Cost of programing part Operator (€/tube)</t>
  </si>
  <si>
    <t>Cost of programing part Technician(€/tube)</t>
  </si>
  <si>
    <t>Cost of programing part Engineer (€/tube)</t>
  </si>
  <si>
    <t>2D Laser Cutting</t>
  </si>
  <si>
    <t xml:space="preserve"> Cost  Cleaning (setup included in operation time) </t>
  </si>
  <si>
    <t>Laser 2D cutter Baileigh</t>
  </si>
  <si>
    <t>1500x3000x8mm max</t>
  </si>
  <si>
    <t>Dimensions of Laser 2D cutter</t>
  </si>
  <si>
    <t>Assist gas 02</t>
  </si>
  <si>
    <t>Cutting metal products</t>
  </si>
  <si>
    <t>10.6m^3 @ 200bar  + 4,5 hrs of cutting</t>
  </si>
  <si>
    <t>min/mm^2</t>
  </si>
  <si>
    <t>Medium removal rate (min/mm²)</t>
  </si>
  <si>
    <t>Calcul of cutting time (min/mm²)</t>
  </si>
  <si>
    <t>Removal rate (for steel) (min/mm²)</t>
  </si>
  <si>
    <t>1PSI =6 894,76N/m²</t>
  </si>
  <si>
    <t>1CFM = 28,3L/min</t>
  </si>
  <si>
    <t>Assist gas 02 flow and pressure needed</t>
  </si>
  <si>
    <t>Time of cutting per bottle</t>
  </si>
  <si>
    <t>https://fr.wikipedia.org/wiki/Loi_de_Boyle-Mariotte</t>
  </si>
  <si>
    <t>Price of Oxygen (€/min)</t>
  </si>
  <si>
    <t>Data</t>
  </si>
  <si>
    <t>Mariotte Law : t(min) = P(bar)*V(L)/Q(L/min)</t>
  </si>
  <si>
    <t>Debit (L/min)</t>
  </si>
  <si>
    <t>Pressure (bar)</t>
  </si>
  <si>
    <t>Volume (L)</t>
  </si>
  <si>
    <t>Cutting time per bottle (s)</t>
  </si>
  <si>
    <t>Lenght cuttable per bottle (mm²)</t>
  </si>
  <si>
    <t>Cost of Oxygen (€/mm²)</t>
  </si>
  <si>
    <t>Cost of operator (€/h)</t>
  </si>
  <si>
    <t>Cost of operator (€ HT)</t>
  </si>
  <si>
    <t>EPI (Welmet, gloves,…)</t>
  </si>
  <si>
    <t>Specific welding tools</t>
  </si>
  <si>
    <t>Filler (35CrMo4)</t>
  </si>
  <si>
    <t>€/m</t>
  </si>
  <si>
    <t>Conventionnal Machining</t>
  </si>
  <si>
    <r>
      <t xml:space="preserve">x = volume (mm^3) removed from the piece
c1 = x* cost of the machining part
c2 =x * (cost of programming + measuring)
c3 = fixed cost of setup + cleaning
</t>
    </r>
    <r>
      <rPr>
        <b/>
        <sz val="11"/>
        <color rgb="FFFF0000"/>
        <rFont val="Corbel"/>
        <family val="2"/>
      </rPr>
      <t>Cost of the piece 
= 
c1 +c2+c3</t>
    </r>
  </si>
  <si>
    <r>
      <t xml:space="preserve">x =nb of tubes
c1 = x* cost of the machining part
c2 =x * cost of programming
c3 = fixed cost of cleaning
</t>
    </r>
    <r>
      <rPr>
        <b/>
        <sz val="11"/>
        <color theme="1"/>
        <rFont val="Corbel"/>
        <family val="2"/>
      </rPr>
      <t xml:space="preserve">
</t>
    </r>
    <r>
      <rPr>
        <b/>
        <sz val="11"/>
        <color rgb="FFFF0000"/>
        <rFont val="Corbel"/>
        <family val="2"/>
      </rPr>
      <t>Cost of the piece 
= 
c1 +c2+c3</t>
    </r>
  </si>
  <si>
    <r>
      <t xml:space="preserve">x =nb of mm to cut
y = nb of mm² to cut = x*thickeness
c1 = y* cost of the machining part
c2 =y * cost of oxygen
c3 = y* prog and measuring part
c4 = fixed cost of cleaning
</t>
    </r>
    <r>
      <rPr>
        <b/>
        <sz val="11"/>
        <color rgb="FFFF0000"/>
        <rFont val="Corbel"/>
        <family val="2"/>
      </rPr>
      <t>Cost of the piece 
= c1 +c2 c3+ c4</t>
    </r>
  </si>
  <si>
    <t>Cost of wood coding conception by an  Engineer (€/h of conception)</t>
  </si>
  <si>
    <t>Total Manpower cost for welding the frame (discussion with our partner)</t>
  </si>
  <si>
    <t>Tube Welding</t>
  </si>
  <si>
    <t>Bracket Welding</t>
  </si>
  <si>
    <t>Cost of machining part (€/m)</t>
  </si>
  <si>
    <t>Cost of positioning the brackets by Welder (€/min)</t>
  </si>
  <si>
    <t>Other costs for wood coding parts</t>
  </si>
  <si>
    <r>
      <t xml:space="preserve"> x =nb of m to weld/ t1 = time of wood coding design / t2 = time of wood coding manufacturing / t3 = time for positioning the bracket
c1 = x* cost of the machining part
c2 =x * cost of material
c3 = fixed cost of cleaning 
c4 = t1*cost of engineer + t2 * cost of technician+ t3 * cost of welder
</t>
    </r>
    <r>
      <rPr>
        <b/>
        <sz val="11"/>
        <color rgb="FFFF0000"/>
        <rFont val="Corbel"/>
        <family val="2"/>
      </rPr>
      <t>Cost of the piece 
= c1 +c2 c3+ c4</t>
    </r>
  </si>
  <si>
    <t>Cost of wood coding manufacturing by a Technician (€/min)</t>
  </si>
  <si>
    <t>Conventionnal</t>
  </si>
  <si>
    <r>
      <t xml:space="preserve"> x = volume (mm^3) removed from the piece
c1 = x* cost of the machining part
c2 = fixed cost of setup + cleaning
</t>
    </r>
    <r>
      <rPr>
        <b/>
        <sz val="11"/>
        <color rgb="FFFF0000"/>
        <rFont val="Corbel"/>
        <family val="2"/>
      </rPr>
      <t xml:space="preserve">
Cost of the piece  =  c1 +c2</t>
    </r>
  </si>
  <si>
    <t>Body Manufacturing</t>
  </si>
  <si>
    <t>Specific Tooling</t>
  </si>
  <si>
    <t>5 % of initial cost /year</t>
  </si>
  <si>
    <t>Body Workstation</t>
  </si>
  <si>
    <t>€/m²</t>
  </si>
  <si>
    <t>Cost estimations</t>
  </si>
  <si>
    <r>
      <t xml:space="preserve">
c1 = cost of manpower &amp; machining 
c2 =Cost of material
</t>
    </r>
    <r>
      <rPr>
        <b/>
        <sz val="11"/>
        <color rgb="FFFF0000"/>
        <rFont val="Corbel"/>
        <family val="2"/>
      </rPr>
      <t xml:space="preserve">
Cost of the piece  =  c1 +c2</t>
    </r>
  </si>
  <si>
    <t>Prix tubes total (€ TTC)</t>
  </si>
  <si>
    <t>Diameter (mm)</t>
  </si>
  <si>
    <t>Price (€ excl tax/m)</t>
  </si>
  <si>
    <t>Tube material price</t>
  </si>
  <si>
    <t>Thes prices have been evaluated by our partner</t>
  </si>
  <si>
    <t>Prix découpe tube (€ TTC)</t>
  </si>
  <si>
    <t>Prix matière tube (€HT/m)</t>
  </si>
  <si>
    <t>Prix découpe tube (€TTC)</t>
  </si>
  <si>
    <t>Cost of  filler metal and gas (€/m)</t>
  </si>
  <si>
    <t>Cost of  filler metal (€/m)</t>
  </si>
  <si>
    <t>Cost of filler gas (€/m)</t>
  </si>
  <si>
    <r>
      <t xml:space="preserve">c1 = lenght to weld * welding speed* cost of the machine
c2 =lenght to weld * cost of filler gas and metal
c3 = hours of welder work * welder hourly salary * nb of welders
</t>
    </r>
    <r>
      <rPr>
        <b/>
        <sz val="11"/>
        <color rgb="FFFF0000"/>
        <rFont val="Corbel"/>
        <family val="2"/>
      </rPr>
      <t xml:space="preserve">C = c1+c2 + c3
</t>
    </r>
  </si>
  <si>
    <t>Nombre tubes</t>
  </si>
  <si>
    <t>JOBS Jomach 21  (X3000 Y1600 Z1000mm)</t>
  </si>
  <si>
    <t>Partner references</t>
  </si>
  <si>
    <t> 1 gelcoat de surface époxy incolore  : utilisé 300g</t>
  </si>
  <si>
    <t>1 tissu de verre biaxial 370g :   utilisé 2.5m²</t>
  </si>
  <si>
    <t>Résine d'infusion époxy  :   utilisé 2.5kg</t>
  </si>
  <si>
    <t>+ bache à vide , tissus et accessoires techniques pour réaliser l'infusion.</t>
  </si>
  <si>
    <t>Utilisation d'une pompe à vide.</t>
  </si>
  <si>
    <t>€/m² or (€/kg and kg/m²)</t>
  </si>
  <si>
    <t>https://www.mack-kayak.com/gel-coats-polyester-et-epoxy/1332-gel-coat-epoxy-incolore-moulage.html</t>
  </si>
  <si>
    <t>https://www.mack-kayak.com/tissus-techniques/578-carbone-serge-200g-3k.html#/471-quantite-moins_de_5_m</t>
  </si>
  <si>
    <t>Price HT/m²</t>
  </si>
  <si>
    <t>Price TTC/m²</t>
  </si>
  <si>
    <t>Discussion with S2MA</t>
  </si>
  <si>
    <t>What do you use to do the bodywork nose ?</t>
  </si>
  <si>
    <t>https://www.castrocompositesshop.com/fr/fibres-de-renforcement/1197-450-g-m2-de-fibre-de-verre-tiss%C3%A9-biaxiale-45-45.html</t>
  </si>
  <si>
    <t>Biaxial glass cloth 370g</t>
  </si>
  <si>
    <t>8,20€/m²</t>
  </si>
  <si>
    <t>Epoxy infusion resin</t>
  </si>
  <si>
    <t>Epoxy surfaces gelcoat colorless</t>
  </si>
  <si>
    <t>https://www.epodex.com/de/produkt/proplus-system/?gclid=CjwKCAjwqvyFBhB7EiwAER786axsrBqGDzstllB5YyVrJufoeDG_R_HJZLsq4D25-8c4TmAE9VH2ehoC0T8QAvD_BwE</t>
  </si>
  <si>
    <t>How long does it take ? (50h, 1 person)</t>
  </si>
  <si>
    <t>104€/kg and 0,24kg/m² =  25€/m²</t>
  </si>
  <si>
    <t>20€/kg and 2kg/m² = 40€/m²</t>
  </si>
  <si>
    <t>1 sergé verre de 200g avec voile de surface : utilisé 2.5m²</t>
  </si>
  <si>
    <t>1 tissu sergé verre 200g  :   utilisé 2.5m²</t>
  </si>
  <si>
    <t>Glass twill fabric</t>
  </si>
  <si>
    <t>6,45€/m²</t>
  </si>
  <si>
    <t>5h to cut the glass fibers</t>
  </si>
  <si>
    <t>8h to apply the resin</t>
  </si>
  <si>
    <t>8h to apply layers on the master</t>
  </si>
  <si>
    <t>2h of cleaning</t>
  </si>
  <si>
    <t>10h to smooth the surface</t>
  </si>
  <si>
    <t>5h to cut the last holes and the final part</t>
  </si>
  <si>
    <t>Cost of Technician (€/hour)</t>
  </si>
  <si>
    <t>Cost of material (€/m²)</t>
  </si>
  <si>
    <t>5h to cast in the master</t>
  </si>
  <si>
    <t>Cost of master manufacturing</t>
  </si>
  <si>
    <t>Sources</t>
  </si>
  <si>
    <t>Link</t>
  </si>
  <si>
    <t>Steel 35CrMo4</t>
  </si>
  <si>
    <t>https://www.25crmo4.fr/Plaques.htm</t>
  </si>
  <si>
    <t>Dimension</t>
  </si>
  <si>
    <t>500x1250 mm</t>
  </si>
  <si>
    <t>1 mm</t>
  </si>
  <si>
    <t>1000 N/mm2</t>
  </si>
  <si>
    <t>1,5 mm</t>
  </si>
  <si>
    <t>600x1050 mm</t>
  </si>
  <si>
    <t>2 mm</t>
  </si>
  <si>
    <t>700 N/mm2</t>
  </si>
  <si>
    <t>3 mm</t>
  </si>
  <si>
    <t>500x1500 mm</t>
  </si>
  <si>
    <t>4 mm</t>
  </si>
  <si>
    <t>5 mm</t>
  </si>
  <si>
    <t>Thickeness</t>
  </si>
  <si>
    <t>Resistance</t>
  </si>
  <si>
    <t>Cost of programing and measuring part Operator (€)</t>
  </si>
  <si>
    <t>Cost of programing and measuring part Technician(€)</t>
  </si>
  <si>
    <t>Cost of programing and measuring part Engineer (€)</t>
  </si>
  <si>
    <t>Thickeness (mm)</t>
  </si>
  <si>
    <t>Length (mm)</t>
  </si>
  <si>
    <t>Width (mm)</t>
  </si>
  <si>
    <t>Price (€ incl tax)</t>
  </si>
  <si>
    <t>Volumic price (€/mm^3)</t>
  </si>
  <si>
    <t>Mean</t>
  </si>
  <si>
    <t>Aluminium 2017A</t>
  </si>
  <si>
    <t>Cost of machining part (€/mm)</t>
  </si>
  <si>
    <t>Cost of oxygen (€/mm)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</si>
</sst>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.00\ [$€-40C]_-;\-* #,##0.00\ [$€-40C]_-;_-* &quot;-&quot;??\ [$€-40C]_-;_-@_-"/>
    <numFmt numFmtId="166" formatCode="#,##0.00\ &quot;€&quot;"/>
    <numFmt numFmtId="167" formatCode="_-* #,##0\ _€_-;\-* #,##0\ _€_-;_-* &quot;-&quot;??\ _€_-;_-@_-"/>
    <numFmt numFmtId="168" formatCode="0.0"/>
    <numFmt numFmtId="169" formatCode="_-* #,##0.0000000\ &quot;€&quot;_-;\-* #,##0.0000000\ &quot;€&quot;_-;_-* &quot;-&quot;??\ &quot;€&quot;_-;_-@_-"/>
    <numFmt numFmtId="170" formatCode="_-* #,##0.0000000\ &quot;€&quot;_-;\-* #,##0.0000000\ &quot;€&quot;_-;_-* &quot;-&quot;???????\ &quot;€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orbel"/>
      <family val="2"/>
    </font>
    <font>
      <sz val="11"/>
      <color theme="1"/>
      <name val="Corbel"/>
      <family val="2"/>
    </font>
    <font>
      <b/>
      <sz val="11"/>
      <color theme="1"/>
      <name val="Corbel"/>
      <family val="2"/>
    </font>
    <font>
      <u/>
      <sz val="11"/>
      <color theme="10"/>
      <name val="Corbe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Corbel"/>
      <family val="2"/>
    </font>
    <font>
      <vertAlign val="superscript"/>
      <sz val="11"/>
      <color theme="1"/>
      <name val="Corbel"/>
      <family val="2"/>
    </font>
    <font>
      <sz val="11"/>
      <name val="Corbel"/>
      <family val="2"/>
    </font>
    <font>
      <b/>
      <sz val="11"/>
      <color rgb="FFFF0000"/>
      <name val="Corbe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18">
    <xf numFmtId="0" fontId="0" fillId="0" borderId="0" xfId="0"/>
    <xf numFmtId="11" fontId="0" fillId="0" borderId="0" xfId="0" applyNumberFormat="1"/>
    <xf numFmtId="44" fontId="0" fillId="0" borderId="0" xfId="1" applyFont="1"/>
    <xf numFmtId="0" fontId="4" fillId="0" borderId="0" xfId="2"/>
    <xf numFmtId="165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left"/>
    </xf>
    <xf numFmtId="0" fontId="0" fillId="0" borderId="12" xfId="0" applyBorder="1"/>
    <xf numFmtId="44" fontId="0" fillId="0" borderId="12" xfId="1" applyFont="1" applyBorder="1"/>
    <xf numFmtId="165" fontId="0" fillId="0" borderId="12" xfId="0" applyNumberFormat="1" applyBorder="1"/>
    <xf numFmtId="0" fontId="0" fillId="0" borderId="14" xfId="0" applyBorder="1"/>
    <xf numFmtId="0" fontId="0" fillId="0" borderId="17" xfId="0" applyBorder="1"/>
    <xf numFmtId="0" fontId="0" fillId="0" borderId="19" xfId="0" applyBorder="1"/>
    <xf numFmtId="0" fontId="0" fillId="0" borderId="22" xfId="0" applyBorder="1"/>
    <xf numFmtId="0" fontId="0" fillId="0" borderId="21" xfId="0" applyBorder="1"/>
    <xf numFmtId="44" fontId="0" fillId="0" borderId="14" xfId="1" applyFont="1" applyBorder="1"/>
    <xf numFmtId="44" fontId="0" fillId="0" borderId="17" xfId="1" applyFont="1" applyBorder="1"/>
    <xf numFmtId="0" fontId="0" fillId="0" borderId="35" xfId="0" applyBorder="1"/>
    <xf numFmtId="0" fontId="4" fillId="0" borderId="16" xfId="2" applyBorder="1"/>
    <xf numFmtId="0" fontId="0" fillId="0" borderId="36" xfId="0" applyBorder="1"/>
    <xf numFmtId="0" fontId="4" fillId="0" borderId="18" xfId="2" applyBorder="1"/>
    <xf numFmtId="0" fontId="0" fillId="0" borderId="37" xfId="0" applyBorder="1"/>
    <xf numFmtId="0" fontId="4" fillId="0" borderId="32" xfId="2" applyBorder="1"/>
    <xf numFmtId="44" fontId="0" fillId="0" borderId="31" xfId="1" applyFont="1" applyBorder="1"/>
    <xf numFmtId="0" fontId="0" fillId="0" borderId="31" xfId="0" applyBorder="1"/>
    <xf numFmtId="0" fontId="0" fillId="0" borderId="40" xfId="0" applyBorder="1"/>
    <xf numFmtId="0" fontId="4" fillId="0" borderId="15" xfId="2" applyBorder="1"/>
    <xf numFmtId="0" fontId="2" fillId="0" borderId="0" xfId="0" applyFont="1" applyAlignment="1">
      <alignment horizontal="center" vertical="center"/>
    </xf>
    <xf numFmtId="6" fontId="0" fillId="0" borderId="12" xfId="0" applyNumberFormat="1" applyBorder="1"/>
    <xf numFmtId="17" fontId="0" fillId="0" borderId="22" xfId="0" applyNumberFormat="1" applyBorder="1"/>
    <xf numFmtId="8" fontId="0" fillId="0" borderId="31" xfId="0" applyNumberFormat="1" applyBorder="1"/>
    <xf numFmtId="0" fontId="0" fillId="0" borderId="50" xfId="0" applyBorder="1"/>
    <xf numFmtId="0" fontId="4" fillId="0" borderId="32" xfId="2" applyBorder="1" applyAlignment="1">
      <alignment wrapText="1"/>
    </xf>
    <xf numFmtId="0" fontId="0" fillId="0" borderId="16" xfId="0" applyBorder="1" applyAlignment="1">
      <alignment wrapText="1"/>
    </xf>
    <xf numFmtId="0" fontId="4" fillId="0" borderId="16" xfId="2" applyBorder="1" applyAlignment="1">
      <alignment wrapText="1"/>
    </xf>
    <xf numFmtId="0" fontId="4" fillId="0" borderId="18" xfId="2" applyBorder="1" applyAlignment="1">
      <alignment wrapText="1"/>
    </xf>
    <xf numFmtId="44" fontId="0" fillId="0" borderId="40" xfId="1" applyFont="1" applyBorder="1"/>
    <xf numFmtId="0" fontId="4" fillId="0" borderId="39" xfId="2" applyBorder="1"/>
    <xf numFmtId="0" fontId="6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0" fillId="0" borderId="37" xfId="0" applyBorder="1" applyAlignment="1">
      <alignment wrapText="1"/>
    </xf>
    <xf numFmtId="0" fontId="0" fillId="0" borderId="31" xfId="0" applyBorder="1" applyAlignment="1">
      <alignment wrapText="1"/>
    </xf>
    <xf numFmtId="44" fontId="0" fillId="0" borderId="17" xfId="1" applyFont="1" applyBorder="1" applyAlignment="1">
      <alignment wrapText="1"/>
    </xf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7" xfId="0" applyBorder="1" applyAlignment="1">
      <alignment vertical="center"/>
    </xf>
    <xf numFmtId="44" fontId="0" fillId="0" borderId="12" xfId="1" applyFont="1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18" xfId="0" applyBorder="1" applyAlignment="1">
      <alignment vertical="center"/>
    </xf>
    <xf numFmtId="44" fontId="0" fillId="0" borderId="14" xfId="1" applyFont="1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19" xfId="0" applyBorder="1" applyAlignment="1">
      <alignment vertical="center" wrapText="1"/>
    </xf>
    <xf numFmtId="44" fontId="0" fillId="0" borderId="17" xfId="1" applyFont="1" applyBorder="1" applyAlignment="1">
      <alignment vertical="center"/>
    </xf>
    <xf numFmtId="44" fontId="0" fillId="0" borderId="0" xfId="0" applyNumberFormat="1" applyAlignment="1">
      <alignment vertical="center"/>
    </xf>
    <xf numFmtId="0" fontId="7" fillId="0" borderId="0" xfId="0" applyFont="1" applyAlignment="1"/>
    <xf numFmtId="0" fontId="7" fillId="0" borderId="0" xfId="0" applyFont="1"/>
    <xf numFmtId="44" fontId="7" fillId="0" borderId="31" xfId="1" applyFont="1" applyBorder="1"/>
    <xf numFmtId="44" fontId="7" fillId="0" borderId="31" xfId="0" applyNumberFormat="1" applyFont="1" applyBorder="1"/>
    <xf numFmtId="44" fontId="7" fillId="0" borderId="0" xfId="0" applyNumberFormat="1" applyFont="1"/>
    <xf numFmtId="0" fontId="7" fillId="0" borderId="32" xfId="0" applyFont="1" applyBorder="1"/>
    <xf numFmtId="0" fontId="7" fillId="0" borderId="16" xfId="0" applyFont="1" applyBorder="1"/>
    <xf numFmtId="1" fontId="7" fillId="0" borderId="16" xfId="0" applyNumberFormat="1" applyFont="1" applyBorder="1"/>
    <xf numFmtId="0" fontId="8" fillId="0" borderId="0" xfId="0" applyFont="1" applyBorder="1" applyAlignment="1">
      <alignment vertical="center"/>
    </xf>
    <xf numFmtId="0" fontId="7" fillId="11" borderId="0" xfId="0" applyFont="1" applyFill="1" applyAlignment="1"/>
    <xf numFmtId="0" fontId="8" fillId="0" borderId="0" xfId="0" applyFont="1" applyAlignment="1">
      <alignment horizontal="left"/>
    </xf>
    <xf numFmtId="0" fontId="8" fillId="0" borderId="34" xfId="0" applyFont="1" applyBorder="1" applyAlignment="1">
      <alignment horizontal="left"/>
    </xf>
    <xf numFmtId="0" fontId="8" fillId="0" borderId="35" xfId="0" applyFont="1" applyBorder="1" applyAlignment="1">
      <alignment horizontal="left"/>
    </xf>
    <xf numFmtId="0" fontId="8" fillId="0" borderId="53" xfId="0" applyFont="1" applyBorder="1" applyAlignment="1">
      <alignment horizontal="left"/>
    </xf>
    <xf numFmtId="0" fontId="8" fillId="0" borderId="36" xfId="0" applyFont="1" applyBorder="1" applyAlignment="1">
      <alignment horizontal="left"/>
    </xf>
    <xf numFmtId="0" fontId="8" fillId="0" borderId="37" xfId="0" applyFont="1" applyBorder="1" applyAlignment="1">
      <alignment horizontal="left"/>
    </xf>
    <xf numFmtId="0" fontId="8" fillId="0" borderId="59" xfId="0" applyFont="1" applyBorder="1" applyAlignment="1">
      <alignment horizontal="left"/>
    </xf>
    <xf numFmtId="0" fontId="6" fillId="0" borderId="60" xfId="0" applyFont="1" applyBorder="1" applyAlignment="1">
      <alignment horizontal="justify" vertical="center"/>
    </xf>
    <xf numFmtId="0" fontId="0" fillId="11" borderId="0" xfId="0" applyFill="1" applyAlignment="1">
      <alignment vertical="center"/>
    </xf>
    <xf numFmtId="44" fontId="7" fillId="13" borderId="31" xfId="1" applyFont="1" applyFill="1" applyBorder="1"/>
    <xf numFmtId="44" fontId="7" fillId="0" borderId="31" xfId="0" applyNumberFormat="1" applyFont="1" applyFill="1" applyBorder="1"/>
    <xf numFmtId="0" fontId="4" fillId="0" borderId="0" xfId="2" applyAlignment="1">
      <alignment wrapText="1"/>
    </xf>
    <xf numFmtId="0" fontId="0" fillId="0" borderId="12" xfId="0" applyBorder="1" applyAlignment="1">
      <alignment wrapText="1"/>
    </xf>
    <xf numFmtId="44" fontId="0" fillId="0" borderId="12" xfId="1" applyFont="1" applyBorder="1" applyAlignment="1">
      <alignment wrapText="1"/>
    </xf>
    <xf numFmtId="44" fontId="0" fillId="0" borderId="12" xfId="0" applyNumberFormat="1" applyBorder="1" applyAlignment="1">
      <alignment wrapText="1"/>
    </xf>
    <xf numFmtId="0" fontId="0" fillId="0" borderId="35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17" xfId="0" applyBorder="1" applyAlignment="1">
      <alignment wrapText="1"/>
    </xf>
    <xf numFmtId="44" fontId="0" fillId="0" borderId="31" xfId="1" applyFont="1" applyBorder="1" applyAlignment="1">
      <alignment wrapText="1"/>
    </xf>
    <xf numFmtId="0" fontId="2" fillId="7" borderId="38" xfId="0" applyFont="1" applyFill="1" applyBorder="1" applyAlignment="1">
      <alignment horizontal="center" vertical="center"/>
    </xf>
    <xf numFmtId="0" fontId="2" fillId="7" borderId="40" xfId="0" applyFont="1" applyFill="1" applyBorder="1" applyAlignment="1">
      <alignment horizontal="center" wrapText="1"/>
    </xf>
    <xf numFmtId="0" fontId="2" fillId="7" borderId="39" xfId="0" applyFont="1" applyFill="1" applyBorder="1" applyAlignment="1">
      <alignment horizontal="center" wrapText="1"/>
    </xf>
    <xf numFmtId="44" fontId="0" fillId="0" borderId="31" xfId="0" applyNumberFormat="1" applyBorder="1" applyAlignment="1">
      <alignment wrapText="1"/>
    </xf>
    <xf numFmtId="44" fontId="0" fillId="0" borderId="17" xfId="0" applyNumberFormat="1" applyBorder="1" applyAlignment="1">
      <alignment wrapText="1"/>
    </xf>
    <xf numFmtId="0" fontId="4" fillId="0" borderId="11" xfId="2" applyBorder="1"/>
    <xf numFmtId="44" fontId="0" fillId="0" borderId="62" xfId="0" applyNumberFormat="1" applyBorder="1" applyAlignment="1">
      <alignment wrapText="1"/>
    </xf>
    <xf numFmtId="0" fontId="2" fillId="7" borderId="50" xfId="0" applyFont="1" applyFill="1" applyBorder="1" applyAlignment="1">
      <alignment horizontal="center" wrapText="1"/>
    </xf>
    <xf numFmtId="0" fontId="0" fillId="0" borderId="22" xfId="0" applyBorder="1" applyAlignment="1">
      <alignment wrapText="1"/>
    </xf>
    <xf numFmtId="2" fontId="0" fillId="0" borderId="22" xfId="0" applyNumberFormat="1" applyBorder="1" applyAlignment="1">
      <alignment wrapText="1"/>
    </xf>
    <xf numFmtId="0" fontId="2" fillId="7" borderId="33" xfId="0" applyFont="1" applyFill="1" applyBorder="1" applyAlignment="1">
      <alignment horizontal="center" vertical="center"/>
    </xf>
    <xf numFmtId="44" fontId="0" fillId="0" borderId="21" xfId="0" applyNumberFormat="1" applyBorder="1" applyAlignment="1">
      <alignment wrapText="1"/>
    </xf>
    <xf numFmtId="0" fontId="2" fillId="7" borderId="25" xfId="0" applyFont="1" applyFill="1" applyBorder="1" applyAlignment="1">
      <alignment horizontal="center" vertical="center"/>
    </xf>
    <xf numFmtId="44" fontId="0" fillId="0" borderId="44" xfId="1" applyFont="1" applyBorder="1" applyAlignment="1">
      <alignment wrapText="1"/>
    </xf>
    <xf numFmtId="0" fontId="2" fillId="7" borderId="23" xfId="0" applyFont="1" applyFill="1" applyBorder="1" applyAlignment="1">
      <alignment horizontal="center" vertical="center"/>
    </xf>
    <xf numFmtId="0" fontId="2" fillId="7" borderId="63" xfId="0" applyFont="1" applyFill="1" applyBorder="1" applyAlignment="1">
      <alignment horizontal="center" wrapText="1"/>
    </xf>
    <xf numFmtId="1" fontId="0" fillId="0" borderId="14" xfId="0" applyNumberFormat="1" applyBorder="1" applyAlignment="1">
      <alignment wrapText="1"/>
    </xf>
    <xf numFmtId="0" fontId="7" fillId="0" borderId="18" xfId="0" applyFont="1" applyFill="1" applyBorder="1"/>
    <xf numFmtId="44" fontId="7" fillId="0" borderId="32" xfId="0" applyNumberFormat="1" applyFont="1" applyFill="1" applyBorder="1"/>
    <xf numFmtId="0" fontId="8" fillId="0" borderId="59" xfId="0" applyFont="1" applyBorder="1" applyAlignment="1">
      <alignment horizontal="center" vertical="center"/>
    </xf>
    <xf numFmtId="44" fontId="8" fillId="0" borderId="28" xfId="1" applyFont="1" applyBorder="1"/>
    <xf numFmtId="44" fontId="7" fillId="13" borderId="14" xfId="1" applyFont="1" applyFill="1" applyBorder="1"/>
    <xf numFmtId="44" fontId="7" fillId="0" borderId="14" xfId="1" applyFont="1" applyBorder="1"/>
    <xf numFmtId="44" fontId="7" fillId="0" borderId="14" xfId="0" applyNumberFormat="1" applyFont="1" applyFill="1" applyBorder="1"/>
    <xf numFmtId="44" fontId="7" fillId="0" borderId="15" xfId="0" applyNumberFormat="1" applyFont="1" applyFill="1" applyBorder="1"/>
    <xf numFmtId="44" fontId="7" fillId="13" borderId="62" xfId="1" applyFont="1" applyFill="1" applyBorder="1"/>
    <xf numFmtId="44" fontId="7" fillId="0" borderId="62" xfId="1" applyFont="1" applyBorder="1"/>
    <xf numFmtId="44" fontId="7" fillId="0" borderId="62" xfId="0" applyNumberFormat="1" applyFont="1" applyFill="1" applyBorder="1"/>
    <xf numFmtId="44" fontId="7" fillId="0" borderId="28" xfId="0" applyNumberFormat="1" applyFont="1" applyFill="1" applyBorder="1"/>
    <xf numFmtId="0" fontId="7" fillId="0" borderId="28" xfId="0" applyFont="1" applyFill="1" applyBorder="1"/>
    <xf numFmtId="44" fontId="0" fillId="0" borderId="17" xfId="1" applyFont="1" applyFill="1" applyBorder="1" applyAlignment="1">
      <alignment wrapText="1"/>
    </xf>
    <xf numFmtId="0" fontId="0" fillId="0" borderId="0" xfId="0" applyBorder="1"/>
    <xf numFmtId="0" fontId="0" fillId="0" borderId="34" xfId="0" applyBorder="1"/>
    <xf numFmtId="0" fontId="0" fillId="0" borderId="16" xfId="0" applyBorder="1"/>
    <xf numFmtId="0" fontId="0" fillId="0" borderId="18" xfId="0" applyBorder="1"/>
    <xf numFmtId="0" fontId="2" fillId="3" borderId="33" xfId="0" applyFont="1" applyFill="1" applyBorder="1" applyAlignment="1">
      <alignment wrapText="1"/>
    </xf>
    <xf numFmtId="44" fontId="0" fillId="0" borderId="33" xfId="0" applyNumberFormat="1" applyBorder="1" applyAlignment="1">
      <alignment wrapText="1"/>
    </xf>
    <xf numFmtId="44" fontId="0" fillId="0" borderId="27" xfId="0" applyNumberFormat="1" applyBorder="1"/>
    <xf numFmtId="0" fontId="0" fillId="0" borderId="32" xfId="0" applyBorder="1"/>
    <xf numFmtId="44" fontId="0" fillId="0" borderId="16" xfId="0" applyNumberFormat="1" applyBorder="1"/>
    <xf numFmtId="0" fontId="0" fillId="12" borderId="45" xfId="0" applyFont="1" applyFill="1" applyBorder="1" applyAlignment="1">
      <alignment horizontal="left" vertical="center"/>
    </xf>
    <xf numFmtId="0" fontId="0" fillId="12" borderId="44" xfId="0" applyFill="1" applyBorder="1"/>
    <xf numFmtId="6" fontId="0" fillId="12" borderId="31" xfId="0" applyNumberFormat="1" applyFill="1" applyBorder="1"/>
    <xf numFmtId="8" fontId="0" fillId="12" borderId="31" xfId="0" applyNumberFormat="1" applyFill="1" applyBorder="1"/>
    <xf numFmtId="0" fontId="4" fillId="12" borderId="32" xfId="2" applyFill="1" applyBorder="1" applyAlignment="1">
      <alignment wrapText="1"/>
    </xf>
    <xf numFmtId="0" fontId="3" fillId="12" borderId="42" xfId="0" applyFont="1" applyFill="1" applyBorder="1" applyAlignment="1">
      <alignment horizontal="left" vertical="center"/>
    </xf>
    <xf numFmtId="0" fontId="3" fillId="12" borderId="22" xfId="0" applyFont="1" applyFill="1" applyBorder="1"/>
    <xf numFmtId="6" fontId="3" fillId="12" borderId="12" xfId="0" applyNumberFormat="1" applyFont="1" applyFill="1" applyBorder="1"/>
    <xf numFmtId="8" fontId="3" fillId="12" borderId="31" xfId="0" applyNumberFormat="1" applyFont="1" applyFill="1" applyBorder="1"/>
    <xf numFmtId="0" fontId="4" fillId="12" borderId="16" xfId="2" applyFill="1" applyBorder="1" applyAlignment="1">
      <alignment wrapText="1"/>
    </xf>
    <xf numFmtId="0" fontId="2" fillId="4" borderId="42" xfId="0" applyFont="1" applyFill="1" applyBorder="1" applyAlignment="1">
      <alignment horizontal="left" vertical="center"/>
    </xf>
    <xf numFmtId="0" fontId="2" fillId="4" borderId="43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4" fillId="0" borderId="15" xfId="2" applyBorder="1" applyAlignment="1">
      <alignment vertical="center"/>
    </xf>
    <xf numFmtId="0" fontId="4" fillId="0" borderId="18" xfId="2" applyBorder="1" applyAlignment="1">
      <alignment vertical="center"/>
    </xf>
    <xf numFmtId="44" fontId="0" fillId="0" borderId="67" xfId="1" applyFont="1" applyBorder="1" applyAlignment="1">
      <alignment vertical="center"/>
    </xf>
    <xf numFmtId="0" fontId="4" fillId="0" borderId="16" xfId="2" applyBorder="1" applyAlignment="1">
      <alignment vertical="center"/>
    </xf>
    <xf numFmtId="44" fontId="0" fillId="0" borderId="31" xfId="1" applyFont="1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40" xfId="0" applyBorder="1" applyAlignment="1">
      <alignment vertical="center"/>
    </xf>
    <xf numFmtId="44" fontId="0" fillId="0" borderId="40" xfId="1" applyFont="1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17" xfId="0" applyBorder="1" applyAlignment="1">
      <alignment vertical="center" wrapText="1"/>
    </xf>
    <xf numFmtId="0" fontId="0" fillId="0" borderId="35" xfId="0" applyBorder="1" applyAlignment="1">
      <alignment vertical="center"/>
    </xf>
    <xf numFmtId="44" fontId="0" fillId="0" borderId="31" xfId="0" applyNumberFormat="1" applyBorder="1"/>
    <xf numFmtId="44" fontId="0" fillId="0" borderId="17" xfId="0" applyNumberFormat="1" applyBorder="1"/>
    <xf numFmtId="0" fontId="0" fillId="0" borderId="44" xfId="0" applyBorder="1"/>
    <xf numFmtId="0" fontId="2" fillId="6" borderId="68" xfId="0" applyFont="1" applyFill="1" applyBorder="1" applyAlignment="1">
      <alignment horizontal="center" vertical="center"/>
    </xf>
    <xf numFmtId="44" fontId="0" fillId="0" borderId="12" xfId="0" applyNumberFormat="1" applyBorder="1"/>
    <xf numFmtId="44" fontId="2" fillId="7" borderId="40" xfId="1" applyFont="1" applyFill="1" applyBorder="1" applyAlignment="1">
      <alignment horizontal="center" wrapText="1"/>
    </xf>
    <xf numFmtId="0" fontId="4" fillId="0" borderId="56" xfId="2" applyBorder="1"/>
    <xf numFmtId="0" fontId="0" fillId="0" borderId="0" xfId="0"/>
    <xf numFmtId="0" fontId="2" fillId="14" borderId="38" xfId="0" applyFont="1" applyFill="1" applyBorder="1"/>
    <xf numFmtId="0" fontId="2" fillId="14" borderId="40" xfId="0" applyFont="1" applyFill="1" applyBorder="1"/>
    <xf numFmtId="0" fontId="2" fillId="14" borderId="39" xfId="0" applyFont="1" applyFill="1" applyBorder="1"/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14" xfId="0" applyFont="1" applyBorder="1" applyAlignment="1">
      <alignment horizontal="center" wrapText="1"/>
    </xf>
    <xf numFmtId="0" fontId="0" fillId="0" borderId="14" xfId="0" applyFont="1" applyBorder="1" applyAlignment="1">
      <alignment horizontal="center"/>
    </xf>
    <xf numFmtId="44" fontId="1" fillId="0" borderId="14" xfId="1" applyFont="1" applyBorder="1" applyAlignment="1">
      <alignment horizontal="center"/>
    </xf>
    <xf numFmtId="0" fontId="4" fillId="0" borderId="15" xfId="2" applyFont="1" applyBorder="1" applyAlignment="1">
      <alignment horizontal="center"/>
    </xf>
    <xf numFmtId="0" fontId="0" fillId="0" borderId="12" xfId="0" applyFont="1" applyBorder="1" applyAlignment="1">
      <alignment horizontal="center" wrapText="1"/>
    </xf>
    <xf numFmtId="0" fontId="0" fillId="0" borderId="12" xfId="0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44" fontId="0" fillId="0" borderId="12" xfId="0" applyNumberFormat="1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17" xfId="0" applyFont="1" applyBorder="1" applyAlignment="1">
      <alignment horizontal="center" wrapText="1"/>
    </xf>
    <xf numFmtId="0" fontId="0" fillId="0" borderId="17" xfId="0" applyFont="1" applyBorder="1" applyAlignment="1">
      <alignment horizontal="center"/>
    </xf>
    <xf numFmtId="44" fontId="0" fillId="0" borderId="14" xfId="0" applyNumberFormat="1" applyFont="1" applyBorder="1" applyAlignment="1">
      <alignment horizontal="center" wrapText="1"/>
    </xf>
    <xf numFmtId="0" fontId="2" fillId="5" borderId="59" xfId="0" applyFont="1" applyFill="1" applyBorder="1" applyAlignment="1">
      <alignment horizontal="center" wrapText="1"/>
    </xf>
    <xf numFmtId="0" fontId="0" fillId="0" borderId="62" xfId="0" applyFont="1" applyBorder="1" applyAlignment="1">
      <alignment horizontal="center" wrapText="1"/>
    </xf>
    <xf numFmtId="0" fontId="0" fillId="0" borderId="62" xfId="0" applyFont="1" applyBorder="1" applyAlignment="1">
      <alignment horizontal="center"/>
    </xf>
    <xf numFmtId="166" fontId="0" fillId="0" borderId="62" xfId="0" applyNumberFormat="1" applyFont="1" applyBorder="1" applyAlignment="1">
      <alignment horizontal="center"/>
    </xf>
    <xf numFmtId="166" fontId="0" fillId="0" borderId="62" xfId="0" applyNumberFormat="1" applyFont="1" applyBorder="1" applyAlignment="1">
      <alignment horizontal="center" wrapText="1"/>
    </xf>
    <xf numFmtId="0" fontId="4" fillId="0" borderId="28" xfId="2" applyFont="1" applyBorder="1" applyAlignment="1">
      <alignment horizontal="center"/>
    </xf>
    <xf numFmtId="44" fontId="0" fillId="0" borderId="12" xfId="0" applyNumberFormat="1" applyFont="1" applyBorder="1" applyAlignment="1">
      <alignment horizontal="center" wrapText="1"/>
    </xf>
    <xf numFmtId="44" fontId="0" fillId="0" borderId="17" xfId="1" applyFont="1" applyBorder="1" applyAlignment="1">
      <alignment horizontal="center" wrapText="1"/>
    </xf>
    <xf numFmtId="44" fontId="0" fillId="0" borderId="17" xfId="0" applyNumberFormat="1" applyFont="1" applyBorder="1" applyAlignment="1">
      <alignment horizontal="center" wrapText="1"/>
    </xf>
    <xf numFmtId="0" fontId="4" fillId="0" borderId="18" xfId="2" applyFont="1" applyBorder="1" applyAlignment="1">
      <alignment horizontal="center"/>
    </xf>
    <xf numFmtId="0" fontId="0" fillId="0" borderId="6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0" fillId="0" borderId="69" xfId="0" applyBorder="1"/>
    <xf numFmtId="0" fontId="0" fillId="0" borderId="62" xfId="0" applyBorder="1"/>
    <xf numFmtId="44" fontId="0" fillId="0" borderId="62" xfId="1" applyFont="1" applyBorder="1"/>
    <xf numFmtId="0" fontId="4" fillId="0" borderId="28" xfId="2" applyBorder="1"/>
    <xf numFmtId="44" fontId="0" fillId="0" borderId="22" xfId="1" applyFont="1" applyBorder="1"/>
    <xf numFmtId="0" fontId="7" fillId="0" borderId="0" xfId="0" applyFont="1" applyAlignment="1">
      <alignment vertical="center"/>
    </xf>
    <xf numFmtId="0" fontId="7" fillId="11" borderId="0" xfId="0" applyFont="1" applyFill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8" fillId="9" borderId="33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7" fillId="0" borderId="38" xfId="0" applyFont="1" applyBorder="1" applyAlignment="1">
      <alignment vertical="center"/>
    </xf>
    <xf numFmtId="44" fontId="7" fillId="0" borderId="14" xfId="0" applyNumberFormat="1" applyFont="1" applyBorder="1" applyAlignment="1">
      <alignment vertical="center"/>
    </xf>
    <xf numFmtId="0" fontId="8" fillId="6" borderId="23" xfId="0" applyFont="1" applyFill="1" applyBorder="1" applyAlignment="1">
      <alignment horizontal="center" vertical="center"/>
    </xf>
    <xf numFmtId="0" fontId="7" fillId="0" borderId="19" xfId="0" applyFont="1" applyBorder="1" applyAlignment="1">
      <alignment vertical="center"/>
    </xf>
    <xf numFmtId="0" fontId="7" fillId="0" borderId="14" xfId="0" applyNumberFormat="1" applyFont="1" applyBorder="1" applyAlignment="1">
      <alignment vertical="center"/>
    </xf>
    <xf numFmtId="8" fontId="7" fillId="0" borderId="15" xfId="0" applyNumberFormat="1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44" fontId="7" fillId="0" borderId="15" xfId="0" applyNumberFormat="1" applyFont="1" applyBorder="1" applyAlignment="1">
      <alignment vertical="center"/>
    </xf>
    <xf numFmtId="0" fontId="8" fillId="10" borderId="23" xfId="0" applyFont="1" applyFill="1" applyBorder="1" applyAlignment="1">
      <alignment horizontal="center" vertical="center" wrapText="1"/>
    </xf>
    <xf numFmtId="44" fontId="7" fillId="0" borderId="26" xfId="0" applyNumberFormat="1" applyFont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7" fillId="0" borderId="22" xfId="0" applyFont="1" applyBorder="1" applyAlignment="1">
      <alignment vertical="center"/>
    </xf>
    <xf numFmtId="44" fontId="7" fillId="0" borderId="12" xfId="0" applyNumberFormat="1" applyFont="1" applyBorder="1" applyAlignment="1">
      <alignment vertical="center"/>
    </xf>
    <xf numFmtId="0" fontId="7" fillId="0" borderId="12" xfId="0" applyNumberFormat="1" applyFont="1" applyBorder="1" applyAlignment="1">
      <alignment vertical="center"/>
    </xf>
    <xf numFmtId="8" fontId="7" fillId="0" borderId="16" xfId="0" applyNumberFormat="1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44" fontId="7" fillId="0" borderId="16" xfId="0" applyNumberFormat="1" applyFont="1" applyBorder="1" applyAlignment="1">
      <alignment vertical="center"/>
    </xf>
    <xf numFmtId="0" fontId="8" fillId="6" borderId="25" xfId="0" applyFont="1" applyFill="1" applyBorder="1" applyAlignment="1">
      <alignment horizontal="center" vertical="center"/>
    </xf>
    <xf numFmtId="0" fontId="7" fillId="0" borderId="21" xfId="0" applyFont="1" applyBorder="1" applyAlignment="1">
      <alignment vertical="center"/>
    </xf>
    <xf numFmtId="44" fontId="7" fillId="0" borderId="17" xfId="0" applyNumberFormat="1" applyFont="1" applyBorder="1" applyAlignment="1">
      <alignment vertical="center"/>
    </xf>
    <xf numFmtId="0" fontId="7" fillId="0" borderId="17" xfId="0" applyNumberFormat="1" applyFont="1" applyBorder="1" applyAlignment="1">
      <alignment vertical="center"/>
    </xf>
    <xf numFmtId="8" fontId="7" fillId="0" borderId="18" xfId="0" applyNumberFormat="1" applyFont="1" applyBorder="1" applyAlignment="1">
      <alignment vertical="center"/>
    </xf>
    <xf numFmtId="0" fontId="7" fillId="0" borderId="19" xfId="0" applyFont="1" applyFill="1" applyBorder="1" applyAlignment="1">
      <alignment vertical="center"/>
    </xf>
    <xf numFmtId="165" fontId="7" fillId="0" borderId="12" xfId="0" applyNumberFormat="1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22" xfId="0" applyFont="1" applyFill="1" applyBorder="1" applyAlignment="1">
      <alignment vertical="center" wrapText="1"/>
    </xf>
    <xf numFmtId="44" fontId="7" fillId="0" borderId="12" xfId="1" applyFont="1" applyBorder="1" applyAlignment="1">
      <alignment vertical="center"/>
    </xf>
    <xf numFmtId="1" fontId="7" fillId="0" borderId="12" xfId="0" applyNumberFormat="1" applyFont="1" applyBorder="1" applyAlignment="1">
      <alignment vertical="center"/>
    </xf>
    <xf numFmtId="1" fontId="7" fillId="0" borderId="16" xfId="0" applyNumberFormat="1" applyFont="1" applyBorder="1" applyAlignment="1">
      <alignment vertical="center"/>
    </xf>
    <xf numFmtId="0" fontId="7" fillId="0" borderId="22" xfId="0" applyFont="1" applyFill="1" applyBorder="1" applyAlignment="1">
      <alignment vertical="center"/>
    </xf>
    <xf numFmtId="9" fontId="7" fillId="0" borderId="12" xfId="3" applyFont="1" applyBorder="1" applyAlignment="1">
      <alignment vertical="center"/>
    </xf>
    <xf numFmtId="9" fontId="7" fillId="0" borderId="16" xfId="3" applyFont="1" applyBorder="1" applyAlignment="1">
      <alignment vertical="center" wrapText="1"/>
    </xf>
    <xf numFmtId="0" fontId="8" fillId="6" borderId="23" xfId="0" applyFont="1" applyFill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9" fontId="7" fillId="0" borderId="17" xfId="3" applyFont="1" applyBorder="1" applyAlignment="1">
      <alignment vertical="center"/>
    </xf>
    <xf numFmtId="9" fontId="7" fillId="0" borderId="18" xfId="3" applyFont="1" applyBorder="1" applyAlignment="1">
      <alignment vertical="center" wrapText="1"/>
    </xf>
    <xf numFmtId="0" fontId="8" fillId="6" borderId="24" xfId="0" applyFont="1" applyFill="1" applyBorder="1" applyAlignment="1">
      <alignment horizontal="center" vertical="center"/>
    </xf>
    <xf numFmtId="44" fontId="7" fillId="0" borderId="14" xfId="1" applyFont="1" applyBorder="1" applyAlignment="1">
      <alignment vertical="center"/>
    </xf>
    <xf numFmtId="0" fontId="7" fillId="0" borderId="22" xfId="0" applyFont="1" applyBorder="1" applyAlignment="1">
      <alignment vertical="center" wrapText="1"/>
    </xf>
    <xf numFmtId="0" fontId="7" fillId="0" borderId="16" xfId="0" applyNumberFormat="1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9" fontId="7" fillId="0" borderId="18" xfId="3" applyFont="1" applyBorder="1" applyAlignment="1">
      <alignment vertical="center"/>
    </xf>
    <xf numFmtId="0" fontId="7" fillId="0" borderId="44" xfId="0" applyFont="1" applyBorder="1" applyAlignment="1">
      <alignment vertical="center"/>
    </xf>
    <xf numFmtId="44" fontId="7" fillId="0" borderId="31" xfId="1" applyFont="1" applyFill="1" applyBorder="1" applyAlignment="1">
      <alignment vertical="center"/>
    </xf>
    <xf numFmtId="0" fontId="7" fillId="0" borderId="31" xfId="0" applyNumberFormat="1" applyFont="1" applyBorder="1" applyAlignment="1">
      <alignment vertical="center"/>
    </xf>
    <xf numFmtId="8" fontId="7" fillId="0" borderId="32" xfId="0" applyNumberFormat="1" applyFont="1" applyBorder="1" applyAlignment="1">
      <alignment vertical="center"/>
    </xf>
    <xf numFmtId="0" fontId="8" fillId="6" borderId="25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vertical="center"/>
    </xf>
    <xf numFmtId="8" fontId="7" fillId="0" borderId="14" xfId="0" applyNumberFormat="1" applyFont="1" applyBorder="1" applyAlignment="1">
      <alignment vertical="center"/>
    </xf>
    <xf numFmtId="8" fontId="7" fillId="0" borderId="12" xfId="0" applyNumberFormat="1" applyFont="1" applyBorder="1" applyAlignment="1">
      <alignment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44" fontId="7" fillId="0" borderId="15" xfId="1" applyFont="1" applyBorder="1" applyAlignment="1">
      <alignment vertical="center"/>
    </xf>
    <xf numFmtId="0" fontId="8" fillId="0" borderId="24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44" fontId="7" fillId="0" borderId="16" xfId="1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44" fontId="7" fillId="0" borderId="18" xfId="1" applyFont="1" applyFill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44" fontId="7" fillId="0" borderId="17" xfId="1" applyFont="1" applyBorder="1" applyAlignment="1">
      <alignment vertical="center"/>
    </xf>
    <xf numFmtId="44" fontId="7" fillId="0" borderId="0" xfId="0" applyNumberFormat="1" applyFont="1" applyBorder="1" applyAlignment="1">
      <alignment vertical="center"/>
    </xf>
    <xf numFmtId="0" fontId="8" fillId="7" borderId="10" xfId="0" applyFont="1" applyFill="1" applyBorder="1" applyAlignment="1">
      <alignment vertical="center"/>
    </xf>
    <xf numFmtId="9" fontId="8" fillId="7" borderId="0" xfId="0" applyNumberFormat="1" applyFont="1" applyFill="1" applyBorder="1" applyAlignment="1">
      <alignment vertical="center"/>
    </xf>
    <xf numFmtId="0" fontId="7" fillId="0" borderId="0" xfId="0" applyNumberFormat="1" applyFont="1" applyAlignment="1">
      <alignment vertical="center"/>
    </xf>
    <xf numFmtId="11" fontId="7" fillId="0" borderId="16" xfId="0" applyNumberFormat="1" applyFont="1" applyFill="1" applyBorder="1" applyAlignment="1">
      <alignment horizontal="right" vertical="center"/>
    </xf>
    <xf numFmtId="2" fontId="7" fillId="0" borderId="0" xfId="0" applyNumberFormat="1" applyFont="1" applyAlignment="1">
      <alignment vertical="center"/>
    </xf>
    <xf numFmtId="9" fontId="7" fillId="0" borderId="16" xfId="3" applyFont="1" applyFill="1" applyBorder="1" applyAlignment="1">
      <alignment horizontal="right" vertical="center"/>
    </xf>
    <xf numFmtId="11" fontId="7" fillId="0" borderId="0" xfId="0" applyNumberFormat="1" applyFont="1" applyAlignment="1">
      <alignment vertical="center"/>
    </xf>
    <xf numFmtId="1" fontId="7" fillId="0" borderId="0" xfId="0" applyNumberFormat="1" applyFont="1" applyAlignment="1">
      <alignment vertical="center"/>
    </xf>
    <xf numFmtId="9" fontId="7" fillId="0" borderId="0" xfId="3" applyFont="1" applyAlignment="1">
      <alignment vertical="center"/>
    </xf>
    <xf numFmtId="44" fontId="7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44" fontId="7" fillId="0" borderId="32" xfId="0" applyNumberFormat="1" applyFont="1" applyBorder="1" applyAlignment="1">
      <alignment vertical="center"/>
    </xf>
    <xf numFmtId="0" fontId="8" fillId="7" borderId="0" xfId="0" applyFont="1" applyFill="1" applyBorder="1" applyAlignment="1">
      <alignment horizontal="center" vertical="center"/>
    </xf>
    <xf numFmtId="8" fontId="7" fillId="0" borderId="0" xfId="0" applyNumberFormat="1" applyFont="1" applyAlignment="1">
      <alignment vertical="center"/>
    </xf>
    <xf numFmtId="0" fontId="2" fillId="7" borderId="68" xfId="0" applyFont="1" applyFill="1" applyBorder="1" applyAlignment="1">
      <alignment horizontal="center" vertical="center"/>
    </xf>
    <xf numFmtId="0" fontId="2" fillId="7" borderId="67" xfId="0" applyFont="1" applyFill="1" applyBorder="1" applyAlignment="1">
      <alignment horizontal="center" wrapText="1"/>
    </xf>
    <xf numFmtId="0" fontId="2" fillId="7" borderId="26" xfId="0" applyFont="1" applyFill="1" applyBorder="1" applyAlignment="1">
      <alignment horizontal="center" wrapText="1"/>
    </xf>
    <xf numFmtId="0" fontId="2" fillId="7" borderId="67" xfId="0" applyFont="1" applyFill="1" applyBorder="1" applyAlignment="1">
      <alignment horizontal="center" vertical="center" wrapText="1"/>
    </xf>
    <xf numFmtId="0" fontId="2" fillId="7" borderId="26" xfId="0" applyFont="1" applyFill="1" applyBorder="1" applyAlignment="1">
      <alignment horizontal="center" vertical="center" wrapText="1"/>
    </xf>
    <xf numFmtId="0" fontId="0" fillId="0" borderId="34" xfId="0" applyBorder="1" applyAlignment="1">
      <alignment vertical="center" wrapText="1"/>
    </xf>
    <xf numFmtId="0" fontId="2" fillId="7" borderId="40" xfId="0" applyFont="1" applyFill="1" applyBorder="1" applyAlignment="1">
      <alignment horizontal="center" vertical="center" wrapText="1"/>
    </xf>
    <xf numFmtId="0" fontId="2" fillId="7" borderId="39" xfId="0" applyFont="1" applyFill="1" applyBorder="1" applyAlignment="1">
      <alignment horizontal="center" vertical="center" wrapText="1"/>
    </xf>
    <xf numFmtId="0" fontId="0" fillId="0" borderId="37" xfId="0" applyBorder="1" applyAlignment="1">
      <alignment vertical="center"/>
    </xf>
    <xf numFmtId="44" fontId="0" fillId="0" borderId="0" xfId="1" applyFont="1" applyAlignment="1">
      <alignment horizontal="right" vertical="center"/>
    </xf>
    <xf numFmtId="44" fontId="2" fillId="7" borderId="67" xfId="1" applyFont="1" applyFill="1" applyBorder="1" applyAlignment="1">
      <alignment horizontal="right" vertical="center" wrapText="1"/>
    </xf>
    <xf numFmtId="44" fontId="0" fillId="0" borderId="14" xfId="1" applyFont="1" applyBorder="1" applyAlignment="1">
      <alignment horizontal="right" vertical="center"/>
    </xf>
    <xf numFmtId="44" fontId="0" fillId="0" borderId="12" xfId="1" applyFont="1" applyBorder="1" applyAlignment="1">
      <alignment horizontal="right" vertical="center"/>
    </xf>
    <xf numFmtId="44" fontId="0" fillId="0" borderId="31" xfId="1" applyFont="1" applyBorder="1" applyAlignment="1">
      <alignment horizontal="right" vertical="center"/>
    </xf>
    <xf numFmtId="0" fontId="4" fillId="0" borderId="32" xfId="2" applyBorder="1" applyAlignment="1">
      <alignment vertical="center"/>
    </xf>
    <xf numFmtId="44" fontId="0" fillId="0" borderId="19" xfId="1" applyFont="1" applyBorder="1" applyAlignment="1">
      <alignment horizontal="right" vertical="center"/>
    </xf>
    <xf numFmtId="44" fontId="0" fillId="0" borderId="22" xfId="1" applyFont="1" applyBorder="1" applyAlignment="1">
      <alignment horizontal="right" vertical="center"/>
    </xf>
    <xf numFmtId="44" fontId="0" fillId="0" borderId="21" xfId="1" applyFont="1" applyBorder="1" applyAlignment="1">
      <alignment horizontal="right"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8" fillId="0" borderId="41" xfId="0" applyFont="1" applyBorder="1" applyAlignment="1">
      <alignment horizontal="left" wrapText="1"/>
    </xf>
    <xf numFmtId="0" fontId="8" fillId="0" borderId="45" xfId="0" applyFont="1" applyBorder="1" applyAlignment="1">
      <alignment horizontal="left" wrapText="1"/>
    </xf>
    <xf numFmtId="0" fontId="8" fillId="0" borderId="45" xfId="0" applyFont="1" applyBorder="1" applyAlignment="1">
      <alignment horizontal="left"/>
    </xf>
    <xf numFmtId="0" fontId="8" fillId="0" borderId="25" xfId="0" applyFont="1" applyBorder="1" applyAlignment="1">
      <alignment horizontal="left"/>
    </xf>
    <xf numFmtId="0" fontId="8" fillId="2" borderId="33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 wrapText="1"/>
    </xf>
    <xf numFmtId="0" fontId="2" fillId="3" borderId="38" xfId="0" applyFont="1" applyFill="1" applyBorder="1" applyAlignment="1">
      <alignment horizontal="center" vertical="center"/>
    </xf>
    <xf numFmtId="44" fontId="0" fillId="0" borderId="19" xfId="1" applyFont="1" applyBorder="1"/>
    <xf numFmtId="44" fontId="0" fillId="0" borderId="21" xfId="1" applyFont="1" applyBorder="1"/>
    <xf numFmtId="0" fontId="8" fillId="0" borderId="24" xfId="0" applyFont="1" applyBorder="1" applyAlignment="1">
      <alignment horizontal="left"/>
    </xf>
    <xf numFmtId="0" fontId="8" fillId="13" borderId="41" xfId="0" applyFont="1" applyFill="1" applyBorder="1" applyAlignment="1">
      <alignment horizontal="left"/>
    </xf>
    <xf numFmtId="0" fontId="7" fillId="0" borderId="21" xfId="0" applyFont="1" applyFill="1" applyBorder="1"/>
    <xf numFmtId="0" fontId="7" fillId="0" borderId="17" xfId="0" applyFont="1" applyFill="1" applyBorder="1"/>
    <xf numFmtId="0" fontId="7" fillId="0" borderId="6" xfId="0" applyFont="1" applyFill="1" applyBorder="1"/>
    <xf numFmtId="0" fontId="7" fillId="0" borderId="0" xfId="0" applyFont="1" applyAlignment="1">
      <alignment vertical="center" wrapText="1"/>
    </xf>
    <xf numFmtId="0" fontId="7" fillId="0" borderId="22" xfId="0" applyFont="1" applyFill="1" applyBorder="1"/>
    <xf numFmtId="0" fontId="7" fillId="0" borderId="52" xfId="0" applyFont="1" applyFill="1" applyBorder="1"/>
    <xf numFmtId="0" fontId="7" fillId="0" borderId="29" xfId="0" applyFont="1" applyFill="1" applyBorder="1"/>
    <xf numFmtId="0" fontId="8" fillId="0" borderId="51" xfId="0" applyFont="1" applyFill="1" applyBorder="1"/>
    <xf numFmtId="0" fontId="7" fillId="0" borderId="44" xfId="0" applyFont="1" applyFill="1" applyBorder="1"/>
    <xf numFmtId="0" fontId="7" fillId="0" borderId="31" xfId="0" applyFont="1" applyFill="1" applyBorder="1"/>
    <xf numFmtId="0" fontId="7" fillId="0" borderId="48" xfId="0" applyFont="1" applyFill="1" applyBorder="1"/>
    <xf numFmtId="0" fontId="8" fillId="0" borderId="45" xfId="0" applyFont="1" applyFill="1" applyBorder="1"/>
    <xf numFmtId="0" fontId="7" fillId="0" borderId="12" xfId="0" applyFont="1" applyFill="1" applyBorder="1"/>
    <xf numFmtId="0" fontId="8" fillId="0" borderId="42" xfId="0" applyFont="1" applyFill="1" applyBorder="1"/>
    <xf numFmtId="0" fontId="7" fillId="0" borderId="19" xfId="0" applyFont="1" applyFill="1" applyBorder="1"/>
    <xf numFmtId="0" fontId="7" fillId="0" borderId="14" xfId="0" applyFont="1" applyFill="1" applyBorder="1"/>
    <xf numFmtId="0" fontId="7" fillId="0" borderId="57" xfId="0" applyFont="1" applyFill="1" applyBorder="1"/>
    <xf numFmtId="0" fontId="8" fillId="0" borderId="41" xfId="0" applyFont="1" applyFill="1" applyBorder="1"/>
    <xf numFmtId="0" fontId="8" fillId="0" borderId="1" xfId="0" applyFont="1" applyFill="1" applyBorder="1" applyAlignment="1">
      <alignment horizontal="left" wrapText="1"/>
    </xf>
    <xf numFmtId="0" fontId="8" fillId="13" borderId="72" xfId="0" applyFont="1" applyFill="1" applyBorder="1" applyAlignment="1">
      <alignment horizontal="left"/>
    </xf>
    <xf numFmtId="0" fontId="8" fillId="13" borderId="73" xfId="0" applyFont="1" applyFill="1" applyBorder="1" applyAlignment="1">
      <alignment horizontal="left"/>
    </xf>
    <xf numFmtId="0" fontId="8" fillId="13" borderId="74" xfId="0" applyFont="1" applyFill="1" applyBorder="1" applyAlignment="1">
      <alignment horizontal="left"/>
    </xf>
    <xf numFmtId="9" fontId="8" fillId="0" borderId="34" xfId="3" applyFont="1" applyFill="1" applyBorder="1" applyAlignment="1">
      <alignment horizontal="center" vertical="center"/>
    </xf>
    <xf numFmtId="9" fontId="8" fillId="0" borderId="14" xfId="3" applyFont="1" applyFill="1" applyBorder="1" applyAlignment="1">
      <alignment horizontal="center" vertical="center"/>
    </xf>
    <xf numFmtId="9" fontId="8" fillId="0" borderId="14" xfId="3" applyFont="1" applyFill="1" applyBorder="1" applyAlignment="1">
      <alignment horizontal="center" vertical="center" wrapText="1"/>
    </xf>
    <xf numFmtId="9" fontId="8" fillId="0" borderId="15" xfId="3" applyFont="1" applyFill="1" applyBorder="1" applyAlignment="1">
      <alignment horizontal="center" vertical="center"/>
    </xf>
    <xf numFmtId="0" fontId="7" fillId="0" borderId="35" xfId="0" applyFont="1" applyFill="1" applyBorder="1"/>
    <xf numFmtId="0" fontId="7" fillId="0" borderId="16" xfId="0" applyFont="1" applyFill="1" applyBorder="1"/>
    <xf numFmtId="0" fontId="8" fillId="0" borderId="16" xfId="0" applyFont="1" applyFill="1" applyBorder="1"/>
    <xf numFmtId="0" fontId="7" fillId="0" borderId="36" xfId="0" applyFont="1" applyFill="1" applyBorder="1"/>
    <xf numFmtId="0" fontId="7" fillId="0" borderId="62" xfId="0" applyFont="1" applyFill="1" applyBorder="1"/>
    <xf numFmtId="0" fontId="8" fillId="0" borderId="62" xfId="0" applyFont="1" applyFill="1" applyBorder="1"/>
    <xf numFmtId="0" fontId="8" fillId="3" borderId="38" xfId="0" applyFont="1" applyFill="1" applyBorder="1" applyAlignment="1">
      <alignment horizontal="center" vertical="center"/>
    </xf>
    <xf numFmtId="0" fontId="0" fillId="0" borderId="34" xfId="0" applyBorder="1" applyAlignment="1">
      <alignment wrapText="1"/>
    </xf>
    <xf numFmtId="0" fontId="0" fillId="0" borderId="14" xfId="0" applyBorder="1" applyAlignment="1">
      <alignment wrapText="1"/>
    </xf>
    <xf numFmtId="44" fontId="0" fillId="0" borderId="14" xfId="0" applyNumberFormat="1" applyBorder="1" applyAlignment="1">
      <alignment wrapText="1"/>
    </xf>
    <xf numFmtId="44" fontId="0" fillId="0" borderId="14" xfId="1" applyFont="1" applyBorder="1" applyAlignment="1">
      <alignment wrapText="1"/>
    </xf>
    <xf numFmtId="44" fontId="0" fillId="0" borderId="62" xfId="1" applyFont="1" applyBorder="1" applyAlignment="1">
      <alignment wrapText="1"/>
    </xf>
    <xf numFmtId="0" fontId="3" fillId="0" borderId="32" xfId="2" applyFont="1" applyBorder="1" applyAlignment="1">
      <alignment vertical="center" wrapText="1"/>
    </xf>
    <xf numFmtId="0" fontId="3" fillId="0" borderId="15" xfId="2" applyFont="1" applyBorder="1" applyAlignment="1">
      <alignment vertical="center" wrapText="1"/>
    </xf>
    <xf numFmtId="167" fontId="0" fillId="0" borderId="44" xfId="4" applyNumberFormat="1" applyFont="1" applyBorder="1" applyAlignment="1">
      <alignment wrapText="1"/>
    </xf>
    <xf numFmtId="1" fontId="0" fillId="0" borderId="12" xfId="0" applyNumberFormat="1" applyBorder="1" applyAlignment="1">
      <alignment wrapText="1"/>
    </xf>
    <xf numFmtId="0" fontId="2" fillId="7" borderId="34" xfId="0" applyFont="1" applyFill="1" applyBorder="1" applyAlignment="1">
      <alignment horizontal="center" vertical="center"/>
    </xf>
    <xf numFmtId="0" fontId="2" fillId="7" borderId="35" xfId="0" applyFont="1" applyFill="1" applyBorder="1" applyAlignment="1">
      <alignment horizontal="center" vertical="center"/>
    </xf>
    <xf numFmtId="0" fontId="2" fillId="7" borderId="36" xfId="0" applyFont="1" applyFill="1" applyBorder="1" applyAlignment="1">
      <alignment horizontal="center" vertical="center"/>
    </xf>
    <xf numFmtId="167" fontId="0" fillId="0" borderId="12" xfId="4" applyNumberFormat="1" applyFont="1" applyBorder="1" applyAlignment="1">
      <alignment wrapText="1"/>
    </xf>
    <xf numFmtId="167" fontId="0" fillId="0" borderId="17" xfId="4" applyNumberFormat="1" applyFont="1" applyBorder="1" applyAlignment="1">
      <alignment wrapText="1"/>
    </xf>
    <xf numFmtId="0" fontId="7" fillId="0" borderId="36" xfId="0" applyFont="1" applyBorder="1" applyAlignment="1">
      <alignment vertical="center"/>
    </xf>
    <xf numFmtId="0" fontId="7" fillId="0" borderId="34" xfId="0" applyFont="1" applyBorder="1" applyAlignment="1">
      <alignment vertical="center"/>
    </xf>
    <xf numFmtId="0" fontId="8" fillId="0" borderId="35" xfId="0" applyFont="1" applyFill="1" applyBorder="1" applyAlignment="1">
      <alignment horizontal="center" vertical="center"/>
    </xf>
    <xf numFmtId="165" fontId="7" fillId="0" borderId="16" xfId="0" applyNumberFormat="1" applyFont="1" applyBorder="1" applyAlignment="1">
      <alignment vertical="center"/>
    </xf>
    <xf numFmtId="44" fontId="7" fillId="0" borderId="18" xfId="0" applyNumberFormat="1" applyFont="1" applyBorder="1" applyAlignment="1">
      <alignment vertical="center"/>
    </xf>
    <xf numFmtId="0" fontId="8" fillId="13" borderId="34" xfId="0" applyFont="1" applyFill="1" applyBorder="1" applyAlignment="1">
      <alignment horizontal="center" vertical="center"/>
    </xf>
    <xf numFmtId="0" fontId="8" fillId="13" borderId="35" xfId="0" applyFont="1" applyFill="1" applyBorder="1" applyAlignment="1">
      <alignment horizontal="center" vertical="center"/>
    </xf>
    <xf numFmtId="0" fontId="12" fillId="13" borderId="36" xfId="0" applyFont="1" applyFill="1" applyBorder="1" applyAlignment="1">
      <alignment horizontal="center" vertical="center"/>
    </xf>
    <xf numFmtId="0" fontId="7" fillId="13" borderId="15" xfId="0" applyFont="1" applyFill="1" applyBorder="1" applyAlignment="1">
      <alignment horizontal="center" vertical="center"/>
    </xf>
    <xf numFmtId="9" fontId="7" fillId="13" borderId="16" xfId="3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11" fontId="7" fillId="13" borderId="16" xfId="0" applyNumberFormat="1" applyFont="1" applyFill="1" applyBorder="1" applyAlignment="1">
      <alignment horizontal="center" vertical="center"/>
    </xf>
    <xf numFmtId="0" fontId="14" fillId="13" borderId="18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11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8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9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7" fillId="0" borderId="37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44" fontId="7" fillId="0" borderId="31" xfId="0" applyNumberFormat="1" applyFont="1" applyBorder="1" applyAlignment="1">
      <alignment vertical="center"/>
    </xf>
    <xf numFmtId="168" fontId="7" fillId="0" borderId="19" xfId="1" applyNumberFormat="1" applyFont="1" applyBorder="1"/>
    <xf numFmtId="168" fontId="7" fillId="0" borderId="44" xfId="1" applyNumberFormat="1" applyFont="1" applyBorder="1"/>
    <xf numFmtId="168" fontId="7" fillId="0" borderId="69" xfId="1" applyNumberFormat="1" applyFont="1" applyBorder="1"/>
    <xf numFmtId="11" fontId="7" fillId="0" borderId="18" xfId="0" applyNumberFormat="1" applyFont="1" applyFill="1" applyBorder="1" applyAlignment="1">
      <alignment horizontal="right" vertical="center"/>
    </xf>
    <xf numFmtId="11" fontId="7" fillId="0" borderId="0" xfId="0" applyNumberFormat="1" applyFont="1" applyAlignment="1">
      <alignment horizontal="right" vertical="center"/>
    </xf>
    <xf numFmtId="11" fontId="8" fillId="0" borderId="16" xfId="0" applyNumberFormat="1" applyFont="1" applyFill="1" applyBorder="1" applyAlignment="1">
      <alignment horizontal="right" vertical="center"/>
    </xf>
    <xf numFmtId="11" fontId="7" fillId="0" borderId="16" xfId="0" applyNumberFormat="1" applyFont="1" applyBorder="1" applyAlignment="1">
      <alignment horizontal="right" vertical="center"/>
    </xf>
    <xf numFmtId="11" fontId="8" fillId="0" borderId="34" xfId="0" applyNumberFormat="1" applyFont="1" applyFill="1" applyBorder="1" applyAlignment="1">
      <alignment horizontal="center" vertical="center"/>
    </xf>
    <xf numFmtId="11" fontId="8" fillId="0" borderId="35" xfId="0" applyNumberFormat="1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left" vertical="center"/>
    </xf>
    <xf numFmtId="0" fontId="16" fillId="15" borderId="75" xfId="0" applyFont="1" applyFill="1" applyBorder="1" applyAlignment="1">
      <alignment vertical="center" wrapText="1"/>
    </xf>
    <xf numFmtId="0" fontId="17" fillId="15" borderId="75" xfId="0" applyFont="1" applyFill="1" applyBorder="1" applyAlignment="1">
      <alignment vertical="center" wrapText="1"/>
    </xf>
    <xf numFmtId="0" fontId="17" fillId="15" borderId="76" xfId="0" applyFont="1" applyFill="1" applyBorder="1" applyAlignment="1">
      <alignment vertical="center" wrapText="1"/>
    </xf>
    <xf numFmtId="0" fontId="17" fillId="16" borderId="75" xfId="0" applyFont="1" applyFill="1" applyBorder="1" applyAlignment="1">
      <alignment wrapText="1"/>
    </xf>
    <xf numFmtId="0" fontId="17" fillId="16" borderId="75" xfId="0" applyFont="1" applyFill="1" applyBorder="1" applyAlignment="1">
      <alignment vertical="center" wrapText="1"/>
    </xf>
    <xf numFmtId="0" fontId="17" fillId="16" borderId="75" xfId="0" applyFont="1" applyFill="1" applyBorder="1" applyAlignment="1">
      <alignment horizontal="right" wrapText="1"/>
    </xf>
    <xf numFmtId="0" fontId="17" fillId="0" borderId="75" xfId="0" applyFont="1" applyBorder="1" applyAlignment="1">
      <alignment wrapText="1"/>
    </xf>
    <xf numFmtId="0" fontId="17" fillId="0" borderId="75" xfId="0" applyFont="1" applyBorder="1" applyAlignment="1">
      <alignment vertical="center" wrapText="1"/>
    </xf>
    <xf numFmtId="0" fontId="17" fillId="0" borderId="75" xfId="0" applyFont="1" applyBorder="1" applyAlignment="1">
      <alignment horizontal="right" wrapText="1"/>
    </xf>
    <xf numFmtId="0" fontId="18" fillId="0" borderId="75" xfId="0" applyFont="1" applyBorder="1" applyAlignment="1">
      <alignment wrapText="1"/>
    </xf>
    <xf numFmtId="0" fontId="19" fillId="17" borderId="75" xfId="0" applyFont="1" applyFill="1" applyBorder="1" applyAlignment="1">
      <alignment wrapText="1"/>
    </xf>
    <xf numFmtId="0" fontId="17" fillId="18" borderId="75" xfId="0" applyFont="1" applyFill="1" applyBorder="1" applyAlignment="1">
      <alignment wrapText="1"/>
    </xf>
    <xf numFmtId="0" fontId="17" fillId="15" borderId="77" xfId="0" applyFont="1" applyFill="1" applyBorder="1" applyAlignment="1">
      <alignment vertical="center" wrapText="1"/>
    </xf>
    <xf numFmtId="0" fontId="7" fillId="0" borderId="15" xfId="0" applyFont="1" applyFill="1" applyBorder="1" applyAlignment="1">
      <alignment horizontal="center" vertical="center"/>
    </xf>
    <xf numFmtId="9" fontId="7" fillId="0" borderId="16" xfId="3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1" fontId="7" fillId="0" borderId="15" xfId="0" applyNumberFormat="1" applyFont="1" applyFill="1" applyBorder="1" applyAlignment="1">
      <alignment horizontal="right" vertical="center"/>
    </xf>
    <xf numFmtId="166" fontId="7" fillId="0" borderId="15" xfId="0" applyNumberFormat="1" applyFont="1" applyFill="1" applyBorder="1" applyAlignment="1">
      <alignment horizontal="right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0" fillId="0" borderId="34" xfId="0" applyFill="1" applyBorder="1" applyAlignment="1">
      <alignment vertical="center"/>
    </xf>
    <xf numFmtId="0" fontId="0" fillId="0" borderId="15" xfId="0" applyBorder="1"/>
    <xf numFmtId="0" fontId="0" fillId="0" borderId="35" xfId="0" applyFill="1" applyBorder="1" applyAlignment="1">
      <alignment vertical="center"/>
    </xf>
    <xf numFmtId="0" fontId="0" fillId="0" borderId="36" xfId="0" applyFill="1" applyBorder="1" applyAlignment="1">
      <alignment vertical="center"/>
    </xf>
    <xf numFmtId="0" fontId="0" fillId="0" borderId="37" xfId="0" applyBorder="1" applyAlignment="1">
      <alignment vertical="center" wrapText="1"/>
    </xf>
    <xf numFmtId="0" fontId="0" fillId="0" borderId="31" xfId="0" applyBorder="1" applyAlignment="1">
      <alignment vertical="center"/>
    </xf>
    <xf numFmtId="0" fontId="2" fillId="7" borderId="27" xfId="0" applyFont="1" applyFill="1" applyBorder="1" applyAlignment="1">
      <alignment horizontal="center" vertical="center" wrapText="1"/>
    </xf>
    <xf numFmtId="0" fontId="2" fillId="7" borderId="61" xfId="0" applyFont="1" applyFill="1" applyBorder="1" applyAlignment="1">
      <alignment horizontal="center" vertical="center"/>
    </xf>
    <xf numFmtId="0" fontId="2" fillId="7" borderId="70" xfId="0" applyFont="1" applyFill="1" applyBorder="1" applyAlignment="1">
      <alignment horizontal="center" vertical="center" wrapText="1"/>
    </xf>
    <xf numFmtId="44" fontId="2" fillId="7" borderId="65" xfId="1" applyFont="1" applyFill="1" applyBorder="1" applyAlignment="1">
      <alignment horizontal="center" vertical="center" wrapText="1"/>
    </xf>
    <xf numFmtId="44" fontId="2" fillId="7" borderId="60" xfId="1" applyFont="1" applyFill="1" applyBorder="1" applyAlignment="1">
      <alignment horizontal="center" vertical="center" wrapText="1"/>
    </xf>
    <xf numFmtId="0" fontId="0" fillId="0" borderId="36" xfId="0" applyBorder="1" applyAlignment="1">
      <alignment vertical="center"/>
    </xf>
    <xf numFmtId="44" fontId="0" fillId="0" borderId="17" xfId="1" applyFont="1" applyBorder="1" applyAlignment="1">
      <alignment horizontal="right" vertical="center"/>
    </xf>
    <xf numFmtId="11" fontId="0" fillId="0" borderId="16" xfId="0" applyNumberFormat="1" applyBorder="1"/>
    <xf numFmtId="11" fontId="0" fillId="0" borderId="18" xfId="0" applyNumberFormat="1" applyBorder="1"/>
    <xf numFmtId="11" fontId="0" fillId="0" borderId="32" xfId="0" applyNumberFormat="1" applyBorder="1"/>
    <xf numFmtId="0" fontId="0" fillId="7" borderId="38" xfId="0" applyFill="1" applyBorder="1"/>
    <xf numFmtId="0" fontId="0" fillId="7" borderId="40" xfId="0" applyFill="1" applyBorder="1"/>
    <xf numFmtId="0" fontId="0" fillId="7" borderId="39" xfId="0" applyFill="1" applyBorder="1"/>
    <xf numFmtId="11" fontId="0" fillId="0" borderId="15" xfId="0" applyNumberFormat="1" applyBorder="1"/>
    <xf numFmtId="0" fontId="0" fillId="0" borderId="29" xfId="0" applyBorder="1"/>
    <xf numFmtId="0" fontId="0" fillId="0" borderId="0" xfId="0" applyFill="1"/>
    <xf numFmtId="11" fontId="2" fillId="7" borderId="7" xfId="0" applyNumberFormat="1" applyFont="1" applyFill="1" applyBorder="1" applyAlignment="1">
      <alignment vertical="center"/>
    </xf>
    <xf numFmtId="0" fontId="2" fillId="7" borderId="8" xfId="0" applyFont="1" applyFill="1" applyBorder="1" applyAlignment="1">
      <alignment vertical="center"/>
    </xf>
    <xf numFmtId="0" fontId="2" fillId="7" borderId="9" xfId="0" applyFont="1" applyFill="1" applyBorder="1" applyAlignment="1">
      <alignment vertical="center"/>
    </xf>
    <xf numFmtId="9" fontId="8" fillId="7" borderId="0" xfId="3" applyFont="1" applyFill="1" applyBorder="1" applyAlignment="1">
      <alignment vertical="center"/>
    </xf>
    <xf numFmtId="164" fontId="0" fillId="0" borderId="0" xfId="4" applyFont="1"/>
    <xf numFmtId="0" fontId="0" fillId="0" borderId="53" xfId="0" applyFill="1" applyBorder="1" applyAlignment="1">
      <alignment vertical="center"/>
    </xf>
    <xf numFmtId="0" fontId="0" fillId="0" borderId="30" xfId="0" applyBorder="1"/>
    <xf numFmtId="0" fontId="8" fillId="8" borderId="1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11" fontId="8" fillId="7" borderId="7" xfId="0" applyNumberFormat="1" applyFont="1" applyFill="1" applyBorder="1" applyAlignment="1">
      <alignment horizontal="center" vertical="center"/>
    </xf>
    <xf numFmtId="11" fontId="8" fillId="7" borderId="9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7" borderId="68" xfId="0" applyFill="1" applyBorder="1"/>
    <xf numFmtId="0" fontId="0" fillId="0" borderId="41" xfId="0" applyFont="1" applyBorder="1" applyAlignment="1">
      <alignment vertical="center"/>
    </xf>
    <xf numFmtId="0" fontId="0" fillId="0" borderId="42" xfId="0" applyFont="1" applyBorder="1" applyAlignment="1">
      <alignment vertical="center"/>
    </xf>
    <xf numFmtId="0" fontId="0" fillId="0" borderId="43" xfId="0" applyFont="1" applyBorder="1" applyAlignment="1">
      <alignment vertical="center"/>
    </xf>
    <xf numFmtId="169" fontId="7" fillId="0" borderId="16" xfId="0" applyNumberFormat="1" applyFont="1" applyFill="1" applyBorder="1" applyAlignment="1">
      <alignment horizontal="right" vertical="center"/>
    </xf>
    <xf numFmtId="11" fontId="8" fillId="0" borderId="36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0" fontId="8" fillId="5" borderId="38" xfId="0" applyFont="1" applyFill="1" applyBorder="1" applyAlignment="1">
      <alignment horizontal="left" vertical="center"/>
    </xf>
    <xf numFmtId="0" fontId="8" fillId="5" borderId="38" xfId="0" applyFont="1" applyFill="1" applyBorder="1" applyAlignment="1">
      <alignment horizontal="center" vertical="center"/>
    </xf>
    <xf numFmtId="0" fontId="8" fillId="5" borderId="40" xfId="0" applyFont="1" applyFill="1" applyBorder="1" applyAlignment="1">
      <alignment horizontal="center" vertical="center"/>
    </xf>
    <xf numFmtId="0" fontId="8" fillId="5" borderId="39" xfId="0" applyFont="1" applyFill="1" applyBorder="1" applyAlignment="1">
      <alignment horizontal="center" vertical="center"/>
    </xf>
    <xf numFmtId="0" fontId="8" fillId="5" borderId="38" xfId="0" applyFont="1" applyFill="1" applyBorder="1" applyAlignment="1">
      <alignment horizontal="left"/>
    </xf>
    <xf numFmtId="0" fontId="8" fillId="5" borderId="67" xfId="0" applyFont="1" applyFill="1" applyBorder="1" applyAlignment="1">
      <alignment horizontal="center" vertical="center"/>
    </xf>
    <xf numFmtId="0" fontId="8" fillId="5" borderId="67" xfId="0" applyFont="1" applyFill="1" applyBorder="1" applyAlignment="1">
      <alignment horizontal="center" vertical="center" wrapText="1"/>
    </xf>
    <xf numFmtId="0" fontId="8" fillId="5" borderId="64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44" fontId="0" fillId="0" borderId="0" xfId="0" applyNumberFormat="1"/>
    <xf numFmtId="11" fontId="7" fillId="0" borderId="16" xfId="0" applyNumberFormat="1" applyFont="1" applyFill="1" applyBorder="1" applyAlignment="1">
      <alignment horizontal="center" vertical="center"/>
    </xf>
    <xf numFmtId="0" fontId="7" fillId="0" borderId="16" xfId="0" applyNumberFormat="1" applyFont="1" applyFill="1" applyBorder="1" applyAlignment="1">
      <alignment horizontal="center" vertical="center"/>
    </xf>
    <xf numFmtId="169" fontId="7" fillId="0" borderId="16" xfId="0" applyNumberFormat="1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center" vertical="center"/>
    </xf>
    <xf numFmtId="11" fontId="7" fillId="0" borderId="16" xfId="4" applyNumberFormat="1" applyFont="1" applyFill="1" applyBorder="1" applyAlignment="1">
      <alignment horizontal="center" vertical="center"/>
    </xf>
    <xf numFmtId="44" fontId="7" fillId="0" borderId="32" xfId="0" applyNumberFormat="1" applyFont="1" applyBorder="1" applyAlignment="1">
      <alignment horizontal="right" vertical="center"/>
    </xf>
    <xf numFmtId="0" fontId="8" fillId="0" borderId="44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11" fontId="8" fillId="0" borderId="22" xfId="0" applyNumberFormat="1" applyFont="1" applyFill="1" applyBorder="1" applyAlignment="1">
      <alignment horizontal="center" vertical="center"/>
    </xf>
    <xf numFmtId="11" fontId="8" fillId="7" borderId="8" xfId="0" applyNumberFormat="1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44" fontId="7" fillId="0" borderId="16" xfId="0" applyNumberFormat="1" applyFont="1" applyBorder="1" applyAlignment="1">
      <alignment horizontal="right" vertical="center"/>
    </xf>
    <xf numFmtId="44" fontId="7" fillId="0" borderId="18" xfId="0" applyNumberFormat="1" applyFont="1" applyBorder="1" applyAlignment="1">
      <alignment horizontal="right" vertical="center"/>
    </xf>
    <xf numFmtId="44" fontId="7" fillId="0" borderId="16" xfId="0" applyNumberFormat="1" applyFont="1" applyFill="1" applyBorder="1" applyAlignment="1">
      <alignment horizontal="right" vertical="center"/>
    </xf>
    <xf numFmtId="44" fontId="7" fillId="0" borderId="16" xfId="1" applyFont="1" applyBorder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9" fontId="7" fillId="0" borderId="18" xfId="3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11" fontId="7" fillId="0" borderId="0" xfId="0" applyNumberFormat="1" applyFont="1" applyFill="1" applyBorder="1" applyAlignment="1">
      <alignment horizontal="center" vertical="center"/>
    </xf>
    <xf numFmtId="44" fontId="7" fillId="0" borderId="15" xfId="0" applyNumberFormat="1" applyFont="1" applyBorder="1" applyAlignment="1">
      <alignment horizontal="right" vertical="center"/>
    </xf>
    <xf numFmtId="0" fontId="8" fillId="0" borderId="36" xfId="0" applyFont="1" applyBorder="1" applyAlignment="1">
      <alignment horizontal="center" vertical="center"/>
    </xf>
    <xf numFmtId="0" fontId="2" fillId="19" borderId="38" xfId="0" applyFont="1" applyFill="1" applyBorder="1"/>
    <xf numFmtId="0" fontId="2" fillId="19" borderId="40" xfId="0" applyFont="1" applyFill="1" applyBorder="1"/>
    <xf numFmtId="0" fontId="2" fillId="19" borderId="39" xfId="0" applyFont="1" applyFill="1" applyBorder="1"/>
    <xf numFmtId="168" fontId="0" fillId="0" borderId="31" xfId="0" applyNumberFormat="1" applyBorder="1"/>
    <xf numFmtId="168" fontId="0" fillId="0" borderId="12" xfId="0" applyNumberFormat="1" applyBorder="1"/>
    <xf numFmtId="0" fontId="0" fillId="0" borderId="68" xfId="0" applyBorder="1"/>
    <xf numFmtId="44" fontId="0" fillId="0" borderId="26" xfId="0" applyNumberFormat="1" applyBorder="1"/>
    <xf numFmtId="44" fontId="0" fillId="0" borderId="32" xfId="1" applyFont="1" applyBorder="1"/>
    <xf numFmtId="44" fontId="0" fillId="0" borderId="18" xfId="0" applyNumberFormat="1" applyBorder="1"/>
    <xf numFmtId="0" fontId="0" fillId="0" borderId="0" xfId="0" applyFill="1" applyBorder="1"/>
    <xf numFmtId="0" fontId="0" fillId="0" borderId="39" xfId="0" applyBorder="1"/>
    <xf numFmtId="0" fontId="2" fillId="14" borderId="33" xfId="0" applyFont="1" applyFill="1" applyBorder="1"/>
    <xf numFmtId="44" fontId="7" fillId="0" borderId="15" xfId="0" applyNumberFormat="1" applyFont="1" applyFill="1" applyBorder="1" applyAlignment="1">
      <alignment horizontal="right" vertical="center"/>
    </xf>
    <xf numFmtId="0" fontId="3" fillId="0" borderId="31" xfId="0" applyFont="1" applyBorder="1"/>
    <xf numFmtId="0" fontId="0" fillId="7" borderId="4" xfId="0" applyFill="1" applyBorder="1"/>
    <xf numFmtId="0" fontId="2" fillId="7" borderId="41" xfId="0" applyFont="1" applyFill="1" applyBorder="1" applyAlignment="1">
      <alignment horizontal="center" wrapText="1"/>
    </xf>
    <xf numFmtId="0" fontId="20" fillId="0" borderId="41" xfId="0" applyFont="1" applyBorder="1"/>
    <xf numFmtId="0" fontId="20" fillId="0" borderId="42" xfId="0" applyFont="1" applyBorder="1"/>
    <xf numFmtId="0" fontId="20" fillId="0" borderId="43" xfId="0" applyFont="1" applyBorder="1"/>
    <xf numFmtId="0" fontId="3" fillId="0" borderId="14" xfId="0" applyFont="1" applyBorder="1"/>
    <xf numFmtId="44" fontId="7" fillId="0" borderId="15" xfId="1" applyFont="1" applyBorder="1" applyAlignment="1">
      <alignment horizontal="right" vertical="center"/>
    </xf>
    <xf numFmtId="44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0" applyNumberFormat="1" applyFill="1" applyAlignment="1"/>
    <xf numFmtId="44" fontId="0" fillId="0" borderId="0" xfId="0" applyNumberFormat="1" applyFill="1" applyAlignment="1">
      <alignment horizontal="left"/>
    </xf>
    <xf numFmtId="0" fontId="2" fillId="19" borderId="68" xfId="0" applyFont="1" applyFill="1" applyBorder="1"/>
    <xf numFmtId="0" fontId="2" fillId="19" borderId="67" xfId="0" applyFont="1" applyFill="1" applyBorder="1"/>
    <xf numFmtId="8" fontId="0" fillId="0" borderId="16" xfId="1" applyNumberFormat="1" applyFont="1" applyBorder="1"/>
    <xf numFmtId="8" fontId="0" fillId="0" borderId="18" xfId="1" applyNumberFormat="1" applyFont="1" applyBorder="1"/>
    <xf numFmtId="8" fontId="0" fillId="0" borderId="32" xfId="0" applyNumberFormat="1" applyBorder="1"/>
    <xf numFmtId="0" fontId="2" fillId="19" borderId="38" xfId="0" applyFont="1" applyFill="1" applyBorder="1" applyAlignment="1">
      <alignment horizontal="left" vertical="center"/>
    </xf>
    <xf numFmtId="0" fontId="2" fillId="19" borderId="40" xfId="0" applyFont="1" applyFill="1" applyBorder="1" applyAlignment="1">
      <alignment horizontal="left" vertical="center"/>
    </xf>
    <xf numFmtId="0" fontId="2" fillId="19" borderId="39" xfId="0" applyFont="1" applyFill="1" applyBorder="1" applyAlignment="1">
      <alignment horizontal="left" vertical="center"/>
    </xf>
    <xf numFmtId="170" fontId="7" fillId="0" borderId="0" xfId="0" applyNumberFormat="1" applyFont="1" applyAlignment="1">
      <alignment vertical="center"/>
    </xf>
    <xf numFmtId="44" fontId="0" fillId="0" borderId="29" xfId="1" applyFont="1" applyBorder="1"/>
    <xf numFmtId="11" fontId="0" fillId="0" borderId="30" xfId="0" applyNumberFormat="1" applyBorder="1"/>
    <xf numFmtId="0" fontId="0" fillId="19" borderId="38" xfId="0" applyFill="1" applyBorder="1"/>
    <xf numFmtId="0" fontId="0" fillId="19" borderId="40" xfId="0" applyFill="1" applyBorder="1"/>
    <xf numFmtId="0" fontId="0" fillId="19" borderId="39" xfId="0" applyFill="1" applyBorder="1"/>
    <xf numFmtId="11" fontId="0" fillId="19" borderId="39" xfId="0" applyNumberFormat="1" applyFill="1" applyBorder="1"/>
    <xf numFmtId="44" fontId="7" fillId="0" borderId="18" xfId="1" applyFont="1" applyFill="1" applyBorder="1" applyAlignment="1">
      <alignment horizontal="right" vertical="center"/>
    </xf>
    <xf numFmtId="0" fontId="8" fillId="9" borderId="7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10" borderId="23" xfId="0" applyFont="1" applyFill="1" applyBorder="1" applyAlignment="1">
      <alignment horizontal="center" vertical="center" wrapText="1"/>
    </xf>
    <xf numFmtId="0" fontId="8" fillId="10" borderId="25" xfId="0" applyFont="1" applyFill="1" applyBorder="1" applyAlignment="1">
      <alignment horizontal="center" vertical="center" wrapText="1"/>
    </xf>
    <xf numFmtId="0" fontId="8" fillId="10" borderId="24" xfId="0" applyFont="1" applyFill="1" applyBorder="1" applyAlignment="1">
      <alignment horizontal="center" vertical="center" wrapText="1"/>
    </xf>
    <xf numFmtId="0" fontId="8" fillId="10" borderId="23" xfId="0" applyFont="1" applyFill="1" applyBorder="1" applyAlignment="1">
      <alignment horizontal="center" vertical="center"/>
    </xf>
    <xf numFmtId="0" fontId="8" fillId="10" borderId="24" xfId="0" applyFont="1" applyFill="1" applyBorder="1" applyAlignment="1">
      <alignment horizontal="center" vertical="center"/>
    </xf>
    <xf numFmtId="0" fontId="8" fillId="10" borderId="25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8" borderId="71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56" xfId="0" applyFont="1" applyFill="1" applyBorder="1" applyAlignment="1">
      <alignment horizontal="center" vertical="center"/>
    </xf>
    <xf numFmtId="11" fontId="8" fillId="7" borderId="7" xfId="0" applyNumberFormat="1" applyFont="1" applyFill="1" applyBorder="1" applyAlignment="1">
      <alignment horizontal="center" vertical="center"/>
    </xf>
    <xf numFmtId="11" fontId="8" fillId="7" borderId="9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44" fontId="7" fillId="0" borderId="26" xfId="0" applyNumberFormat="1" applyFont="1" applyBorder="1" applyAlignment="1">
      <alignment horizontal="center" vertical="center"/>
    </xf>
    <xf numFmtId="44" fontId="7" fillId="0" borderId="27" xfId="0" applyNumberFormat="1" applyFont="1" applyBorder="1" applyAlignment="1">
      <alignment horizontal="center" vertical="center"/>
    </xf>
    <xf numFmtId="44" fontId="7" fillId="0" borderId="28" xfId="0" applyNumberFormat="1" applyFont="1" applyBorder="1" applyAlignment="1">
      <alignment horizontal="center" vertical="center"/>
    </xf>
    <xf numFmtId="11" fontId="8" fillId="7" borderId="8" xfId="0" applyNumberFormat="1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11" fontId="8" fillId="7" borderId="1" xfId="0" applyNumberFormat="1" applyFont="1" applyFill="1" applyBorder="1" applyAlignment="1">
      <alignment horizontal="center" vertical="center"/>
    </xf>
    <xf numFmtId="11" fontId="8" fillId="7" borderId="3" xfId="0" applyNumberFormat="1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4" fillId="0" borderId="46" xfId="2" applyBorder="1" applyAlignment="1">
      <alignment horizontal="center" wrapText="1"/>
    </xf>
    <xf numFmtId="0" fontId="9" fillId="0" borderId="54" xfId="2" applyFont="1" applyBorder="1" applyAlignment="1">
      <alignment horizontal="center"/>
    </xf>
    <xf numFmtId="0" fontId="9" fillId="0" borderId="55" xfId="2" applyFont="1" applyBorder="1" applyAlignment="1">
      <alignment horizontal="center"/>
    </xf>
    <xf numFmtId="0" fontId="9" fillId="0" borderId="54" xfId="2" applyFont="1" applyBorder="1" applyAlignment="1">
      <alignment horizontal="center" wrapText="1"/>
    </xf>
    <xf numFmtId="0" fontId="9" fillId="0" borderId="55" xfId="2" applyFont="1" applyBorder="1" applyAlignment="1">
      <alignment horizontal="center" wrapText="1"/>
    </xf>
    <xf numFmtId="0" fontId="8" fillId="0" borderId="53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4" fillId="0" borderId="54" xfId="2" applyBorder="1" applyAlignment="1">
      <alignment horizontal="center" wrapText="1"/>
    </xf>
    <xf numFmtId="0" fontId="4" fillId="0" borderId="55" xfId="2" applyBorder="1" applyAlignment="1">
      <alignment horizont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9" fillId="0" borderId="57" xfId="2" applyFont="1" applyBorder="1" applyAlignment="1">
      <alignment horizontal="center"/>
    </xf>
    <xf numFmtId="0" fontId="9" fillId="0" borderId="13" xfId="2" applyFont="1" applyBorder="1" applyAlignment="1">
      <alignment horizontal="center"/>
    </xf>
    <xf numFmtId="0" fontId="9" fillId="0" borderId="56" xfId="2" applyFont="1" applyBorder="1" applyAlignment="1">
      <alignment horizontal="center"/>
    </xf>
    <xf numFmtId="0" fontId="9" fillId="0" borderId="46" xfId="2" applyFont="1" applyBorder="1" applyAlignment="1">
      <alignment horizontal="center"/>
    </xf>
    <xf numFmtId="0" fontId="9" fillId="0" borderId="47" xfId="2" applyFont="1" applyBorder="1" applyAlignment="1">
      <alignment horizontal="center"/>
    </xf>
    <xf numFmtId="0" fontId="9" fillId="0" borderId="20" xfId="2" applyFont="1" applyBorder="1" applyAlignment="1">
      <alignment horizontal="center"/>
    </xf>
    <xf numFmtId="0" fontId="9" fillId="0" borderId="58" xfId="2" applyFont="1" applyBorder="1" applyAlignment="1">
      <alignment horizontal="center"/>
    </xf>
    <xf numFmtId="0" fontId="2" fillId="5" borderId="34" xfId="0" applyFont="1" applyFill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4" borderId="42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left" vertical="center"/>
    </xf>
    <xf numFmtId="0" fontId="2" fillId="4" borderId="24" xfId="0" applyFont="1" applyFill="1" applyBorder="1" applyAlignment="1">
      <alignment horizontal="left" vertical="center"/>
    </xf>
    <xf numFmtId="0" fontId="2" fillId="4" borderId="45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4" fillId="0" borderId="26" xfId="2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4" fontId="2" fillId="7" borderId="49" xfId="1" applyFont="1" applyFill="1" applyBorder="1" applyAlignment="1">
      <alignment horizontal="center" vertical="center" wrapText="1"/>
    </xf>
    <xf numFmtId="44" fontId="2" fillId="7" borderId="50" xfId="1" applyFont="1" applyFill="1" applyBorder="1" applyAlignment="1">
      <alignment horizontal="center" vertical="center" wrapText="1"/>
    </xf>
    <xf numFmtId="164" fontId="0" fillId="0" borderId="57" xfId="4" applyFont="1" applyBorder="1" applyAlignment="1">
      <alignment horizontal="right" vertical="center"/>
    </xf>
    <xf numFmtId="164" fontId="0" fillId="0" borderId="19" xfId="4" applyFont="1" applyBorder="1" applyAlignment="1">
      <alignment horizontal="right" vertical="center"/>
    </xf>
    <xf numFmtId="164" fontId="0" fillId="0" borderId="46" xfId="4" applyFont="1" applyBorder="1" applyAlignment="1">
      <alignment horizontal="right" vertical="center"/>
    </xf>
    <xf numFmtId="164" fontId="0" fillId="0" borderId="22" xfId="4" applyFont="1" applyBorder="1" applyAlignment="1">
      <alignment horizontal="right" vertical="center"/>
    </xf>
    <xf numFmtId="164" fontId="0" fillId="0" borderId="46" xfId="4" applyFont="1" applyBorder="1" applyAlignment="1">
      <alignment horizontal="right" vertical="center" indent="6"/>
    </xf>
    <xf numFmtId="164" fontId="0" fillId="0" borderId="22" xfId="4" applyFont="1" applyBorder="1" applyAlignment="1">
      <alignment horizontal="right" vertical="center" indent="6"/>
    </xf>
    <xf numFmtId="164" fontId="0" fillId="0" borderId="47" xfId="4" applyFont="1" applyBorder="1" applyAlignment="1">
      <alignment horizontal="right" vertical="center"/>
    </xf>
    <xf numFmtId="164" fontId="0" fillId="0" borderId="21" xfId="4" applyFont="1" applyBorder="1" applyAlignment="1">
      <alignment horizontal="right" vertical="center"/>
    </xf>
    <xf numFmtId="0" fontId="0" fillId="0" borderId="6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7" borderId="49" xfId="0" applyFont="1" applyFill="1" applyBorder="1" applyAlignment="1">
      <alignment horizontal="center" wrapText="1"/>
    </xf>
    <xf numFmtId="0" fontId="2" fillId="7" borderId="9" xfId="0" applyFont="1" applyFill="1" applyBorder="1" applyAlignment="1">
      <alignment horizontal="center" wrapText="1"/>
    </xf>
    <xf numFmtId="0" fontId="3" fillId="0" borderId="27" xfId="2" applyFont="1" applyBorder="1" applyAlignment="1">
      <alignment horizontal="center" vertical="center" wrapText="1"/>
    </xf>
    <xf numFmtId="0" fontId="3" fillId="0" borderId="28" xfId="2" applyFont="1" applyBorder="1" applyAlignment="1">
      <alignment horizontal="center" vertical="center" wrapText="1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0" fillId="0" borderId="6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11" fontId="0" fillId="0" borderId="26" xfId="0" applyNumberFormat="1" applyBorder="1" applyAlignment="1">
      <alignment horizontal="center" vertical="center"/>
    </xf>
    <xf numFmtId="11" fontId="0" fillId="0" borderId="27" xfId="0" applyNumberForma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44" fontId="2" fillId="7" borderId="34" xfId="1" applyFont="1" applyFill="1" applyBorder="1" applyAlignment="1">
      <alignment horizontal="center" vertical="center" wrapText="1"/>
    </xf>
    <xf numFmtId="44" fontId="2" fillId="7" borderId="36" xfId="1" applyFont="1" applyFill="1" applyBorder="1" applyAlignment="1">
      <alignment horizontal="center" vertical="center" wrapText="1"/>
    </xf>
    <xf numFmtId="44" fontId="2" fillId="7" borderId="14" xfId="1" applyFont="1" applyFill="1" applyBorder="1" applyAlignment="1">
      <alignment horizontal="center" vertical="center" wrapText="1"/>
    </xf>
    <xf numFmtId="44" fontId="2" fillId="7" borderId="17" xfId="1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 wrapText="1"/>
    </xf>
    <xf numFmtId="44" fontId="0" fillId="0" borderId="26" xfId="1" applyFont="1" applyBorder="1" applyAlignment="1">
      <alignment horizontal="center" vertical="center" wrapText="1"/>
    </xf>
    <xf numFmtId="44" fontId="0" fillId="0" borderId="27" xfId="1" applyFont="1" applyBorder="1" applyAlignment="1">
      <alignment horizontal="center" vertical="center" wrapText="1"/>
    </xf>
    <xf numFmtId="44" fontId="0" fillId="0" borderId="28" xfId="1" applyFont="1" applyBorder="1" applyAlignment="1">
      <alignment horizontal="center" vertical="center" wrapText="1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4" borderId="38" xfId="0" applyFont="1" applyFill="1" applyBorder="1" applyAlignment="1">
      <alignment horizontal="center"/>
    </xf>
    <xf numFmtId="0" fontId="2" fillId="14" borderId="40" xfId="0" applyFont="1" applyFill="1" applyBorder="1" applyAlignment="1">
      <alignment horizontal="center"/>
    </xf>
    <xf numFmtId="0" fontId="2" fillId="14" borderId="39" xfId="0" applyFont="1" applyFill="1" applyBorder="1" applyAlignment="1">
      <alignment horizontal="center"/>
    </xf>
  </cellXfs>
  <cellStyles count="5">
    <cellStyle name="Lien hypertexte" xfId="2" builtinId="8"/>
    <cellStyle name="Milliers" xfId="4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Mild Steel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374727898319154"/>
                  <c:y val="-0.53566240919838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'2D Laser Cutting'!$C$17:$C$23</c:f>
              <c:numCache>
                <c:formatCode>General</c:formatCode>
                <c:ptCount val="7"/>
                <c:pt idx="0">
                  <c:v>2.31</c:v>
                </c:pt>
                <c:pt idx="1">
                  <c:v>3.26</c:v>
                </c:pt>
                <c:pt idx="2">
                  <c:v>4.12</c:v>
                </c:pt>
                <c:pt idx="3">
                  <c:v>5.82</c:v>
                </c:pt>
                <c:pt idx="4">
                  <c:v>6.35</c:v>
                </c:pt>
                <c:pt idx="5">
                  <c:v>7.9379999999999997</c:v>
                </c:pt>
                <c:pt idx="6">
                  <c:v>9.5250000000000004</c:v>
                </c:pt>
              </c:numCache>
            </c:numRef>
          </c:xVal>
          <c:yVal>
            <c:numRef>
              <c:f>'2D Laser Cutting'!$E$25:$E$29</c:f>
              <c:numCache>
                <c:formatCode>0.00E+00</c:formatCode>
                <c:ptCount val="5"/>
                <c:pt idx="0">
                  <c:v>6.231414805343064E-5</c:v>
                </c:pt>
                <c:pt idx="1">
                  <c:v>1.1182140064802739E-4</c:v>
                </c:pt>
                <c:pt idx="2">
                  <c:v>2.3031519094511219E-4</c:v>
                </c:pt>
                <c:pt idx="3">
                  <c:v>2.5695130361674378E-4</c:v>
                </c:pt>
                <c:pt idx="4">
                  <c:v>3.9816018143363152E-4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78-40FF-B40D-EDA95A302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Cutting time (mm/min)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Thickeness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Stainless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2442511952760916"/>
                  <c:y val="-0.43620907462727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'2D Laser Cutting'!$C$25:$C$29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'2D Laser Cutting'!$E$15:$E$23</c:f>
              <c:numCache>
                <c:formatCode>0.00E+00</c:formatCode>
                <c:ptCount val="9"/>
                <c:pt idx="0">
                  <c:v>6.231414805343064E-5</c:v>
                </c:pt>
                <c:pt idx="1">
                  <c:v>1.0501488060858225E-4</c:v>
                </c:pt>
                <c:pt idx="2">
                  <c:v>1.3634659303950642E-4</c:v>
                </c:pt>
                <c:pt idx="3">
                  <c:v>1.4042687523240646E-4</c:v>
                </c:pt>
                <c:pt idx="4">
                  <c:v>1.291330318163129E-4</c:v>
                </c:pt>
                <c:pt idx="5">
                  <c:v>1.1465454813954651E-4</c:v>
                </c:pt>
                <c:pt idx="6">
                  <c:v>1.2400024800049601E-4</c:v>
                </c:pt>
                <c:pt idx="7">
                  <c:v>1.6532324993767314E-4</c:v>
                </c:pt>
                <c:pt idx="8">
                  <c:v>1.7971050434854497E-4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78-45D3-93BE-4645400BE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Cutting time (mm/min)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Thickeness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Aluminium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374727898319154"/>
                  <c:y val="-0.53566240919838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'2D Laser Cutting'!$C$31:$C$33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'2D Laser Cutting'!$E$31:$E$33</c:f>
              <c:numCache>
                <c:formatCode>0.00E+00</c:formatCode>
                <c:ptCount val="3"/>
                <c:pt idx="0">
                  <c:v>1.6201678493891965E-4</c:v>
                </c:pt>
                <c:pt idx="1">
                  <c:v>2.0127852116644929E-4</c:v>
                </c:pt>
                <c:pt idx="2">
                  <c:v>6.0869014749779658E-4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4-4CE8-AB49-2AD472576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Cutting time (mm/min)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Thickeness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29350</xdr:colOff>
      <xdr:row>25</xdr:row>
      <xdr:rowOff>55960</xdr:rowOff>
    </xdr:from>
    <xdr:to>
      <xdr:col>15</xdr:col>
      <xdr:colOff>820514</xdr:colOff>
      <xdr:row>42</xdr:row>
      <xdr:rowOff>182671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11208</xdr:colOff>
      <xdr:row>1</xdr:row>
      <xdr:rowOff>8151</xdr:rowOff>
    </xdr:from>
    <xdr:to>
      <xdr:col>15</xdr:col>
      <xdr:colOff>792899</xdr:colOff>
      <xdr:row>24</xdr:row>
      <xdr:rowOff>45677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45755</xdr:colOff>
      <xdr:row>44</xdr:row>
      <xdr:rowOff>61849</xdr:rowOff>
    </xdr:from>
    <xdr:to>
      <xdr:col>15</xdr:col>
      <xdr:colOff>836919</xdr:colOff>
      <xdr:row>65</xdr:row>
      <xdr:rowOff>188559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A55C515-8CAA-4048-A416-B5835EDBF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sslaser.com/metal-cutting-product/" TargetMode="External"/><Relationship Id="rId2" Type="http://schemas.openxmlformats.org/officeDocument/2006/relationships/hyperlink" Target="https://www.cedeo.fr/p/outillage-et-equipements/oxygene-grande-bouteille-10-6m3-ref-g110-i1001l50r2a001-A1204487" TargetMode="External"/><Relationship Id="rId1" Type="http://schemas.openxmlformats.org/officeDocument/2006/relationships/hyperlink" Target="https://www.baileigh.com/cnc-laser-table-fl-510hd-500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fr.wikipedia.org/wiki/Loi_de_Boyle-Mariotte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fireballtool.com/magic-pack-plus/" TargetMode="External"/><Relationship Id="rId3" Type="http://schemas.openxmlformats.org/officeDocument/2006/relationships/hyperlink" Target="https://www.orexad.com/fr/mobiflex-200-m-systeme-d-aspiration-des-fumees/p-G1189001541" TargetMode="External"/><Relationship Id="rId7" Type="http://schemas.openxmlformats.org/officeDocument/2006/relationships/hyperlink" Target="https://www.promeca.com/soudage-et-accessoires/equipements-du-soudeur/vetements-specifiques-du-soudeur" TargetMode="External"/><Relationship Id="rId2" Type="http://schemas.openxmlformats.org/officeDocument/2006/relationships/hyperlink" Target="https://www.promeca.com/poste-a-souder-tig220-ac-dc-ta34-ref-eau-esab-caddy-tig2200iac-dc" TargetMode="External"/><Relationship Id="rId1" Type="http://schemas.openxmlformats.org/officeDocument/2006/relationships/hyperlink" Target="https://lastafelshop.com/product/welding-table-4000-x-2000-complete/?lang=en" TargetMode="External"/><Relationship Id="rId6" Type="http://schemas.openxmlformats.org/officeDocument/2006/relationships/hyperlink" Target="https://www.promeca.com/cagoule-speedglas-100v-noir-751120" TargetMode="External"/><Relationship Id="rId5" Type="http://schemas.openxmlformats.org/officeDocument/2006/relationships/hyperlink" Target="https://lastafelshop.com/product/starter-packet-big/?lang=en" TargetMode="External"/><Relationship Id="rId4" Type="http://schemas.openxmlformats.org/officeDocument/2006/relationships/hyperlink" Target="https://www.orexad.com/fr/refroidisseurs-cool-arc/p-G1189001474" TargetMode="External"/><Relationship Id="rId9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s://www.machineseeker.fr/mss/schaublin+13" TargetMode="External"/><Relationship Id="rId1" Type="http://schemas.openxmlformats.org/officeDocument/2006/relationships/hyperlink" Target="https://www.surplex.com/fr/vente/c/tours-paralleles-4340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3.bin"/><Relationship Id="rId3" Type="http://schemas.openxmlformats.org/officeDocument/2006/relationships/hyperlink" Target="https://www.manomano.fr/p/scie-sauteuse-pendulaire-4351fctk-makita-28080" TargetMode="External"/><Relationship Id="rId7" Type="http://schemas.openxmlformats.org/officeDocument/2006/relationships/hyperlink" Target="https://www.epodex.com/de/produkt/proplus-system/?gclid=CjwKCAjwqvyFBhB7EiwAER786axsrBqGDzstllB5YyVrJufoeDG_R_HJZLsq4D25-8c4TmAE9VH2ehoC0T8QAvD_BwE" TargetMode="External"/><Relationship Id="rId2" Type="http://schemas.openxmlformats.org/officeDocument/2006/relationships/hyperlink" Target="https://www.manomano.fr/p/cloueuse-sans-fil-2-batteries-makita-dbn600rtj-1-pcs-10186275" TargetMode="External"/><Relationship Id="rId1" Type="http://schemas.openxmlformats.org/officeDocument/2006/relationships/hyperlink" Target="https://www.manomano.fr/p/perceuse-visseuse-18-v-li-ion-4-ah-13-mm-3-batteriesmakita-ddf482rm3j-1442275" TargetMode="External"/><Relationship Id="rId6" Type="http://schemas.openxmlformats.org/officeDocument/2006/relationships/hyperlink" Target="https://www.mack-kayak.com/gel-coats-polyester-et-epoxy/1332-gel-coat-epoxy-incolore-moulage.html" TargetMode="External"/><Relationship Id="rId5" Type="http://schemas.openxmlformats.org/officeDocument/2006/relationships/hyperlink" Target="https://www.outillage2000.com/machines-a-bois/combines-a-bois/combinee-leman-6-operations-mono-4722.html" TargetMode="External"/><Relationship Id="rId4" Type="http://schemas.openxmlformats.org/officeDocument/2006/relationships/hyperlink" Target="https://www.manomano.fr/catalogue/p/michelin-compresseur-270-litres-75-cv-14bars-19634090?model_id=19632092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printerSettings" Target="../printerSettings/printerSettings14.bin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www.metalaladecoupe.com/francais/barres_rondes_5_50.asp?tbout=acier" TargetMode="External"/><Relationship Id="rId5" Type="http://schemas.openxmlformats.org/officeDocument/2006/relationships/hyperlink" Target="https://plastique-en-ligne.com/Plaques/POM-C" TargetMode="External"/><Relationship Id="rId4" Type="http://schemas.openxmlformats.org/officeDocument/2006/relationships/hyperlink" Target="https://www.metalaladecoupe.com/francais/toles.asp?tbout=aci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travail-emploi.gouv.fr/droit-du-travail/la-remuneration/article/le-smic-montants-en-vigueur-a-compter-du-1er-janvier-2021" TargetMode="External"/><Relationship Id="rId7" Type="http://schemas.openxmlformats.org/officeDocument/2006/relationships/hyperlink" Target="https://www.services-automobile.fr/sites/default/files/2020-11/1.4%20-%20Chap.III%20bis%20-%20V29_0.pdf" TargetMode="External"/><Relationship Id="rId2" Type="http://schemas.openxmlformats.org/officeDocument/2006/relationships/hyperlink" Target="https://www.service-public.fr/professionnels-entreprises/vosdroits/services-en-ligne-et-formulaires/simulateur-cout-embauche" TargetMode="External"/><Relationship Id="rId1" Type="http://schemas.openxmlformats.org/officeDocument/2006/relationships/hyperlink" Target="https://www.gestionnaire-paie.com/convention-collective-automobile-salaires-minima/" TargetMode="External"/><Relationship Id="rId6" Type="http://schemas.openxmlformats.org/officeDocument/2006/relationships/hyperlink" Target="https://www.services-automobile.fr/sites/default/files/2018-04/Convention%20collective%20-%20Chapitre%20V.pdf" TargetMode="External"/><Relationship Id="rId5" Type="http://schemas.openxmlformats.org/officeDocument/2006/relationships/hyperlink" Target="https://www.services-automobile.fr/sites/default/files/2018-04/Convention%20collective%20-%20Chapitre%20III.pdf" TargetMode="External"/><Relationship Id="rId4" Type="http://schemas.openxmlformats.org/officeDocument/2006/relationships/hyperlink" Target="https://www.juristique.org/social/duree-du-travai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ournisseurs-electricite.com/guides/compteur/puissance/estimation?fbclid=IwAR0M9rlabDNFJxLa_aehdEGtK33qlQUwFO2xf_a1OlrFo_cEoo8_Df1M5hg" TargetMode="External"/><Relationship Id="rId2" Type="http://schemas.openxmlformats.org/officeDocument/2006/relationships/hyperlink" Target="https://www.fournisseurs-electricite.com/edf/pro/tarifs-reglementes/jaune" TargetMode="External"/><Relationship Id="rId1" Type="http://schemas.openxmlformats.org/officeDocument/2006/relationships/hyperlink" Target="https://www.kelwatt.fr/guide/prix-electricite-entreprise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www.eau-direct.fr/gestion/prix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e.hp.com/FranceStore/Merch/Product.aspx?id=2ZC41ET&amp;opt=ABF&amp;mastersku=2ZC41ET&amp;masteropt=ABF&amp;sel=NTB&amp;" TargetMode="External"/><Relationship Id="rId13" Type="http://schemas.openxmlformats.org/officeDocument/2006/relationships/hyperlink" Target="https://store.hp.com/FranceStore/Merch/Product.aspx?id=T6T83AA&amp;opt=ABF&amp;mastersku=T6T83AA&amp;masteropt=ABF&amp;sel=ACC&amp;" TargetMode="External"/><Relationship Id="rId18" Type="http://schemas.openxmlformats.org/officeDocument/2006/relationships/hyperlink" Target="https://www.francebureau.com/media/catalogue-mobilier/bureau-modulaire-kibo.pdf" TargetMode="External"/><Relationship Id="rId3" Type="http://schemas.openxmlformats.org/officeDocument/2006/relationships/hyperlink" Target="https://store.hp.com/FranceStore/Merch/Product.aspx?id=G5J38A&amp;opt=A80&amp;sel=PRN" TargetMode="External"/><Relationship Id="rId21" Type="http://schemas.openxmlformats.org/officeDocument/2006/relationships/hyperlink" Target="https://www.francebureau.com/media/catalogue-mobilier/bureau-direction-etretat.pdf" TargetMode="External"/><Relationship Id="rId7" Type="http://schemas.openxmlformats.org/officeDocument/2006/relationships/hyperlink" Target="https://www.officedepot.fr/a/pb/Papier-Office-Depot-A3-80-g-m2-Blanc-Everyday-2500-Feuilles/pr=&amp;id=3057842/" TargetMode="External"/><Relationship Id="rId12" Type="http://schemas.openxmlformats.org/officeDocument/2006/relationships/hyperlink" Target="https://store.hp.com/FranceStore/Merch/Product.aspx?id=1KM17AA&amp;opt=&amp;mastersku=1KM17AA&amp;masteropt=&amp;sel=DEF&amp;" TargetMode="External"/><Relationship Id="rId17" Type="http://schemas.openxmlformats.org/officeDocument/2006/relationships/hyperlink" Target="https://www.francebureau.com/media/catalogue-mobilier/bureau-modulaire-kibo.pdf" TargetMode="External"/><Relationship Id="rId2" Type="http://schemas.openxmlformats.org/officeDocument/2006/relationships/hyperlink" Target="https://products.office.com/fr-fr/compare-all-microsoft-office-products?tab=2" TargetMode="External"/><Relationship Id="rId16" Type="http://schemas.openxmlformats.org/officeDocument/2006/relationships/hyperlink" Target="https://www.telecomsupplier.fr/avaya-1608-i-ip-telephone-paquet-de-4.html" TargetMode="External"/><Relationship Id="rId20" Type="http://schemas.openxmlformats.org/officeDocument/2006/relationships/hyperlink" Target="https://www.francebureau.com/media/catalogue-mobilier/bureau-modulaire-kibo.pdf" TargetMode="External"/><Relationship Id="rId1" Type="http://schemas.openxmlformats.org/officeDocument/2006/relationships/hyperlink" Target="https://www.autodesk.fr/products/fusion-360/subscribe?plc=F360&amp;term=1-YEAR&amp;support=ADVANCED&amp;quantity=1" TargetMode="External"/><Relationship Id="rId6" Type="http://schemas.openxmlformats.org/officeDocument/2006/relationships/hyperlink" Target="https://www.officedepot.fr/a/pb/Papier-Office-Depot-A4-80-g-m2-Blanc-Business-2500-Feuilles/pr=&amp;id=1456200/" TargetMode="External"/><Relationship Id="rId11" Type="http://schemas.openxmlformats.org/officeDocument/2006/relationships/hyperlink" Target="https://store.hp.com/FranceStore/Merch/Product.aspx?id=3ML21AT&amp;opt=ABB&amp;mastersku=3ML21AT&amp;masteropt=ABB&amp;sel=MTO&amp;" TargetMode="External"/><Relationship Id="rId24" Type="http://schemas.openxmlformats.org/officeDocument/2006/relationships/printerSettings" Target="../printerSettings/printerSettings5.bin"/><Relationship Id="rId5" Type="http://schemas.openxmlformats.org/officeDocument/2006/relationships/hyperlink" Target="https://store.hp.com/FranceStore/Merch/Product.aspx?id=3HZ52AE&amp;opt=&amp;mastersku=3HZ52AE&amp;masteropt=&amp;sel=SUP&amp;" TargetMode="External"/><Relationship Id="rId15" Type="http://schemas.openxmlformats.org/officeDocument/2006/relationships/hyperlink" Target="https://www.telecomsupplier.fr/avaya-3730-dect-combine.html" TargetMode="External"/><Relationship Id="rId23" Type="http://schemas.openxmlformats.org/officeDocument/2006/relationships/hyperlink" Target="https://www.francebureau.com/alto-16.html" TargetMode="External"/><Relationship Id="rId10" Type="http://schemas.openxmlformats.org/officeDocument/2006/relationships/hyperlink" Target="https://store.hp.com/FranceStore/Merch/Product.aspx?id=4CZ83ET&amp;opt=ABF&amp;mastersku=4CZ83ET&amp;masteropt=ABF&amp;sel=DTP&amp;" TargetMode="External"/><Relationship Id="rId19" Type="http://schemas.openxmlformats.org/officeDocument/2006/relationships/hyperlink" Target="https://www.francebureau.com/media/catalogue-mobilier/bureau-modulaire-kibo.pdf" TargetMode="External"/><Relationship Id="rId4" Type="http://schemas.openxmlformats.org/officeDocument/2006/relationships/hyperlink" Target="https://store.hp.com/FranceStore/Merch/Product.aspx?id=L0S70AE&amp;opt=&amp;mastersku=L0S70AE&amp;masteropt=&amp;sel=SUP&amp;" TargetMode="External"/><Relationship Id="rId9" Type="http://schemas.openxmlformats.org/officeDocument/2006/relationships/hyperlink" Target="https://store.hp.com/FranceStore/Merch/Product.aspx?id=6QN64ET&amp;opt=ABF&amp;sel=DTP" TargetMode="External"/><Relationship Id="rId14" Type="http://schemas.openxmlformats.org/officeDocument/2006/relationships/hyperlink" Target="https://store.hp.com/FranceStore/Merch/Product.aspx?id=1MK33AA&amp;opt=ABB&amp;mastersku=1MK33AA&amp;masteropt=ABB&amp;sel=ACC&amp;" TargetMode="External"/><Relationship Id="rId22" Type="http://schemas.openxmlformats.org/officeDocument/2006/relationships/hyperlink" Target="https://www.francebureau.com/media/catalogue-mobilier/table-reunion-modulable-arc-reunion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rexad.com/fr/rayonnage-mi-lourd-double-face-horizontale-g-lever/r-PR_G1408014469?" TargetMode="External"/><Relationship Id="rId13" Type="http://schemas.openxmlformats.org/officeDocument/2006/relationships/hyperlink" Target="https://www.orexad.com/fr/vestiaire-ventile-sur-socle/r-PR_1012867?" TargetMode="External"/><Relationship Id="rId18" Type="http://schemas.openxmlformats.org/officeDocument/2006/relationships/hyperlink" Target="https://www.baileigh.com/variable-speed-drill-press-dp-1200vs" TargetMode="External"/><Relationship Id="rId3" Type="http://schemas.openxmlformats.org/officeDocument/2006/relationships/hyperlink" Target="https://www.baileigh.com/sheet-metal-brake-hb-4816e" TargetMode="External"/><Relationship Id="rId21" Type="http://schemas.openxmlformats.org/officeDocument/2006/relationships/printerSettings" Target="../printerSettings/printerSettings6.bin"/><Relationship Id="rId7" Type="http://schemas.openxmlformats.org/officeDocument/2006/relationships/hyperlink" Target="https://www.orexad.com/fr/fond-tole-rayonnage-a-tablettes-tolees-g-robust/p-G1408010697" TargetMode="External"/><Relationship Id="rId12" Type="http://schemas.openxmlformats.org/officeDocument/2006/relationships/hyperlink" Target="https://www.orexad.com/fr/bac-rako/p-G1383000092" TargetMode="External"/><Relationship Id="rId17" Type="http://schemas.openxmlformats.org/officeDocument/2006/relationships/hyperlink" Target="https://www.manutan.fr/fr/maf/etau-magnat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6" Type="http://schemas.openxmlformats.org/officeDocument/2006/relationships/hyperlink" Target="https://www.manutan.fr/fr/maf/ponceuse-combinee-disque-bande-jsg-233-promac-230-v" TargetMode="External"/><Relationship Id="rId20" Type="http://schemas.openxmlformats.org/officeDocument/2006/relationships/hyperlink" Target="https://www.machineseeker.fr/mss/schaublin+13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orexad.com/fr/etabli-standard/p-G1359000830" TargetMode="External"/><Relationship Id="rId11" Type="http://schemas.openxmlformats.org/officeDocument/2006/relationships/hyperlink" Target="https://www.orexad.com/fr/armoire-a-portes-battantes/p-G1359000412" TargetMode="External"/><Relationship Id="rId5" Type="http://schemas.openxmlformats.org/officeDocument/2006/relationships/hyperlink" Target="https://www.orexad.com/fr/etabli-standard/p-G1359000849" TargetMode="External"/><Relationship Id="rId15" Type="http://schemas.openxmlformats.org/officeDocument/2006/relationships/hyperlink" Target="https://www.manutan.fr/fr/maf/aspirateur-eau-et-poussieres-nt-70-2-me-tc-karcher" TargetMode="External"/><Relationship Id="rId10" Type="http://schemas.openxmlformats.org/officeDocument/2006/relationships/hyperlink" Target="https://www.orexad.com/fr/systemes-cn/p-G1359000803" TargetMode="External"/><Relationship Id="rId19" Type="http://schemas.openxmlformats.org/officeDocument/2006/relationships/hyperlink" Target="https://www.surplex.com/fr/vente/c/tours-paralleles-4340.html" TargetMode="External"/><Relationship Id="rId4" Type="http://schemas.openxmlformats.org/officeDocument/2006/relationships/hyperlink" Target="https://www.baileigh.com/semi-auto-band-saw-bs-330sa" TargetMode="External"/><Relationship Id="rId9" Type="http://schemas.openxmlformats.org/officeDocument/2006/relationships/hyperlink" Target="https://www.orexad.com/fr/desserte-de-transport/p-G1359000463" TargetMode="External"/><Relationship Id="rId14" Type="http://schemas.openxmlformats.org/officeDocument/2006/relationships/hyperlink" Target="https://www.orexad.com/fr/transpalette-galvanise-2-5t/p-G3019000006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mitutoyo.fr/web/mitutoyo/fr_FR/mitutoyo/01.05.077/Paire%20de%20v%C3%A9s/$catalogue/mitutoyoData/PR/911-111/index.xhtml" TargetMode="External"/><Relationship Id="rId13" Type="http://schemas.openxmlformats.org/officeDocument/2006/relationships/hyperlink" Target="https://shop.mitutoyo.fr/web/mitutoyo/fr_FR/mitutoyo/01.02.01.031/Microm.%20d%27ext%C3%A9rieur%20col%20de%20cygne/$catalogue/mitutoyoData/PR/103-142-10/index.xhtml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7" Type="http://schemas.openxmlformats.org/officeDocument/2006/relationships/hyperlink" Target="https://shop.mitutoyo.fr/web/mitutoyo/fr_FR/mitutoyo/01.05.033/Base%20magn%C3%A9tique%20avec%20r%C3%A9glage%20fin/$catalogue/mitutoyoData/PR/7011SN/index.xhtml" TargetMode="External"/><Relationship Id="rId12" Type="http://schemas.openxmlformats.org/officeDocument/2006/relationships/hyperlink" Target="https://shop.mitutoyo.fr/web/mitutoyo/fr_FR/mitutoyo/01.02.01.031/Microm.%20d%27ext%C3%A9rieur%20col%20de%20cygne/$catalogue/mitutoyoData/PR/103-141-10/index.xhtml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hyperlink" Target="http://www.starrett.com/metrology/product-detail/3753A-8~200" TargetMode="External"/><Relationship Id="rId16" Type="http://schemas.openxmlformats.org/officeDocument/2006/relationships/hyperlink" Target="https://www.orexad.com/fr/colonne-de-mesure-817clm-cap-600-770-pupitre-2d/p-G1197000019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Relationship Id="rId6" Type="http://schemas.openxmlformats.org/officeDocument/2006/relationships/hyperlink" Target="https://shop.mitutoyo.fr/web/mitutoyo/fr_FR/mitutoyo/01.05.03/Support%20articul%C3%A9%20magn%C3%A9ti/$catalogue/mitutoyoData/PR/7019B/index.xhtml" TargetMode="External"/><Relationship Id="rId11" Type="http://schemas.openxmlformats.org/officeDocument/2006/relationships/hyperlink" Target="https://shop.mitutoyo.fr/web/mitutoyo/fr_FR/mitutoyo/01.02.01.032/Microm.%20d%27ext%C3%A9rieur%20col%20de%20cygne%20en%20jeu/$catalogue/mitutoyoData/PR/103-915-10/index.xhtml" TargetMode="External"/><Relationship Id="rId5" Type="http://schemas.openxmlformats.org/officeDocument/2006/relationships/hyperlink" Target="https://shop.mitutoyo.fr/web/mitutoyo/fr_FR/mitutoyo/1300888710750/Comparateur%20m%C3%A9canique%2C%20dos%20plat/$catalogue/mitutoyoData/PR/2044SB/index.xhtml" TargetMode="External"/><Relationship Id="rId15" Type="http://schemas.openxmlformats.org/officeDocument/2006/relationships/hyperlink" Target="https://www.orexad.com/fr/projecteur-de-profil-pj-h30/p-G1213001821" TargetMode="External"/><Relationship Id="rId10" Type="http://schemas.openxmlformats.org/officeDocument/2006/relationships/hyperlink" Target="https://shop.mitutoyo.fr/web/mitutoyo/fr_FR/mitutoyo/01.02.01.0/Microm%C3%A8tre%20DIGIMATIC%20IP65%20en%20jeu%200-100%20mm/$catalogue/mitutoyoData/PR/293-963/index.xhtml" TargetMode="External"/><Relationship Id="rId19" Type="http://schemas.openxmlformats.org/officeDocument/2006/relationships/comments" Target="../comments1.xml"/><Relationship Id="rId4" Type="http://schemas.openxmlformats.org/officeDocument/2006/relationships/hyperlink" Target="https://shop.mitutoyo.fr/web/mitutoyo/fr_FR/mitutoyo/1305198758390/Comparateur%20%C3%A0%20palpeur%20orientable%2C%20mod%C3%A8le%20horizontal/$catalogue/mitutoyoData/PR/513-908/index.xhtml" TargetMode="External"/><Relationship Id="rId9" Type="http://schemas.openxmlformats.org/officeDocument/2006/relationships/hyperlink" Target="https://shop.mitutoyo.fr/web/mitutoyo/fr_FR/mitutoyo/01.07.01/Jeu%20de%20cales%20-%20m%C3%A9trique%20-%20Cert.%20Insp.%20-%20ISO/$catalogue/mitutoyoData/PR/516-942-10/index.xhtml" TargetMode="External"/><Relationship Id="rId14" Type="http://schemas.openxmlformats.org/officeDocument/2006/relationships/hyperlink" Target="https://shop.mitutoyo.fr/web/mitutoyo/fr_FR/mitutoyo/1355993040307/Microm%C3%A8tre%20d%27int%C3%A9rieur%20Holtest%20en%20jeu/$catalogue/mitutoyoData/PR/368-991/index.x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https://www.hoffmann-group.com/FR/fr/hof/Accessoires-machines/Porte-outils/c/30" TargetMode="External"/><Relationship Id="rId7" Type="http://schemas.openxmlformats.org/officeDocument/2006/relationships/hyperlink" Target="https://www.haascnc.com/machines/vertical-mills/vf-series/models/medium/vf-3ssyt.htm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6" Type="http://schemas.openxmlformats.org/officeDocument/2006/relationships/hyperlink" Target="https://www.otelo.fr/catalogue/huile-coupe/rocol-0003050209-skg.html" TargetMode="External"/><Relationship Id="rId5" Type="http://schemas.openxmlformats.org/officeDocument/2006/relationships/hyperlink" Target="https://www.otelo.fr/catalogue/fluides-huiles-coupe-solubles.html" TargetMode="External"/><Relationship Id="rId4" Type="http://schemas.openxmlformats.org/officeDocument/2006/relationships/hyperlink" Target="https://www.hoffmann-group.com/FR/fr/hof/Accessoires-machines/Etaux/Etau-haute-pression-CN---NC8/p/360405-125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AN182"/>
  <sheetViews>
    <sheetView showGridLines="0" tabSelected="1" topLeftCell="W1" zoomScale="123" zoomScaleNormal="91" workbookViewId="0">
      <selection activeCell="AA14" sqref="AA14"/>
    </sheetView>
  </sheetViews>
  <sheetFormatPr baseColWidth="10" defaultRowHeight="15" x14ac:dyDescent="0.25"/>
  <cols>
    <col min="1" max="1" width="3.140625" style="202" customWidth="1"/>
    <col min="2" max="2" width="34.28515625" style="202" bestFit="1" customWidth="1"/>
    <col min="3" max="3" width="25.140625" style="202" bestFit="1" customWidth="1"/>
    <col min="4" max="4" width="13.42578125" style="202" bestFit="1" customWidth="1"/>
    <col min="5" max="5" width="66.42578125" style="202" bestFit="1" customWidth="1"/>
    <col min="6" max="6" width="3.28515625" style="202" customWidth="1"/>
    <col min="7" max="7" width="28" style="202" bestFit="1" customWidth="1"/>
    <col min="8" max="8" width="90.42578125" style="202" bestFit="1" customWidth="1"/>
    <col min="9" max="9" width="19.5703125" style="202" bestFit="1" customWidth="1"/>
    <col min="10" max="10" width="18" style="202" bestFit="1" customWidth="1"/>
    <col min="11" max="11" width="14.140625" style="202" bestFit="1" customWidth="1"/>
    <col min="12" max="12" width="3.7109375" style="202" customWidth="1"/>
    <col min="13" max="13" width="94.140625" style="202" bestFit="1" customWidth="1"/>
    <col min="14" max="14" width="14.140625" style="202" bestFit="1" customWidth="1"/>
    <col min="15" max="15" width="3.7109375" style="202" customWidth="1"/>
    <col min="16" max="16" width="33.85546875" style="202" bestFit="1" customWidth="1"/>
    <col min="17" max="17" width="12" style="202" bestFit="1" customWidth="1"/>
    <col min="18" max="18" width="28.7109375" style="202" bestFit="1" customWidth="1"/>
    <col min="19" max="19" width="15.85546875" style="202" bestFit="1" customWidth="1"/>
    <col min="20" max="20" width="24.140625" style="202" bestFit="1" customWidth="1"/>
    <col min="21" max="21" width="14.140625" style="202" bestFit="1" customWidth="1"/>
    <col min="22" max="22" width="3.5703125" style="202" customWidth="1"/>
    <col min="23" max="23" width="53.140625" style="202" bestFit="1" customWidth="1"/>
    <col min="24" max="24" width="8.42578125" style="202" bestFit="1" customWidth="1"/>
    <col min="25" max="25" width="93.42578125" style="202" bestFit="1" customWidth="1"/>
    <col min="26" max="26" width="15.7109375" style="406" bestFit="1" customWidth="1"/>
    <col min="27" max="27" width="23.42578125" style="202" bestFit="1" customWidth="1"/>
    <col min="28" max="16384" width="11.42578125" style="202"/>
  </cols>
  <sheetData>
    <row r="1" spans="1:27" ht="15.75" thickBot="1" x14ac:dyDescent="0.3"/>
    <row r="2" spans="1:27" ht="15.75" thickBot="1" x14ac:dyDescent="0.3">
      <c r="A2" s="203"/>
      <c r="B2" s="550" t="s">
        <v>33</v>
      </c>
      <c r="C2" s="551"/>
      <c r="D2" s="551"/>
      <c r="E2" s="552"/>
      <c r="F2" s="203"/>
      <c r="G2" s="564" t="s">
        <v>14</v>
      </c>
      <c r="H2" s="565"/>
      <c r="I2" s="565"/>
      <c r="J2" s="565"/>
      <c r="K2" s="566"/>
      <c r="L2" s="203"/>
      <c r="M2" s="567" t="s">
        <v>562</v>
      </c>
      <c r="N2" s="569"/>
      <c r="O2" s="203"/>
      <c r="P2" s="567" t="s">
        <v>559</v>
      </c>
      <c r="Q2" s="568"/>
      <c r="R2" s="568"/>
      <c r="S2" s="568"/>
      <c r="T2" s="568"/>
      <c r="U2" s="569"/>
      <c r="V2" s="203"/>
      <c r="W2" s="567" t="s">
        <v>342</v>
      </c>
      <c r="X2" s="568"/>
      <c r="Y2" s="568"/>
      <c r="Z2" s="569"/>
    </row>
    <row r="3" spans="1:27" ht="30.75" thickBot="1" x14ac:dyDescent="0.3">
      <c r="A3" s="203"/>
      <c r="B3" s="205" t="s">
        <v>24</v>
      </c>
      <c r="C3" s="205" t="s">
        <v>15</v>
      </c>
      <c r="D3" s="205" t="s">
        <v>34</v>
      </c>
      <c r="E3" s="206" t="s">
        <v>167</v>
      </c>
      <c r="F3" s="203"/>
      <c r="G3" s="322" t="s">
        <v>24</v>
      </c>
      <c r="H3" s="322" t="s">
        <v>22</v>
      </c>
      <c r="I3" s="322" t="s">
        <v>503</v>
      </c>
      <c r="J3" s="323" t="s">
        <v>265</v>
      </c>
      <c r="K3" s="207" t="s">
        <v>151</v>
      </c>
      <c r="L3" s="203"/>
      <c r="M3" s="363" t="s">
        <v>558</v>
      </c>
      <c r="N3" s="204" t="s">
        <v>138</v>
      </c>
      <c r="O3" s="203"/>
      <c r="P3" s="324" t="s">
        <v>15</v>
      </c>
      <c r="Q3" s="324" t="s">
        <v>155</v>
      </c>
      <c r="R3" s="324" t="s">
        <v>160</v>
      </c>
      <c r="S3" s="324" t="s">
        <v>16</v>
      </c>
      <c r="T3" s="325" t="s">
        <v>265</v>
      </c>
      <c r="U3" s="208" t="s">
        <v>151</v>
      </c>
      <c r="V3" s="203"/>
      <c r="W3" s="567" t="s">
        <v>429</v>
      </c>
      <c r="X3" s="569"/>
      <c r="Y3" s="567" t="s">
        <v>563</v>
      </c>
      <c r="Z3" s="569"/>
    </row>
    <row r="4" spans="1:27" ht="15.75" thickBot="1" x14ac:dyDescent="0.3">
      <c r="A4" s="203"/>
      <c r="B4" s="217" t="s">
        <v>374</v>
      </c>
      <c r="C4" s="209" t="s">
        <v>385</v>
      </c>
      <c r="D4" s="210">
        <f>'Manpower &amp; time'!E17/'Manpower &amp; time'!C17</f>
        <v>50414.805194805187</v>
      </c>
      <c r="E4" s="218" t="s">
        <v>340</v>
      </c>
      <c r="F4" s="203"/>
      <c r="G4" s="211" t="s">
        <v>187</v>
      </c>
      <c r="H4" s="212" t="s">
        <v>100</v>
      </c>
      <c r="I4" s="210">
        <f>'Manpower &amp; time'!E17</f>
        <v>50414.805194805187</v>
      </c>
      <c r="J4" s="213">
        <v>1</v>
      </c>
      <c r="K4" s="214">
        <f t="shared" ref="K4:K10" si="0">I4/J4</f>
        <v>50414.805194805187</v>
      </c>
      <c r="L4" s="203"/>
      <c r="M4" s="561" t="s">
        <v>319</v>
      </c>
      <c r="N4" s="563"/>
      <c r="O4" s="203"/>
      <c r="P4" s="580" t="s">
        <v>319</v>
      </c>
      <c r="Q4" s="581"/>
      <c r="R4" s="581"/>
      <c r="S4" s="581"/>
      <c r="T4" s="581"/>
      <c r="U4" s="582"/>
      <c r="V4" s="203"/>
      <c r="W4" s="561" t="s">
        <v>319</v>
      </c>
      <c r="X4" s="562"/>
      <c r="Y4" s="562"/>
      <c r="Z4" s="563"/>
    </row>
    <row r="5" spans="1:27" ht="15.75" thickBot="1" x14ac:dyDescent="0.3">
      <c r="A5" s="203"/>
      <c r="B5" s="572" t="s">
        <v>375</v>
      </c>
      <c r="C5" s="74" t="s">
        <v>384</v>
      </c>
      <c r="D5" s="210">
        <f>'Manpower &amp; time'!E16/'Manpower &amp; time'!C16</f>
        <v>43935</v>
      </c>
      <c r="E5" s="592" t="s">
        <v>340</v>
      </c>
      <c r="F5" s="203"/>
      <c r="G5" s="219"/>
      <c r="H5" s="220" t="s">
        <v>564</v>
      </c>
      <c r="I5" s="221">
        <f>D8*0.5</f>
        <v>29647.792207792201</v>
      </c>
      <c r="J5" s="222">
        <v>1</v>
      </c>
      <c r="K5" s="223">
        <f t="shared" si="0"/>
        <v>29647.792207792201</v>
      </c>
      <c r="L5" s="203"/>
      <c r="M5" s="383" t="s">
        <v>189</v>
      </c>
      <c r="N5" s="386">
        <f>Milling!D11</f>
        <v>22.4</v>
      </c>
      <c r="O5" s="203"/>
      <c r="P5" s="251" t="s">
        <v>152</v>
      </c>
      <c r="Q5" s="224" t="s">
        <v>156</v>
      </c>
      <c r="R5" s="224"/>
      <c r="S5" s="221">
        <f>Milling!E5</f>
        <v>95994</v>
      </c>
      <c r="T5" s="224">
        <v>10</v>
      </c>
      <c r="U5" s="225">
        <f>S5/T5</f>
        <v>9599.4</v>
      </c>
      <c r="V5" s="203"/>
      <c r="W5" s="411" t="s">
        <v>571</v>
      </c>
      <c r="X5" s="295"/>
      <c r="Y5" s="578" t="s">
        <v>566</v>
      </c>
      <c r="Z5" s="579"/>
    </row>
    <row r="6" spans="1:27" x14ac:dyDescent="0.25">
      <c r="A6" s="203"/>
      <c r="B6" s="574"/>
      <c r="C6" s="220" t="s">
        <v>23</v>
      </c>
      <c r="D6" s="221">
        <f>'Manpower &amp; time'!E15/'Manpower &amp; time'!C15</f>
        <v>36901.558441558438</v>
      </c>
      <c r="E6" s="593"/>
      <c r="F6" s="203"/>
      <c r="G6" s="219"/>
      <c r="H6" s="220" t="s">
        <v>326</v>
      </c>
      <c r="I6" s="221">
        <f>'Manpower &amp; time'!G19</f>
        <v>9538.3636363636433</v>
      </c>
      <c r="J6" s="222">
        <v>1</v>
      </c>
      <c r="K6" s="223">
        <f t="shared" si="0"/>
        <v>9538.3636363636433</v>
      </c>
      <c r="L6" s="203"/>
      <c r="M6" s="384" t="s">
        <v>165</v>
      </c>
      <c r="N6" s="387">
        <f>D11</f>
        <v>0.8</v>
      </c>
      <c r="O6" s="203"/>
      <c r="P6" s="251" t="s">
        <v>153</v>
      </c>
      <c r="Q6" s="224" t="s">
        <v>156</v>
      </c>
      <c r="R6" s="224"/>
      <c r="S6" s="221">
        <f>40*Milling!E6</f>
        <v>4800</v>
      </c>
      <c r="T6" s="224">
        <v>5</v>
      </c>
      <c r="U6" s="225">
        <v>800</v>
      </c>
      <c r="V6" s="203"/>
      <c r="W6" s="283" t="s">
        <v>573</v>
      </c>
      <c r="X6" s="284">
        <v>2.5</v>
      </c>
      <c r="Y6" s="409" t="s">
        <v>207</v>
      </c>
      <c r="Z6" s="428">
        <f>SUM(U5:U9)</f>
        <v>17815.099999999999</v>
      </c>
    </row>
    <row r="7" spans="1:27" ht="15.75" thickBot="1" x14ac:dyDescent="0.3">
      <c r="A7" s="203"/>
      <c r="B7" s="574"/>
      <c r="C7" s="220" t="s">
        <v>35</v>
      </c>
      <c r="D7" s="221">
        <f>'Manpower &amp; time'!E17/'Manpower &amp; time'!C17</f>
        <v>50414.805194805187</v>
      </c>
      <c r="E7" s="593"/>
      <c r="F7" s="203"/>
      <c r="G7" s="226"/>
      <c r="H7" s="227" t="s">
        <v>188</v>
      </c>
      <c r="I7" s="228">
        <f>'Manpower &amp; time'!C45</f>
        <v>4990.8623376623382</v>
      </c>
      <c r="J7" s="229">
        <v>1</v>
      </c>
      <c r="K7" s="230">
        <f t="shared" si="0"/>
        <v>4990.8623376623382</v>
      </c>
      <c r="L7" s="203"/>
      <c r="M7" s="384" t="s">
        <v>166</v>
      </c>
      <c r="N7" s="388">
        <v>5</v>
      </c>
      <c r="O7" s="203"/>
      <c r="P7" s="251" t="s">
        <v>154</v>
      </c>
      <c r="Q7" s="224" t="s">
        <v>156</v>
      </c>
      <c r="R7" s="224"/>
      <c r="S7" s="221">
        <f>Milling!E7</f>
        <v>2500</v>
      </c>
      <c r="T7" s="224">
        <v>5</v>
      </c>
      <c r="U7" s="225">
        <v>500</v>
      </c>
      <c r="V7" s="203"/>
      <c r="W7" s="283" t="s">
        <v>574</v>
      </c>
      <c r="X7" s="284">
        <v>0.5</v>
      </c>
      <c r="Y7" s="410" t="s">
        <v>208</v>
      </c>
      <c r="Z7" s="286">
        <f>Z6/(N6*D9*D10)+K35</f>
        <v>30.398298816626557</v>
      </c>
    </row>
    <row r="8" spans="1:27" ht="15.75" thickBot="1" x14ac:dyDescent="0.3">
      <c r="A8" s="203"/>
      <c r="B8" s="573"/>
      <c r="C8" s="220" t="s">
        <v>36</v>
      </c>
      <c r="D8" s="221">
        <f>'Manpower &amp; time'!E18/'Manpower &amp; time'!C18</f>
        <v>59295.584415584402</v>
      </c>
      <c r="E8" s="594"/>
      <c r="F8" s="203"/>
      <c r="G8" s="553" t="s">
        <v>481</v>
      </c>
      <c r="H8" s="231" t="s">
        <v>190</v>
      </c>
      <c r="I8" s="210">
        <f>Energies!F5</f>
        <v>3449.7792000000004</v>
      </c>
      <c r="J8" s="215">
        <v>1</v>
      </c>
      <c r="K8" s="214">
        <f t="shared" si="0"/>
        <v>3449.7792000000004</v>
      </c>
      <c r="L8" s="203"/>
      <c r="M8" s="384" t="s">
        <v>320</v>
      </c>
      <c r="N8" s="389">
        <f>1/10000</f>
        <v>1E-4</v>
      </c>
      <c r="O8" s="203"/>
      <c r="P8" s="251" t="s">
        <v>19</v>
      </c>
      <c r="Q8" s="224" t="s">
        <v>156</v>
      </c>
      <c r="R8" s="224" t="s">
        <v>575</v>
      </c>
      <c r="S8" s="232">
        <f>0.05*S5</f>
        <v>4799.7</v>
      </c>
      <c r="T8" s="224">
        <v>1</v>
      </c>
      <c r="U8" s="381">
        <f>S8/T8</f>
        <v>4799.7</v>
      </c>
      <c r="V8" s="203"/>
      <c r="W8" s="283"/>
      <c r="X8" s="284"/>
      <c r="Y8" s="410" t="s">
        <v>565</v>
      </c>
      <c r="Z8" s="407">
        <f>Z7+S10+S11</f>
        <v>52.082062016626558</v>
      </c>
    </row>
    <row r="9" spans="1:27" ht="15.75" thickBot="1" x14ac:dyDescent="0.3">
      <c r="A9" s="203"/>
      <c r="B9" s="575" t="s">
        <v>37</v>
      </c>
      <c r="C9" s="212" t="s">
        <v>38</v>
      </c>
      <c r="D9" s="215">
        <v>35</v>
      </c>
      <c r="E9" s="234" t="s">
        <v>368</v>
      </c>
      <c r="F9" s="203"/>
      <c r="G9" s="554"/>
      <c r="H9" s="235" t="s">
        <v>191</v>
      </c>
      <c r="I9" s="236">
        <f>16*D9*D10*D14</f>
        <v>2373.0537599999998</v>
      </c>
      <c r="J9" s="224">
        <v>1</v>
      </c>
      <c r="K9" s="223">
        <f t="shared" si="0"/>
        <v>2373.0537599999998</v>
      </c>
      <c r="L9" s="203"/>
      <c r="M9" s="384" t="s">
        <v>569</v>
      </c>
      <c r="N9" s="389">
        <f>N8*0.5</f>
        <v>5.0000000000000002E-5</v>
      </c>
      <c r="O9" s="203"/>
      <c r="P9" s="251" t="s">
        <v>158</v>
      </c>
      <c r="Q9" s="224" t="s">
        <v>156</v>
      </c>
      <c r="R9" s="224" t="s">
        <v>561</v>
      </c>
      <c r="S9" s="221">
        <f>200*Milling!D23</f>
        <v>2116</v>
      </c>
      <c r="T9" s="224">
        <v>1</v>
      </c>
      <c r="U9" s="225">
        <f>S9/T9</f>
        <v>2116</v>
      </c>
      <c r="V9" s="203"/>
      <c r="W9" s="585" t="s">
        <v>1050</v>
      </c>
      <c r="X9" s="586"/>
      <c r="Y9" s="583" t="s">
        <v>567</v>
      </c>
      <c r="Z9" s="584"/>
    </row>
    <row r="10" spans="1:27" ht="15.75" thickBot="1" x14ac:dyDescent="0.3">
      <c r="A10" s="203"/>
      <c r="B10" s="576"/>
      <c r="C10" s="220" t="s">
        <v>39</v>
      </c>
      <c r="D10" s="237">
        <f>'Manpower &amp; time'!C28</f>
        <v>45.1</v>
      </c>
      <c r="E10" s="238" t="s">
        <v>369</v>
      </c>
      <c r="F10" s="203"/>
      <c r="G10" s="555"/>
      <c r="H10" s="239" t="s">
        <v>276</v>
      </c>
      <c r="I10" s="236">
        <f>Energies!F7*60</f>
        <v>199.44</v>
      </c>
      <c r="J10" s="224">
        <v>1</v>
      </c>
      <c r="K10" s="223">
        <f t="shared" si="0"/>
        <v>199.44</v>
      </c>
      <c r="L10" s="203"/>
      <c r="M10" s="384" t="s">
        <v>570</v>
      </c>
      <c r="N10" s="389">
        <f>N8*0.4</f>
        <v>4.0000000000000003E-5</v>
      </c>
      <c r="O10" s="203"/>
      <c r="P10" s="399" t="s">
        <v>17</v>
      </c>
      <c r="Q10" s="400" t="s">
        <v>157</v>
      </c>
      <c r="R10" s="400" t="s">
        <v>194</v>
      </c>
      <c r="S10" s="401">
        <f>N5*N6*D14</f>
        <v>1.6837631999999996</v>
      </c>
      <c r="T10" s="400"/>
      <c r="U10" s="294"/>
      <c r="V10" s="203"/>
      <c r="W10" s="587"/>
      <c r="X10" s="588"/>
      <c r="Y10" s="410" t="s">
        <v>195</v>
      </c>
      <c r="Z10" s="286">
        <f>('Manpower &amp; time'!H15+Summary!Z8)*Summary!N8/60</f>
        <v>1.2576612114328312E-4</v>
      </c>
      <c r="AA10" s="289">
        <f>Z10*195730</f>
        <v>24.616202891374805</v>
      </c>
    </row>
    <row r="11" spans="1:27" ht="30.75" thickBot="1" x14ac:dyDescent="0.3">
      <c r="A11" s="203"/>
      <c r="B11" s="576"/>
      <c r="C11" s="220" t="s">
        <v>40</v>
      </c>
      <c r="D11" s="240">
        <v>0.8</v>
      </c>
      <c r="E11" s="241" t="s">
        <v>370</v>
      </c>
      <c r="F11" s="203"/>
      <c r="G11" s="556" t="s">
        <v>445</v>
      </c>
      <c r="H11" s="220" t="s">
        <v>353</v>
      </c>
      <c r="I11" s="221">
        <f>SUM('IT&amp;Office'!H3:H4)</f>
        <v>911.12</v>
      </c>
      <c r="J11" s="222">
        <v>1</v>
      </c>
      <c r="K11" s="223">
        <f t="shared" ref="K11" si="1">I11/J11</f>
        <v>911.12</v>
      </c>
      <c r="L11" s="203"/>
      <c r="M11" s="385" t="s">
        <v>556</v>
      </c>
      <c r="N11" s="390">
        <v>20</v>
      </c>
      <c r="O11" s="203"/>
      <c r="P11" s="378" t="s">
        <v>159</v>
      </c>
      <c r="Q11" s="243" t="s">
        <v>157</v>
      </c>
      <c r="R11" s="243" t="s">
        <v>194</v>
      </c>
      <c r="S11" s="228">
        <v>20</v>
      </c>
      <c r="T11" s="243"/>
      <c r="U11" s="382"/>
      <c r="V11" s="203"/>
      <c r="W11" s="587"/>
      <c r="X11" s="588"/>
      <c r="Y11" s="410" t="s">
        <v>317</v>
      </c>
      <c r="Z11" s="288">
        <f>('Manpower &amp; time'!H15)*N8/60/Z10</f>
        <v>0.30980270437470231</v>
      </c>
    </row>
    <row r="12" spans="1:27" ht="15.75" thickBot="1" x14ac:dyDescent="0.3">
      <c r="A12" s="203"/>
      <c r="B12" s="577"/>
      <c r="C12" s="227" t="s">
        <v>180</v>
      </c>
      <c r="D12" s="245">
        <v>0.95</v>
      </c>
      <c r="E12" s="246" t="s">
        <v>371</v>
      </c>
      <c r="F12" s="203"/>
      <c r="G12" s="557"/>
      <c r="H12" s="220" t="s">
        <v>150</v>
      </c>
      <c r="I12" s="221">
        <f>'IT&amp;Office'!H5</f>
        <v>269.89999999999998</v>
      </c>
      <c r="J12" s="222">
        <v>3</v>
      </c>
      <c r="K12" s="223">
        <f>I12/J12</f>
        <v>89.966666666666654</v>
      </c>
      <c r="L12" s="203"/>
      <c r="M12" s="570" t="s">
        <v>1006</v>
      </c>
      <c r="N12" s="571"/>
      <c r="O12" s="203"/>
      <c r="P12" s="580" t="s">
        <v>1006</v>
      </c>
      <c r="Q12" s="581"/>
      <c r="R12" s="581"/>
      <c r="S12" s="581"/>
      <c r="T12" s="581"/>
      <c r="U12" s="582"/>
      <c r="V12" s="203"/>
      <c r="W12" s="587"/>
      <c r="X12" s="588"/>
      <c r="Y12" s="583" t="s">
        <v>568</v>
      </c>
      <c r="Z12" s="584"/>
    </row>
    <row r="13" spans="1:27" x14ac:dyDescent="0.25">
      <c r="A13" s="203"/>
      <c r="B13" s="572" t="s">
        <v>229</v>
      </c>
      <c r="C13" s="212" t="s">
        <v>110</v>
      </c>
      <c r="D13" s="210">
        <f>Energies!F5</f>
        <v>3449.7792000000004</v>
      </c>
      <c r="E13" s="216"/>
      <c r="F13" s="203"/>
      <c r="G13" s="557"/>
      <c r="H13" s="249" t="s">
        <v>443</v>
      </c>
      <c r="I13" s="221">
        <f>SUM('IT&amp;Office'!H6:H9)</f>
        <v>392.57</v>
      </c>
      <c r="J13" s="222">
        <v>1</v>
      </c>
      <c r="K13" s="223">
        <f>I13/J13</f>
        <v>392.57</v>
      </c>
      <c r="L13" s="203"/>
      <c r="M13" s="398" t="s">
        <v>189</v>
      </c>
      <c r="N13" s="425">
        <v>6</v>
      </c>
      <c r="O13" s="203"/>
      <c r="P13" s="379" t="s">
        <v>1004</v>
      </c>
      <c r="Q13" s="215" t="s">
        <v>156</v>
      </c>
      <c r="R13" s="215"/>
      <c r="S13" s="248">
        <f>'3D Laser Cutting'!E4</f>
        <v>1000000</v>
      </c>
      <c r="T13" s="215">
        <v>7</v>
      </c>
      <c r="U13" s="216">
        <f>S13/T13</f>
        <v>142857.14285714287</v>
      </c>
      <c r="V13" s="203"/>
      <c r="W13" s="587"/>
      <c r="X13" s="588"/>
      <c r="Y13" s="410" t="s">
        <v>198</v>
      </c>
      <c r="Z13" s="286">
        <f>('Manpower &amp; time'!H15+K35)*N$9/60</f>
        <v>3.3056909578504621E-5</v>
      </c>
      <c r="AA13" s="289">
        <f>195730*Z13</f>
        <v>6.4702289118007092</v>
      </c>
    </row>
    <row r="14" spans="1:27" x14ac:dyDescent="0.25">
      <c r="A14" s="203"/>
      <c r="B14" s="574"/>
      <c r="C14" s="220" t="s">
        <v>111</v>
      </c>
      <c r="D14" s="232">
        <f>Energies!F6</f>
        <v>9.3959999999999988E-2</v>
      </c>
      <c r="E14" s="250"/>
      <c r="F14" s="203"/>
      <c r="G14" s="557"/>
      <c r="H14" s="220" t="s">
        <v>442</v>
      </c>
      <c r="I14" s="221">
        <f>SUM('IT&amp;Office'!H10:H15)</f>
        <v>14911.8</v>
      </c>
      <c r="J14" s="222">
        <v>3</v>
      </c>
      <c r="K14" s="223">
        <f>I14/J14</f>
        <v>4970.5999999999995</v>
      </c>
      <c r="L14" s="203"/>
      <c r="M14" s="380" t="s">
        <v>165</v>
      </c>
      <c r="N14" s="426">
        <f>D11</f>
        <v>0.8</v>
      </c>
      <c r="O14" s="203"/>
      <c r="P14" s="251" t="s">
        <v>19</v>
      </c>
      <c r="Q14" s="224" t="s">
        <v>156</v>
      </c>
      <c r="R14" s="224" t="s">
        <v>1005</v>
      </c>
      <c r="S14" s="221">
        <f>'3D Laser Cutting'!E6</f>
        <v>10000</v>
      </c>
      <c r="T14" s="224">
        <v>1</v>
      </c>
      <c r="U14" s="225">
        <f>S14/T14</f>
        <v>10000</v>
      </c>
      <c r="V14" s="203"/>
      <c r="W14" s="587"/>
      <c r="X14" s="588"/>
      <c r="Y14" s="410" t="s">
        <v>196</v>
      </c>
      <c r="Z14" s="286">
        <f>('Manpower &amp; time'!H17+K36)*N$9/60</f>
        <v>4.6096697094479797E-5</v>
      </c>
    </row>
    <row r="15" spans="1:27" ht="18" thickBot="1" x14ac:dyDescent="0.3">
      <c r="A15" s="203"/>
      <c r="B15" s="573"/>
      <c r="C15" s="227" t="s">
        <v>505</v>
      </c>
      <c r="D15" s="228">
        <f>Energies!F7</f>
        <v>3.3239999999999998</v>
      </c>
      <c r="E15" s="244"/>
      <c r="F15" s="203"/>
      <c r="G15" s="557"/>
      <c r="H15" s="220" t="s">
        <v>29</v>
      </c>
      <c r="I15" s="221">
        <f>'IT&amp;Office'!H17</f>
        <v>1468.8</v>
      </c>
      <c r="J15" s="222">
        <v>1</v>
      </c>
      <c r="K15" s="223">
        <f t="shared" ref="K15:K16" si="2">I15/J15</f>
        <v>1468.8</v>
      </c>
      <c r="L15" s="203"/>
      <c r="M15" s="380" t="s">
        <v>166</v>
      </c>
      <c r="N15" s="427">
        <v>5</v>
      </c>
      <c r="O15" s="203"/>
      <c r="P15" s="251" t="s">
        <v>521</v>
      </c>
      <c r="Q15" s="224" t="s">
        <v>156</v>
      </c>
      <c r="R15" s="224"/>
      <c r="S15" s="221">
        <f>'3D Laser Cutting'!E7</f>
        <v>1500</v>
      </c>
      <c r="T15" s="224">
        <v>1</v>
      </c>
      <c r="U15" s="225">
        <f t="shared" ref="U15:U16" si="3">S15/T15</f>
        <v>1500</v>
      </c>
      <c r="V15" s="203"/>
      <c r="W15" s="587"/>
      <c r="X15" s="588"/>
      <c r="Y15" s="410" t="s">
        <v>197</v>
      </c>
      <c r="Z15" s="286">
        <f>('Manpower &amp; time'!H18+K37)*N$9/60</f>
        <v>5.4498249612281913E-5</v>
      </c>
    </row>
    <row r="16" spans="1:27" x14ac:dyDescent="0.25">
      <c r="A16" s="203"/>
      <c r="B16" s="572" t="s">
        <v>230</v>
      </c>
      <c r="C16" s="212" t="s">
        <v>373</v>
      </c>
      <c r="D16" s="213">
        <v>1.2076</v>
      </c>
      <c r="E16" s="234" t="s">
        <v>377</v>
      </c>
      <c r="F16" s="203"/>
      <c r="G16" s="557"/>
      <c r="H16" s="251" t="s">
        <v>266</v>
      </c>
      <c r="I16" s="221">
        <f>SUM('IT&amp;Office'!H18:H19)</f>
        <v>1598.4</v>
      </c>
      <c r="J16" s="222">
        <v>3</v>
      </c>
      <c r="K16" s="223">
        <f t="shared" si="2"/>
        <v>532.80000000000007</v>
      </c>
      <c r="L16" s="203"/>
      <c r="M16" s="380" t="s">
        <v>1010</v>
      </c>
      <c r="N16" s="427">
        <v>10</v>
      </c>
      <c r="O16" s="203"/>
      <c r="P16" s="251" t="s">
        <v>538</v>
      </c>
      <c r="Q16" s="224" t="s">
        <v>156</v>
      </c>
      <c r="R16" s="224"/>
      <c r="S16" s="236">
        <f>'3D Laser Cutting'!E8</f>
        <v>1500</v>
      </c>
      <c r="T16" s="224">
        <v>1</v>
      </c>
      <c r="U16" s="225">
        <f t="shared" si="3"/>
        <v>1500</v>
      </c>
      <c r="V16" s="203"/>
      <c r="W16" s="587"/>
      <c r="X16" s="588"/>
      <c r="Y16" s="410" t="s">
        <v>236</v>
      </c>
      <c r="Z16" s="286">
        <f>('Manpower &amp; time'!H15+K35)*N$10/60</f>
        <v>2.6445527662803701E-5</v>
      </c>
    </row>
    <row r="17" spans="1:27" ht="15.75" thickBot="1" x14ac:dyDescent="0.3">
      <c r="A17" s="203"/>
      <c r="B17" s="573"/>
      <c r="C17" s="227" t="s">
        <v>372</v>
      </c>
      <c r="D17" s="245">
        <v>0.2</v>
      </c>
      <c r="E17" s="252" t="s">
        <v>376</v>
      </c>
      <c r="F17" s="203"/>
      <c r="G17" s="557"/>
      <c r="H17" s="253" t="s">
        <v>30</v>
      </c>
      <c r="I17" s="254">
        <v>200</v>
      </c>
      <c r="J17" s="255">
        <v>1</v>
      </c>
      <c r="K17" s="256">
        <f t="shared" ref="K17:K18" si="4">I17/J17</f>
        <v>200</v>
      </c>
      <c r="L17" s="203"/>
      <c r="M17" s="380" t="s">
        <v>1007</v>
      </c>
      <c r="N17" s="427">
        <v>613</v>
      </c>
      <c r="O17" s="203"/>
      <c r="P17" s="251" t="s">
        <v>17</v>
      </c>
      <c r="Q17" s="224" t="s">
        <v>157</v>
      </c>
      <c r="R17" s="243" t="s">
        <v>194</v>
      </c>
      <c r="S17" s="232">
        <f>N13*N14*D14</f>
        <v>0.45100800000000002</v>
      </c>
      <c r="T17" s="224"/>
      <c r="U17" s="233"/>
      <c r="V17" s="203"/>
      <c r="W17" s="587"/>
      <c r="X17" s="588"/>
      <c r="Y17" s="410" t="s">
        <v>237</v>
      </c>
      <c r="Z17" s="286">
        <f>('Manpower &amp; time'!H17+K36)*N$10/60</f>
        <v>3.6877357675583839E-5</v>
      </c>
    </row>
    <row r="18" spans="1:27" ht="15.75" thickBot="1" x14ac:dyDescent="0.3">
      <c r="F18" s="203"/>
      <c r="G18" s="558"/>
      <c r="H18" s="227" t="s">
        <v>231</v>
      </c>
      <c r="I18" s="228">
        <f>SUM('IT&amp;Office'!H23:H29)</f>
        <v>16747.2</v>
      </c>
      <c r="J18" s="243">
        <v>10</v>
      </c>
      <c r="K18" s="230">
        <f t="shared" si="4"/>
        <v>1674.72</v>
      </c>
      <c r="L18" s="203"/>
      <c r="M18" s="430" t="s">
        <v>1008</v>
      </c>
      <c r="N18" s="431">
        <v>373</v>
      </c>
      <c r="O18" s="203"/>
      <c r="P18" s="561" t="s">
        <v>1017</v>
      </c>
      <c r="Q18" s="562"/>
      <c r="R18" s="562"/>
      <c r="S18" s="562"/>
      <c r="T18" s="562"/>
      <c r="U18" s="563"/>
      <c r="V18" s="203"/>
      <c r="W18" s="587"/>
      <c r="X18" s="588"/>
      <c r="Y18" s="410" t="s">
        <v>238</v>
      </c>
      <c r="Z18" s="286">
        <f>('Manpower &amp; time'!H18+K37)*N$10/60</f>
        <v>4.3598599689825526E-5</v>
      </c>
    </row>
    <row r="19" spans="1:27" ht="15.75" thickBot="1" x14ac:dyDescent="0.3">
      <c r="F19" s="203"/>
      <c r="G19" s="556" t="s">
        <v>32</v>
      </c>
      <c r="H19" s="220" t="s">
        <v>501</v>
      </c>
      <c r="I19" s="221">
        <f>SUM(Manufacturing!F6:F11)</f>
        <v>22917.648000000001</v>
      </c>
      <c r="J19" s="224">
        <v>10</v>
      </c>
      <c r="K19" s="223">
        <f t="shared" ref="K19:K31" si="5">I19/J19</f>
        <v>2291.7647999999999</v>
      </c>
      <c r="L19" s="203"/>
      <c r="M19" s="559" t="s">
        <v>1017</v>
      </c>
      <c r="N19" s="560"/>
      <c r="O19" s="203"/>
      <c r="P19" s="379" t="s">
        <v>18</v>
      </c>
      <c r="Q19" s="215" t="s">
        <v>156</v>
      </c>
      <c r="R19" s="215"/>
      <c r="S19" s="210">
        <f>'2D Laser Cutting'!E4</f>
        <v>120726.39947002319</v>
      </c>
      <c r="T19" s="215">
        <v>10</v>
      </c>
      <c r="U19" s="216">
        <f>S19/T19</f>
        <v>12072.639947002319</v>
      </c>
      <c r="V19" s="203"/>
      <c r="W19" s="590"/>
      <c r="X19" s="591"/>
      <c r="Y19" s="410" t="s">
        <v>576</v>
      </c>
      <c r="Z19" s="286">
        <f>('Manpower &amp; time'!H15+Z7)*(N11+N7)/60</f>
        <v>22.406628952487448</v>
      </c>
    </row>
    <row r="20" spans="1:27" ht="15.75" thickBot="1" x14ac:dyDescent="0.3">
      <c r="F20" s="203"/>
      <c r="G20" s="557"/>
      <c r="H20" s="220" t="s">
        <v>247</v>
      </c>
      <c r="I20" s="221">
        <v>3000</v>
      </c>
      <c r="J20" s="224">
        <v>1</v>
      </c>
      <c r="K20" s="223">
        <f t="shared" si="5"/>
        <v>3000</v>
      </c>
      <c r="L20" s="203"/>
      <c r="M20" s="398" t="s">
        <v>189</v>
      </c>
      <c r="N20" s="425">
        <f>'2D Laser Cutting'!C9</f>
        <v>7.5</v>
      </c>
      <c r="O20" s="203"/>
      <c r="P20" s="251" t="s">
        <v>19</v>
      </c>
      <c r="Q20" s="224" t="s">
        <v>156</v>
      </c>
      <c r="R20" s="224" t="s">
        <v>575</v>
      </c>
      <c r="S20" s="221">
        <f>0.05*S19</f>
        <v>6036.3199735011594</v>
      </c>
      <c r="T20" s="224">
        <v>1</v>
      </c>
      <c r="U20" s="225">
        <f>S20/T20</f>
        <v>6036.3199735011594</v>
      </c>
      <c r="V20" s="203"/>
      <c r="W20" s="561" t="s">
        <v>1006</v>
      </c>
      <c r="X20" s="562"/>
      <c r="Y20" s="562"/>
      <c r="Z20" s="563"/>
    </row>
    <row r="21" spans="1:27" ht="15.75" thickBot="1" x14ac:dyDescent="0.3">
      <c r="F21" s="203"/>
      <c r="G21" s="557"/>
      <c r="H21" s="220" t="s">
        <v>502</v>
      </c>
      <c r="I21" s="221">
        <f>Manufacturing!F11*3+Manufacturing!F12*3</f>
        <v>10266</v>
      </c>
      <c r="J21" s="224">
        <v>10</v>
      </c>
      <c r="K21" s="223">
        <f t="shared" si="5"/>
        <v>1026.5999999999999</v>
      </c>
      <c r="L21" s="203"/>
      <c r="M21" s="380" t="s">
        <v>165</v>
      </c>
      <c r="N21" s="426">
        <v>0.7</v>
      </c>
      <c r="O21" s="203"/>
      <c r="P21" s="251" t="s">
        <v>20</v>
      </c>
      <c r="Q21" s="224" t="s">
        <v>157</v>
      </c>
      <c r="R21" s="243" t="s">
        <v>194</v>
      </c>
      <c r="S21" s="232">
        <f>N20*N21*D14</f>
        <v>0.49328999999999995</v>
      </c>
      <c r="T21" s="224"/>
      <c r="U21" s="225"/>
      <c r="V21" s="203"/>
      <c r="W21" s="411" t="s">
        <v>1009</v>
      </c>
      <c r="X21" s="295"/>
      <c r="Y21" s="578" t="s">
        <v>566</v>
      </c>
      <c r="Z21" s="579"/>
    </row>
    <row r="22" spans="1:27" ht="15.75" thickBot="1" x14ac:dyDescent="0.3">
      <c r="F22" s="203"/>
      <c r="G22" s="557"/>
      <c r="H22" s="249" t="s">
        <v>246</v>
      </c>
      <c r="I22" s="221">
        <f>0.5*I21</f>
        <v>5133</v>
      </c>
      <c r="J22" s="224">
        <v>10</v>
      </c>
      <c r="K22" s="223">
        <f t="shared" si="5"/>
        <v>513.29999999999995</v>
      </c>
      <c r="L22" s="203"/>
      <c r="M22" s="380" t="s">
        <v>166</v>
      </c>
      <c r="N22" s="427">
        <v>5</v>
      </c>
      <c r="O22" s="203"/>
      <c r="P22" s="561" t="s">
        <v>21</v>
      </c>
      <c r="Q22" s="562"/>
      <c r="R22" s="562"/>
      <c r="S22" s="562"/>
      <c r="T22" s="562"/>
      <c r="U22" s="563"/>
      <c r="V22" s="203"/>
      <c r="W22" s="283" t="s">
        <v>572</v>
      </c>
      <c r="X22" s="284">
        <v>0.5</v>
      </c>
      <c r="Y22" s="409" t="s">
        <v>207</v>
      </c>
      <c r="Z22" s="429">
        <f>SUM(U13:U16)</f>
        <v>155857.14285714287</v>
      </c>
    </row>
    <row r="23" spans="1:27" x14ac:dyDescent="0.25">
      <c r="F23" s="203"/>
      <c r="G23" s="557"/>
      <c r="H23" s="220" t="s">
        <v>504</v>
      </c>
      <c r="I23" s="221">
        <f>SUMPRODUCT(Manufacturing!D13:D21,Manufacturing!F13:F21)</f>
        <v>33591</v>
      </c>
      <c r="J23" s="224">
        <v>10</v>
      </c>
      <c r="K23" s="223">
        <f t="shared" si="5"/>
        <v>3359.1</v>
      </c>
      <c r="L23" s="203"/>
      <c r="M23" s="380" t="s">
        <v>1028</v>
      </c>
      <c r="N23" s="484">
        <f>'2D Laser Cutting'!C24</f>
        <v>1.3682624139038356E-4</v>
      </c>
      <c r="O23" s="203"/>
      <c r="P23" s="379" t="s">
        <v>175</v>
      </c>
      <c r="Q23" s="215" t="s">
        <v>156</v>
      </c>
      <c r="R23" s="215"/>
      <c r="S23" s="210">
        <f>Welding!D4+Welding!D5</f>
        <v>7129.6939999999995</v>
      </c>
      <c r="T23" s="215">
        <v>10</v>
      </c>
      <c r="U23" s="216">
        <f>S23/T23</f>
        <v>712.96939999999995</v>
      </c>
      <c r="V23" s="203"/>
      <c r="W23" s="283" t="s">
        <v>574</v>
      </c>
      <c r="X23" s="284">
        <v>0.25</v>
      </c>
      <c r="Y23" s="410" t="s">
        <v>208</v>
      </c>
      <c r="Z23" s="286">
        <f>Z22/(N14*D9*D10)+K35</f>
        <v>139.71255511781666</v>
      </c>
    </row>
    <row r="24" spans="1:27" ht="15.75" thickBot="1" x14ac:dyDescent="0.3">
      <c r="F24" s="203"/>
      <c r="G24" s="558"/>
      <c r="H24" s="258" t="s">
        <v>324</v>
      </c>
      <c r="I24" s="228">
        <f>SUMPRODUCT(Manufacturing!D22,Manufacturing!F22)</f>
        <v>2580</v>
      </c>
      <c r="J24" s="243">
        <v>10</v>
      </c>
      <c r="K24" s="230">
        <f t="shared" si="5"/>
        <v>258</v>
      </c>
      <c r="L24" s="203"/>
      <c r="M24" s="380" t="s">
        <v>338</v>
      </c>
      <c r="N24" s="485">
        <v>2</v>
      </c>
      <c r="O24" s="203"/>
      <c r="P24" s="251" t="s">
        <v>31</v>
      </c>
      <c r="Q24" s="224" t="s">
        <v>156</v>
      </c>
      <c r="R24" s="224"/>
      <c r="S24" s="221">
        <f>Welding!D6</f>
        <v>3546.576</v>
      </c>
      <c r="T24" s="224">
        <v>10</v>
      </c>
      <c r="U24" s="225">
        <f t="shared" ref="U24:U28" si="6">S24/T24</f>
        <v>354.6576</v>
      </c>
      <c r="V24" s="203"/>
      <c r="W24" s="283"/>
      <c r="X24" s="284"/>
      <c r="Y24" s="410" t="s">
        <v>565</v>
      </c>
      <c r="Z24" s="407">
        <f>Z23+S17</f>
        <v>140.16356311781666</v>
      </c>
    </row>
    <row r="25" spans="1:27" ht="15.75" thickBot="1" x14ac:dyDescent="0.3">
      <c r="F25" s="203"/>
      <c r="G25" s="242" t="s">
        <v>25</v>
      </c>
      <c r="H25" s="212" t="s">
        <v>145</v>
      </c>
      <c r="I25" s="259">
        <f>SUM(Metrology!E11:E14)</f>
        <v>2416.6666666666665</v>
      </c>
      <c r="J25" s="213">
        <v>10</v>
      </c>
      <c r="K25" s="214">
        <f t="shared" si="5"/>
        <v>241.66666666666666</v>
      </c>
      <c r="L25" s="203"/>
      <c r="M25" s="380" t="s">
        <v>339</v>
      </c>
      <c r="N25" s="485">
        <v>1</v>
      </c>
      <c r="O25" s="203"/>
      <c r="P25" s="251" t="s">
        <v>404</v>
      </c>
      <c r="Q25" s="224" t="s">
        <v>156</v>
      </c>
      <c r="R25" s="224"/>
      <c r="S25" s="221">
        <f>Welding!D7</f>
        <v>5220</v>
      </c>
      <c r="T25" s="224">
        <v>10</v>
      </c>
      <c r="U25" s="225">
        <f t="shared" si="6"/>
        <v>522</v>
      </c>
      <c r="V25" s="203"/>
      <c r="W25" s="585" t="s">
        <v>1051</v>
      </c>
      <c r="X25" s="586"/>
      <c r="Y25" s="583" t="s">
        <v>567</v>
      </c>
      <c r="Z25" s="584"/>
    </row>
    <row r="26" spans="1:27" x14ac:dyDescent="0.25">
      <c r="F26" s="203"/>
      <c r="G26" s="247"/>
      <c r="H26" s="220" t="s">
        <v>144</v>
      </c>
      <c r="I26" s="260">
        <f>SUM(Metrology!E15:E16)</f>
        <v>1915</v>
      </c>
      <c r="J26" s="222">
        <v>10</v>
      </c>
      <c r="K26" s="223">
        <f t="shared" si="5"/>
        <v>191.5</v>
      </c>
      <c r="L26" s="203"/>
      <c r="M26" s="380" t="s">
        <v>1042</v>
      </c>
      <c r="N26" s="486">
        <f>'2D Laser Cutting'!E6/'2D Laser Cutting'!B43</f>
        <v>3.3407296895530032E-5</v>
      </c>
      <c r="O26" s="203"/>
      <c r="P26" s="251" t="s">
        <v>1046</v>
      </c>
      <c r="Q26" s="224" t="s">
        <v>156</v>
      </c>
      <c r="R26" s="224"/>
      <c r="S26" s="221">
        <f>SUM(Welding!D8:D9)</f>
        <v>1815.6</v>
      </c>
      <c r="T26" s="224">
        <v>5</v>
      </c>
      <c r="U26" s="225">
        <f t="shared" si="6"/>
        <v>363.12</v>
      </c>
      <c r="V26" s="203"/>
      <c r="W26" s="587"/>
      <c r="X26" s="588"/>
      <c r="Y26" s="410" t="s">
        <v>1012</v>
      </c>
      <c r="Z26" s="286">
        <f>('Manpower &amp; time'!H15+Summary!Z24)*N17/3600</f>
        <v>27.847427647646963</v>
      </c>
      <c r="AA26" s="289">
        <f>Summary!Z24*N17/3600</f>
        <v>23.866740053117116</v>
      </c>
    </row>
    <row r="27" spans="1:27" ht="15.75" thickBot="1" x14ac:dyDescent="0.3">
      <c r="F27" s="203"/>
      <c r="G27" s="247"/>
      <c r="H27" s="220" t="s">
        <v>143</v>
      </c>
      <c r="I27" s="260">
        <f>2*SUM(Metrology!E3:E7)</f>
        <v>998.33333333333348</v>
      </c>
      <c r="J27" s="222">
        <v>10</v>
      </c>
      <c r="K27" s="223">
        <f t="shared" si="5"/>
        <v>99.833333333333343</v>
      </c>
      <c r="L27" s="203"/>
      <c r="M27" s="473" t="s">
        <v>245</v>
      </c>
      <c r="N27" s="487">
        <v>8</v>
      </c>
      <c r="O27" s="203"/>
      <c r="P27" s="251" t="s">
        <v>1045</v>
      </c>
      <c r="Q27" s="224" t="s">
        <v>156</v>
      </c>
      <c r="R27" s="224"/>
      <c r="S27" s="221">
        <f>SUM(Welding!D10:D11)</f>
        <v>298.12</v>
      </c>
      <c r="T27" s="224">
        <v>5</v>
      </c>
      <c r="U27" s="225">
        <f t="shared" ref="U27" si="7">S27/T27</f>
        <v>59.624000000000002</v>
      </c>
      <c r="V27" s="203"/>
      <c r="W27" s="587"/>
      <c r="X27" s="588"/>
      <c r="Y27" s="410" t="s">
        <v>1011</v>
      </c>
      <c r="Z27" s="286">
        <f>('Manpower &amp; time'!H15+Summary!Z24)*N18/3600</f>
        <v>16.944682728502965</v>
      </c>
      <c r="AA27" s="289">
        <f>Summary!Z24*N18/3600</f>
        <v>14.522502511929337</v>
      </c>
    </row>
    <row r="28" spans="1:27" ht="15.75" thickBot="1" x14ac:dyDescent="0.3">
      <c r="F28" s="203"/>
      <c r="G28" s="247"/>
      <c r="H28" s="220" t="s">
        <v>28</v>
      </c>
      <c r="I28" s="221">
        <f>Metrology!E18</f>
        <v>48334.81</v>
      </c>
      <c r="J28" s="222">
        <v>10</v>
      </c>
      <c r="K28" s="223">
        <f t="shared" si="5"/>
        <v>4833.4809999999998</v>
      </c>
      <c r="L28" s="203"/>
      <c r="M28" s="559" t="s">
        <v>21</v>
      </c>
      <c r="N28" s="560"/>
      <c r="O28" s="203"/>
      <c r="P28" s="251" t="s">
        <v>19</v>
      </c>
      <c r="Q28" s="224" t="s">
        <v>156</v>
      </c>
      <c r="R28" s="224" t="s">
        <v>575</v>
      </c>
      <c r="S28" s="221">
        <f>0.05*(S23+S24)</f>
        <v>533.81350000000009</v>
      </c>
      <c r="T28" s="224">
        <v>1</v>
      </c>
      <c r="U28" s="225">
        <f t="shared" si="6"/>
        <v>533.81350000000009</v>
      </c>
      <c r="V28" s="203"/>
      <c r="W28" s="587"/>
      <c r="X28" s="588"/>
      <c r="Y28" s="410" t="s">
        <v>1013</v>
      </c>
      <c r="Z28" s="288">
        <f xml:space="preserve"> 0.5*(('Manpower &amp; time'!H15)*N18/3600/Z27 + ('Manpower &amp; time'!H15)*N17/3600/Z26)</f>
        <v>0.14294633044378185</v>
      </c>
    </row>
    <row r="29" spans="1:27" ht="15.75" thickBot="1" x14ac:dyDescent="0.3">
      <c r="F29" s="203"/>
      <c r="G29" s="247"/>
      <c r="H29" s="220" t="s">
        <v>146</v>
      </c>
      <c r="I29" s="260">
        <f>SUM(Metrology!E8:E10)</f>
        <v>3343.3333333333335</v>
      </c>
      <c r="J29" s="222">
        <v>10</v>
      </c>
      <c r="K29" s="223">
        <f t="shared" si="5"/>
        <v>334.33333333333337</v>
      </c>
      <c r="L29" s="203"/>
      <c r="M29" s="398" t="s">
        <v>189</v>
      </c>
      <c r="N29" s="425">
        <v>4.96</v>
      </c>
      <c r="O29" s="203"/>
      <c r="P29" s="251" t="s">
        <v>17</v>
      </c>
      <c r="Q29" s="224" t="s">
        <v>157</v>
      </c>
      <c r="R29" s="400" t="s">
        <v>194</v>
      </c>
      <c r="S29" s="232">
        <f xml:space="preserve"> N29*D14</f>
        <v>0.46604159999999994</v>
      </c>
      <c r="T29" s="224"/>
      <c r="U29" s="233"/>
      <c r="V29" s="203"/>
      <c r="W29" s="587"/>
      <c r="X29" s="588"/>
      <c r="Y29" s="583" t="s">
        <v>568</v>
      </c>
      <c r="Z29" s="584"/>
    </row>
    <row r="30" spans="1:27" x14ac:dyDescent="0.25">
      <c r="F30" s="203"/>
      <c r="G30" s="247"/>
      <c r="H30" s="220" t="s">
        <v>147</v>
      </c>
      <c r="I30" s="260">
        <f>2*Metrology!E17</f>
        <v>513.33333333333337</v>
      </c>
      <c r="J30" s="222">
        <v>10</v>
      </c>
      <c r="K30" s="223">
        <f t="shared" si="5"/>
        <v>51.333333333333336</v>
      </c>
      <c r="L30" s="203"/>
      <c r="M30" s="380" t="s">
        <v>165</v>
      </c>
      <c r="N30" s="426">
        <f>'Manpower &amp; time'!F33</f>
        <v>0.8</v>
      </c>
      <c r="O30" s="203"/>
      <c r="P30" s="251" t="s">
        <v>1047</v>
      </c>
      <c r="Q30" s="280" t="s">
        <v>157</v>
      </c>
      <c r="R30" s="280" t="s">
        <v>1048</v>
      </c>
      <c r="S30" s="221">
        <f>Welding!D27</f>
        <v>4.8930431243367174</v>
      </c>
      <c r="T30" s="224"/>
      <c r="U30" s="233"/>
      <c r="V30" s="203"/>
      <c r="W30" s="587"/>
      <c r="X30" s="588"/>
      <c r="Y30" s="410" t="s">
        <v>1014</v>
      </c>
      <c r="Z30" s="286">
        <f>('Manpower &amp; time'!H15+$K$35)*$N$16/60</f>
        <v>6.6113819157009255</v>
      </c>
    </row>
    <row r="31" spans="1:27" ht="15.75" thickBot="1" x14ac:dyDescent="0.3">
      <c r="F31" s="203"/>
      <c r="G31" s="257"/>
      <c r="H31" s="227" t="s">
        <v>325</v>
      </c>
      <c r="I31" s="228">
        <f>Metrology!E19</f>
        <v>5390</v>
      </c>
      <c r="J31" s="229">
        <v>10</v>
      </c>
      <c r="K31" s="230">
        <f t="shared" si="5"/>
        <v>539</v>
      </c>
      <c r="L31" s="203"/>
      <c r="M31" s="380" t="s">
        <v>166</v>
      </c>
      <c r="N31" s="427">
        <v>2</v>
      </c>
      <c r="O31" s="203"/>
      <c r="P31" s="378" t="s">
        <v>168</v>
      </c>
      <c r="Q31" s="243" t="s">
        <v>157</v>
      </c>
      <c r="R31" s="243" t="s">
        <v>1048</v>
      </c>
      <c r="S31" s="228">
        <f>Welding!D20</f>
        <v>14.354066985645932</v>
      </c>
      <c r="T31" s="243"/>
      <c r="U31" s="244"/>
      <c r="V31" s="203"/>
      <c r="W31" s="587"/>
      <c r="X31" s="588"/>
      <c r="Y31" s="410" t="s">
        <v>1015</v>
      </c>
      <c r="Z31" s="286">
        <f>('Manpower &amp; time'!H17+$K$35)*$N$16/60</f>
        <v>8.0381844448157747</v>
      </c>
    </row>
    <row r="32" spans="1:27" ht="15.75" thickBot="1" x14ac:dyDescent="0.3">
      <c r="F32" s="203"/>
      <c r="L32" s="203"/>
      <c r="M32" s="380" t="s">
        <v>304</v>
      </c>
      <c r="N32" s="488">
        <v>140.43083213990764</v>
      </c>
      <c r="O32" s="203"/>
      <c r="P32" s="561" t="s">
        <v>1062</v>
      </c>
      <c r="Q32" s="562"/>
      <c r="R32" s="562"/>
      <c r="S32" s="562"/>
      <c r="T32" s="562"/>
      <c r="U32" s="563"/>
      <c r="V32" s="203"/>
      <c r="W32" s="587"/>
      <c r="X32" s="588"/>
      <c r="Y32" s="410" t="s">
        <v>1016</v>
      </c>
      <c r="Z32" s="286">
        <f>('Manpower &amp; time'!H18+$K$35)*$N$16/60</f>
        <v>8.9758657055885767</v>
      </c>
    </row>
    <row r="33" spans="3:27" ht="15.75" thickBot="1" x14ac:dyDescent="0.3">
      <c r="F33" s="203"/>
      <c r="G33" s="261" t="s">
        <v>341</v>
      </c>
      <c r="H33" s="262"/>
      <c r="I33" s="262"/>
      <c r="J33" s="262"/>
      <c r="K33" s="263"/>
      <c r="L33" s="203"/>
      <c r="M33" s="380" t="s">
        <v>245</v>
      </c>
      <c r="N33" s="427">
        <v>2</v>
      </c>
      <c r="O33" s="203"/>
      <c r="P33" s="379" t="s">
        <v>305</v>
      </c>
      <c r="Q33" s="215" t="s">
        <v>156</v>
      </c>
      <c r="R33" s="215"/>
      <c r="S33" s="248">
        <f>'Conventional Machinery'!F3</f>
        <v>18000</v>
      </c>
      <c r="T33" s="215">
        <v>10</v>
      </c>
      <c r="U33" s="216">
        <f>S33/T33</f>
        <v>1800</v>
      </c>
      <c r="V33" s="203"/>
      <c r="W33" s="587"/>
      <c r="X33" s="588"/>
      <c r="Y33" s="410" t="s">
        <v>1018</v>
      </c>
      <c r="Z33" s="286">
        <f>('Manpower &amp; time'!H15+Z23)*N15/60</f>
        <v>13.590847148929999</v>
      </c>
    </row>
    <row r="34" spans="3:27" ht="15.75" thickBot="1" x14ac:dyDescent="0.3">
      <c r="F34" s="203"/>
      <c r="G34" s="264" t="s">
        <v>232</v>
      </c>
      <c r="H34" s="265" t="s">
        <v>318</v>
      </c>
      <c r="I34" s="265"/>
      <c r="J34" s="266"/>
      <c r="K34" s="214">
        <f>SUM(K4:K31)*1.05</f>
        <v>133974.31474345457</v>
      </c>
      <c r="L34" s="203"/>
      <c r="M34" s="462" t="s">
        <v>272</v>
      </c>
      <c r="N34" s="463"/>
      <c r="O34" s="203"/>
      <c r="P34" s="251" t="s">
        <v>310</v>
      </c>
      <c r="Q34" s="224" t="s">
        <v>156</v>
      </c>
      <c r="R34" s="224"/>
      <c r="S34" s="221">
        <f>'Conventional Machinery'!F4</f>
        <v>12000</v>
      </c>
      <c r="T34" s="224">
        <v>10</v>
      </c>
      <c r="U34" s="225">
        <f>S34/T34</f>
        <v>1200</v>
      </c>
      <c r="V34" s="203"/>
      <c r="W34" s="561" t="s">
        <v>1017</v>
      </c>
      <c r="X34" s="562"/>
      <c r="Y34" s="562"/>
      <c r="Z34" s="563"/>
    </row>
    <row r="35" spans="3:27" ht="15.75" thickBot="1" x14ac:dyDescent="0.3">
      <c r="F35" s="203"/>
      <c r="G35" s="267"/>
      <c r="H35" s="268" t="s">
        <v>199</v>
      </c>
      <c r="I35" s="268"/>
      <c r="J35" s="269"/>
      <c r="K35" s="230">
        <f>K34/SUM('Manpower &amp; time'!C34:J34)</f>
        <v>16.290680824862225</v>
      </c>
      <c r="L35" s="203"/>
      <c r="M35" s="398" t="s">
        <v>189</v>
      </c>
      <c r="N35" s="425">
        <v>6</v>
      </c>
      <c r="O35" s="203"/>
      <c r="P35" s="251" t="s">
        <v>316</v>
      </c>
      <c r="Q35" s="224" t="s">
        <v>156</v>
      </c>
      <c r="R35" s="224"/>
      <c r="S35" s="221">
        <f>(S6+S5+S14+S15)*0.25</f>
        <v>28073.5</v>
      </c>
      <c r="T35" s="224">
        <v>5</v>
      </c>
      <c r="U35" s="225">
        <f t="shared" ref="U35:U36" si="8">S35/T35</f>
        <v>5614.7</v>
      </c>
      <c r="V35" s="203"/>
      <c r="W35" s="411" t="s">
        <v>1009</v>
      </c>
      <c r="X35" s="295"/>
      <c r="Y35" s="578" t="s">
        <v>566</v>
      </c>
      <c r="Z35" s="579"/>
    </row>
    <row r="36" spans="3:27" x14ac:dyDescent="0.25">
      <c r="F36" s="203"/>
      <c r="G36" s="270" t="s">
        <v>233</v>
      </c>
      <c r="H36" s="266" t="s">
        <v>234</v>
      </c>
      <c r="I36" s="271"/>
      <c r="J36" s="271"/>
      <c r="K36" s="272">
        <f>'Manpower &amp; time'!H15</f>
        <v>23.377610669343323</v>
      </c>
      <c r="L36" s="203"/>
      <c r="M36" s="380" t="s">
        <v>165</v>
      </c>
      <c r="N36" s="426">
        <v>0.44</v>
      </c>
      <c r="O36" s="203"/>
      <c r="P36" s="251" t="s">
        <v>19</v>
      </c>
      <c r="Q36" s="224" t="s">
        <v>156</v>
      </c>
      <c r="R36" s="224" t="s">
        <v>311</v>
      </c>
      <c r="S36" s="236">
        <f>0.03*(S34+S33)</f>
        <v>900</v>
      </c>
      <c r="T36" s="224">
        <v>1</v>
      </c>
      <c r="U36" s="225">
        <f t="shared" si="8"/>
        <v>900</v>
      </c>
      <c r="V36" s="203"/>
      <c r="W36" s="283" t="s">
        <v>572</v>
      </c>
      <c r="X36" s="458">
        <f>'2D Laser Cutting'!C24/'2D Laser Cutting'!C34</f>
        <v>0.42230953421113404</v>
      </c>
      <c r="Y36" s="409" t="s">
        <v>207</v>
      </c>
      <c r="Z36" s="429">
        <f>SUM(U19:U21)</f>
        <v>18108.959920503479</v>
      </c>
    </row>
    <row r="37" spans="3:27" x14ac:dyDescent="0.25">
      <c r="F37" s="203"/>
      <c r="G37" s="273"/>
      <c r="H37" s="274" t="s">
        <v>313</v>
      </c>
      <c r="I37" s="279"/>
      <c r="J37" s="279"/>
      <c r="K37" s="275">
        <f>'Manpower &amp; time'!H16</f>
        <v>27.833386126069051</v>
      </c>
      <c r="L37" s="203"/>
      <c r="M37" s="380" t="s">
        <v>166</v>
      </c>
      <c r="N37" s="427">
        <v>5</v>
      </c>
      <c r="O37" s="203"/>
      <c r="P37" s="251" t="s">
        <v>17</v>
      </c>
      <c r="Q37" s="224" t="s">
        <v>157</v>
      </c>
      <c r="R37" s="400" t="s">
        <v>194</v>
      </c>
      <c r="S37" s="232">
        <f>N35*N36*D14</f>
        <v>0.24805439999999998</v>
      </c>
      <c r="T37" s="224"/>
      <c r="U37" s="233"/>
      <c r="V37" s="203"/>
      <c r="W37" s="283"/>
      <c r="X37" s="284"/>
      <c r="Y37" s="410" t="s">
        <v>208</v>
      </c>
      <c r="Z37" s="286">
        <f>Z36/(N21*D9*D10)+K35</f>
        <v>32.679621428965106</v>
      </c>
    </row>
    <row r="38" spans="3:27" ht="15.75" thickBot="1" x14ac:dyDescent="0.3">
      <c r="F38" s="203"/>
      <c r="G38" s="273"/>
      <c r="H38" s="274" t="s">
        <v>239</v>
      </c>
      <c r="I38" s="279"/>
      <c r="J38" s="279"/>
      <c r="K38" s="275">
        <f>'Manpower &amp; time'!H17</f>
        <v>31.938425844032427</v>
      </c>
      <c r="L38" s="203"/>
      <c r="M38" s="380" t="s">
        <v>321</v>
      </c>
      <c r="N38" s="484">
        <f>3*1/10000</f>
        <v>2.9999999999999997E-4</v>
      </c>
      <c r="O38" s="203"/>
      <c r="P38" s="378" t="s">
        <v>312</v>
      </c>
      <c r="Q38" s="243" t="s">
        <v>157</v>
      </c>
      <c r="R38" s="243" t="s">
        <v>194</v>
      </c>
      <c r="S38" s="281">
        <v>10</v>
      </c>
      <c r="T38" s="243"/>
      <c r="U38" s="244"/>
      <c r="V38" s="203"/>
      <c r="W38" s="283"/>
      <c r="X38" s="284"/>
      <c r="Y38" s="410" t="s">
        <v>565</v>
      </c>
      <c r="Z38" s="407">
        <f>Z37+S21</f>
        <v>33.172911428965108</v>
      </c>
    </row>
    <row r="39" spans="3:27" ht="15.75" thickBot="1" x14ac:dyDescent="0.3">
      <c r="F39" s="203"/>
      <c r="G39" s="276"/>
      <c r="H39" s="269" t="s">
        <v>235</v>
      </c>
      <c r="I39" s="277"/>
      <c r="J39" s="277"/>
      <c r="K39" s="278">
        <f>'Manpower &amp; time'!H18</f>
        <v>37.564513408669242</v>
      </c>
      <c r="L39" s="203"/>
      <c r="M39" s="500" t="s">
        <v>179</v>
      </c>
      <c r="N39" s="501">
        <v>10</v>
      </c>
      <c r="O39" s="203"/>
      <c r="P39" s="559" t="s">
        <v>1064</v>
      </c>
      <c r="Q39" s="596"/>
      <c r="R39" s="596"/>
      <c r="S39" s="596"/>
      <c r="T39" s="596"/>
      <c r="U39" s="560"/>
      <c r="V39" s="203"/>
      <c r="W39" s="585" t="s">
        <v>1052</v>
      </c>
      <c r="X39" s="586"/>
      <c r="Y39" s="583" t="s">
        <v>567</v>
      </c>
      <c r="Z39" s="584"/>
    </row>
    <row r="40" spans="3:27" ht="15.75" thickBot="1" x14ac:dyDescent="0.3">
      <c r="L40" s="203"/>
      <c r="M40" s="462" t="s">
        <v>1064</v>
      </c>
      <c r="N40" s="463"/>
      <c r="O40" s="203"/>
      <c r="P40" s="118" t="s">
        <v>472</v>
      </c>
      <c r="Q40" s="215" t="s">
        <v>156</v>
      </c>
      <c r="R40" s="215"/>
      <c r="S40" s="248">
        <f>'Body Manufacturing'!E16</f>
        <v>300000</v>
      </c>
      <c r="T40" s="215">
        <v>10</v>
      </c>
      <c r="U40" s="216">
        <f>S40/T40</f>
        <v>30000</v>
      </c>
      <c r="V40" s="203"/>
      <c r="W40" s="587"/>
      <c r="X40" s="588"/>
      <c r="Y40" s="410" t="s">
        <v>1149</v>
      </c>
      <c r="Z40" s="286">
        <f>('Manpower &amp; time'!H15+Summary!Z38)*N23/60</f>
        <v>1.2895992312292283E-4</v>
      </c>
      <c r="AA40" s="289">
        <f>Z40*5779</f>
        <v>0.74525939572737099</v>
      </c>
    </row>
    <row r="41" spans="3:27" x14ac:dyDescent="0.25">
      <c r="L41" s="203"/>
      <c r="M41" s="398" t="s">
        <v>189</v>
      </c>
      <c r="N41" s="425">
        <v>22.4</v>
      </c>
      <c r="O41" s="203"/>
      <c r="P41" s="17" t="s">
        <v>473</v>
      </c>
      <c r="Q41" s="224" t="s">
        <v>156</v>
      </c>
      <c r="R41" s="224"/>
      <c r="S41" s="221">
        <f>'Body Manufacturing'!E17</f>
        <v>30810</v>
      </c>
      <c r="T41" s="224">
        <v>10</v>
      </c>
      <c r="U41" s="225">
        <f>S41/T41</f>
        <v>3081</v>
      </c>
      <c r="V41" s="203"/>
      <c r="W41" s="587"/>
      <c r="X41" s="588"/>
      <c r="Y41" s="410" t="s">
        <v>1150</v>
      </c>
      <c r="Z41" s="471">
        <f>N26</f>
        <v>3.3407296895530032E-5</v>
      </c>
      <c r="AA41" s="542">
        <f>5779*Z41</f>
        <v>0.19306076875926806</v>
      </c>
    </row>
    <row r="42" spans="3:27" ht="15.75" thickBot="1" x14ac:dyDescent="0.3">
      <c r="L42" s="203"/>
      <c r="M42" s="500" t="s">
        <v>165</v>
      </c>
      <c r="N42" s="502">
        <f>'Manpower &amp; time'!G33</f>
        <v>0.45</v>
      </c>
      <c r="O42" s="203"/>
      <c r="P42" s="17" t="s">
        <v>476</v>
      </c>
      <c r="Q42" s="224" t="s">
        <v>156</v>
      </c>
      <c r="R42" s="224"/>
      <c r="S42" s="221">
        <f>'Body Manufacturing'!E18</f>
        <v>6990</v>
      </c>
      <c r="T42" s="224">
        <v>5</v>
      </c>
      <c r="U42" s="225">
        <f t="shared" ref="U42:U44" si="9">S42/T42</f>
        <v>1398</v>
      </c>
      <c r="V42" s="203"/>
      <c r="W42" s="587"/>
      <c r="X42" s="588"/>
      <c r="Y42" s="410" t="s">
        <v>1013</v>
      </c>
      <c r="Z42" s="288">
        <f xml:space="preserve"> ('Manpower &amp; time'!H15)*N23/60/Z40</f>
        <v>0.41339336582433789</v>
      </c>
    </row>
    <row r="43" spans="3:27" ht="15.75" thickBot="1" x14ac:dyDescent="0.3">
      <c r="O43" s="203"/>
      <c r="P43" s="251" t="s">
        <v>1065</v>
      </c>
      <c r="Q43" s="224" t="s">
        <v>156</v>
      </c>
      <c r="R43" s="224"/>
      <c r="S43" s="221">
        <f>SUM('Body Manufacturing'!E4:E12)</f>
        <v>5344.2000000000007</v>
      </c>
      <c r="T43" s="224">
        <v>5</v>
      </c>
      <c r="U43" s="225">
        <f t="shared" si="9"/>
        <v>1068.8400000000001</v>
      </c>
      <c r="V43" s="203"/>
      <c r="W43" s="587"/>
      <c r="X43" s="588"/>
      <c r="Y43" s="583" t="s">
        <v>568</v>
      </c>
      <c r="Z43" s="584"/>
    </row>
    <row r="44" spans="3:27" x14ac:dyDescent="0.25">
      <c r="O44" s="203"/>
      <c r="P44" s="251" t="s">
        <v>19</v>
      </c>
      <c r="Q44" s="224" t="s">
        <v>156</v>
      </c>
      <c r="R44" s="224" t="s">
        <v>1066</v>
      </c>
      <c r="S44" s="236">
        <f>0.05*(S40+S41)</f>
        <v>16540.5</v>
      </c>
      <c r="T44" s="224">
        <v>1</v>
      </c>
      <c r="U44" s="225">
        <f t="shared" si="9"/>
        <v>16540.5</v>
      </c>
      <c r="V44" s="203"/>
      <c r="W44" s="587"/>
      <c r="X44" s="588"/>
      <c r="Y44" s="410" t="s">
        <v>1139</v>
      </c>
      <c r="Z44" s="286">
        <f>('Manpower &amp; time'!H15+$K$35)*$N$24/60</f>
        <v>1.3222763831401849</v>
      </c>
      <c r="AA44" s="292"/>
    </row>
    <row r="45" spans="3:27" x14ac:dyDescent="0.25">
      <c r="O45" s="203"/>
      <c r="P45" s="251" t="s">
        <v>17</v>
      </c>
      <c r="Q45" s="224" t="s">
        <v>157</v>
      </c>
      <c r="R45" s="224" t="s">
        <v>194</v>
      </c>
      <c r="S45" s="232">
        <f>N41*N42*D14</f>
        <v>0.94711679999999987</v>
      </c>
      <c r="T45" s="224"/>
      <c r="U45" s="233"/>
      <c r="V45" s="203"/>
      <c r="W45" s="587"/>
      <c r="X45" s="588"/>
      <c r="Y45" s="410" t="s">
        <v>1140</v>
      </c>
      <c r="Z45" s="286">
        <f>('Manpower &amp; time'!H17+$K$35)*$N$24/60</f>
        <v>1.6076368889631552</v>
      </c>
    </row>
    <row r="46" spans="3:27" x14ac:dyDescent="0.25">
      <c r="C46" s="38"/>
      <c r="M46" s="503"/>
      <c r="N46" s="503"/>
      <c r="O46" s="503"/>
      <c r="P46" s="17" t="s">
        <v>479</v>
      </c>
      <c r="Q46" s="224" t="s">
        <v>157</v>
      </c>
      <c r="R46" s="224" t="s">
        <v>1068</v>
      </c>
      <c r="S46" s="221">
        <f>'Body Manufacturing'!E24</f>
        <v>29.951999999999998</v>
      </c>
      <c r="T46" s="224"/>
      <c r="U46" s="233"/>
      <c r="V46" s="203"/>
      <c r="W46" s="587"/>
      <c r="X46" s="588"/>
      <c r="Y46" s="410" t="s">
        <v>1141</v>
      </c>
      <c r="Z46" s="286">
        <f>('Manpower &amp; time'!H18+$K$35)*$N$24/60</f>
        <v>1.7951731411177154</v>
      </c>
    </row>
    <row r="47" spans="3:27" ht="15.75" thickBot="1" x14ac:dyDescent="0.3">
      <c r="C47" s="38"/>
      <c r="M47" s="503"/>
      <c r="N47" s="503"/>
      <c r="O47" s="504"/>
      <c r="P47" s="19" t="s">
        <v>480</v>
      </c>
      <c r="Q47" s="243" t="s">
        <v>157</v>
      </c>
      <c r="R47" s="243" t="s">
        <v>1068</v>
      </c>
      <c r="S47" s="228" t="e">
        <f>'Body Manufacturing'!#REF!</f>
        <v>#REF!</v>
      </c>
      <c r="T47" s="243"/>
      <c r="U47" s="244"/>
      <c r="V47" s="203"/>
      <c r="W47" s="590"/>
      <c r="X47" s="591"/>
      <c r="Y47" s="472" t="s">
        <v>1018</v>
      </c>
      <c r="Z47" s="549">
        <f>('Manpower &amp; time'!H15+Z37)*(N27+N22)/60</f>
        <v>12.145733621300161</v>
      </c>
    </row>
    <row r="48" spans="3:27" ht="15.75" thickBot="1" x14ac:dyDescent="0.3">
      <c r="C48" s="38"/>
      <c r="M48" s="503"/>
      <c r="N48" s="503"/>
      <c r="O48" s="503"/>
      <c r="V48" s="203"/>
      <c r="W48" s="561" t="s">
        <v>1055</v>
      </c>
      <c r="X48" s="562"/>
      <c r="Y48" s="562"/>
      <c r="Z48" s="563"/>
    </row>
    <row r="49" spans="3:27" ht="15.75" customHeight="1" x14ac:dyDescent="0.25">
      <c r="C49" s="38"/>
      <c r="M49" s="466"/>
      <c r="N49" s="505"/>
      <c r="O49" s="503"/>
      <c r="V49" s="203"/>
      <c r="W49" s="585" t="s">
        <v>1082</v>
      </c>
      <c r="X49" s="586"/>
      <c r="Y49" s="490" t="s">
        <v>207</v>
      </c>
      <c r="Z49" s="489">
        <f>SUM(U23:U28)</f>
        <v>2546.1844999999998</v>
      </c>
    </row>
    <row r="50" spans="3:27" x14ac:dyDescent="0.25">
      <c r="C50" s="38"/>
      <c r="M50" s="466"/>
      <c r="N50" s="506"/>
      <c r="O50" s="503"/>
      <c r="V50" s="203"/>
      <c r="W50" s="587"/>
      <c r="X50" s="588"/>
      <c r="Y50" s="491" t="s">
        <v>208</v>
      </c>
      <c r="Z50" s="408">
        <f>Z49/(N30*D10*D9)+K35</f>
        <v>18.306981505888515</v>
      </c>
    </row>
    <row r="51" spans="3:27" ht="15.75" thickBot="1" x14ac:dyDescent="0.3">
      <c r="M51" s="466"/>
      <c r="N51" s="505"/>
      <c r="O51" s="503"/>
      <c r="V51" s="203"/>
      <c r="W51" s="587"/>
      <c r="X51" s="588"/>
      <c r="Y51" s="492" t="s">
        <v>565</v>
      </c>
      <c r="Z51" s="408">
        <f>Z50+S29</f>
        <v>18.773023105888516</v>
      </c>
      <c r="AA51" s="289">
        <f>'Frame tubes'!F9*Summary!Z51*N32/60</f>
        <v>0</v>
      </c>
    </row>
    <row r="52" spans="3:27" ht="15.75" thickBot="1" x14ac:dyDescent="0.3">
      <c r="M52" s="503"/>
      <c r="N52" s="503"/>
      <c r="O52" s="503"/>
      <c r="V52" s="203"/>
      <c r="W52" s="587"/>
      <c r="X52" s="588"/>
      <c r="Y52" s="595" t="s">
        <v>567</v>
      </c>
      <c r="Z52" s="584"/>
    </row>
    <row r="53" spans="3:27" x14ac:dyDescent="0.25">
      <c r="M53" s="503"/>
      <c r="N53" s="503"/>
      <c r="O53" s="503"/>
      <c r="V53" s="203"/>
      <c r="W53" s="587"/>
      <c r="X53" s="588"/>
      <c r="Y53" s="491" t="s">
        <v>1080</v>
      </c>
      <c r="Z53" s="495">
        <f>S30</f>
        <v>4.8930431243367174</v>
      </c>
      <c r="AA53" s="292">
        <f>'Frame tubes'!F$9*Summary!Z53</f>
        <v>0</v>
      </c>
    </row>
    <row r="54" spans="3:27" x14ac:dyDescent="0.25">
      <c r="M54" s="503"/>
      <c r="N54" s="503"/>
      <c r="O54" s="503"/>
      <c r="V54" s="203"/>
      <c r="W54" s="587"/>
      <c r="X54" s="588"/>
      <c r="Y54" s="491" t="s">
        <v>1081</v>
      </c>
      <c r="Z54" s="498">
        <f>S31</f>
        <v>14.354066985645932</v>
      </c>
      <c r="AA54" s="292">
        <f>'Frame tubes'!F$9*Summary!Z54</f>
        <v>0</v>
      </c>
    </row>
    <row r="55" spans="3:27" ht="15.75" thickBot="1" x14ac:dyDescent="0.3">
      <c r="V55" s="203"/>
      <c r="W55" s="587"/>
      <c r="X55" s="588"/>
      <c r="Y55" s="491" t="s">
        <v>1054</v>
      </c>
      <c r="Z55" s="498">
        <f>Welding!D32</f>
        <v>6680.0126702565722</v>
      </c>
      <c r="AA55" s="292"/>
    </row>
    <row r="56" spans="3:27" ht="15.75" thickBot="1" x14ac:dyDescent="0.3">
      <c r="V56" s="203"/>
      <c r="W56" s="561" t="s">
        <v>1056</v>
      </c>
      <c r="X56" s="562"/>
      <c r="Y56" s="562"/>
      <c r="Z56" s="563"/>
    </row>
    <row r="57" spans="3:27" x14ac:dyDescent="0.25">
      <c r="K57" s="282"/>
      <c r="V57" s="203"/>
      <c r="W57" s="585" t="s">
        <v>1060</v>
      </c>
      <c r="X57" s="586"/>
      <c r="Y57" s="490" t="s">
        <v>207</v>
      </c>
      <c r="Z57" s="489">
        <f>SUM(U23:U28)</f>
        <v>2546.1844999999998</v>
      </c>
    </row>
    <row r="58" spans="3:27" x14ac:dyDescent="0.25">
      <c r="K58" s="282"/>
      <c r="V58" s="203"/>
      <c r="W58" s="587"/>
      <c r="X58" s="588"/>
      <c r="Y58" s="491" t="s">
        <v>208</v>
      </c>
      <c r="Z58" s="408">
        <f>Z49/(N30*D10*D9)+K35</f>
        <v>18.306981505888515</v>
      </c>
    </row>
    <row r="59" spans="3:27" ht="15" customHeight="1" thickBot="1" x14ac:dyDescent="0.3">
      <c r="J59" s="285"/>
      <c r="K59" s="282"/>
      <c r="V59" s="203"/>
      <c r="W59" s="587"/>
      <c r="X59" s="588"/>
      <c r="Y59" s="492" t="s">
        <v>565</v>
      </c>
      <c r="Z59" s="408">
        <f>Z50+S29</f>
        <v>18.773023105888516</v>
      </c>
    </row>
    <row r="60" spans="3:27" ht="15.75" thickBot="1" x14ac:dyDescent="0.3">
      <c r="J60" s="287"/>
      <c r="K60" s="282"/>
      <c r="V60" s="203"/>
      <c r="W60" s="587"/>
      <c r="X60" s="588"/>
      <c r="Y60" s="493" t="s">
        <v>567</v>
      </c>
      <c r="Z60" s="465"/>
    </row>
    <row r="61" spans="3:27" x14ac:dyDescent="0.25">
      <c r="J61" s="289"/>
      <c r="K61" s="282"/>
      <c r="V61" s="203"/>
      <c r="W61" s="587"/>
      <c r="X61" s="588"/>
      <c r="Y61" s="491" t="s">
        <v>1079</v>
      </c>
      <c r="Z61" s="495">
        <f>S30+S31</f>
        <v>19.24711010998265</v>
      </c>
      <c r="AA61" s="292">
        <f>Z61*3.628</f>
        <v>69.828515479017057</v>
      </c>
    </row>
    <row r="62" spans="3:27" x14ac:dyDescent="0.25">
      <c r="V62" s="203"/>
      <c r="W62" s="587"/>
      <c r="X62" s="588"/>
      <c r="Y62" s="491" t="s">
        <v>1057</v>
      </c>
      <c r="Z62" s="498">
        <f>(2*'Manpower &amp; time'!H16+Z59)*N32/60</f>
        <v>174.22737344086852</v>
      </c>
      <c r="AA62" s="292">
        <f>Z62*3.628/2</f>
        <v>316.04845542173553</v>
      </c>
    </row>
    <row r="63" spans="3:27" ht="15.75" thickBot="1" x14ac:dyDescent="0.3">
      <c r="K63" s="290"/>
      <c r="V63" s="203"/>
      <c r="W63" s="587"/>
      <c r="X63" s="588"/>
      <c r="Y63" s="410" t="s">
        <v>1013</v>
      </c>
      <c r="Z63" s="288">
        <f xml:space="preserve"> 2*'Manpower &amp; time'!H16*N32/60/Z62</f>
        <v>0.74780931334378964</v>
      </c>
      <c r="AA63" s="334"/>
    </row>
    <row r="64" spans="3:27" ht="15.75" thickBot="1" x14ac:dyDescent="0.3">
      <c r="K64" s="291"/>
      <c r="V64" s="203"/>
      <c r="W64" s="587"/>
      <c r="X64" s="588"/>
      <c r="Y64" s="464" t="s">
        <v>1059</v>
      </c>
      <c r="Z64" s="465"/>
    </row>
    <row r="65" spans="7:40" x14ac:dyDescent="0.25">
      <c r="K65" s="291"/>
      <c r="V65" s="203"/>
      <c r="W65" s="587"/>
      <c r="X65" s="588"/>
      <c r="Y65" s="410" t="s">
        <v>1053</v>
      </c>
      <c r="Z65" s="497">
        <f>('Manpower &amp; time'!H18)</f>
        <v>37.564513408669242</v>
      </c>
    </row>
    <row r="66" spans="7:40" x14ac:dyDescent="0.25">
      <c r="K66" s="291"/>
      <c r="V66" s="203"/>
      <c r="W66" s="587"/>
      <c r="X66" s="588"/>
      <c r="Y66" s="410" t="s">
        <v>1061</v>
      </c>
      <c r="Z66" s="497">
        <f>('Manpower &amp; time'!H17/60)</f>
        <v>0.5323070974005405</v>
      </c>
    </row>
    <row r="67" spans="7:40" ht="15.75" thickBot="1" x14ac:dyDescent="0.3">
      <c r="K67" s="292"/>
      <c r="V67" s="203"/>
      <c r="W67" s="590"/>
      <c r="X67" s="591"/>
      <c r="Y67" s="410" t="s">
        <v>1058</v>
      </c>
      <c r="Z67" s="497">
        <f>('Manpower &amp; time'!H16)/60</f>
        <v>0.46388976876781751</v>
      </c>
    </row>
    <row r="68" spans="7:40" ht="15.75" thickBot="1" x14ac:dyDescent="0.3">
      <c r="V68" s="203"/>
      <c r="W68" s="561" t="s">
        <v>1049</v>
      </c>
      <c r="X68" s="562"/>
      <c r="Y68" s="562"/>
      <c r="Z68" s="563"/>
    </row>
    <row r="69" spans="7:40" x14ac:dyDescent="0.25">
      <c r="V69" s="203"/>
      <c r="W69" s="585" t="s">
        <v>1063</v>
      </c>
      <c r="X69" s="599"/>
      <c r="Y69" s="499" t="s">
        <v>207</v>
      </c>
      <c r="Z69" s="521">
        <f>SUM(U33:U36)</f>
        <v>9514.7000000000007</v>
      </c>
    </row>
    <row r="70" spans="7:40" x14ac:dyDescent="0.25">
      <c r="V70" s="203"/>
      <c r="W70" s="600"/>
      <c r="X70" s="601"/>
      <c r="Y70" s="491" t="s">
        <v>208</v>
      </c>
      <c r="Z70" s="286">
        <f>Z69/(N36*D10*D9)+K35</f>
        <v>29.989963803524361</v>
      </c>
    </row>
    <row r="71" spans="7:40" ht="15.75" thickBot="1" x14ac:dyDescent="0.3">
      <c r="K71" s="291"/>
      <c r="V71" s="203"/>
      <c r="W71" s="600"/>
      <c r="X71" s="601"/>
      <c r="Y71" s="491" t="s">
        <v>209</v>
      </c>
      <c r="Z71" s="286">
        <f>Z70+SUM(S37:S38)</f>
        <v>40.238018203524362</v>
      </c>
    </row>
    <row r="72" spans="7:40" ht="15.75" thickBot="1" x14ac:dyDescent="0.3">
      <c r="V72" s="203"/>
      <c r="W72" s="600"/>
      <c r="X72" s="601"/>
      <c r="Y72" s="595" t="s">
        <v>567</v>
      </c>
      <c r="Z72" s="584"/>
    </row>
    <row r="73" spans="7:40" x14ac:dyDescent="0.25">
      <c r="G73" s="293"/>
      <c r="V73" s="203"/>
      <c r="W73" s="600"/>
      <c r="X73" s="601"/>
      <c r="Y73" s="491" t="s">
        <v>195</v>
      </c>
      <c r="Z73" s="286">
        <f>(K35+'Manpower &amp; time'!H15)*N38/60</f>
        <v>1.9834145747102771E-4</v>
      </c>
    </row>
    <row r="74" spans="7:40" ht="15.75" thickBot="1" x14ac:dyDescent="0.3">
      <c r="V74" s="203"/>
      <c r="W74" s="602"/>
      <c r="X74" s="603"/>
      <c r="Y74" s="494" t="s">
        <v>206</v>
      </c>
      <c r="Z74" s="405">
        <f>('Manpower &amp; time'!H15+Z70)*N39/60</f>
        <v>8.8945957454779467</v>
      </c>
    </row>
    <row r="75" spans="7:40" ht="15.75" thickBot="1" x14ac:dyDescent="0.3">
      <c r="V75" s="203"/>
      <c r="W75" s="561" t="s">
        <v>1064</v>
      </c>
      <c r="X75" s="562"/>
      <c r="Y75" s="562"/>
      <c r="Z75" s="563"/>
    </row>
    <row r="76" spans="7:40" ht="15" customHeight="1" x14ac:dyDescent="0.25">
      <c r="V76" s="203"/>
      <c r="W76" s="585" t="s">
        <v>1070</v>
      </c>
      <c r="X76" s="586"/>
      <c r="Y76" s="398" t="s">
        <v>207</v>
      </c>
      <c r="Z76" s="507">
        <f>SUM(U40:U47)</f>
        <v>52088.34</v>
      </c>
    </row>
    <row r="77" spans="7:40" x14ac:dyDescent="0.25">
      <c r="V77" s="203"/>
      <c r="W77" s="587"/>
      <c r="X77" s="588"/>
      <c r="Y77" s="380" t="s">
        <v>208</v>
      </c>
      <c r="Z77" s="408">
        <f>Z76/(N42*D9*D10)+K35</f>
        <v>89.620973296618104</v>
      </c>
    </row>
    <row r="78" spans="7:40" ht="15.75" thickBot="1" x14ac:dyDescent="0.3">
      <c r="V78" s="203"/>
      <c r="W78" s="587"/>
      <c r="X78" s="588"/>
      <c r="Y78" s="410" t="s">
        <v>565</v>
      </c>
      <c r="Z78" s="408">
        <f>Z77+S45</f>
        <v>90.568090096618107</v>
      </c>
      <c r="AA78" s="289"/>
    </row>
    <row r="79" spans="7:40" ht="15.75" thickBot="1" x14ac:dyDescent="0.3">
      <c r="V79" s="203"/>
      <c r="W79" s="587"/>
      <c r="X79" s="588"/>
      <c r="Y79" s="597" t="s">
        <v>1069</v>
      </c>
      <c r="Z79" s="598"/>
    </row>
    <row r="80" spans="7:40" x14ac:dyDescent="0.25">
      <c r="V80" s="203"/>
      <c r="W80" s="587"/>
      <c r="X80" s="588"/>
      <c r="Y80" s="398" t="s">
        <v>1120</v>
      </c>
      <c r="Z80" s="529">
        <f>8*('Manpower &amp; time'!H17+Z78)</f>
        <v>980.05212752520424</v>
      </c>
      <c r="AN80" s="296"/>
    </row>
    <row r="81" spans="19:40" x14ac:dyDescent="0.25">
      <c r="V81" s="203"/>
      <c r="W81" s="587"/>
      <c r="X81" s="588"/>
      <c r="Y81" s="380" t="s">
        <v>1117</v>
      </c>
      <c r="Z81" s="495">
        <f>'Manpower &amp; time'!H17</f>
        <v>31.938425844032427</v>
      </c>
      <c r="AA81" s="292"/>
    </row>
    <row r="82" spans="19:40" ht="15.75" thickBot="1" x14ac:dyDescent="0.3">
      <c r="V82" s="203"/>
      <c r="W82" s="590"/>
      <c r="X82" s="591"/>
      <c r="Y82" s="508" t="s">
        <v>1118</v>
      </c>
      <c r="Z82" s="496">
        <f>SUM('Body Manufacturing'!E24:E27)</f>
        <v>95.531999999999996</v>
      </c>
    </row>
    <row r="86" spans="19:40" x14ac:dyDescent="0.25">
      <c r="AN86" s="334"/>
    </row>
    <row r="96" spans="19:40" x14ac:dyDescent="0.25">
      <c r="S96" s="393"/>
      <c r="T96" s="394"/>
      <c r="U96" s="393"/>
      <c r="V96" s="393"/>
      <c r="W96" s="393"/>
      <c r="X96" s="393"/>
      <c r="Y96" s="393"/>
      <c r="Z96" s="392"/>
      <c r="AA96" s="393"/>
      <c r="AB96" s="393"/>
      <c r="AC96" s="393"/>
    </row>
    <row r="97" spans="19:29" x14ac:dyDescent="0.25">
      <c r="S97" s="393"/>
      <c r="T97" s="393"/>
      <c r="U97" s="393"/>
      <c r="V97" s="393"/>
      <c r="W97" s="393"/>
      <c r="X97" s="393"/>
      <c r="Y97" s="393"/>
      <c r="Z97" s="392"/>
      <c r="AA97" s="393"/>
      <c r="AB97" s="393"/>
      <c r="AC97" s="393"/>
    </row>
    <row r="98" spans="19:29" x14ac:dyDescent="0.25">
      <c r="S98" s="393"/>
      <c r="T98" s="393"/>
      <c r="U98" s="393"/>
      <c r="V98" s="393"/>
      <c r="W98" s="393"/>
      <c r="X98" s="393"/>
      <c r="Y98" s="393"/>
      <c r="Z98" s="392"/>
      <c r="AA98" s="393"/>
      <c r="AB98" s="393"/>
      <c r="AC98" s="393"/>
    </row>
    <row r="99" spans="19:29" x14ac:dyDescent="0.25">
      <c r="S99" s="393"/>
      <c r="T99" s="393"/>
      <c r="U99" s="393"/>
      <c r="V99" s="393"/>
      <c r="W99" s="393"/>
      <c r="X99" s="393"/>
      <c r="Y99" s="393"/>
      <c r="Z99" s="392"/>
      <c r="AA99" s="393"/>
      <c r="AB99" s="393"/>
      <c r="AC99" s="393"/>
    </row>
    <row r="100" spans="19:29" x14ac:dyDescent="0.25">
      <c r="S100" s="393"/>
      <c r="T100" s="393"/>
      <c r="U100" s="393"/>
      <c r="V100" s="393"/>
      <c r="W100" s="393"/>
      <c r="X100" s="393"/>
      <c r="Y100" s="393"/>
      <c r="Z100" s="392"/>
      <c r="AA100" s="393"/>
      <c r="AB100" s="393"/>
      <c r="AC100" s="393"/>
    </row>
    <row r="101" spans="19:29" x14ac:dyDescent="0.25">
      <c r="S101" s="393"/>
      <c r="T101" s="393"/>
      <c r="U101" s="393"/>
      <c r="V101" s="393"/>
      <c r="W101" s="393"/>
      <c r="X101" s="393"/>
      <c r="Y101" s="393"/>
      <c r="Z101" s="392"/>
      <c r="AA101" s="393"/>
      <c r="AB101" s="393"/>
      <c r="AC101" s="393"/>
    </row>
    <row r="102" spans="19:29" x14ac:dyDescent="0.25">
      <c r="S102" s="393"/>
      <c r="T102" s="395"/>
      <c r="U102" s="393"/>
      <c r="V102" s="393"/>
      <c r="W102" s="393"/>
      <c r="X102" s="393"/>
      <c r="Y102" s="393"/>
      <c r="Z102" s="392"/>
      <c r="AA102" s="393"/>
      <c r="AB102" s="393"/>
      <c r="AC102" s="393"/>
    </row>
    <row r="103" spans="19:29" x14ac:dyDescent="0.25">
      <c r="S103" s="393"/>
      <c r="T103" s="393"/>
      <c r="U103" s="393"/>
      <c r="AA103" s="393"/>
      <c r="AB103" s="393"/>
      <c r="AC103" s="393"/>
    </row>
    <row r="104" spans="19:29" x14ac:dyDescent="0.25">
      <c r="S104" s="393"/>
      <c r="T104" s="393"/>
      <c r="U104" s="393"/>
      <c r="AA104" s="393"/>
      <c r="AB104" s="393"/>
      <c r="AC104" s="393"/>
    </row>
    <row r="105" spans="19:29" x14ac:dyDescent="0.25">
      <c r="S105" s="393"/>
      <c r="T105" s="393"/>
      <c r="U105" s="393"/>
      <c r="AA105" s="393"/>
      <c r="AB105" s="393"/>
      <c r="AC105" s="393"/>
    </row>
    <row r="106" spans="19:29" x14ac:dyDescent="0.25">
      <c r="S106" s="393"/>
      <c r="T106" s="393"/>
      <c r="U106" s="393"/>
      <c r="AA106" s="393"/>
      <c r="AB106" s="393"/>
      <c r="AC106" s="393"/>
    </row>
    <row r="107" spans="19:29" x14ac:dyDescent="0.25">
      <c r="S107" s="393"/>
      <c r="T107" s="393"/>
      <c r="U107" s="393"/>
      <c r="AA107" s="393"/>
      <c r="AB107" s="393"/>
      <c r="AC107" s="393"/>
    </row>
    <row r="108" spans="19:29" x14ac:dyDescent="0.25">
      <c r="S108" s="393"/>
      <c r="T108" s="393"/>
      <c r="U108" s="393"/>
      <c r="AA108" s="393"/>
      <c r="AB108" s="393"/>
      <c r="AC108" s="393"/>
    </row>
    <row r="109" spans="19:29" x14ac:dyDescent="0.25">
      <c r="S109" s="393"/>
      <c r="T109" s="393"/>
      <c r="U109" s="393"/>
      <c r="AA109" s="393"/>
      <c r="AB109" s="393"/>
      <c r="AC109" s="393"/>
    </row>
    <row r="110" spans="19:29" x14ac:dyDescent="0.25">
      <c r="S110" s="393"/>
      <c r="T110" s="393"/>
      <c r="U110" s="393"/>
      <c r="AA110" s="393"/>
      <c r="AB110" s="393"/>
      <c r="AC110" s="393"/>
    </row>
    <row r="111" spans="19:29" x14ac:dyDescent="0.25">
      <c r="S111" s="393"/>
      <c r="T111" s="393"/>
      <c r="U111" s="393"/>
      <c r="AA111" s="393"/>
      <c r="AB111" s="393"/>
      <c r="AC111" s="393"/>
    </row>
    <row r="112" spans="19:29" x14ac:dyDescent="0.25">
      <c r="S112" s="393"/>
      <c r="T112" s="393"/>
      <c r="U112" s="393"/>
      <c r="AA112" s="393"/>
      <c r="AB112" s="393"/>
      <c r="AC112" s="393"/>
    </row>
    <row r="113" spans="19:29" x14ac:dyDescent="0.25">
      <c r="S113" s="393"/>
      <c r="T113" s="393"/>
      <c r="U113" s="393"/>
      <c r="AA113" s="393"/>
      <c r="AB113" s="393"/>
      <c r="AC113" s="393"/>
    </row>
    <row r="114" spans="19:29" x14ac:dyDescent="0.25">
      <c r="S114" s="393"/>
      <c r="T114" s="393"/>
      <c r="U114" s="393"/>
      <c r="AA114" s="393"/>
      <c r="AB114" s="393"/>
      <c r="AC114" s="393"/>
    </row>
    <row r="115" spans="19:29" x14ac:dyDescent="0.25">
      <c r="S115" s="393"/>
      <c r="T115" s="393"/>
      <c r="U115" s="393"/>
      <c r="AA115" s="393"/>
      <c r="AB115" s="393"/>
      <c r="AC115" s="393"/>
    </row>
    <row r="116" spans="19:29" x14ac:dyDescent="0.25">
      <c r="S116" s="393"/>
      <c r="T116" s="393"/>
      <c r="U116" s="393"/>
      <c r="AA116" s="393"/>
      <c r="AB116" s="393"/>
      <c r="AC116" s="393"/>
    </row>
    <row r="117" spans="19:29" x14ac:dyDescent="0.25">
      <c r="S117" s="393"/>
      <c r="T117" s="393"/>
      <c r="U117" s="393"/>
      <c r="AA117" s="393"/>
      <c r="AB117" s="393"/>
      <c r="AC117" s="393"/>
    </row>
    <row r="118" spans="19:29" x14ac:dyDescent="0.25">
      <c r="S118" s="393"/>
      <c r="T118" s="393"/>
      <c r="U118" s="393"/>
      <c r="AA118" s="393"/>
      <c r="AB118" s="393"/>
      <c r="AC118" s="393"/>
    </row>
    <row r="119" spans="19:29" x14ac:dyDescent="0.25">
      <c r="S119" s="393"/>
      <c r="T119" s="393"/>
      <c r="U119" s="393"/>
      <c r="AA119" s="393"/>
      <c r="AB119" s="393"/>
      <c r="AC119" s="393"/>
    </row>
    <row r="120" spans="19:29" x14ac:dyDescent="0.25">
      <c r="S120" s="393"/>
      <c r="T120" s="393"/>
      <c r="U120" s="393"/>
      <c r="AA120" s="393"/>
      <c r="AB120" s="393"/>
      <c r="AC120" s="393"/>
    </row>
    <row r="121" spans="19:29" x14ac:dyDescent="0.25">
      <c r="S121" s="393"/>
      <c r="T121" s="393"/>
      <c r="U121" s="393"/>
      <c r="AA121" s="393"/>
      <c r="AB121" s="393"/>
      <c r="AC121" s="393"/>
    </row>
    <row r="122" spans="19:29" x14ac:dyDescent="0.25">
      <c r="S122" s="393"/>
      <c r="T122" s="393"/>
      <c r="U122" s="393"/>
      <c r="AA122" s="393"/>
      <c r="AB122" s="393"/>
      <c r="AC122" s="393"/>
    </row>
    <row r="123" spans="19:29" x14ac:dyDescent="0.25">
      <c r="S123" s="393"/>
      <c r="T123" s="393"/>
      <c r="U123" s="393"/>
      <c r="AA123" s="393"/>
      <c r="AB123" s="393"/>
      <c r="AC123" s="393"/>
    </row>
    <row r="124" spans="19:29" x14ac:dyDescent="0.25">
      <c r="S124" s="393"/>
      <c r="T124" s="393"/>
      <c r="U124" s="393"/>
      <c r="AA124" s="393"/>
      <c r="AB124" s="393"/>
      <c r="AC124" s="393"/>
    </row>
    <row r="125" spans="19:29" x14ac:dyDescent="0.25">
      <c r="S125" s="393"/>
      <c r="T125" s="393"/>
      <c r="U125" s="393"/>
      <c r="AA125" s="393"/>
      <c r="AB125" s="393"/>
      <c r="AC125" s="393"/>
    </row>
    <row r="126" spans="19:29" x14ac:dyDescent="0.25">
      <c r="S126" s="393"/>
      <c r="T126" s="393"/>
      <c r="U126" s="393"/>
      <c r="AA126" s="393"/>
      <c r="AB126" s="393"/>
      <c r="AC126" s="393"/>
    </row>
    <row r="127" spans="19:29" x14ac:dyDescent="0.25">
      <c r="S127" s="393"/>
      <c r="T127" s="393"/>
      <c r="U127" s="393"/>
      <c r="AA127" s="393"/>
      <c r="AB127" s="393"/>
      <c r="AC127" s="393"/>
    </row>
    <row r="128" spans="19:29" x14ac:dyDescent="0.25">
      <c r="S128" s="393"/>
      <c r="T128" s="393"/>
      <c r="U128" s="393"/>
      <c r="AA128" s="393"/>
      <c r="AB128" s="393"/>
      <c r="AC128" s="393"/>
    </row>
    <row r="129" spans="19:29" x14ac:dyDescent="0.25">
      <c r="S129" s="393"/>
      <c r="T129" s="393"/>
      <c r="U129" s="393"/>
      <c r="V129" s="393"/>
      <c r="W129" s="393"/>
      <c r="X129" s="589"/>
      <c r="Y129" s="589"/>
      <c r="Z129" s="392"/>
      <c r="AA129" s="393"/>
      <c r="AB129" s="393"/>
      <c r="AC129" s="393"/>
    </row>
    <row r="130" spans="19:29" x14ac:dyDescent="0.25">
      <c r="S130" s="393"/>
      <c r="T130" s="393"/>
      <c r="U130" s="393"/>
      <c r="V130" s="393"/>
      <c r="W130" s="393"/>
      <c r="X130" s="589"/>
      <c r="Y130" s="589"/>
      <c r="Z130" s="392"/>
      <c r="AA130" s="393"/>
      <c r="AB130" s="393"/>
      <c r="AC130" s="393"/>
    </row>
    <row r="131" spans="19:29" x14ac:dyDescent="0.25">
      <c r="S131" s="393"/>
      <c r="T131" s="393"/>
      <c r="U131" s="393"/>
      <c r="V131" s="393"/>
      <c r="W131" s="393"/>
      <c r="X131" s="589"/>
      <c r="Y131" s="589"/>
      <c r="Z131" s="392"/>
      <c r="AA131" s="393"/>
      <c r="AB131" s="393"/>
      <c r="AC131" s="393"/>
    </row>
    <row r="132" spans="19:29" x14ac:dyDescent="0.25">
      <c r="S132" s="393"/>
      <c r="T132" s="393"/>
      <c r="U132" s="393"/>
      <c r="V132" s="393"/>
      <c r="W132" s="393"/>
      <c r="X132" s="589"/>
      <c r="Y132" s="589"/>
      <c r="Z132" s="392"/>
      <c r="AA132" s="393"/>
      <c r="AB132" s="393"/>
      <c r="AC132" s="393"/>
    </row>
    <row r="133" spans="19:29" x14ac:dyDescent="0.25">
      <c r="S133" s="393"/>
      <c r="T133" s="393"/>
      <c r="U133" s="393"/>
      <c r="V133" s="393"/>
      <c r="W133" s="393"/>
      <c r="X133" s="589"/>
      <c r="Y133" s="589"/>
      <c r="Z133" s="392"/>
      <c r="AA133" s="393"/>
      <c r="AB133" s="393"/>
      <c r="AC133" s="393"/>
    </row>
    <row r="134" spans="19:29" x14ac:dyDescent="0.25">
      <c r="S134" s="393"/>
      <c r="T134" s="393"/>
      <c r="U134" s="393"/>
      <c r="V134" s="393"/>
      <c r="W134" s="393"/>
      <c r="X134" s="589"/>
      <c r="Y134" s="589"/>
      <c r="Z134" s="392"/>
      <c r="AA134" s="393"/>
      <c r="AB134" s="393"/>
      <c r="AC134" s="393"/>
    </row>
    <row r="135" spans="19:29" x14ac:dyDescent="0.25">
      <c r="S135" s="393"/>
      <c r="T135" s="393"/>
      <c r="U135" s="393"/>
      <c r="V135" s="393"/>
      <c r="W135" s="393"/>
      <c r="X135" s="589"/>
      <c r="Y135" s="589"/>
      <c r="Z135" s="392"/>
      <c r="AA135" s="393"/>
      <c r="AB135" s="393"/>
      <c r="AC135" s="393"/>
    </row>
    <row r="136" spans="19:29" x14ac:dyDescent="0.25">
      <c r="S136" s="393"/>
      <c r="T136" s="393"/>
      <c r="U136" s="393"/>
      <c r="V136" s="393"/>
      <c r="W136" s="393"/>
      <c r="X136" s="589"/>
      <c r="Y136" s="589"/>
      <c r="Z136" s="392"/>
      <c r="AA136" s="393"/>
      <c r="AB136" s="393"/>
      <c r="AC136" s="393"/>
    </row>
    <row r="137" spans="19:29" x14ac:dyDescent="0.25">
      <c r="S137" s="393"/>
      <c r="T137" s="393"/>
      <c r="U137" s="393"/>
      <c r="V137" s="393"/>
      <c r="W137" s="393"/>
      <c r="X137" s="589"/>
      <c r="Y137" s="589"/>
      <c r="Z137" s="392"/>
      <c r="AA137" s="393"/>
      <c r="AB137" s="393"/>
      <c r="AC137" s="393"/>
    </row>
    <row r="138" spans="19:29" x14ac:dyDescent="0.25">
      <c r="S138" s="393"/>
      <c r="T138" s="393"/>
      <c r="U138" s="393"/>
      <c r="V138" s="393"/>
      <c r="W138" s="393"/>
      <c r="X138" s="589"/>
      <c r="Y138" s="589"/>
      <c r="Z138" s="392"/>
      <c r="AA138" s="393"/>
      <c r="AB138" s="393"/>
      <c r="AC138" s="393"/>
    </row>
    <row r="139" spans="19:29" x14ac:dyDescent="0.25">
      <c r="S139" s="393"/>
      <c r="T139" s="393"/>
      <c r="U139" s="393"/>
      <c r="V139" s="589"/>
      <c r="W139" s="589"/>
      <c r="X139" s="589"/>
      <c r="Y139" s="589"/>
      <c r="Z139" s="392"/>
      <c r="AA139" s="393"/>
      <c r="AB139" s="393"/>
      <c r="AC139" s="393"/>
    </row>
    <row r="140" spans="19:29" x14ac:dyDescent="0.25">
      <c r="S140" s="393"/>
      <c r="T140" s="393"/>
      <c r="U140" s="393"/>
      <c r="V140" s="589"/>
      <c r="W140" s="589"/>
      <c r="X140" s="589"/>
      <c r="Y140" s="589"/>
      <c r="Z140" s="392"/>
      <c r="AA140" s="393"/>
      <c r="AB140" s="393"/>
      <c r="AC140" s="393"/>
    </row>
    <row r="141" spans="19:29" x14ac:dyDescent="0.25">
      <c r="S141" s="393"/>
      <c r="T141" s="393"/>
      <c r="U141" s="393"/>
      <c r="V141" s="391"/>
      <c r="W141" s="396"/>
      <c r="X141" s="589"/>
      <c r="Y141" s="589"/>
      <c r="Z141" s="392"/>
      <c r="AA141" s="393"/>
      <c r="AB141" s="393"/>
      <c r="AC141" s="393"/>
    </row>
    <row r="142" spans="19:29" x14ac:dyDescent="0.25">
      <c r="S142" s="393"/>
      <c r="T142" s="393"/>
      <c r="U142" s="393"/>
      <c r="V142" s="589"/>
      <c r="W142" s="589"/>
      <c r="X142" s="589"/>
      <c r="Y142" s="589"/>
      <c r="Z142" s="392"/>
      <c r="AA142" s="393"/>
      <c r="AB142" s="393"/>
      <c r="AC142" s="393"/>
    </row>
    <row r="143" spans="19:29" x14ac:dyDescent="0.25">
      <c r="S143" s="393"/>
      <c r="T143" s="393"/>
      <c r="U143" s="393"/>
      <c r="V143" s="589"/>
      <c r="W143" s="589"/>
      <c r="X143" s="589"/>
      <c r="Y143" s="589"/>
      <c r="Z143" s="392"/>
      <c r="AA143" s="393"/>
      <c r="AB143" s="393"/>
      <c r="AC143" s="393"/>
    </row>
    <row r="144" spans="19:29" x14ac:dyDescent="0.25">
      <c r="S144" s="393"/>
      <c r="T144" s="393"/>
      <c r="U144" s="393"/>
      <c r="V144" s="589"/>
      <c r="W144" s="589"/>
      <c r="X144" s="589"/>
      <c r="Y144" s="589"/>
      <c r="Z144" s="392"/>
      <c r="AA144" s="393"/>
      <c r="AB144" s="393"/>
      <c r="AC144" s="393"/>
    </row>
    <row r="145" spans="19:29" x14ac:dyDescent="0.25">
      <c r="S145" s="393"/>
      <c r="T145" s="393"/>
      <c r="U145" s="393"/>
      <c r="V145" s="589"/>
      <c r="W145" s="589"/>
      <c r="X145" s="589"/>
      <c r="Y145" s="589"/>
      <c r="Z145" s="392"/>
      <c r="AA145" s="393"/>
      <c r="AB145" s="393"/>
      <c r="AC145" s="393"/>
    </row>
    <row r="146" spans="19:29" x14ac:dyDescent="0.25">
      <c r="S146" s="393"/>
      <c r="T146" s="393"/>
      <c r="U146" s="393"/>
      <c r="V146" s="589"/>
      <c r="W146" s="589"/>
      <c r="X146" s="589"/>
      <c r="Y146" s="589"/>
      <c r="Z146" s="392"/>
      <c r="AA146" s="393"/>
      <c r="AB146" s="393"/>
      <c r="AC146" s="393"/>
    </row>
    <row r="147" spans="19:29" x14ac:dyDescent="0.25">
      <c r="S147" s="393"/>
      <c r="T147" s="393"/>
      <c r="U147" s="393"/>
      <c r="V147" s="589"/>
      <c r="W147" s="589"/>
      <c r="X147" s="589"/>
      <c r="Y147" s="589"/>
      <c r="Z147" s="392"/>
      <c r="AA147" s="393"/>
      <c r="AB147" s="393"/>
      <c r="AC147" s="393"/>
    </row>
    <row r="148" spans="19:29" x14ac:dyDescent="0.25">
      <c r="S148" s="393"/>
      <c r="T148" s="393"/>
      <c r="U148" s="393"/>
      <c r="V148" s="589"/>
      <c r="W148" s="589"/>
      <c r="X148" s="589"/>
      <c r="Y148" s="589"/>
      <c r="Z148" s="392"/>
      <c r="AA148" s="393"/>
      <c r="AB148" s="393"/>
      <c r="AC148" s="393"/>
    </row>
    <row r="149" spans="19:29" x14ac:dyDescent="0.25">
      <c r="S149" s="393"/>
      <c r="T149" s="393"/>
      <c r="U149" s="393"/>
      <c r="V149" s="589"/>
      <c r="W149" s="589"/>
      <c r="X149" s="589"/>
      <c r="Y149" s="589"/>
      <c r="Z149" s="392"/>
      <c r="AA149" s="393"/>
      <c r="AB149" s="393"/>
      <c r="AC149" s="393"/>
    </row>
    <row r="150" spans="19:29" x14ac:dyDescent="0.25">
      <c r="S150" s="393"/>
      <c r="T150" s="393"/>
      <c r="U150" s="393"/>
      <c r="V150" s="393"/>
      <c r="W150" s="393"/>
      <c r="X150" s="589"/>
      <c r="Y150" s="589"/>
      <c r="Z150" s="392"/>
      <c r="AA150" s="393"/>
      <c r="AB150" s="393"/>
      <c r="AC150" s="393"/>
    </row>
    <row r="151" spans="19:29" x14ac:dyDescent="0.25">
      <c r="S151" s="393"/>
      <c r="T151" s="393"/>
      <c r="U151" s="393"/>
      <c r="V151" s="589"/>
      <c r="W151" s="589"/>
      <c r="X151" s="589"/>
      <c r="Y151" s="589"/>
      <c r="Z151" s="392"/>
      <c r="AA151" s="393"/>
      <c r="AB151" s="393"/>
      <c r="AC151" s="393"/>
    </row>
    <row r="152" spans="19:29" x14ac:dyDescent="0.25">
      <c r="S152" s="393"/>
      <c r="T152" s="393"/>
      <c r="U152" s="393"/>
      <c r="V152" s="397"/>
      <c r="W152" s="397"/>
      <c r="X152" s="589"/>
      <c r="Y152" s="589"/>
      <c r="Z152" s="392"/>
      <c r="AA152" s="393"/>
      <c r="AB152" s="393"/>
      <c r="AC152" s="393"/>
    </row>
    <row r="153" spans="19:29" x14ac:dyDescent="0.25">
      <c r="S153" s="393"/>
      <c r="T153" s="393"/>
      <c r="U153" s="393"/>
      <c r="V153" s="393"/>
      <c r="W153" s="393"/>
      <c r="X153" s="589"/>
      <c r="Y153" s="589"/>
      <c r="Z153" s="392"/>
      <c r="AA153" s="393"/>
      <c r="AB153" s="393"/>
      <c r="AC153" s="393"/>
    </row>
    <row r="154" spans="19:29" x14ac:dyDescent="0.25">
      <c r="S154" s="393"/>
      <c r="T154" s="393"/>
      <c r="U154" s="393"/>
      <c r="V154" s="393"/>
      <c r="W154" s="393"/>
      <c r="X154" s="589"/>
      <c r="Y154" s="589"/>
      <c r="Z154" s="392"/>
      <c r="AA154" s="393"/>
      <c r="AB154" s="393"/>
      <c r="AC154" s="393"/>
    </row>
    <row r="155" spans="19:29" x14ac:dyDescent="0.25">
      <c r="S155" s="393"/>
      <c r="T155" s="393"/>
      <c r="U155" s="393"/>
      <c r="V155" s="393"/>
      <c r="W155" s="393"/>
      <c r="X155" s="589"/>
      <c r="Y155" s="589"/>
      <c r="Z155" s="392"/>
      <c r="AA155" s="393"/>
      <c r="AB155" s="393"/>
      <c r="AC155" s="393"/>
    </row>
    <row r="156" spans="19:29" x14ac:dyDescent="0.25">
      <c r="S156" s="393"/>
      <c r="T156" s="393"/>
      <c r="U156" s="393"/>
      <c r="V156" s="393"/>
      <c r="W156" s="393"/>
      <c r="X156" s="589"/>
      <c r="Y156" s="589"/>
      <c r="Z156" s="392"/>
      <c r="AA156" s="393"/>
      <c r="AB156" s="393"/>
      <c r="AC156" s="393"/>
    </row>
    <row r="157" spans="19:29" x14ac:dyDescent="0.25">
      <c r="S157" s="393"/>
      <c r="T157" s="393"/>
      <c r="U157" s="393"/>
      <c r="V157" s="393"/>
      <c r="W157" s="393"/>
      <c r="X157" s="589"/>
      <c r="Y157" s="589"/>
      <c r="Z157" s="392"/>
      <c r="AA157" s="393"/>
      <c r="AB157" s="393"/>
      <c r="AC157" s="393"/>
    </row>
    <row r="158" spans="19:29" x14ac:dyDescent="0.25">
      <c r="S158" s="393"/>
      <c r="T158" s="393"/>
      <c r="U158" s="393"/>
      <c r="V158" s="589"/>
      <c r="W158" s="589"/>
      <c r="X158" s="589"/>
      <c r="Y158" s="589"/>
      <c r="Z158" s="392"/>
      <c r="AA158" s="393"/>
      <c r="AB158" s="393"/>
      <c r="AC158" s="393"/>
    </row>
    <row r="159" spans="19:29" x14ac:dyDescent="0.25">
      <c r="S159" s="393"/>
      <c r="T159" s="393"/>
      <c r="U159" s="393"/>
      <c r="V159" s="397"/>
      <c r="W159" s="397"/>
      <c r="X159" s="589"/>
      <c r="Y159" s="589"/>
      <c r="Z159" s="392"/>
      <c r="AA159" s="393"/>
      <c r="AB159" s="393"/>
      <c r="AC159" s="393"/>
    </row>
    <row r="160" spans="19:29" x14ac:dyDescent="0.25">
      <c r="S160" s="393"/>
      <c r="T160" s="393"/>
      <c r="U160" s="393"/>
      <c r="V160" s="393"/>
      <c r="W160" s="393"/>
      <c r="X160" s="589"/>
      <c r="Y160" s="589"/>
      <c r="Z160" s="392"/>
      <c r="AA160" s="393"/>
      <c r="AB160" s="393"/>
      <c r="AC160" s="393"/>
    </row>
    <row r="161" spans="19:29" x14ac:dyDescent="0.25">
      <c r="S161" s="393"/>
      <c r="T161" s="393"/>
      <c r="U161" s="393"/>
      <c r="V161" s="393"/>
      <c r="W161" s="393"/>
      <c r="X161" s="589"/>
      <c r="Y161" s="589"/>
      <c r="Z161" s="392"/>
      <c r="AA161" s="393"/>
      <c r="AB161" s="393"/>
      <c r="AC161" s="393"/>
    </row>
    <row r="162" spans="19:29" x14ac:dyDescent="0.25">
      <c r="S162" s="393"/>
      <c r="T162" s="393"/>
      <c r="U162" s="393"/>
      <c r="V162" s="393"/>
      <c r="W162" s="393"/>
      <c r="X162" s="589"/>
      <c r="Y162" s="589"/>
      <c r="Z162" s="392"/>
      <c r="AA162" s="393"/>
      <c r="AB162" s="393"/>
      <c r="AC162" s="393"/>
    </row>
    <row r="163" spans="19:29" x14ac:dyDescent="0.25">
      <c r="S163" s="393"/>
      <c r="T163" s="393"/>
      <c r="U163" s="393"/>
      <c r="V163" s="393"/>
      <c r="W163" s="393"/>
      <c r="X163" s="589"/>
      <c r="Y163" s="589"/>
      <c r="Z163" s="392"/>
      <c r="AA163" s="393"/>
      <c r="AB163" s="393"/>
      <c r="AC163" s="393"/>
    </row>
    <row r="164" spans="19:29" x14ac:dyDescent="0.25">
      <c r="S164" s="393"/>
      <c r="T164" s="393"/>
      <c r="U164" s="393"/>
      <c r="V164" s="393"/>
      <c r="W164" s="393"/>
      <c r="X164" s="393"/>
      <c r="Y164" s="393"/>
      <c r="Z164" s="392"/>
      <c r="AA164" s="393"/>
      <c r="AB164" s="393"/>
      <c r="AC164" s="393"/>
    </row>
    <row r="165" spans="19:29" x14ac:dyDescent="0.25">
      <c r="S165" s="393"/>
      <c r="T165" s="393"/>
      <c r="U165" s="393"/>
      <c r="V165" s="393"/>
      <c r="W165" s="393"/>
      <c r="X165" s="393"/>
      <c r="Y165" s="393"/>
      <c r="Z165" s="392"/>
      <c r="AA165" s="393"/>
      <c r="AB165" s="393"/>
      <c r="AC165" s="393"/>
    </row>
    <row r="166" spans="19:29" x14ac:dyDescent="0.25">
      <c r="S166" s="393"/>
      <c r="T166" s="393"/>
      <c r="U166" s="393"/>
      <c r="V166" s="393"/>
      <c r="W166" s="393"/>
      <c r="X166" s="393"/>
      <c r="Y166" s="393"/>
      <c r="Z166" s="392"/>
      <c r="AA166" s="393"/>
      <c r="AB166" s="393"/>
      <c r="AC166" s="393"/>
    </row>
    <row r="167" spans="19:29" x14ac:dyDescent="0.25">
      <c r="S167" s="393"/>
      <c r="T167" s="393"/>
      <c r="U167" s="393"/>
      <c r="V167" s="393"/>
      <c r="W167" s="393"/>
      <c r="X167" s="393"/>
      <c r="Y167" s="393"/>
      <c r="Z167" s="392"/>
      <c r="AA167" s="393"/>
      <c r="AB167" s="393"/>
      <c r="AC167" s="393"/>
    </row>
    <row r="168" spans="19:29" x14ac:dyDescent="0.25">
      <c r="S168" s="393"/>
      <c r="T168" s="393"/>
      <c r="U168" s="393"/>
      <c r="V168" s="393"/>
      <c r="W168" s="393"/>
      <c r="X168" s="393"/>
      <c r="Y168" s="393"/>
      <c r="Z168" s="392"/>
      <c r="AA168" s="393"/>
      <c r="AB168" s="393"/>
      <c r="AC168" s="393"/>
    </row>
    <row r="169" spans="19:29" x14ac:dyDescent="0.25">
      <c r="S169" s="393"/>
      <c r="T169" s="393"/>
      <c r="U169" s="393"/>
      <c r="V169" s="393"/>
      <c r="W169" s="393"/>
      <c r="X169" s="393"/>
      <c r="Y169" s="393"/>
      <c r="Z169" s="392"/>
      <c r="AA169" s="393"/>
      <c r="AB169" s="393"/>
      <c r="AC169" s="393"/>
    </row>
    <row r="170" spans="19:29" x14ac:dyDescent="0.25">
      <c r="S170" s="393"/>
      <c r="T170" s="393"/>
      <c r="U170" s="393"/>
      <c r="V170" s="393"/>
      <c r="W170" s="393"/>
      <c r="X170" s="393"/>
      <c r="Y170" s="393"/>
      <c r="Z170" s="392"/>
      <c r="AA170" s="393"/>
      <c r="AB170" s="393"/>
      <c r="AC170" s="393"/>
    </row>
    <row r="171" spans="19:29" x14ac:dyDescent="0.25">
      <c r="S171" s="393"/>
      <c r="T171" s="393"/>
      <c r="U171" s="393"/>
      <c r="V171" s="393"/>
      <c r="W171" s="393"/>
      <c r="X171" s="393"/>
      <c r="Y171" s="393"/>
      <c r="Z171" s="392"/>
      <c r="AA171" s="393"/>
      <c r="AB171" s="393"/>
      <c r="AC171" s="393"/>
    </row>
    <row r="172" spans="19:29" x14ac:dyDescent="0.25">
      <c r="S172" s="393"/>
      <c r="T172" s="393"/>
      <c r="U172" s="393"/>
      <c r="V172" s="393"/>
      <c r="W172" s="393"/>
      <c r="X172" s="393"/>
      <c r="Y172" s="393"/>
      <c r="Z172" s="392"/>
      <c r="AA172" s="393"/>
      <c r="AB172" s="393"/>
      <c r="AC172" s="393"/>
    </row>
    <row r="173" spans="19:29" x14ac:dyDescent="0.25">
      <c r="S173" s="393"/>
      <c r="T173" s="393"/>
      <c r="U173" s="393"/>
      <c r="V173" s="393"/>
      <c r="W173" s="393"/>
      <c r="X173" s="393"/>
      <c r="Y173" s="393"/>
      <c r="Z173" s="392"/>
      <c r="AA173" s="393"/>
      <c r="AB173" s="393"/>
      <c r="AC173" s="393"/>
    </row>
    <row r="174" spans="19:29" x14ac:dyDescent="0.25">
      <c r="S174" s="393"/>
      <c r="T174" s="393"/>
      <c r="U174" s="393"/>
      <c r="V174" s="393"/>
      <c r="W174" s="393"/>
      <c r="X174" s="393"/>
      <c r="Y174" s="393"/>
      <c r="Z174" s="392"/>
      <c r="AA174" s="393"/>
      <c r="AB174" s="393"/>
      <c r="AC174" s="393"/>
    </row>
    <row r="175" spans="19:29" x14ac:dyDescent="0.25">
      <c r="S175" s="393"/>
      <c r="T175" s="393"/>
      <c r="U175" s="393"/>
      <c r="V175" s="393"/>
      <c r="W175" s="393"/>
      <c r="X175" s="393"/>
      <c r="Y175" s="393"/>
      <c r="Z175" s="392"/>
      <c r="AA175" s="393"/>
      <c r="AB175" s="393"/>
      <c r="AC175" s="393"/>
    </row>
    <row r="176" spans="19:29" x14ac:dyDescent="0.25">
      <c r="S176" s="393"/>
      <c r="T176" s="393"/>
      <c r="U176" s="393"/>
      <c r="V176" s="393"/>
      <c r="W176" s="393"/>
      <c r="X176" s="393"/>
      <c r="Y176" s="393"/>
      <c r="Z176" s="392"/>
      <c r="AA176" s="393"/>
      <c r="AB176" s="393"/>
      <c r="AC176" s="393"/>
    </row>
    <row r="177" spans="19:29" x14ac:dyDescent="0.25">
      <c r="S177" s="393"/>
      <c r="T177" s="393"/>
      <c r="U177" s="393"/>
      <c r="V177" s="393"/>
      <c r="W177" s="393"/>
      <c r="X177" s="393"/>
      <c r="Y177" s="393"/>
      <c r="Z177" s="392"/>
      <c r="AA177" s="393"/>
      <c r="AB177" s="393"/>
      <c r="AC177" s="393"/>
    </row>
    <row r="178" spans="19:29" x14ac:dyDescent="0.25">
      <c r="S178" s="393"/>
      <c r="T178" s="393"/>
      <c r="U178" s="393"/>
      <c r="V178" s="393"/>
      <c r="W178" s="393"/>
      <c r="X178" s="393"/>
      <c r="Y178" s="393"/>
      <c r="Z178" s="392"/>
      <c r="AA178" s="393"/>
      <c r="AB178" s="393"/>
      <c r="AC178" s="393"/>
    </row>
    <row r="179" spans="19:29" x14ac:dyDescent="0.25">
      <c r="S179" s="393"/>
      <c r="T179" s="393"/>
      <c r="U179" s="393"/>
      <c r="V179" s="393"/>
      <c r="W179" s="393"/>
      <c r="X179" s="393"/>
      <c r="Y179" s="393"/>
      <c r="Z179" s="392"/>
      <c r="AA179" s="393"/>
      <c r="AB179" s="393"/>
      <c r="AC179" s="393"/>
    </row>
    <row r="180" spans="19:29" x14ac:dyDescent="0.25">
      <c r="S180" s="393"/>
      <c r="T180" s="393"/>
      <c r="U180" s="393"/>
      <c r="V180" s="393"/>
      <c r="W180" s="393"/>
      <c r="X180" s="393"/>
      <c r="Y180" s="393"/>
      <c r="Z180" s="392"/>
      <c r="AA180" s="393"/>
      <c r="AB180" s="393"/>
      <c r="AC180" s="393"/>
    </row>
    <row r="181" spans="19:29" x14ac:dyDescent="0.25">
      <c r="S181" s="393"/>
      <c r="T181" s="393"/>
      <c r="U181" s="393"/>
      <c r="V181" s="393"/>
      <c r="W181" s="393"/>
      <c r="X181" s="393"/>
      <c r="Y181" s="393"/>
      <c r="Z181" s="392"/>
      <c r="AA181" s="393"/>
      <c r="AB181" s="393"/>
      <c r="AC181" s="393"/>
    </row>
    <row r="182" spans="19:29" x14ac:dyDescent="0.25">
      <c r="S182" s="393"/>
      <c r="T182" s="393"/>
      <c r="U182" s="393"/>
      <c r="V182" s="393"/>
      <c r="W182" s="393"/>
      <c r="X182" s="393"/>
      <c r="Y182" s="393"/>
      <c r="Z182" s="392"/>
      <c r="AA182" s="393"/>
      <c r="AB182" s="393"/>
      <c r="AC182" s="393"/>
    </row>
  </sheetData>
  <mergeCells count="98">
    <mergeCell ref="W57:X67"/>
    <mergeCell ref="W69:X74"/>
    <mergeCell ref="X161:Y161"/>
    <mergeCell ref="X162:Y162"/>
    <mergeCell ref="X163:Y163"/>
    <mergeCell ref="M2:N2"/>
    <mergeCell ref="P4:U4"/>
    <mergeCell ref="P2:U2"/>
    <mergeCell ref="W3:X3"/>
    <mergeCell ref="Y3:Z3"/>
    <mergeCell ref="W4:Z4"/>
    <mergeCell ref="Y5:Z5"/>
    <mergeCell ref="Y9:Z9"/>
    <mergeCell ref="Y12:Z12"/>
    <mergeCell ref="W9:X19"/>
    <mergeCell ref="X157:Y157"/>
    <mergeCell ref="V158:W158"/>
    <mergeCell ref="X158:Y158"/>
    <mergeCell ref="X159:Y159"/>
    <mergeCell ref="X160:Y160"/>
    <mergeCell ref="X152:Y152"/>
    <mergeCell ref="X153:Y153"/>
    <mergeCell ref="X154:Y154"/>
    <mergeCell ref="X155:Y155"/>
    <mergeCell ref="X156:Y156"/>
    <mergeCell ref="V149:W149"/>
    <mergeCell ref="X149:Y149"/>
    <mergeCell ref="X150:Y150"/>
    <mergeCell ref="V151:W151"/>
    <mergeCell ref="X151:Y151"/>
    <mergeCell ref="V146:W146"/>
    <mergeCell ref="X146:Y146"/>
    <mergeCell ref="V147:W147"/>
    <mergeCell ref="X147:Y147"/>
    <mergeCell ref="V148:W148"/>
    <mergeCell ref="X148:Y148"/>
    <mergeCell ref="V143:W143"/>
    <mergeCell ref="X143:Y143"/>
    <mergeCell ref="V144:W144"/>
    <mergeCell ref="X144:Y144"/>
    <mergeCell ref="V145:W145"/>
    <mergeCell ref="X145:Y145"/>
    <mergeCell ref="V140:W140"/>
    <mergeCell ref="X140:Y140"/>
    <mergeCell ref="X141:Y141"/>
    <mergeCell ref="V142:W142"/>
    <mergeCell ref="X142:Y142"/>
    <mergeCell ref="X135:Y135"/>
    <mergeCell ref="X136:Y136"/>
    <mergeCell ref="X137:Y137"/>
    <mergeCell ref="X138:Y138"/>
    <mergeCell ref="V139:W139"/>
    <mergeCell ref="X139:Y139"/>
    <mergeCell ref="X130:Y130"/>
    <mergeCell ref="X131:Y131"/>
    <mergeCell ref="X132:Y132"/>
    <mergeCell ref="X133:Y133"/>
    <mergeCell ref="X134:Y134"/>
    <mergeCell ref="X129:Y129"/>
    <mergeCell ref="W39:X47"/>
    <mergeCell ref="Y39:Z39"/>
    <mergeCell ref="Y43:Z43"/>
    <mergeCell ref="E5:E8"/>
    <mergeCell ref="W48:Z48"/>
    <mergeCell ref="Y52:Z52"/>
    <mergeCell ref="W49:X55"/>
    <mergeCell ref="W76:X82"/>
    <mergeCell ref="P32:U32"/>
    <mergeCell ref="Y72:Z72"/>
    <mergeCell ref="P39:U39"/>
    <mergeCell ref="W68:Z68"/>
    <mergeCell ref="W75:Z75"/>
    <mergeCell ref="Y79:Z79"/>
    <mergeCell ref="W56:Z56"/>
    <mergeCell ref="Y35:Z35"/>
    <mergeCell ref="M19:N19"/>
    <mergeCell ref="P18:U18"/>
    <mergeCell ref="P12:U12"/>
    <mergeCell ref="W20:Z20"/>
    <mergeCell ref="Y21:Z21"/>
    <mergeCell ref="Y25:Z25"/>
    <mergeCell ref="Y29:Z29"/>
    <mergeCell ref="W25:X33"/>
    <mergeCell ref="W34:Z34"/>
    <mergeCell ref="W2:Z2"/>
    <mergeCell ref="M4:N4"/>
    <mergeCell ref="M12:N12"/>
    <mergeCell ref="G19:G24"/>
    <mergeCell ref="B16:B17"/>
    <mergeCell ref="B13:B15"/>
    <mergeCell ref="B9:B12"/>
    <mergeCell ref="B5:B8"/>
    <mergeCell ref="B2:E2"/>
    <mergeCell ref="G8:G10"/>
    <mergeCell ref="G11:G18"/>
    <mergeCell ref="M28:N28"/>
    <mergeCell ref="P22:U22"/>
    <mergeCell ref="G2:K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B1:AD48"/>
  <sheetViews>
    <sheetView showGridLines="0" topLeftCell="A8" zoomScale="89" workbookViewId="0">
      <selection activeCell="B43" sqref="B43:E43"/>
    </sheetView>
  </sheetViews>
  <sheetFormatPr baseColWidth="10" defaultRowHeight="15" x14ac:dyDescent="0.25"/>
  <cols>
    <col min="1" max="1" width="3.7109375" customWidth="1"/>
    <col min="2" max="2" width="41.5703125" bestFit="1" customWidth="1"/>
    <col min="3" max="3" width="36" bestFit="1" customWidth="1"/>
    <col min="4" max="5" width="14" bestFit="1" customWidth="1"/>
    <col min="6" max="6" width="111" bestFit="1" customWidth="1"/>
    <col min="7" max="7" width="12.42578125" bestFit="1" customWidth="1"/>
    <col min="8" max="8" width="25.28515625" bestFit="1" customWidth="1"/>
    <col min="9" max="9" width="16.42578125" bestFit="1" customWidth="1"/>
    <col min="10" max="10" width="25.42578125" bestFit="1" customWidth="1"/>
    <col min="11" max="11" width="30.5703125" bestFit="1" customWidth="1"/>
    <col min="15" max="15" width="20.7109375" bestFit="1" customWidth="1"/>
    <col min="16" max="16" width="21.140625" bestFit="1" customWidth="1"/>
    <col min="17" max="17" width="6.85546875" bestFit="1" customWidth="1"/>
    <col min="18" max="18" width="4.85546875" bestFit="1" customWidth="1"/>
    <col min="19" max="19" width="12.42578125" bestFit="1" customWidth="1"/>
    <col min="20" max="20" width="7.42578125" bestFit="1" customWidth="1"/>
    <col min="22" max="22" width="21.140625" bestFit="1" customWidth="1"/>
    <col min="23" max="23" width="6.7109375" bestFit="1" customWidth="1"/>
    <col min="24" max="24" width="10.140625" bestFit="1" customWidth="1"/>
    <col min="25" max="25" width="9" bestFit="1" customWidth="1"/>
    <col min="26" max="26" width="12.7109375" bestFit="1" customWidth="1"/>
    <col min="27" max="27" width="13.140625" bestFit="1" customWidth="1"/>
    <col min="28" max="28" width="6.42578125" bestFit="1" customWidth="1"/>
    <col min="29" max="29" width="13.42578125" bestFit="1" customWidth="1"/>
    <col min="30" max="30" width="5.5703125" bestFit="1" customWidth="1"/>
  </cols>
  <sheetData>
    <row r="1" spans="2:30" ht="15.75" thickBot="1" x14ac:dyDescent="0.3"/>
    <row r="2" spans="2:30" ht="15.75" thickBot="1" x14ac:dyDescent="0.3">
      <c r="B2" s="640" t="s">
        <v>396</v>
      </c>
      <c r="C2" s="641"/>
      <c r="D2" s="641"/>
      <c r="E2" s="641"/>
      <c r="F2" s="642"/>
      <c r="V2" s="162"/>
    </row>
    <row r="3" spans="2:30" ht="15.75" thickBot="1" x14ac:dyDescent="0.3">
      <c r="B3" s="297" t="s">
        <v>22</v>
      </c>
      <c r="C3" s="300" t="s">
        <v>161</v>
      </c>
      <c r="D3" s="307" t="s">
        <v>140</v>
      </c>
      <c r="E3" s="300" t="s">
        <v>139</v>
      </c>
      <c r="F3" s="432" t="s">
        <v>149</v>
      </c>
      <c r="V3" s="162"/>
      <c r="X3" s="162"/>
    </row>
    <row r="4" spans="2:30" x14ac:dyDescent="0.25">
      <c r="B4" s="302" t="s">
        <v>1019</v>
      </c>
      <c r="C4" s="44" t="s">
        <v>1020</v>
      </c>
      <c r="D4" s="308">
        <f>121491/Summary!D16</f>
        <v>100605.33289168599</v>
      </c>
      <c r="E4" s="52">
        <f>D4*(1+Summary!$D$17)</f>
        <v>120726.39947002319</v>
      </c>
      <c r="F4" s="26" t="s">
        <v>58</v>
      </c>
      <c r="V4" s="162"/>
    </row>
    <row r="5" spans="2:30" s="162" customFormat="1" x14ac:dyDescent="0.25">
      <c r="B5" s="437" t="s">
        <v>1023</v>
      </c>
      <c r="C5" s="438"/>
      <c r="D5" s="310"/>
      <c r="E5" s="148"/>
      <c r="F5" s="18" t="s">
        <v>13</v>
      </c>
    </row>
    <row r="6" spans="2:30" ht="15.75" thickBot="1" x14ac:dyDescent="0.3">
      <c r="B6" s="444" t="s">
        <v>1022</v>
      </c>
      <c r="C6" s="48"/>
      <c r="D6" s="445">
        <f>126/1.2</f>
        <v>105</v>
      </c>
      <c r="E6" s="55">
        <f>D6*(1+Summary!$D$17)</f>
        <v>126</v>
      </c>
      <c r="F6" s="20" t="s">
        <v>274</v>
      </c>
    </row>
    <row r="7" spans="2:30" ht="15.75" thickBot="1" x14ac:dyDescent="0.3">
      <c r="B7" s="440" t="s">
        <v>22</v>
      </c>
      <c r="C7" s="441" t="s">
        <v>161</v>
      </c>
      <c r="D7" s="442" t="s">
        <v>34</v>
      </c>
      <c r="E7" s="443"/>
      <c r="F7" s="439" t="s">
        <v>149</v>
      </c>
    </row>
    <row r="8" spans="2:30" x14ac:dyDescent="0.25">
      <c r="B8" s="433" t="s">
        <v>1021</v>
      </c>
      <c r="C8" s="44" t="s">
        <v>1020</v>
      </c>
      <c r="D8" s="10"/>
      <c r="E8" s="10"/>
      <c r="F8" s="434"/>
    </row>
    <row r="9" spans="2:30" x14ac:dyDescent="0.25">
      <c r="B9" s="435" t="s">
        <v>498</v>
      </c>
      <c r="C9" s="7">
        <v>7.5</v>
      </c>
      <c r="D9" s="7"/>
      <c r="E9" s="7"/>
      <c r="F9" s="119"/>
    </row>
    <row r="10" spans="2:30" s="162" customFormat="1" x14ac:dyDescent="0.25">
      <c r="B10" s="460" t="s">
        <v>1031</v>
      </c>
      <c r="C10" s="453" t="s">
        <v>1024</v>
      </c>
      <c r="D10" s="453"/>
      <c r="E10" s="453"/>
      <c r="F10" s="461"/>
    </row>
    <row r="11" spans="2:30" ht="15.75" thickBot="1" x14ac:dyDescent="0.3">
      <c r="B11" s="436" t="s">
        <v>1032</v>
      </c>
      <c r="C11" s="11"/>
      <c r="D11" s="11"/>
      <c r="E11" s="11"/>
      <c r="F11" s="20" t="s">
        <v>1033</v>
      </c>
    </row>
    <row r="12" spans="2:30" ht="15.75" thickBot="1" x14ac:dyDescent="0.3"/>
    <row r="13" spans="2:30" ht="15.75" thickBot="1" x14ac:dyDescent="0.3">
      <c r="B13" s="678" t="s">
        <v>1027</v>
      </c>
      <c r="C13" s="679"/>
      <c r="D13" s="679"/>
      <c r="E13" s="680"/>
    </row>
    <row r="14" spans="2:30" ht="15.75" thickBot="1" x14ac:dyDescent="0.3">
      <c r="B14" s="449"/>
      <c r="C14" s="450" t="s">
        <v>241</v>
      </c>
      <c r="D14" s="450" t="s">
        <v>242</v>
      </c>
      <c r="E14" s="451" t="s">
        <v>1025</v>
      </c>
      <c r="V14" s="162"/>
      <c r="W14" s="162"/>
      <c r="X14" s="162"/>
      <c r="Y14" s="162"/>
      <c r="Z14" s="162"/>
      <c r="AA14" s="162"/>
      <c r="AB14" s="162"/>
      <c r="AC14" s="162"/>
      <c r="AD14" s="162"/>
    </row>
    <row r="15" spans="2:30" x14ac:dyDescent="0.25">
      <c r="B15" s="646" t="s">
        <v>240</v>
      </c>
      <c r="C15" s="10">
        <v>0.81</v>
      </c>
      <c r="D15" s="10">
        <v>19812</v>
      </c>
      <c r="E15" s="452">
        <f>1/(D15*C15)</f>
        <v>6.231414805343064E-5</v>
      </c>
      <c r="V15" s="162"/>
      <c r="W15" s="162"/>
      <c r="X15" s="162"/>
      <c r="Y15" s="162"/>
      <c r="Z15" s="162"/>
      <c r="AA15" s="162"/>
      <c r="AB15" s="162"/>
      <c r="AC15" s="162"/>
      <c r="AD15" s="162"/>
    </row>
    <row r="16" spans="2:30" x14ac:dyDescent="0.25">
      <c r="B16" s="647"/>
      <c r="C16" s="7">
        <v>1.63</v>
      </c>
      <c r="D16" s="7">
        <v>5842</v>
      </c>
      <c r="E16" s="446">
        <f t="shared" ref="E16:E33" si="0">1/(D16*C16)</f>
        <v>1.0501488060858225E-4</v>
      </c>
      <c r="F16" s="162"/>
      <c r="AA16" s="162"/>
      <c r="AB16" s="162"/>
      <c r="AC16" s="459"/>
      <c r="AD16" s="162"/>
    </row>
    <row r="17" spans="2:30" x14ac:dyDescent="0.25">
      <c r="B17" s="647"/>
      <c r="C17" s="7">
        <v>2.31</v>
      </c>
      <c r="D17" s="7">
        <v>3175</v>
      </c>
      <c r="E17" s="446">
        <f t="shared" si="0"/>
        <v>1.3634659303950642E-4</v>
      </c>
      <c r="F17" s="162"/>
      <c r="AA17" s="162"/>
      <c r="AB17" s="162"/>
      <c r="AC17" s="162"/>
      <c r="AD17" s="162"/>
    </row>
    <row r="18" spans="2:30" x14ac:dyDescent="0.25">
      <c r="B18" s="647"/>
      <c r="C18" s="7">
        <v>3.26</v>
      </c>
      <c r="D18" s="7">
        <v>2184.4</v>
      </c>
      <c r="E18" s="446">
        <f t="shared" si="0"/>
        <v>1.4042687523240646E-4</v>
      </c>
      <c r="F18" s="162"/>
      <c r="AA18" s="162"/>
      <c r="AB18" s="162"/>
      <c r="AC18" s="162"/>
    </row>
    <row r="19" spans="2:30" x14ac:dyDescent="0.25">
      <c r="B19" s="647"/>
      <c r="C19" s="7">
        <v>4.12</v>
      </c>
      <c r="D19" s="7">
        <v>1879.6</v>
      </c>
      <c r="E19" s="446">
        <f t="shared" si="0"/>
        <v>1.291330318163129E-4</v>
      </c>
      <c r="F19" s="162"/>
      <c r="V19" s="162"/>
      <c r="W19" s="162"/>
      <c r="X19" s="162"/>
      <c r="Y19" s="162"/>
      <c r="Z19" s="162"/>
      <c r="AA19" s="162"/>
      <c r="AB19" s="162"/>
      <c r="AC19" s="162"/>
    </row>
    <row r="20" spans="2:30" x14ac:dyDescent="0.25">
      <c r="B20" s="647"/>
      <c r="C20" s="7">
        <v>5.82</v>
      </c>
      <c r="D20" s="7">
        <v>1498.6</v>
      </c>
      <c r="E20" s="446">
        <f t="shared" si="0"/>
        <v>1.1465454813954651E-4</v>
      </c>
      <c r="F20" s="162"/>
      <c r="V20" s="162"/>
      <c r="W20" s="162"/>
      <c r="X20" s="162"/>
      <c r="Y20" s="162"/>
      <c r="Z20" s="162"/>
      <c r="AA20" s="162"/>
      <c r="AB20" s="162"/>
      <c r="AC20" s="162"/>
    </row>
    <row r="21" spans="2:30" x14ac:dyDescent="0.25">
      <c r="B21" s="647"/>
      <c r="C21" s="7">
        <v>6.35</v>
      </c>
      <c r="D21" s="7">
        <v>1270</v>
      </c>
      <c r="E21" s="446">
        <f t="shared" si="0"/>
        <v>1.2400024800049601E-4</v>
      </c>
      <c r="F21" s="162"/>
      <c r="V21" s="162"/>
      <c r="W21" s="162"/>
      <c r="X21" s="162"/>
      <c r="Y21" s="162"/>
      <c r="Z21" s="162"/>
      <c r="AA21" s="162"/>
      <c r="AB21" s="162"/>
      <c r="AC21" s="162"/>
    </row>
    <row r="22" spans="2:30" x14ac:dyDescent="0.25">
      <c r="B22" s="647"/>
      <c r="C22" s="7">
        <v>7.9379999999999997</v>
      </c>
      <c r="D22" s="7">
        <v>762</v>
      </c>
      <c r="E22" s="446">
        <f t="shared" si="0"/>
        <v>1.6532324993767314E-4</v>
      </c>
      <c r="F22" s="162"/>
    </row>
    <row r="23" spans="2:30" ht="15.75" thickBot="1" x14ac:dyDescent="0.3">
      <c r="B23" s="648"/>
      <c r="C23" s="11">
        <v>9.5250000000000004</v>
      </c>
      <c r="D23" s="11">
        <v>584.19999999999993</v>
      </c>
      <c r="E23" s="447">
        <f t="shared" si="0"/>
        <v>1.7971050434854497E-4</v>
      </c>
      <c r="F23" s="162"/>
    </row>
    <row r="24" spans="2:30" s="162" customFormat="1" ht="15.75" thickBot="1" x14ac:dyDescent="0.3">
      <c r="B24" s="440" t="s">
        <v>1026</v>
      </c>
      <c r="C24" s="455">
        <f>AVERAGE(E16:E23)</f>
        <v>1.3682624139038356E-4</v>
      </c>
      <c r="D24" s="456"/>
      <c r="E24" s="457"/>
    </row>
    <row r="25" spans="2:30" x14ac:dyDescent="0.25">
      <c r="B25" s="646" t="s">
        <v>243</v>
      </c>
      <c r="C25" s="10">
        <v>0.81</v>
      </c>
      <c r="D25" s="10">
        <v>19812</v>
      </c>
      <c r="E25" s="452">
        <f t="shared" si="0"/>
        <v>6.231414805343064E-5</v>
      </c>
    </row>
    <row r="26" spans="2:30" x14ac:dyDescent="0.25">
      <c r="B26" s="647"/>
      <c r="C26" s="7">
        <v>1.63</v>
      </c>
      <c r="D26" s="7">
        <v>5486.4</v>
      </c>
      <c r="E26" s="446">
        <f t="shared" si="0"/>
        <v>1.1182140064802739E-4</v>
      </c>
    </row>
    <row r="27" spans="2:30" x14ac:dyDescent="0.25">
      <c r="B27" s="647"/>
      <c r="C27" s="7">
        <v>2.31</v>
      </c>
      <c r="D27" s="7">
        <v>1879.6</v>
      </c>
      <c r="E27" s="446">
        <f t="shared" si="0"/>
        <v>2.3031519094511219E-4</v>
      </c>
    </row>
    <row r="28" spans="2:30" x14ac:dyDescent="0.25">
      <c r="B28" s="647"/>
      <c r="C28" s="7">
        <v>3.26</v>
      </c>
      <c r="D28" s="7">
        <v>1193.8</v>
      </c>
      <c r="E28" s="446">
        <f t="shared" si="0"/>
        <v>2.5695130361674378E-4</v>
      </c>
    </row>
    <row r="29" spans="2:30" ht="15.75" thickBot="1" x14ac:dyDescent="0.3">
      <c r="B29" s="648"/>
      <c r="C29" s="11">
        <v>4.12</v>
      </c>
      <c r="D29" s="11">
        <v>609.59999999999991</v>
      </c>
      <c r="E29" s="447">
        <f t="shared" si="0"/>
        <v>3.9816018143363152E-4</v>
      </c>
    </row>
    <row r="30" spans="2:30" s="162" customFormat="1" ht="15.75" thickBot="1" x14ac:dyDescent="0.3">
      <c r="B30" s="96" t="s">
        <v>1026</v>
      </c>
      <c r="C30" s="455">
        <f>AVERAGE(E25:E29)</f>
        <v>2.119124449393891E-4</v>
      </c>
      <c r="D30" s="456"/>
      <c r="E30" s="457"/>
    </row>
    <row r="31" spans="2:30" x14ac:dyDescent="0.25">
      <c r="B31" s="647" t="s">
        <v>244</v>
      </c>
      <c r="C31" s="24">
        <v>0.81</v>
      </c>
      <c r="D31" s="24">
        <v>7620</v>
      </c>
      <c r="E31" s="448">
        <f t="shared" si="0"/>
        <v>1.6201678493891965E-4</v>
      </c>
    </row>
    <row r="32" spans="2:30" x14ac:dyDescent="0.25">
      <c r="B32" s="647"/>
      <c r="C32" s="7">
        <v>1.63</v>
      </c>
      <c r="D32" s="7">
        <v>3048</v>
      </c>
      <c r="E32" s="446">
        <f t="shared" si="0"/>
        <v>2.0127852116644929E-4</v>
      </c>
    </row>
    <row r="33" spans="2:8" ht="15.75" thickBot="1" x14ac:dyDescent="0.3">
      <c r="B33" s="648"/>
      <c r="C33" s="11">
        <v>2.31</v>
      </c>
      <c r="D33" s="11">
        <v>711.19999999999993</v>
      </c>
      <c r="E33" s="447">
        <f t="shared" si="0"/>
        <v>6.0869014749779658E-4</v>
      </c>
    </row>
    <row r="34" spans="2:8" ht="15.75" thickBot="1" x14ac:dyDescent="0.3">
      <c r="B34" s="96" t="s">
        <v>1026</v>
      </c>
      <c r="C34" s="455">
        <f>AVERAGE(E31:E33)</f>
        <v>3.2399515120105519E-4</v>
      </c>
      <c r="D34" s="456"/>
      <c r="E34" s="457"/>
    </row>
    <row r="35" spans="2:8" ht="15.75" thickBot="1" x14ac:dyDescent="0.3"/>
    <row r="36" spans="2:8" ht="15.75" thickBot="1" x14ac:dyDescent="0.3">
      <c r="B36" s="678" t="s">
        <v>1034</v>
      </c>
      <c r="C36" s="679"/>
      <c r="D36" s="679"/>
      <c r="E36" s="680"/>
    </row>
    <row r="37" spans="2:8" ht="15.75" thickBot="1" x14ac:dyDescent="0.3">
      <c r="B37" s="467" t="s">
        <v>1035</v>
      </c>
      <c r="C37" s="450" t="s">
        <v>1037</v>
      </c>
      <c r="D37" s="450" t="s">
        <v>1038</v>
      </c>
      <c r="E37" s="451" t="s">
        <v>1039</v>
      </c>
    </row>
    <row r="38" spans="2:8" x14ac:dyDescent="0.25">
      <c r="B38" s="468" t="s">
        <v>273</v>
      </c>
      <c r="C38" s="684">
        <v>1273.5</v>
      </c>
      <c r="D38" s="686">
        <v>62</v>
      </c>
      <c r="E38" s="688">
        <v>10600</v>
      </c>
    </row>
    <row r="39" spans="2:8" ht="15.75" thickBot="1" x14ac:dyDescent="0.3">
      <c r="B39" s="469" t="s">
        <v>1030</v>
      </c>
      <c r="C39" s="685"/>
      <c r="D39" s="687"/>
      <c r="E39" s="689"/>
    </row>
    <row r="40" spans="2:8" ht="15.75" thickBot="1" x14ac:dyDescent="0.3">
      <c r="B40" s="469" t="s">
        <v>1029</v>
      </c>
      <c r="C40" s="672" t="s">
        <v>1040</v>
      </c>
      <c r="D40" s="673"/>
      <c r="E40" s="674"/>
    </row>
    <row r="41" spans="2:8" ht="15.75" thickBot="1" x14ac:dyDescent="0.3">
      <c r="B41" s="470" t="s">
        <v>1036</v>
      </c>
      <c r="C41" s="681">
        <f>D38*E38/C38*60</f>
        <v>30963.486454652528</v>
      </c>
      <c r="D41" s="682"/>
      <c r="E41" s="683"/>
    </row>
    <row r="42" spans="2:8" ht="15.75" thickBot="1" x14ac:dyDescent="0.3">
      <c r="B42" s="672" t="s">
        <v>1041</v>
      </c>
      <c r="C42" s="673"/>
      <c r="D42" s="673"/>
      <c r="E42" s="674"/>
      <c r="F42" s="454"/>
    </row>
    <row r="43" spans="2:8" ht="15.75" thickBot="1" x14ac:dyDescent="0.3">
      <c r="B43" s="675">
        <f>C41/60*1/C24</f>
        <v>3771631.1018524538</v>
      </c>
      <c r="C43" s="676"/>
      <c r="D43" s="676"/>
      <c r="E43" s="677"/>
    </row>
    <row r="45" spans="2:8" x14ac:dyDescent="0.25">
      <c r="B45" s="162"/>
      <c r="C45" s="162"/>
      <c r="D45" s="162"/>
      <c r="E45" s="162"/>
      <c r="F45" s="162"/>
      <c r="G45" s="162"/>
      <c r="H45" s="162"/>
    </row>
    <row r="46" spans="2:8" x14ac:dyDescent="0.25">
      <c r="B46" s="162"/>
      <c r="C46" s="162"/>
      <c r="D46" s="162"/>
      <c r="E46" s="162"/>
      <c r="F46" s="162"/>
      <c r="G46" s="162"/>
      <c r="H46" s="162"/>
    </row>
    <row r="47" spans="2:8" x14ac:dyDescent="0.25">
      <c r="B47" s="162"/>
      <c r="C47" s="162"/>
      <c r="D47" s="162"/>
      <c r="E47" s="162"/>
      <c r="F47" s="162"/>
      <c r="G47" s="162"/>
      <c r="H47" s="162"/>
    </row>
    <row r="48" spans="2:8" x14ac:dyDescent="0.25">
      <c r="B48" s="162"/>
      <c r="C48" s="162"/>
      <c r="D48" s="162"/>
      <c r="E48" s="162"/>
      <c r="F48" s="162"/>
      <c r="G48" s="162"/>
      <c r="H48" s="162"/>
    </row>
  </sheetData>
  <mergeCells count="13">
    <mergeCell ref="B2:F2"/>
    <mergeCell ref="B42:E42"/>
    <mergeCell ref="B43:E43"/>
    <mergeCell ref="B13:E13"/>
    <mergeCell ref="B15:B23"/>
    <mergeCell ref="B25:B29"/>
    <mergeCell ref="B31:B33"/>
    <mergeCell ref="B36:E36"/>
    <mergeCell ref="C40:E40"/>
    <mergeCell ref="C41:E41"/>
    <mergeCell ref="C38:C39"/>
    <mergeCell ref="D38:D39"/>
    <mergeCell ref="E38:E39"/>
  </mergeCells>
  <hyperlinks>
    <hyperlink ref="F4" r:id="rId1" xr:uid="{17817487-9054-4A68-8C63-57D3D78CA759}"/>
    <hyperlink ref="F6" r:id="rId2" xr:uid="{C742E5B7-813F-4415-9E30-8FB7A8326D71}"/>
    <hyperlink ref="F5" r:id="rId3" xr:uid="{D3221578-D486-493F-803A-8659562FCF00}"/>
    <hyperlink ref="F11" r:id="rId4" xr:uid="{E4E7298E-3EC2-4741-9809-B2585496676E}"/>
  </hyperlinks>
  <pageMargins left="0.7" right="0.7" top="0.75" bottom="0.75" header="0.3" footer="0.3"/>
  <pageSetup orientation="portrait" r:id="rId5"/>
  <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N34"/>
  <sheetViews>
    <sheetView showGridLines="0" workbookViewId="0">
      <selection activeCell="E33" sqref="E33"/>
    </sheetView>
  </sheetViews>
  <sheetFormatPr baseColWidth="10" defaultRowHeight="15" x14ac:dyDescent="0.25"/>
  <cols>
    <col min="1" max="1" width="2.85546875" style="39" customWidth="1"/>
    <col min="2" max="2" width="16.85546875" style="39" bestFit="1" customWidth="1"/>
    <col min="3" max="3" width="45.42578125" style="39" bestFit="1" customWidth="1"/>
    <col min="4" max="4" width="11.5703125" style="39" bestFit="1" customWidth="1"/>
    <col min="5" max="5" width="10.28515625" style="39" bestFit="1" customWidth="1"/>
    <col min="6" max="6" width="105.28515625" style="39" bestFit="1" customWidth="1"/>
    <col min="7" max="7" width="10.28515625" style="39" bestFit="1" customWidth="1"/>
    <col min="8" max="8" width="13.5703125" style="39" customWidth="1"/>
    <col min="9" max="16384" width="11.42578125" style="39"/>
  </cols>
  <sheetData>
    <row r="1" spans="1:14" ht="15.75" thickBot="1" x14ac:dyDescent="0.3"/>
    <row r="2" spans="1:14" ht="15.75" thickBot="1" x14ac:dyDescent="0.3">
      <c r="A2" s="75"/>
      <c r="B2" s="640" t="s">
        <v>396</v>
      </c>
      <c r="C2" s="641"/>
      <c r="D2" s="641"/>
      <c r="E2" s="641"/>
      <c r="F2" s="642"/>
    </row>
    <row r="3" spans="1:14" ht="15.75" thickBot="1" x14ac:dyDescent="0.3">
      <c r="A3" s="75"/>
      <c r="B3" s="86" t="s">
        <v>22</v>
      </c>
      <c r="C3" s="87" t="s">
        <v>161</v>
      </c>
      <c r="D3" s="87" t="s">
        <v>139</v>
      </c>
      <c r="E3" s="87" t="s">
        <v>140</v>
      </c>
      <c r="F3" s="88" t="s">
        <v>149</v>
      </c>
      <c r="N3" s="78"/>
    </row>
    <row r="4" spans="1:14" x14ac:dyDescent="0.25">
      <c r="A4" s="75"/>
      <c r="B4" s="40" t="s">
        <v>63</v>
      </c>
      <c r="C4" s="41"/>
      <c r="D4" s="89">
        <f>E4*1.2</f>
        <v>5908.19</v>
      </c>
      <c r="E4" s="85">
        <f>5908.19/1.2</f>
        <v>4923.4916666666668</v>
      </c>
      <c r="F4" s="32" t="s">
        <v>64</v>
      </c>
    </row>
    <row r="5" spans="1:14" x14ac:dyDescent="0.25">
      <c r="A5" s="75"/>
      <c r="B5" s="82" t="s">
        <v>176</v>
      </c>
      <c r="C5" s="79"/>
      <c r="D5" s="89">
        <f t="shared" ref="D5:D11" si="0">E5*1.2</f>
        <v>1221.5039999999999</v>
      </c>
      <c r="E5" s="80">
        <v>1017.92</v>
      </c>
      <c r="F5" s="34" t="s">
        <v>177</v>
      </c>
    </row>
    <row r="6" spans="1:14" x14ac:dyDescent="0.25">
      <c r="A6" s="75"/>
      <c r="B6" s="82" t="s">
        <v>31</v>
      </c>
      <c r="C6" s="79"/>
      <c r="D6" s="89">
        <f t="shared" si="0"/>
        <v>3546.576</v>
      </c>
      <c r="E6" s="80">
        <v>2955.48</v>
      </c>
      <c r="F6" s="34" t="s">
        <v>178</v>
      </c>
    </row>
    <row r="7" spans="1:14" x14ac:dyDescent="0.25">
      <c r="A7" s="75"/>
      <c r="B7" s="82" t="s">
        <v>404</v>
      </c>
      <c r="C7" s="79" t="s">
        <v>403</v>
      </c>
      <c r="D7" s="89">
        <f t="shared" si="0"/>
        <v>5220</v>
      </c>
      <c r="E7" s="80">
        <v>4350</v>
      </c>
      <c r="F7" s="34" t="s">
        <v>397</v>
      </c>
      <c r="I7" s="78"/>
    </row>
    <row r="8" spans="1:14" x14ac:dyDescent="0.25">
      <c r="A8" s="75"/>
      <c r="B8" s="82" t="s">
        <v>402</v>
      </c>
      <c r="C8" s="79" t="s">
        <v>401</v>
      </c>
      <c r="D8" s="89">
        <f t="shared" si="0"/>
        <v>393.59999999999997</v>
      </c>
      <c r="E8" s="80">
        <v>328</v>
      </c>
      <c r="F8" s="91" t="s">
        <v>399</v>
      </c>
    </row>
    <row r="9" spans="1:14" x14ac:dyDescent="0.25">
      <c r="A9" s="75"/>
      <c r="B9" s="82" t="s">
        <v>400</v>
      </c>
      <c r="C9" s="79" t="s">
        <v>401</v>
      </c>
      <c r="D9" s="89">
        <f t="shared" si="0"/>
        <v>1422</v>
      </c>
      <c r="E9" s="80">
        <v>1185</v>
      </c>
      <c r="F9" s="34" t="s">
        <v>398</v>
      </c>
    </row>
    <row r="10" spans="1:14" x14ac:dyDescent="0.25">
      <c r="A10" s="75"/>
      <c r="B10" s="82" t="s">
        <v>67</v>
      </c>
      <c r="C10" s="79"/>
      <c r="D10" s="89">
        <f t="shared" si="0"/>
        <v>182.12</v>
      </c>
      <c r="E10" s="80">
        <f>182.12/1.2</f>
        <v>151.76666666666668</v>
      </c>
      <c r="F10" s="34" t="s">
        <v>66</v>
      </c>
    </row>
    <row r="11" spans="1:14" ht="15.75" thickBot="1" x14ac:dyDescent="0.3">
      <c r="A11" s="75"/>
      <c r="B11" s="83" t="s">
        <v>69</v>
      </c>
      <c r="C11" s="84"/>
      <c r="D11" s="92">
        <f t="shared" si="0"/>
        <v>116</v>
      </c>
      <c r="E11" s="42">
        <f>116/1.2</f>
        <v>96.666666666666671</v>
      </c>
      <c r="F11" s="35" t="s">
        <v>68</v>
      </c>
    </row>
    <row r="12" spans="1:14" ht="15.75" thickBot="1" x14ac:dyDescent="0.3">
      <c r="A12" s="75"/>
    </row>
    <row r="13" spans="1:14" ht="15.75" thickBot="1" x14ac:dyDescent="0.3">
      <c r="A13" s="75"/>
      <c r="C13" s="640" t="s">
        <v>405</v>
      </c>
      <c r="D13" s="641"/>
      <c r="E13" s="641"/>
      <c r="F13" s="642"/>
    </row>
    <row r="14" spans="1:14" ht="15.75" thickBot="1" x14ac:dyDescent="0.3">
      <c r="A14" s="75"/>
      <c r="C14" s="643" t="s">
        <v>277</v>
      </c>
      <c r="D14" s="644"/>
      <c r="E14" s="644"/>
      <c r="F14" s="645"/>
    </row>
    <row r="15" spans="1:14" ht="15.75" thickBot="1" x14ac:dyDescent="0.3">
      <c r="A15" s="75"/>
      <c r="C15" s="96"/>
      <c r="D15" s="93" t="s">
        <v>34</v>
      </c>
      <c r="E15" s="87" t="s">
        <v>406</v>
      </c>
      <c r="F15" s="88" t="s">
        <v>149</v>
      </c>
    </row>
    <row r="16" spans="1:14" ht="15.75" thickBot="1" x14ac:dyDescent="0.3">
      <c r="A16" s="75"/>
      <c r="C16" s="98" t="s">
        <v>407</v>
      </c>
      <c r="D16" s="99">
        <v>200</v>
      </c>
      <c r="E16" s="662" t="s">
        <v>414</v>
      </c>
      <c r="F16" s="663"/>
    </row>
    <row r="17" spans="1:6" ht="15.75" thickBot="1" x14ac:dyDescent="0.3">
      <c r="A17" s="75"/>
      <c r="C17" s="96" t="s">
        <v>408</v>
      </c>
      <c r="D17" s="94">
        <v>18</v>
      </c>
      <c r="E17" s="664"/>
      <c r="F17" s="665"/>
    </row>
    <row r="18" spans="1:6" ht="15.75" thickBot="1" x14ac:dyDescent="0.3">
      <c r="A18" s="75"/>
      <c r="C18" s="96" t="s">
        <v>278</v>
      </c>
      <c r="D18" s="95">
        <f>D17*5/228</f>
        <v>0.39473684210526316</v>
      </c>
      <c r="E18" s="664"/>
      <c r="F18" s="665"/>
    </row>
    <row r="19" spans="1:6" ht="15.75" thickBot="1" x14ac:dyDescent="0.3">
      <c r="A19" s="75"/>
      <c r="C19" s="96" t="s">
        <v>279</v>
      </c>
      <c r="D19" s="94">
        <v>5.5</v>
      </c>
      <c r="E19" s="664"/>
      <c r="F19" s="665"/>
    </row>
    <row r="20" spans="1:6" ht="15.75" thickBot="1" x14ac:dyDescent="0.3">
      <c r="A20" s="75"/>
      <c r="C20" s="96" t="s">
        <v>280</v>
      </c>
      <c r="D20" s="97">
        <f>D18/D19*D16</f>
        <v>14.354066985645932</v>
      </c>
      <c r="E20" s="666"/>
      <c r="F20" s="667"/>
    </row>
    <row r="21" spans="1:6" ht="15.75" thickBot="1" x14ac:dyDescent="0.3">
      <c r="A21" s="75"/>
      <c r="C21" s="643" t="s">
        <v>413</v>
      </c>
      <c r="D21" s="644"/>
      <c r="E21" s="644"/>
      <c r="F21" s="645"/>
    </row>
    <row r="22" spans="1:6" ht="15.75" thickBot="1" x14ac:dyDescent="0.3">
      <c r="A22" s="75"/>
      <c r="C22" s="96"/>
      <c r="D22" s="93" t="s">
        <v>34</v>
      </c>
      <c r="E22" s="668" t="s">
        <v>149</v>
      </c>
      <c r="F22" s="669"/>
    </row>
    <row r="23" spans="1:6" ht="15.75" thickBot="1" x14ac:dyDescent="0.3">
      <c r="C23" s="96" t="s">
        <v>281</v>
      </c>
      <c r="D23" s="79">
        <v>78</v>
      </c>
      <c r="E23" s="662" t="s">
        <v>409</v>
      </c>
      <c r="F23" s="663"/>
    </row>
    <row r="24" spans="1:6" ht="15.75" thickBot="1" x14ac:dyDescent="0.3">
      <c r="C24" s="96" t="s">
        <v>410</v>
      </c>
      <c r="D24" s="79">
        <v>1.6</v>
      </c>
      <c r="E24" s="664"/>
      <c r="F24" s="665"/>
    </row>
    <row r="25" spans="1:6" ht="15.75" thickBot="1" x14ac:dyDescent="0.3">
      <c r="C25" s="96" t="s">
        <v>282</v>
      </c>
      <c r="D25" s="79">
        <v>1.3</v>
      </c>
      <c r="E25" s="664"/>
      <c r="F25" s="665"/>
    </row>
    <row r="26" spans="1:6" ht="15.75" thickBot="1" x14ac:dyDescent="0.3">
      <c r="A26" s="75"/>
      <c r="C26" s="96" t="s">
        <v>411</v>
      </c>
      <c r="D26" s="79">
        <f>7.8*1000*PI()*(D24*0.001)^2*1</f>
        <v>6.2731322106880996E-2</v>
      </c>
      <c r="E26" s="664"/>
      <c r="F26" s="665"/>
    </row>
    <row r="27" spans="1:6" ht="15.75" thickBot="1" x14ac:dyDescent="0.3">
      <c r="A27" s="75"/>
      <c r="C27" s="96" t="s">
        <v>418</v>
      </c>
      <c r="D27" s="116">
        <f>D23*D26</f>
        <v>4.8930431243367174</v>
      </c>
      <c r="E27" s="666"/>
      <c r="F27" s="667"/>
    </row>
    <row r="28" spans="1:6" ht="15.75" thickBot="1" x14ac:dyDescent="0.3">
      <c r="A28" s="75"/>
      <c r="C28" s="690" t="s">
        <v>303</v>
      </c>
      <c r="D28" s="691"/>
      <c r="E28" s="691"/>
      <c r="F28" s="692"/>
    </row>
    <row r="29" spans="1:6" ht="15.75" thickBot="1" x14ac:dyDescent="0.3">
      <c r="A29" s="75"/>
      <c r="C29" s="100"/>
      <c r="D29" s="101" t="s">
        <v>34</v>
      </c>
      <c r="E29" s="668" t="s">
        <v>149</v>
      </c>
      <c r="F29" s="669"/>
    </row>
    <row r="30" spans="1:6" ht="15.75" thickBot="1" x14ac:dyDescent="0.3">
      <c r="A30" s="75"/>
      <c r="C30" s="96" t="s">
        <v>493</v>
      </c>
      <c r="D30" s="102">
        <f>156-36</f>
        <v>120</v>
      </c>
      <c r="E30" s="662" t="s">
        <v>412</v>
      </c>
      <c r="F30" s="663"/>
    </row>
    <row r="31" spans="1:6" ht="15.75" thickBot="1" x14ac:dyDescent="0.3">
      <c r="A31" s="75"/>
      <c r="C31" s="96" t="s">
        <v>1043</v>
      </c>
      <c r="D31" s="81">
        <f>2*'Manpower &amp; time'!H16</f>
        <v>55.666772252138102</v>
      </c>
      <c r="E31" s="664"/>
      <c r="F31" s="665"/>
    </row>
    <row r="32" spans="1:6" ht="15.75" thickBot="1" x14ac:dyDescent="0.3">
      <c r="A32" s="75"/>
      <c r="C32" s="96" t="s">
        <v>1044</v>
      </c>
      <c r="D32" s="90">
        <f>D31*D30</f>
        <v>6680.0126702565722</v>
      </c>
      <c r="E32" s="666"/>
      <c r="F32" s="667"/>
    </row>
    <row r="33" spans="3:4" ht="15.75" thickBot="1" x14ac:dyDescent="0.3"/>
    <row r="34" spans="3:4" ht="15.75" thickBot="1" x14ac:dyDescent="0.3">
      <c r="C34" s="121" t="s">
        <v>494</v>
      </c>
      <c r="D34" s="122">
        <f>SUM(D20,D27,D32)</f>
        <v>6699.2597803665549</v>
      </c>
    </row>
  </sheetData>
  <mergeCells count="10">
    <mergeCell ref="C14:F14"/>
    <mergeCell ref="C21:F21"/>
    <mergeCell ref="B2:F2"/>
    <mergeCell ref="C13:F13"/>
    <mergeCell ref="E30:F32"/>
    <mergeCell ref="E22:F22"/>
    <mergeCell ref="E23:F27"/>
    <mergeCell ref="E16:F20"/>
    <mergeCell ref="C28:F28"/>
    <mergeCell ref="E29:F29"/>
  </mergeCells>
  <hyperlinks>
    <hyperlink ref="F7" r:id="rId1" xr:uid="{00000000-0004-0000-0A00-000000000000}"/>
    <hyperlink ref="F4" r:id="rId2" xr:uid="{00000000-0004-0000-0A00-000003000000}"/>
    <hyperlink ref="F6" r:id="rId3" xr:uid="{00000000-0004-0000-0A00-000004000000}"/>
    <hyperlink ref="F5" r:id="rId4" xr:uid="{5120C19D-491D-4E5B-89C1-8686C76B5B2B}"/>
    <hyperlink ref="F9" r:id="rId5" xr:uid="{66BF594B-4A31-4282-B626-B0B6B928A2FE}"/>
    <hyperlink ref="F10" r:id="rId6" xr:uid="{04D0FF48-600A-44AB-83A0-23258AD99983}"/>
    <hyperlink ref="F11" r:id="rId7" xr:uid="{FA24D7B5-B09A-4622-837A-18941FED5801}"/>
    <hyperlink ref="F8" r:id="rId8" xr:uid="{C3A9DDC6-C30A-4F8C-9990-F0DA350AA1C2}"/>
  </hyperlinks>
  <pageMargins left="0.7" right="0.7" top="0.75" bottom="0.75" header="0.3" footer="0.3"/>
  <pageSetup orientation="portrait"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7386A-56F2-47DD-949F-0FA0C9B5F045}">
  <sheetPr>
    <tabColor theme="7"/>
  </sheetPr>
  <dimension ref="A1:G4"/>
  <sheetViews>
    <sheetView showGridLines="0" workbookViewId="0">
      <selection activeCell="G4" sqref="G4"/>
    </sheetView>
  </sheetViews>
  <sheetFormatPr baseColWidth="10" defaultRowHeight="15" x14ac:dyDescent="0.25"/>
  <cols>
    <col min="1" max="1" width="3" style="162" customWidth="1"/>
    <col min="2" max="2" width="20.85546875" style="162" bestFit="1" customWidth="1"/>
    <col min="3" max="3" width="35.140625" style="162" bestFit="1" customWidth="1"/>
    <col min="4" max="4" width="25.85546875" style="162" bestFit="1" customWidth="1"/>
    <col min="5" max="5" width="17" style="162" bestFit="1" customWidth="1"/>
    <col min="6" max="6" width="16.5703125" style="162" bestFit="1" customWidth="1"/>
    <col min="7" max="7" width="126.7109375" style="162" bestFit="1" customWidth="1"/>
    <col min="8" max="16384" width="11.42578125" style="162"/>
  </cols>
  <sheetData>
    <row r="1" spans="1:7" ht="15.75" thickBot="1" x14ac:dyDescent="0.3"/>
    <row r="2" spans="1:7" ht="15.75" thickBot="1" x14ac:dyDescent="0.3">
      <c r="A2" s="75"/>
      <c r="B2" s="326" t="s">
        <v>24</v>
      </c>
      <c r="C2" s="326" t="s">
        <v>22</v>
      </c>
      <c r="D2" s="326" t="s">
        <v>429</v>
      </c>
      <c r="E2" s="326" t="s">
        <v>351</v>
      </c>
      <c r="F2" s="326" t="s">
        <v>350</v>
      </c>
      <c r="G2" s="326" t="s">
        <v>149</v>
      </c>
    </row>
    <row r="3" spans="1:7" x14ac:dyDescent="0.25">
      <c r="A3" s="75"/>
      <c r="B3" s="693" t="s">
        <v>497</v>
      </c>
      <c r="C3" s="12" t="s">
        <v>308</v>
      </c>
      <c r="D3" s="10"/>
      <c r="E3" s="15">
        <v>15000</v>
      </c>
      <c r="F3" s="327">
        <f>E3*(1+Summary!$D$17)</f>
        <v>18000</v>
      </c>
      <c r="G3" s="26" t="s">
        <v>306</v>
      </c>
    </row>
    <row r="4" spans="1:7" ht="15.75" thickBot="1" x14ac:dyDescent="0.3">
      <c r="A4" s="75"/>
      <c r="B4" s="694"/>
      <c r="C4" s="14" t="s">
        <v>309</v>
      </c>
      <c r="D4" s="11"/>
      <c r="E4" s="16">
        <v>10000</v>
      </c>
      <c r="F4" s="328">
        <f>E4*(1+Summary!$D$17)</f>
        <v>12000</v>
      </c>
      <c r="G4" s="20" t="s">
        <v>307</v>
      </c>
    </row>
  </sheetData>
  <mergeCells count="1">
    <mergeCell ref="B3:B4"/>
  </mergeCells>
  <hyperlinks>
    <hyperlink ref="G4" r:id="rId1" xr:uid="{A70AD89B-72EC-4336-9F1C-95460657CD61}"/>
    <hyperlink ref="G3" r:id="rId2" xr:uid="{B6EF5E63-1159-484F-B9B1-DFF2932617D9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1348A-508F-4576-AF4D-76BB7EA34D19}">
  <sheetPr>
    <tabColor theme="7"/>
  </sheetPr>
  <dimension ref="A1:F53"/>
  <sheetViews>
    <sheetView showGridLines="0" topLeftCell="B14" zoomScale="96" workbookViewId="0">
      <selection activeCell="C16" sqref="C16"/>
    </sheetView>
  </sheetViews>
  <sheetFormatPr baseColWidth="10" defaultRowHeight="15" x14ac:dyDescent="0.25"/>
  <cols>
    <col min="1" max="1" width="3.28515625" customWidth="1"/>
    <col min="2" max="2" width="40.28515625" bestFit="1" customWidth="1"/>
    <col min="3" max="3" width="69.28515625" bestFit="1" customWidth="1"/>
    <col min="4" max="5" width="14" bestFit="1" customWidth="1"/>
    <col min="6" max="6" width="187.28515625" bestFit="1" customWidth="1"/>
    <col min="8" max="8" width="16.85546875" bestFit="1" customWidth="1"/>
    <col min="10" max="10" width="8.5703125" bestFit="1" customWidth="1"/>
  </cols>
  <sheetData>
    <row r="1" spans="1:6" ht="15.75" thickBot="1" x14ac:dyDescent="0.3"/>
    <row r="2" spans="1:6" ht="15.75" thickBot="1" x14ac:dyDescent="0.3">
      <c r="B2" s="640" t="s">
        <v>446</v>
      </c>
      <c r="C2" s="641"/>
      <c r="D2" s="641"/>
      <c r="E2" s="641"/>
      <c r="F2" s="642"/>
    </row>
    <row r="3" spans="1:6" ht="15.75" thickBot="1" x14ac:dyDescent="0.3">
      <c r="B3" s="86" t="s">
        <v>22</v>
      </c>
      <c r="C3" s="87" t="s">
        <v>161</v>
      </c>
      <c r="D3" s="160" t="s">
        <v>140</v>
      </c>
      <c r="E3" s="160" t="s">
        <v>139</v>
      </c>
      <c r="F3" s="88" t="s">
        <v>149</v>
      </c>
    </row>
    <row r="4" spans="1:6" x14ac:dyDescent="0.25">
      <c r="A4" s="75"/>
      <c r="B4" s="21" t="s">
        <v>447</v>
      </c>
      <c r="C4" s="24" t="s">
        <v>448</v>
      </c>
      <c r="D4" s="23">
        <f t="shared" ref="D4:D12" si="0">E4/1.2</f>
        <v>280.83333333333337</v>
      </c>
      <c r="E4" s="23">
        <v>337</v>
      </c>
      <c r="F4" s="22" t="s">
        <v>449</v>
      </c>
    </row>
    <row r="5" spans="1:6" x14ac:dyDescent="0.25">
      <c r="A5" s="75"/>
      <c r="B5" s="17" t="s">
        <v>450</v>
      </c>
      <c r="C5" s="7" t="s">
        <v>451</v>
      </c>
      <c r="D5" s="8">
        <f t="shared" si="0"/>
        <v>573.33333333333337</v>
      </c>
      <c r="E5" s="8">
        <v>688</v>
      </c>
      <c r="F5" s="18" t="s">
        <v>452</v>
      </c>
    </row>
    <row r="6" spans="1:6" x14ac:dyDescent="0.25">
      <c r="A6" s="75"/>
      <c r="B6" s="17" t="s">
        <v>453</v>
      </c>
      <c r="C6" s="7" t="s">
        <v>454</v>
      </c>
      <c r="D6" s="8">
        <f t="shared" si="0"/>
        <v>158.33333333333334</v>
      </c>
      <c r="E6" s="8">
        <v>190</v>
      </c>
      <c r="F6" s="18" t="s">
        <v>455</v>
      </c>
    </row>
    <row r="7" spans="1:6" x14ac:dyDescent="0.25">
      <c r="A7" s="75"/>
      <c r="B7" s="17" t="s">
        <v>456</v>
      </c>
      <c r="C7" s="7" t="s">
        <v>457</v>
      </c>
      <c r="D7" s="8">
        <f t="shared" si="0"/>
        <v>154.16666666666669</v>
      </c>
      <c r="E7" s="8">
        <v>185</v>
      </c>
      <c r="F7" s="18" t="s">
        <v>458</v>
      </c>
    </row>
    <row r="8" spans="1:6" x14ac:dyDescent="0.25">
      <c r="A8" s="75"/>
      <c r="B8" s="17" t="s">
        <v>459</v>
      </c>
      <c r="C8" s="7" t="s">
        <v>460</v>
      </c>
      <c r="D8" s="8">
        <f t="shared" si="0"/>
        <v>1495.8333333333335</v>
      </c>
      <c r="E8" s="8">
        <v>1795</v>
      </c>
      <c r="F8" s="18" t="s">
        <v>461</v>
      </c>
    </row>
    <row r="9" spans="1:6" x14ac:dyDescent="0.25">
      <c r="A9" s="75"/>
      <c r="B9" s="17" t="s">
        <v>462</v>
      </c>
      <c r="C9" s="7" t="s">
        <v>463</v>
      </c>
      <c r="D9" s="8">
        <f t="shared" si="0"/>
        <v>14.916666666666666</v>
      </c>
      <c r="E9" s="8">
        <v>17.899999999999999</v>
      </c>
      <c r="F9" s="18" t="s">
        <v>464</v>
      </c>
    </row>
    <row r="10" spans="1:6" x14ac:dyDescent="0.25">
      <c r="A10" s="75"/>
      <c r="B10" s="17" t="s">
        <v>462</v>
      </c>
      <c r="C10" s="7" t="s">
        <v>465</v>
      </c>
      <c r="D10" s="8">
        <f t="shared" si="0"/>
        <v>15.75</v>
      </c>
      <c r="E10" s="8">
        <v>18.899999999999999</v>
      </c>
      <c r="F10" s="18" t="s">
        <v>466</v>
      </c>
    </row>
    <row r="11" spans="1:6" x14ac:dyDescent="0.25">
      <c r="A11" s="75"/>
      <c r="B11" s="17" t="s">
        <v>467</v>
      </c>
      <c r="C11" s="7" t="s">
        <v>468</v>
      </c>
      <c r="D11" s="8">
        <f t="shared" si="0"/>
        <v>14.083333333333332</v>
      </c>
      <c r="E11" s="8">
        <v>16.899999999999999</v>
      </c>
      <c r="F11" s="18" t="s">
        <v>469</v>
      </c>
    </row>
    <row r="12" spans="1:6" ht="15.75" thickBot="1" x14ac:dyDescent="0.3">
      <c r="A12" s="75"/>
      <c r="B12" s="19" t="s">
        <v>470</v>
      </c>
      <c r="C12" s="11"/>
      <c r="D12" s="16">
        <f t="shared" si="0"/>
        <v>1746.25</v>
      </c>
      <c r="E12" s="16">
        <v>2095.5</v>
      </c>
      <c r="F12" s="20" t="s">
        <v>471</v>
      </c>
    </row>
    <row r="13" spans="1:6" ht="15.75" thickBot="1" x14ac:dyDescent="0.3">
      <c r="D13" s="2"/>
      <c r="E13" s="2"/>
      <c r="F13" s="3"/>
    </row>
    <row r="14" spans="1:6" ht="15.75" thickBot="1" x14ac:dyDescent="0.3">
      <c r="B14" s="640" t="s">
        <v>423</v>
      </c>
      <c r="C14" s="641"/>
      <c r="D14" s="641"/>
      <c r="E14" s="641"/>
      <c r="F14" s="642"/>
    </row>
    <row r="15" spans="1:6" ht="15.75" thickBot="1" x14ac:dyDescent="0.3">
      <c r="B15" s="86" t="s">
        <v>22</v>
      </c>
      <c r="C15" s="87" t="s">
        <v>161</v>
      </c>
      <c r="D15" s="160" t="s">
        <v>140</v>
      </c>
      <c r="E15" s="160" t="s">
        <v>139</v>
      </c>
      <c r="F15" s="88" t="s">
        <v>149</v>
      </c>
    </row>
    <row r="16" spans="1:6" x14ac:dyDescent="0.25">
      <c r="B16" s="21" t="s">
        <v>472</v>
      </c>
      <c r="C16" s="522" t="s">
        <v>1084</v>
      </c>
      <c r="D16" s="23">
        <f>300000/1.2</f>
        <v>250000</v>
      </c>
      <c r="E16" s="23">
        <v>300000</v>
      </c>
      <c r="F16" s="124" t="s">
        <v>1085</v>
      </c>
    </row>
    <row r="17" spans="1:6" x14ac:dyDescent="0.25">
      <c r="A17" s="75"/>
      <c r="B17" s="17" t="s">
        <v>473</v>
      </c>
      <c r="C17" s="7" t="s">
        <v>474</v>
      </c>
      <c r="D17" s="8">
        <f>E17/1.2</f>
        <v>25675</v>
      </c>
      <c r="E17" s="8">
        <v>30810</v>
      </c>
      <c r="F17" s="18" t="s">
        <v>475</v>
      </c>
    </row>
    <row r="18" spans="1:6" ht="15.75" thickBot="1" x14ac:dyDescent="0.3">
      <c r="A18" s="75"/>
      <c r="B18" s="19" t="s">
        <v>476</v>
      </c>
      <c r="C18" s="11" t="s">
        <v>477</v>
      </c>
      <c r="D18" s="16">
        <f>E18/1.2</f>
        <v>5825</v>
      </c>
      <c r="E18" s="16">
        <v>6990</v>
      </c>
      <c r="F18" s="20" t="s">
        <v>478</v>
      </c>
    </row>
    <row r="19" spans="1:6" x14ac:dyDescent="0.25">
      <c r="D19" s="2"/>
      <c r="E19" s="2"/>
    </row>
    <row r="20" spans="1:6" ht="15.75" thickBot="1" x14ac:dyDescent="0.3">
      <c r="D20" s="2"/>
      <c r="E20" s="2"/>
    </row>
    <row r="21" spans="1:6" ht="15.75" thickBot="1" x14ac:dyDescent="0.3">
      <c r="B21" s="640" t="s">
        <v>405</v>
      </c>
      <c r="C21" s="641"/>
      <c r="D21" s="699"/>
      <c r="E21" s="699"/>
      <c r="F21" s="695"/>
    </row>
    <row r="22" spans="1:6" x14ac:dyDescent="0.25">
      <c r="B22" s="693" t="s">
        <v>22</v>
      </c>
      <c r="C22" s="524" t="s">
        <v>161</v>
      </c>
      <c r="D22" s="700" t="s">
        <v>1094</v>
      </c>
      <c r="E22" s="702" t="s">
        <v>1095</v>
      </c>
      <c r="F22" s="704" t="s">
        <v>149</v>
      </c>
    </row>
    <row r="23" spans="1:6" ht="15.75" thickBot="1" x14ac:dyDescent="0.3">
      <c r="B23" s="694"/>
      <c r="C23" s="523" t="s">
        <v>1091</v>
      </c>
      <c r="D23" s="701"/>
      <c r="E23" s="703"/>
      <c r="F23" s="705"/>
    </row>
    <row r="24" spans="1:6" s="162" customFormat="1" x14ac:dyDescent="0.25">
      <c r="B24" s="118" t="s">
        <v>1102</v>
      </c>
      <c r="C24" s="528" t="s">
        <v>1105</v>
      </c>
      <c r="D24" s="15">
        <v>24.96</v>
      </c>
      <c r="E24" s="15">
        <f>D24*(1+Summary!$D$17)</f>
        <v>29.951999999999998</v>
      </c>
      <c r="F24" s="26" t="s">
        <v>1092</v>
      </c>
    </row>
    <row r="25" spans="1:6" s="162" customFormat="1" x14ac:dyDescent="0.25">
      <c r="A25" s="75"/>
      <c r="B25" s="21" t="s">
        <v>1109</v>
      </c>
      <c r="C25" s="522" t="s">
        <v>1110</v>
      </c>
      <c r="D25" s="23">
        <v>6.45</v>
      </c>
      <c r="E25" s="23">
        <f>D25*(1+Summary!$D$17)</f>
        <v>7.74</v>
      </c>
      <c r="F25" s="22" t="s">
        <v>1093</v>
      </c>
    </row>
    <row r="26" spans="1:6" x14ac:dyDescent="0.25">
      <c r="A26" s="75"/>
      <c r="B26" s="17" t="s">
        <v>1099</v>
      </c>
      <c r="C26" s="7" t="s">
        <v>1100</v>
      </c>
      <c r="D26" s="8">
        <v>8.1999999999999993</v>
      </c>
      <c r="E26" s="23">
        <f>D26*(1+Summary!$D$17)</f>
        <v>9.8399999999999981</v>
      </c>
      <c r="F26" s="18" t="s">
        <v>1098</v>
      </c>
    </row>
    <row r="27" spans="1:6" s="162" customFormat="1" ht="15.75" thickBot="1" x14ac:dyDescent="0.3">
      <c r="B27" s="19" t="s">
        <v>1101</v>
      </c>
      <c r="C27" s="11" t="s">
        <v>1106</v>
      </c>
      <c r="D27" s="16">
        <v>40</v>
      </c>
      <c r="E27" s="199">
        <f>D27*(1+Summary!$D$17)</f>
        <v>48</v>
      </c>
      <c r="F27" s="20" t="s">
        <v>1103</v>
      </c>
    </row>
    <row r="28" spans="1:6" ht="15.75" thickBot="1" x14ac:dyDescent="0.3">
      <c r="D28" s="162"/>
      <c r="E28" s="162"/>
      <c r="F28" s="162"/>
    </row>
    <row r="29" spans="1:6" ht="15.75" thickBot="1" x14ac:dyDescent="0.3">
      <c r="B29" s="640" t="s">
        <v>1096</v>
      </c>
      <c r="C29" s="695"/>
      <c r="D29" s="162"/>
      <c r="E29" s="162"/>
      <c r="F29" s="162"/>
    </row>
    <row r="30" spans="1:6" ht="16.5" x14ac:dyDescent="0.3">
      <c r="B30" s="696" t="s">
        <v>1097</v>
      </c>
      <c r="C30" s="525" t="s">
        <v>1086</v>
      </c>
      <c r="D30" s="454"/>
      <c r="E30" s="530"/>
      <c r="F30" s="454"/>
    </row>
    <row r="31" spans="1:6" ht="16.5" x14ac:dyDescent="0.3">
      <c r="A31" s="75"/>
      <c r="B31" s="697"/>
      <c r="C31" s="526" t="s">
        <v>1107</v>
      </c>
      <c r="D31" s="454"/>
      <c r="E31" s="530"/>
      <c r="F31" s="454"/>
    </row>
    <row r="32" spans="1:6" ht="16.5" x14ac:dyDescent="0.3">
      <c r="A32" s="75"/>
      <c r="B32" s="697"/>
      <c r="C32" s="526" t="s">
        <v>1087</v>
      </c>
      <c r="D32" s="454"/>
      <c r="E32" s="454"/>
      <c r="F32" s="454"/>
    </row>
    <row r="33" spans="1:6" ht="16.5" x14ac:dyDescent="0.3">
      <c r="A33" s="75"/>
      <c r="B33" s="697"/>
      <c r="C33" s="526" t="s">
        <v>1108</v>
      </c>
      <c r="D33" s="454"/>
      <c r="E33" s="454"/>
      <c r="F33" s="454"/>
    </row>
    <row r="34" spans="1:6" ht="16.5" x14ac:dyDescent="0.3">
      <c r="B34" s="697"/>
      <c r="C34" s="526" t="s">
        <v>1088</v>
      </c>
      <c r="D34" s="454"/>
      <c r="E34" s="454"/>
      <c r="F34" s="454"/>
    </row>
    <row r="35" spans="1:6" ht="16.5" x14ac:dyDescent="0.3">
      <c r="B35" s="697"/>
      <c r="C35" s="526" t="s">
        <v>1089</v>
      </c>
      <c r="D35" s="454"/>
      <c r="E35" s="454"/>
      <c r="F35" s="454"/>
    </row>
    <row r="36" spans="1:6" ht="17.25" thickBot="1" x14ac:dyDescent="0.35">
      <c r="B36" s="698"/>
      <c r="C36" s="527" t="s">
        <v>1090</v>
      </c>
      <c r="D36" s="454"/>
      <c r="E36" s="454"/>
      <c r="F36" s="454"/>
    </row>
    <row r="37" spans="1:6" ht="16.5" x14ac:dyDescent="0.3">
      <c r="B37" s="696" t="s">
        <v>1104</v>
      </c>
      <c r="C37" s="525" t="s">
        <v>1111</v>
      </c>
      <c r="D37" s="531"/>
      <c r="E37" s="531"/>
      <c r="F37" s="531"/>
    </row>
    <row r="38" spans="1:6" ht="16.5" x14ac:dyDescent="0.3">
      <c r="B38" s="697"/>
      <c r="C38" s="526" t="s">
        <v>1113</v>
      </c>
      <c r="D38" s="531"/>
      <c r="E38" s="531"/>
      <c r="F38" s="531"/>
    </row>
    <row r="39" spans="1:6" ht="16.5" x14ac:dyDescent="0.3">
      <c r="B39" s="697"/>
      <c r="C39" s="526" t="s">
        <v>1112</v>
      </c>
      <c r="D39" s="531"/>
      <c r="E39" s="531"/>
      <c r="F39" s="531"/>
    </row>
    <row r="40" spans="1:6" ht="16.5" x14ac:dyDescent="0.3">
      <c r="B40" s="697"/>
      <c r="C40" s="526" t="s">
        <v>1114</v>
      </c>
      <c r="D40" s="531"/>
      <c r="E40" s="531"/>
      <c r="F40" s="531"/>
    </row>
    <row r="41" spans="1:6" ht="16.5" x14ac:dyDescent="0.3">
      <c r="B41" s="697"/>
      <c r="C41" s="526" t="s">
        <v>1119</v>
      </c>
      <c r="D41" s="531"/>
      <c r="E41" s="531"/>
      <c r="F41" s="531"/>
    </row>
    <row r="42" spans="1:6" ht="16.5" x14ac:dyDescent="0.3">
      <c r="B42" s="697"/>
      <c r="C42" s="526" t="s">
        <v>1115</v>
      </c>
      <c r="D42" s="531"/>
      <c r="E42" s="531"/>
      <c r="F42" s="531"/>
    </row>
    <row r="43" spans="1:6" ht="17.25" thickBot="1" x14ac:dyDescent="0.35">
      <c r="B43" s="698"/>
      <c r="C43" s="527" t="s">
        <v>1116</v>
      </c>
      <c r="D43" s="531"/>
      <c r="E43" s="531"/>
      <c r="F43" s="531"/>
    </row>
    <row r="44" spans="1:6" x14ac:dyDescent="0.25">
      <c r="C44" s="483"/>
      <c r="D44" s="530"/>
      <c r="E44" s="532"/>
      <c r="F44" s="533"/>
    </row>
    <row r="45" spans="1:6" x14ac:dyDescent="0.25">
      <c r="D45" s="530"/>
      <c r="E45" s="530"/>
      <c r="F45" s="533"/>
    </row>
    <row r="46" spans="1:6" x14ac:dyDescent="0.25">
      <c r="D46" s="530"/>
      <c r="E46" s="530"/>
      <c r="F46" s="533"/>
    </row>
    <row r="47" spans="1:6" x14ac:dyDescent="0.25">
      <c r="C47" s="483"/>
      <c r="D47" s="530"/>
      <c r="E47" s="530"/>
      <c r="F47" s="533"/>
    </row>
    <row r="48" spans="1:6" x14ac:dyDescent="0.25">
      <c r="D48" s="530"/>
      <c r="E48" s="530"/>
      <c r="F48" s="533"/>
    </row>
    <row r="49" spans="4:6" x14ac:dyDescent="0.25">
      <c r="D49" s="530"/>
      <c r="E49" s="530"/>
      <c r="F49" s="533"/>
    </row>
    <row r="50" spans="4:6" x14ac:dyDescent="0.25">
      <c r="D50" s="530"/>
      <c r="E50" s="530"/>
      <c r="F50" s="533"/>
    </row>
    <row r="51" spans="4:6" x14ac:dyDescent="0.25">
      <c r="D51" s="530"/>
      <c r="E51" s="454"/>
      <c r="F51" s="454"/>
    </row>
    <row r="52" spans="4:6" x14ac:dyDescent="0.25">
      <c r="D52" s="530"/>
      <c r="E52" s="454"/>
      <c r="F52" s="454"/>
    </row>
    <row r="53" spans="4:6" x14ac:dyDescent="0.25">
      <c r="D53" s="454"/>
      <c r="E53" s="454"/>
      <c r="F53" s="454"/>
    </row>
  </sheetData>
  <mergeCells count="10">
    <mergeCell ref="B29:C29"/>
    <mergeCell ref="B30:B36"/>
    <mergeCell ref="B37:B43"/>
    <mergeCell ref="B2:F2"/>
    <mergeCell ref="B14:F14"/>
    <mergeCell ref="B21:F21"/>
    <mergeCell ref="B22:B23"/>
    <mergeCell ref="D22:D23"/>
    <mergeCell ref="E22:E23"/>
    <mergeCell ref="F22:F23"/>
  </mergeCells>
  <hyperlinks>
    <hyperlink ref="F4" r:id="rId1" xr:uid="{DF4E008A-D17E-4850-B3FF-3DA3921AC6CD}"/>
    <hyperlink ref="F5" r:id="rId2" xr:uid="{B5AE1446-4158-4F4D-A77D-A871E5BFB7B6}"/>
    <hyperlink ref="F7" r:id="rId3" xr:uid="{5B284E7B-162B-43EB-9FB7-37355D4C0733}"/>
    <hyperlink ref="F8" r:id="rId4" xr:uid="{58A63A4B-DD3D-4A72-BEE9-F2BBA10E1019}"/>
    <hyperlink ref="F18" r:id="rId5" xr:uid="{68DAC979-58F2-4927-9CA3-677AAAB4A8EB}"/>
    <hyperlink ref="F24" r:id="rId6" xr:uid="{03C5C4B0-94D3-4DE3-B9B9-1593CD495976}"/>
    <hyperlink ref="F27" r:id="rId7" xr:uid="{0EC35043-F605-426C-B3AB-E3855B8D44E6}"/>
  </hyperlinks>
  <pageMargins left="0.7" right="0.7" top="0.75" bottom="0.75" header="0.3" footer="0.3"/>
  <pageSetup orientation="portrait"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AF69"/>
  <sheetViews>
    <sheetView showGridLines="0" topLeftCell="A2" zoomScale="85" workbookViewId="0">
      <selection activeCell="F35" sqref="F35"/>
    </sheetView>
  </sheetViews>
  <sheetFormatPr baseColWidth="10" defaultRowHeight="15" x14ac:dyDescent="0.25"/>
  <cols>
    <col min="1" max="1" width="2.85546875" customWidth="1"/>
    <col min="2" max="2" width="16.7109375" bestFit="1" customWidth="1"/>
    <col min="3" max="3" width="18.140625" bestFit="1" customWidth="1"/>
    <col min="4" max="4" width="13.42578125" customWidth="1"/>
    <col min="5" max="5" width="15.42578125" bestFit="1" customWidth="1"/>
    <col min="6" max="6" width="23" bestFit="1" customWidth="1"/>
    <col min="7" max="7" width="35.28515625" bestFit="1" customWidth="1"/>
    <col min="10" max="10" width="78.28515625" bestFit="1" customWidth="1"/>
    <col min="11" max="11" width="14.7109375" bestFit="1" customWidth="1"/>
    <col min="12" max="12" width="15.42578125" bestFit="1" customWidth="1"/>
    <col min="13" max="13" width="27" bestFit="1" customWidth="1"/>
    <col min="14" max="15" width="24" bestFit="1" customWidth="1"/>
    <col min="16" max="16" width="45.28515625" bestFit="1" customWidth="1"/>
    <col min="17" max="17" width="14.7109375" bestFit="1" customWidth="1"/>
    <col min="18" max="18" width="18.5703125" bestFit="1" customWidth="1"/>
    <col min="19" max="20" width="24" bestFit="1" customWidth="1"/>
    <col min="21" max="21" width="14.42578125" customWidth="1"/>
    <col min="22" max="22" width="6.42578125" bestFit="1" customWidth="1"/>
    <col min="23" max="23" width="14.7109375" bestFit="1" customWidth="1"/>
    <col min="24" max="24" width="14.5703125" bestFit="1" customWidth="1"/>
    <col min="25" max="25" width="9.5703125" bestFit="1" customWidth="1"/>
    <col min="26" max="26" width="24" bestFit="1" customWidth="1"/>
    <col min="27" max="27" width="1.7109375" bestFit="1" customWidth="1"/>
    <col min="28" max="28" width="43.140625" bestFit="1" customWidth="1"/>
    <col min="29" max="29" width="51.5703125" bestFit="1" customWidth="1"/>
    <col min="30" max="30" width="63.85546875" bestFit="1" customWidth="1"/>
    <col min="31" max="31" width="27.7109375" bestFit="1" customWidth="1"/>
    <col min="32" max="32" width="24" bestFit="1" customWidth="1"/>
  </cols>
  <sheetData>
    <row r="1" spans="2:32" ht="15.75" thickBot="1" x14ac:dyDescent="0.3">
      <c r="J1" s="3" t="s">
        <v>5</v>
      </c>
      <c r="AB1" s="3" t="s">
        <v>225</v>
      </c>
    </row>
    <row r="2" spans="2:32" ht="15.75" thickBot="1" x14ac:dyDescent="0.3">
      <c r="B2" s="709" t="s">
        <v>1074</v>
      </c>
      <c r="C2" s="710"/>
      <c r="D2" s="711"/>
      <c r="F2" s="709" t="s">
        <v>1121</v>
      </c>
      <c r="G2" s="711"/>
      <c r="J2" t="s">
        <v>0</v>
      </c>
      <c r="P2" t="s">
        <v>9</v>
      </c>
      <c r="AB2" s="6">
        <v>5754</v>
      </c>
    </row>
    <row r="3" spans="2:32" ht="15.75" thickBot="1" x14ac:dyDescent="0.3">
      <c r="B3" s="509" t="s">
        <v>1072</v>
      </c>
      <c r="C3" s="510" t="s">
        <v>1073</v>
      </c>
      <c r="D3" s="511" t="s">
        <v>429</v>
      </c>
      <c r="F3" s="534" t="s">
        <v>405</v>
      </c>
      <c r="G3" s="535" t="s">
        <v>1122</v>
      </c>
      <c r="J3" t="s">
        <v>4</v>
      </c>
      <c r="K3" t="s">
        <v>1</v>
      </c>
      <c r="L3" t="s">
        <v>2</v>
      </c>
      <c r="M3" t="s">
        <v>7</v>
      </c>
      <c r="N3" t="s">
        <v>3</v>
      </c>
      <c r="P3" t="s">
        <v>10</v>
      </c>
      <c r="Q3" t="s">
        <v>11</v>
      </c>
      <c r="R3" t="s">
        <v>7</v>
      </c>
      <c r="S3" t="s">
        <v>3</v>
      </c>
      <c r="AA3" t="s">
        <v>223</v>
      </c>
      <c r="AB3" t="s">
        <v>4</v>
      </c>
      <c r="AC3" t="s">
        <v>1</v>
      </c>
      <c r="AD3" t="s">
        <v>224</v>
      </c>
      <c r="AE3" t="s">
        <v>7</v>
      </c>
      <c r="AF3" t="s">
        <v>3</v>
      </c>
    </row>
    <row r="4" spans="2:32" x14ac:dyDescent="0.25">
      <c r="B4" s="21">
        <v>30</v>
      </c>
      <c r="C4" s="23">
        <v>19</v>
      </c>
      <c r="D4" s="706" t="s">
        <v>1075</v>
      </c>
      <c r="F4" s="118" t="s">
        <v>1123</v>
      </c>
      <c r="G4" s="26" t="s">
        <v>1124</v>
      </c>
      <c r="J4">
        <v>10</v>
      </c>
      <c r="K4">
        <v>100</v>
      </c>
      <c r="L4">
        <v>500</v>
      </c>
      <c r="M4" s="2">
        <v>19.79</v>
      </c>
      <c r="N4" s="1">
        <f>M4/(J4*K4*L4)</f>
        <v>3.9579999999999997E-5</v>
      </c>
      <c r="P4">
        <v>10</v>
      </c>
      <c r="Q4">
        <v>500</v>
      </c>
      <c r="R4" s="2">
        <v>5.14</v>
      </c>
      <c r="S4" s="1">
        <f>R4/(PI()*P4^2*Q4)</f>
        <v>3.2722256299693677E-5</v>
      </c>
      <c r="AB4">
        <v>6</v>
      </c>
      <c r="AC4">
        <v>1000</v>
      </c>
      <c r="AD4">
        <v>1000</v>
      </c>
      <c r="AE4" s="2">
        <v>285.88</v>
      </c>
      <c r="AF4" s="1">
        <f>AE4/(AB4*AC4*AD4)</f>
        <v>4.7646666666666666E-5</v>
      </c>
    </row>
    <row r="5" spans="2:32" x14ac:dyDescent="0.25">
      <c r="B5" s="17">
        <v>28</v>
      </c>
      <c r="C5" s="8">
        <v>15.9</v>
      </c>
      <c r="D5" s="707"/>
      <c r="F5" s="17"/>
      <c r="G5" s="119"/>
      <c r="J5">
        <v>10</v>
      </c>
      <c r="K5">
        <v>150</v>
      </c>
      <c r="L5">
        <v>500</v>
      </c>
      <c r="M5" s="2">
        <v>31.49</v>
      </c>
      <c r="N5" s="1">
        <f t="shared" ref="N5:N7" si="0">M5/(J5*K5*L5)</f>
        <v>4.1986666666666662E-5</v>
      </c>
      <c r="P5">
        <v>20</v>
      </c>
      <c r="Q5">
        <v>990</v>
      </c>
      <c r="R5" s="2">
        <v>17.13</v>
      </c>
      <c r="S5" s="1">
        <f t="shared" ref="S5:S11" si="1">R5/(PI()*P5^2*Q5)</f>
        <v>1.3769314015980641E-5</v>
      </c>
      <c r="AB5">
        <v>8</v>
      </c>
      <c r="AC5">
        <v>1000</v>
      </c>
      <c r="AD5">
        <v>1000</v>
      </c>
      <c r="AE5" s="2">
        <v>379.84</v>
      </c>
      <c r="AF5" s="1">
        <f t="shared" ref="AF5:AF6" si="2">AE5/(AB5*AC5*AD5)</f>
        <v>4.7479999999999999E-5</v>
      </c>
    </row>
    <row r="6" spans="2:32" x14ac:dyDescent="0.25">
      <c r="B6" s="17">
        <v>25</v>
      </c>
      <c r="C6" s="8">
        <v>14</v>
      </c>
      <c r="D6" s="707"/>
      <c r="F6" s="17"/>
      <c r="G6" s="119"/>
      <c r="J6">
        <v>10</v>
      </c>
      <c r="K6">
        <v>300</v>
      </c>
      <c r="L6">
        <v>500</v>
      </c>
      <c r="M6" s="2">
        <v>57.83</v>
      </c>
      <c r="N6" s="1">
        <f t="shared" si="0"/>
        <v>3.8553333333333329E-5</v>
      </c>
      <c r="P6">
        <v>25</v>
      </c>
      <c r="Q6">
        <v>990</v>
      </c>
      <c r="R6" s="2">
        <v>26.99</v>
      </c>
      <c r="S6" s="1">
        <f t="shared" si="1"/>
        <v>1.388474154036446E-5</v>
      </c>
      <c r="AB6">
        <v>10</v>
      </c>
      <c r="AC6">
        <v>1000</v>
      </c>
      <c r="AD6">
        <v>1000</v>
      </c>
      <c r="AE6" s="2">
        <v>473.8</v>
      </c>
      <c r="AF6" s="1">
        <f t="shared" si="2"/>
        <v>4.7380000000000004E-5</v>
      </c>
    </row>
    <row r="7" spans="2:32" x14ac:dyDescent="0.25">
      <c r="B7" s="17">
        <v>20</v>
      </c>
      <c r="C7" s="8">
        <v>11.5</v>
      </c>
      <c r="D7" s="707"/>
      <c r="F7" s="17"/>
      <c r="G7" s="119"/>
      <c r="J7">
        <v>10</v>
      </c>
      <c r="K7">
        <v>500</v>
      </c>
      <c r="L7">
        <v>500</v>
      </c>
      <c r="M7" s="2">
        <v>96.39</v>
      </c>
      <c r="N7" s="1">
        <f t="shared" si="0"/>
        <v>3.8556000000000002E-5</v>
      </c>
      <c r="P7">
        <v>30</v>
      </c>
      <c r="Q7">
        <v>990</v>
      </c>
      <c r="R7" s="2">
        <v>34.28</v>
      </c>
      <c r="S7" s="1">
        <f t="shared" si="1"/>
        <v>1.2246535239484113E-5</v>
      </c>
      <c r="AE7" t="s">
        <v>8</v>
      </c>
      <c r="AF7" s="1">
        <f>AVERAGE(AF4:AF6)</f>
        <v>4.7502222222222225E-5</v>
      </c>
    </row>
    <row r="8" spans="2:32" x14ac:dyDescent="0.25">
      <c r="B8" s="17">
        <v>15</v>
      </c>
      <c r="C8" s="8">
        <v>9.5</v>
      </c>
      <c r="D8" s="707"/>
      <c r="F8" s="17"/>
      <c r="G8" s="119"/>
      <c r="J8">
        <v>32</v>
      </c>
      <c r="K8">
        <v>32</v>
      </c>
      <c r="L8">
        <v>550</v>
      </c>
      <c r="M8" s="2">
        <v>23.26</v>
      </c>
      <c r="N8" s="1">
        <f>M8/(J8*K8*L8)</f>
        <v>4.1299715909090912E-5</v>
      </c>
      <c r="P8">
        <v>40</v>
      </c>
      <c r="Q8">
        <v>160</v>
      </c>
      <c r="R8" s="2">
        <v>10.92</v>
      </c>
      <c r="S8" s="1">
        <f t="shared" si="1"/>
        <v>1.357790608252732E-5</v>
      </c>
    </row>
    <row r="9" spans="2:32" ht="15.75" thickBot="1" x14ac:dyDescent="0.3">
      <c r="B9" s="19">
        <v>12</v>
      </c>
      <c r="C9" s="16">
        <v>8.5</v>
      </c>
      <c r="D9" s="708"/>
      <c r="F9" s="19"/>
      <c r="G9" s="120"/>
      <c r="J9">
        <v>32</v>
      </c>
      <c r="K9">
        <v>50</v>
      </c>
      <c r="L9">
        <v>360</v>
      </c>
      <c r="M9" s="2">
        <v>20.56</v>
      </c>
      <c r="N9" s="1">
        <f t="shared" ref="N9:N15" si="3">M9/(J9*K9*L9)</f>
        <v>3.5694444444444444E-5</v>
      </c>
      <c r="P9">
        <v>40</v>
      </c>
      <c r="Q9">
        <v>500</v>
      </c>
      <c r="R9" s="2">
        <v>25.7</v>
      </c>
      <c r="S9" s="1">
        <f t="shared" si="1"/>
        <v>1.0225705093654274E-5</v>
      </c>
    </row>
    <row r="10" spans="2:32" x14ac:dyDescent="0.25">
      <c r="J10">
        <v>32</v>
      </c>
      <c r="K10">
        <v>50</v>
      </c>
      <c r="L10">
        <v>550</v>
      </c>
      <c r="M10" s="2">
        <v>31.82</v>
      </c>
      <c r="N10" s="1">
        <f t="shared" si="3"/>
        <v>3.6159090909090908E-5</v>
      </c>
      <c r="P10">
        <v>40</v>
      </c>
      <c r="Q10">
        <v>800</v>
      </c>
      <c r="R10" s="2">
        <v>43.7</v>
      </c>
      <c r="S10" s="1">
        <f t="shared" si="1"/>
        <v>1.0867298457993479E-5</v>
      </c>
    </row>
    <row r="11" spans="2:32" ht="15.75" thickBot="1" x14ac:dyDescent="0.3">
      <c r="J11">
        <v>32</v>
      </c>
      <c r="K11">
        <v>60</v>
      </c>
      <c r="L11">
        <v>265</v>
      </c>
      <c r="M11" s="2">
        <v>15.91</v>
      </c>
      <c r="N11" s="1">
        <f t="shared" si="3"/>
        <v>3.1269654088050312E-5</v>
      </c>
      <c r="P11">
        <v>50</v>
      </c>
      <c r="Q11">
        <v>150</v>
      </c>
      <c r="R11" s="2">
        <v>14.69</v>
      </c>
      <c r="S11" s="1">
        <f t="shared" si="1"/>
        <v>1.2469259274773026E-5</v>
      </c>
    </row>
    <row r="12" spans="2:32" ht="15.75" thickBot="1" x14ac:dyDescent="0.3">
      <c r="B12" s="712" t="s">
        <v>283</v>
      </c>
      <c r="C12" s="713"/>
      <c r="D12" s="713"/>
      <c r="E12" s="714"/>
      <c r="J12">
        <v>40</v>
      </c>
      <c r="K12">
        <v>120</v>
      </c>
      <c r="L12">
        <v>120</v>
      </c>
      <c r="M12" s="2">
        <v>21.85</v>
      </c>
      <c r="N12" s="1">
        <f t="shared" si="3"/>
        <v>3.7934027777777779E-5</v>
      </c>
      <c r="R12" t="s">
        <v>8</v>
      </c>
      <c r="S12" s="1">
        <f>AVERAGE(S4:S11)</f>
        <v>1.4970377000558874E-5</v>
      </c>
    </row>
    <row r="13" spans="2:32" ht="15.75" thickBot="1" x14ac:dyDescent="0.3">
      <c r="B13" s="539" t="s">
        <v>1125</v>
      </c>
      <c r="C13" s="540" t="s">
        <v>1137</v>
      </c>
      <c r="D13" s="540" t="s">
        <v>1138</v>
      </c>
      <c r="E13" s="541" t="s">
        <v>486</v>
      </c>
      <c r="J13">
        <v>50</v>
      </c>
      <c r="K13">
        <v>100</v>
      </c>
      <c r="L13">
        <v>100</v>
      </c>
      <c r="M13" s="2">
        <v>17.989999999999998</v>
      </c>
      <c r="N13" s="1">
        <f t="shared" si="3"/>
        <v>3.5979999999999998E-5</v>
      </c>
      <c r="S13" s="1"/>
    </row>
    <row r="14" spans="2:32" x14ac:dyDescent="0.25">
      <c r="B14" s="21" t="s">
        <v>1126</v>
      </c>
      <c r="C14" s="24" t="s">
        <v>1127</v>
      </c>
      <c r="D14" s="24" t="s">
        <v>1128</v>
      </c>
      <c r="E14" s="538">
        <v>25.96</v>
      </c>
      <c r="J14">
        <v>50</v>
      </c>
      <c r="K14">
        <v>100</v>
      </c>
      <c r="L14">
        <v>300</v>
      </c>
      <c r="M14" s="2">
        <v>53.98</v>
      </c>
      <c r="N14" s="1">
        <f t="shared" si="3"/>
        <v>3.5986666666666665E-5</v>
      </c>
    </row>
    <row r="15" spans="2:32" x14ac:dyDescent="0.25">
      <c r="B15" s="17" t="s">
        <v>1126</v>
      </c>
      <c r="C15" s="7" t="s">
        <v>1129</v>
      </c>
      <c r="D15" s="7" t="s">
        <v>1128</v>
      </c>
      <c r="E15" s="536">
        <v>28.95</v>
      </c>
      <c r="F15" s="5"/>
      <c r="J15">
        <v>50</v>
      </c>
      <c r="K15">
        <v>100</v>
      </c>
      <c r="L15">
        <v>500</v>
      </c>
      <c r="M15" s="2">
        <v>83.54</v>
      </c>
      <c r="N15" s="1">
        <f t="shared" si="3"/>
        <v>3.3416E-5</v>
      </c>
      <c r="V15" t="s">
        <v>6</v>
      </c>
      <c r="W15" t="s">
        <v>200</v>
      </c>
      <c r="AB15" t="s">
        <v>6</v>
      </c>
      <c r="AC15" t="s">
        <v>200</v>
      </c>
      <c r="AD15" t="s">
        <v>327</v>
      </c>
    </row>
    <row r="16" spans="2:32" x14ac:dyDescent="0.25">
      <c r="B16" s="17" t="s">
        <v>1130</v>
      </c>
      <c r="C16" s="7" t="s">
        <v>1131</v>
      </c>
      <c r="D16" s="7" t="s">
        <v>1132</v>
      </c>
      <c r="E16" s="536">
        <v>34.700000000000003</v>
      </c>
      <c r="F16" s="5"/>
      <c r="M16" t="s">
        <v>8</v>
      </c>
      <c r="N16" s="1">
        <f>AVERAGE(N4:N15)</f>
        <v>3.7201299982926756E-5</v>
      </c>
      <c r="W16" t="s">
        <v>201</v>
      </c>
      <c r="X16" t="s">
        <v>2</v>
      </c>
      <c r="Y16" t="s">
        <v>49</v>
      </c>
      <c r="Z16" t="s">
        <v>3</v>
      </c>
      <c r="AB16" t="s">
        <v>328</v>
      </c>
      <c r="AC16" t="s">
        <v>329</v>
      </c>
      <c r="AD16" t="s">
        <v>330</v>
      </c>
      <c r="AE16" t="s">
        <v>331</v>
      </c>
    </row>
    <row r="17" spans="2:31" x14ac:dyDescent="0.25">
      <c r="B17" s="17" t="s">
        <v>1126</v>
      </c>
      <c r="C17" s="7" t="s">
        <v>1133</v>
      </c>
      <c r="D17" s="7" t="s">
        <v>1132</v>
      </c>
      <c r="E17" s="536">
        <v>48.94</v>
      </c>
      <c r="F17" s="5"/>
      <c r="W17">
        <v>5</v>
      </c>
      <c r="X17">
        <v>500</v>
      </c>
      <c r="Y17" s="2">
        <v>1.61</v>
      </c>
      <c r="Z17" s="5">
        <f>Y17/(PI()*(W17/2)^2*X17)</f>
        <v>1.6399325336188895E-4</v>
      </c>
      <c r="AB17">
        <v>40</v>
      </c>
      <c r="AC17">
        <v>30</v>
      </c>
      <c r="AD17" s="2">
        <v>39.020000000000003</v>
      </c>
      <c r="AE17" s="1">
        <f>AD17/(PI()*((AB17/2)*(AB17/2)-(AC17/2)*(AC17/2))*1000)</f>
        <v>7.0974010050808657E-5</v>
      </c>
    </row>
    <row r="18" spans="2:31" x14ac:dyDescent="0.25">
      <c r="B18" s="17" t="s">
        <v>1134</v>
      </c>
      <c r="C18" s="7" t="s">
        <v>1135</v>
      </c>
      <c r="D18" s="7" t="s">
        <v>1132</v>
      </c>
      <c r="E18" s="536">
        <v>84.31</v>
      </c>
      <c r="F18" s="5"/>
      <c r="W18">
        <v>10</v>
      </c>
      <c r="X18">
        <v>500</v>
      </c>
      <c r="Y18" s="2">
        <v>4.5</v>
      </c>
      <c r="Z18" s="5">
        <f>Y18/(PI()*(W18/2)^2*X18)</f>
        <v>1.1459155902616463E-4</v>
      </c>
      <c r="AB18">
        <v>50</v>
      </c>
      <c r="AC18">
        <v>30</v>
      </c>
      <c r="AD18" s="2">
        <v>72.239999999999995</v>
      </c>
      <c r="AE18" s="1">
        <f>AD18/(PI()*((AB18/2)*(AB18/2)-(AC18/2)*(AC18/2))*1000)</f>
        <v>5.7486765444792583E-5</v>
      </c>
    </row>
    <row r="19" spans="2:31" ht="15.75" thickBot="1" x14ac:dyDescent="0.3">
      <c r="B19" s="19" t="s">
        <v>1134</v>
      </c>
      <c r="C19" s="11" t="s">
        <v>1136</v>
      </c>
      <c r="D19" s="11" t="s">
        <v>1132</v>
      </c>
      <c r="E19" s="537">
        <v>96.37</v>
      </c>
      <c r="F19" s="5"/>
      <c r="J19" t="s">
        <v>202</v>
      </c>
      <c r="K19" t="s">
        <v>200</v>
      </c>
      <c r="W19">
        <v>15</v>
      </c>
      <c r="X19">
        <v>500</v>
      </c>
      <c r="Y19" s="2">
        <v>4.8</v>
      </c>
      <c r="Z19" s="5">
        <f t="shared" ref="Z19:Z21" si="4">Y19/(PI()*(W19/2)^2*X19)</f>
        <v>5.432488724203361E-5</v>
      </c>
      <c r="AB19">
        <v>50</v>
      </c>
      <c r="AC19">
        <v>40</v>
      </c>
      <c r="AD19" s="2">
        <v>37.700000000000003</v>
      </c>
      <c r="AE19" s="1">
        <f>AD19/(PI()*((AB19/2)*(AB19/2)-(AC19/2)*(AC19/2))*1000)</f>
        <v>5.333458981835071E-5</v>
      </c>
    </row>
    <row r="20" spans="2:31" x14ac:dyDescent="0.25">
      <c r="E20" s="2"/>
      <c r="F20" s="5"/>
      <c r="K20" t="s">
        <v>201</v>
      </c>
      <c r="L20" t="s">
        <v>2</v>
      </c>
      <c r="M20" t="s">
        <v>49</v>
      </c>
      <c r="N20" t="s">
        <v>3</v>
      </c>
      <c r="W20">
        <v>18</v>
      </c>
      <c r="X20">
        <v>500</v>
      </c>
      <c r="Y20" s="2">
        <v>6.36</v>
      </c>
      <c r="Z20" s="5">
        <f t="shared" si="4"/>
        <v>4.9986441385898987E-5</v>
      </c>
      <c r="AB20">
        <v>60</v>
      </c>
      <c r="AC20">
        <v>50</v>
      </c>
      <c r="AD20" s="2">
        <v>41.96</v>
      </c>
      <c r="AE20" s="1">
        <f>AD20/(PI()*((AB20/2)*(AB20/2)-(AC20/2)*(AC20/2))*1000)</f>
        <v>4.8568301179170389E-5</v>
      </c>
    </row>
    <row r="21" spans="2:31" ht="15.75" thickBot="1" x14ac:dyDescent="0.3">
      <c r="F21" s="5"/>
      <c r="K21">
        <v>10</v>
      </c>
      <c r="L21">
        <v>500</v>
      </c>
      <c r="M21" s="2">
        <v>5.14</v>
      </c>
      <c r="N21" s="5">
        <f t="shared" ref="N21:N27" si="5">M21/(PI()*(K21/2)^2*L21)</f>
        <v>1.3088902519877471E-4</v>
      </c>
      <c r="W21">
        <v>22</v>
      </c>
      <c r="X21">
        <v>500</v>
      </c>
      <c r="Y21" s="2">
        <v>8.4</v>
      </c>
      <c r="Z21" s="5">
        <f t="shared" si="4"/>
        <v>4.4195091635435405E-5</v>
      </c>
      <c r="AB21">
        <v>100</v>
      </c>
      <c r="AC21">
        <v>60</v>
      </c>
      <c r="AD21" s="2">
        <v>330</v>
      </c>
      <c r="AE21" s="1">
        <f>AD21/(PI()*((AB21/2)*(AB21/2)-(AC21/2)*(AC21/2))*1000)</f>
        <v>6.5651414025406826E-5</v>
      </c>
    </row>
    <row r="22" spans="2:31" ht="15.75" thickBot="1" x14ac:dyDescent="0.3">
      <c r="B22" s="715" t="s">
        <v>1148</v>
      </c>
      <c r="C22" s="716"/>
      <c r="D22" s="716"/>
      <c r="E22" s="716"/>
      <c r="F22" s="717"/>
      <c r="K22">
        <v>20</v>
      </c>
      <c r="L22">
        <v>500</v>
      </c>
      <c r="M22" s="2">
        <v>8.35</v>
      </c>
      <c r="N22" s="5">
        <f t="shared" si="5"/>
        <v>5.3157750992693033E-5</v>
      </c>
      <c r="Y22" t="s">
        <v>8</v>
      </c>
      <c r="Z22" s="5">
        <f>AVERAGE(Z17:Z21)</f>
        <v>8.541824653028432E-5</v>
      </c>
      <c r="AD22" t="s">
        <v>8</v>
      </c>
      <c r="AE22" s="1">
        <f>AVERAGE(AE17:AE21)</f>
        <v>5.9203016103705834E-5</v>
      </c>
    </row>
    <row r="23" spans="2:31" ht="15.75" thickBot="1" x14ac:dyDescent="0.3">
      <c r="B23" s="545" t="s">
        <v>1142</v>
      </c>
      <c r="C23" s="546" t="s">
        <v>1144</v>
      </c>
      <c r="D23" s="546" t="s">
        <v>1143</v>
      </c>
      <c r="E23" s="546" t="s">
        <v>1145</v>
      </c>
      <c r="F23" s="547" t="s">
        <v>1146</v>
      </c>
      <c r="K23">
        <v>20</v>
      </c>
      <c r="L23">
        <v>990</v>
      </c>
      <c r="M23" s="2">
        <v>17.13</v>
      </c>
      <c r="N23" s="5">
        <f t="shared" si="5"/>
        <v>5.5077256063922563E-5</v>
      </c>
      <c r="Y23" s="2"/>
      <c r="AB23">
        <v>6060</v>
      </c>
      <c r="AC23" t="s">
        <v>332</v>
      </c>
    </row>
    <row r="24" spans="2:31" x14ac:dyDescent="0.25">
      <c r="B24" s="21">
        <v>40</v>
      </c>
      <c r="C24" s="24">
        <v>40</v>
      </c>
      <c r="D24" s="24">
        <v>80</v>
      </c>
      <c r="E24" s="23">
        <v>5.2</v>
      </c>
      <c r="F24" s="448">
        <f>E24/(B24*C24*D24)</f>
        <v>4.0624999999999998E-5</v>
      </c>
      <c r="K24">
        <v>25</v>
      </c>
      <c r="L24">
        <v>500</v>
      </c>
      <c r="M24" s="2">
        <v>13.11</v>
      </c>
      <c r="N24" s="5">
        <f t="shared" si="5"/>
        <v>5.3414945380729545E-5</v>
      </c>
      <c r="AB24">
        <v>12</v>
      </c>
      <c r="AC24">
        <v>11</v>
      </c>
      <c r="AD24" s="2">
        <f>1.93*2</f>
        <v>3.86</v>
      </c>
      <c r="AE24" s="1">
        <f>AD24/(PI()*((AB24/2)*(AB24/2)-(AC24/2)*(AC24/2))*1000)</f>
        <v>2.1368281055120556E-4</v>
      </c>
    </row>
    <row r="25" spans="2:31" x14ac:dyDescent="0.25">
      <c r="B25" s="17">
        <v>40</v>
      </c>
      <c r="C25" s="7">
        <v>40</v>
      </c>
      <c r="D25" s="7">
        <v>160</v>
      </c>
      <c r="E25" s="8">
        <v>9.18</v>
      </c>
      <c r="F25" s="446">
        <f t="shared" ref="F25:F30" si="6">E25/(B25*C25*D25)</f>
        <v>3.5859374999999996E-5</v>
      </c>
      <c r="K25">
        <v>25</v>
      </c>
      <c r="L25">
        <v>990</v>
      </c>
      <c r="M25" s="2">
        <v>26.99</v>
      </c>
      <c r="N25" s="5">
        <f t="shared" si="5"/>
        <v>5.5538966161457841E-5</v>
      </c>
      <c r="AB25">
        <v>50</v>
      </c>
      <c r="AC25">
        <v>46</v>
      </c>
      <c r="AD25" s="2">
        <f>11.26*2</f>
        <v>22.52</v>
      </c>
      <c r="AE25" s="1">
        <f>AD25/(PI()*((AB25/2)*(AB25/2)-(AC25/2)*(AC25/2))*1000)</f>
        <v>7.4670194133947567E-5</v>
      </c>
    </row>
    <row r="26" spans="2:31" x14ac:dyDescent="0.25">
      <c r="B26" s="17">
        <v>40</v>
      </c>
      <c r="C26" s="7">
        <v>40</v>
      </c>
      <c r="D26" s="7">
        <v>500</v>
      </c>
      <c r="E26" s="8">
        <v>25.09</v>
      </c>
      <c r="F26" s="446">
        <f t="shared" si="6"/>
        <v>3.1362499999999997E-5</v>
      </c>
      <c r="K26">
        <v>30</v>
      </c>
      <c r="L26">
        <v>500</v>
      </c>
      <c r="M26" s="2">
        <v>16.059999999999999</v>
      </c>
      <c r="N26" s="5">
        <f t="shared" si="5"/>
        <v>4.5440504640992695E-5</v>
      </c>
      <c r="AD26" s="2"/>
      <c r="AE26" s="1"/>
    </row>
    <row r="27" spans="2:31" x14ac:dyDescent="0.25">
      <c r="B27" s="17">
        <v>50</v>
      </c>
      <c r="C27" s="7">
        <v>50</v>
      </c>
      <c r="D27" s="7">
        <v>500</v>
      </c>
      <c r="E27" s="8">
        <v>41.62</v>
      </c>
      <c r="F27" s="446">
        <f t="shared" si="6"/>
        <v>3.3296000000000001E-5</v>
      </c>
      <c r="K27">
        <v>35</v>
      </c>
      <c r="L27">
        <v>500</v>
      </c>
      <c r="M27" s="2">
        <v>16.059999999999999</v>
      </c>
      <c r="N27" s="5">
        <f t="shared" si="5"/>
        <v>3.338486055256606E-5</v>
      </c>
      <c r="AD27" s="2"/>
      <c r="AE27" s="1"/>
    </row>
    <row r="28" spans="2:31" x14ac:dyDescent="0.25">
      <c r="B28" s="17">
        <v>50</v>
      </c>
      <c r="C28" s="7">
        <v>50</v>
      </c>
      <c r="D28" s="7">
        <v>100</v>
      </c>
      <c r="E28" s="8">
        <v>9.18</v>
      </c>
      <c r="F28" s="446">
        <f t="shared" si="6"/>
        <v>3.6720000000000001E-5</v>
      </c>
      <c r="M28" t="s">
        <v>8</v>
      </c>
      <c r="N28" s="5">
        <f>AVERAGE(N21:N27)</f>
        <v>6.0986186998733781E-5</v>
      </c>
      <c r="AD28" s="2"/>
      <c r="AE28" s="1"/>
    </row>
    <row r="29" spans="2:31" x14ac:dyDescent="0.25">
      <c r="B29" s="17">
        <v>60</v>
      </c>
      <c r="C29" s="7">
        <v>60</v>
      </c>
      <c r="D29" s="7">
        <v>500</v>
      </c>
      <c r="E29" s="8">
        <v>57.83</v>
      </c>
      <c r="F29" s="446">
        <f t="shared" si="6"/>
        <v>3.2127777777777776E-5</v>
      </c>
      <c r="AE29" s="1"/>
    </row>
    <row r="30" spans="2:31" ht="15.75" thickBot="1" x14ac:dyDescent="0.3">
      <c r="B30" s="19">
        <v>60</v>
      </c>
      <c r="C30" s="11">
        <v>60</v>
      </c>
      <c r="D30" s="11">
        <v>995</v>
      </c>
      <c r="E30" s="543">
        <v>119.95</v>
      </c>
      <c r="F30" s="544">
        <f t="shared" si="6"/>
        <v>3.348687883863763E-5</v>
      </c>
      <c r="J30" s="3" t="s">
        <v>228</v>
      </c>
      <c r="P30" s="3" t="s">
        <v>227</v>
      </c>
    </row>
    <row r="31" spans="2:31" ht="15.75" thickBot="1" x14ac:dyDescent="0.3">
      <c r="E31" s="545" t="s">
        <v>1147</v>
      </c>
      <c r="F31" s="548">
        <f>AVERAGE(F24:F30)</f>
        <v>3.478250451663077E-5</v>
      </c>
      <c r="G31" s="1"/>
      <c r="J31" t="s">
        <v>226</v>
      </c>
      <c r="K31" t="s">
        <v>200</v>
      </c>
      <c r="P31" t="s">
        <v>226</v>
      </c>
      <c r="Q31" t="s">
        <v>200</v>
      </c>
    </row>
    <row r="32" spans="2:31" x14ac:dyDescent="0.25">
      <c r="F32" s="2"/>
      <c r="K32" t="s">
        <v>201</v>
      </c>
      <c r="L32" t="s">
        <v>2</v>
      </c>
      <c r="M32" t="s">
        <v>49</v>
      </c>
      <c r="N32" t="s">
        <v>3</v>
      </c>
      <c r="Q32" t="s">
        <v>201</v>
      </c>
      <c r="R32" t="s">
        <v>2</v>
      </c>
      <c r="S32" t="s">
        <v>49</v>
      </c>
      <c r="T32" t="s">
        <v>3</v>
      </c>
    </row>
    <row r="33" spans="6:20" x14ac:dyDescent="0.25">
      <c r="F33" s="1">
        <f>F34*F31</f>
        <v>9.1825811923905238</v>
      </c>
      <c r="K33">
        <v>10</v>
      </c>
      <c r="L33">
        <v>1000</v>
      </c>
      <c r="M33" s="2">
        <v>20.5</v>
      </c>
      <c r="N33" s="5">
        <f t="shared" ref="N33:N39" si="7">M33/(PI()*(K33/2)^2*L33)</f>
        <v>2.6101410667070835E-4</v>
      </c>
      <c r="Q33">
        <v>10</v>
      </c>
      <c r="R33">
        <v>300</v>
      </c>
      <c r="S33" s="2">
        <v>9.41</v>
      </c>
      <c r="T33" s="5">
        <f t="shared" ref="T33:T36" si="8">S33/(PI()*(Q33/2)^2*R33)</f>
        <v>3.9937280386526271E-4</v>
      </c>
    </row>
    <row r="34" spans="6:20" x14ac:dyDescent="0.25">
      <c r="F34" s="2">
        <f>0.000264*10^9</f>
        <v>264000</v>
      </c>
      <c r="K34">
        <v>16</v>
      </c>
      <c r="L34">
        <v>1000</v>
      </c>
      <c r="M34" s="2">
        <v>44.5</v>
      </c>
      <c r="N34" s="5">
        <f t="shared" si="7"/>
        <v>2.2132484273716698E-4</v>
      </c>
      <c r="Q34">
        <v>16</v>
      </c>
      <c r="R34">
        <v>300</v>
      </c>
      <c r="S34" s="2">
        <v>15.77</v>
      </c>
      <c r="T34" s="5">
        <f t="shared" si="8"/>
        <v>2.6144515130824893E-4</v>
      </c>
    </row>
    <row r="35" spans="6:20" x14ac:dyDescent="0.25">
      <c r="K35">
        <v>20</v>
      </c>
      <c r="L35">
        <v>1000</v>
      </c>
      <c r="M35" s="2">
        <v>66.75</v>
      </c>
      <c r="N35" s="5">
        <f t="shared" si="7"/>
        <v>2.1247184902768027E-4</v>
      </c>
      <c r="Q35">
        <v>20</v>
      </c>
      <c r="R35">
        <v>300</v>
      </c>
      <c r="S35" s="2">
        <v>23.4</v>
      </c>
      <c r="T35" s="5">
        <f t="shared" si="8"/>
        <v>2.4828171122335673E-4</v>
      </c>
    </row>
    <row r="36" spans="6:20" x14ac:dyDescent="0.25">
      <c r="K36">
        <v>40</v>
      </c>
      <c r="L36">
        <v>1000</v>
      </c>
      <c r="M36" s="2">
        <v>251.5</v>
      </c>
      <c r="N36" s="5">
        <f t="shared" si="7"/>
        <v>2.0013734093805838E-4</v>
      </c>
      <c r="Q36">
        <v>40</v>
      </c>
      <c r="R36">
        <v>300</v>
      </c>
      <c r="S36" s="2">
        <v>81.7</v>
      </c>
      <c r="T36" s="5">
        <f t="shared" si="8"/>
        <v>2.1671598084346415E-4</v>
      </c>
    </row>
    <row r="37" spans="6:20" x14ac:dyDescent="0.25">
      <c r="K37">
        <v>50</v>
      </c>
      <c r="L37">
        <v>1000</v>
      </c>
      <c r="M37" s="2">
        <v>390</v>
      </c>
      <c r="N37" s="5">
        <f t="shared" si="7"/>
        <v>1.9862536897868538E-4</v>
      </c>
      <c r="S37" t="s">
        <v>8</v>
      </c>
      <c r="T37" s="5">
        <f>AVERAGE(T33:T36)</f>
        <v>2.8145391181008314E-4</v>
      </c>
    </row>
    <row r="38" spans="6:20" x14ac:dyDescent="0.25">
      <c r="K38">
        <v>60</v>
      </c>
      <c r="L38">
        <v>1000</v>
      </c>
      <c r="M38" s="2">
        <v>560</v>
      </c>
      <c r="N38" s="5">
        <f t="shared" si="7"/>
        <v>1.9805948473658087E-4</v>
      </c>
      <c r="S38" s="2"/>
      <c r="T38" s="5"/>
    </row>
    <row r="39" spans="6:20" x14ac:dyDescent="0.25">
      <c r="K39">
        <v>80</v>
      </c>
      <c r="L39">
        <v>1000</v>
      </c>
      <c r="M39" s="2">
        <v>992.5</v>
      </c>
      <c r="N39" s="5">
        <f t="shared" si="7"/>
        <v>1.9745160127338264E-4</v>
      </c>
      <c r="S39" s="2"/>
      <c r="T39" s="5"/>
    </row>
    <row r="40" spans="6:20" x14ac:dyDescent="0.25">
      <c r="M40" t="s">
        <v>8</v>
      </c>
      <c r="N40" s="5">
        <f>AVERAGE(N33:N39)</f>
        <v>2.1272637062318042E-4</v>
      </c>
      <c r="T40" s="5"/>
    </row>
    <row r="43" spans="6:20" x14ac:dyDescent="0.25">
      <c r="J43" s="3" t="s">
        <v>284</v>
      </c>
    </row>
    <row r="44" spans="6:20" x14ac:dyDescent="0.25">
      <c r="J44" t="s">
        <v>285</v>
      </c>
      <c r="K44" t="s">
        <v>286</v>
      </c>
    </row>
    <row r="45" spans="6:20" x14ac:dyDescent="0.25">
      <c r="J45" t="s">
        <v>4</v>
      </c>
      <c r="K45" t="s">
        <v>1</v>
      </c>
      <c r="L45" t="s">
        <v>2</v>
      </c>
      <c r="M45" t="s">
        <v>7</v>
      </c>
      <c r="N45" t="s">
        <v>3</v>
      </c>
    </row>
    <row r="46" spans="6:20" x14ac:dyDescent="0.25">
      <c r="J46">
        <v>1.5</v>
      </c>
      <c r="K46">
        <v>1000</v>
      </c>
      <c r="L46">
        <v>1000</v>
      </c>
      <c r="M46" s="2">
        <v>34.5</v>
      </c>
      <c r="N46" s="1">
        <f>M46/(J46*K46*L46)</f>
        <v>2.3E-5</v>
      </c>
    </row>
    <row r="48" spans="6:20" x14ac:dyDescent="0.25">
      <c r="J48" t="s">
        <v>287</v>
      </c>
      <c r="P48" t="s">
        <v>288</v>
      </c>
    </row>
    <row r="49" spans="10:19" x14ac:dyDescent="0.25">
      <c r="J49" t="s">
        <v>289</v>
      </c>
      <c r="K49" t="s">
        <v>49</v>
      </c>
      <c r="L49" t="s">
        <v>290</v>
      </c>
      <c r="M49" t="s">
        <v>333</v>
      </c>
      <c r="P49" t="s">
        <v>289</v>
      </c>
      <c r="Q49" t="s">
        <v>291</v>
      </c>
      <c r="R49" t="s">
        <v>292</v>
      </c>
      <c r="S49" t="s">
        <v>3</v>
      </c>
    </row>
    <row r="50" spans="10:19" x14ac:dyDescent="0.25">
      <c r="J50" t="s">
        <v>293</v>
      </c>
      <c r="K50" s="2">
        <v>86.4</v>
      </c>
      <c r="L50">
        <f>60*25*3020</f>
        <v>4530000</v>
      </c>
      <c r="M50" s="1">
        <f>K50/L50</f>
        <v>1.9072847682119207E-5</v>
      </c>
      <c r="P50" t="s">
        <v>294</v>
      </c>
      <c r="Q50" s="4">
        <v>1.1000000000000001</v>
      </c>
      <c r="R50" s="1">
        <f>7770/(POWER(1000,3))</f>
        <v>7.7700000000000001E-6</v>
      </c>
      <c r="S50" s="1">
        <f>R50*Q50</f>
        <v>8.5470000000000013E-6</v>
      </c>
    </row>
    <row r="51" spans="10:19" x14ac:dyDescent="0.25">
      <c r="J51" t="s">
        <v>295</v>
      </c>
      <c r="K51" s="2">
        <v>60</v>
      </c>
      <c r="L51">
        <f>PI()*10*10*12000</f>
        <v>3769911.1843077517</v>
      </c>
      <c r="M51" s="1">
        <f t="shared" ref="M51:M60" si="9">K51/L51</f>
        <v>1.5915494309189534E-5</v>
      </c>
      <c r="P51" t="s">
        <v>296</v>
      </c>
      <c r="Q51" s="4">
        <v>2.5</v>
      </c>
      <c r="R51" s="1">
        <f t="shared" ref="R51:R52" si="10">7770/(POWER(1000,3))</f>
        <v>7.7700000000000001E-6</v>
      </c>
      <c r="S51" s="1">
        <f t="shared" ref="S51:S53" si="11">R51*Q51</f>
        <v>1.9425000000000001E-5</v>
      </c>
    </row>
    <row r="52" spans="10:19" x14ac:dyDescent="0.25">
      <c r="J52" t="s">
        <v>297</v>
      </c>
      <c r="K52" s="2">
        <v>28.32</v>
      </c>
      <c r="L52">
        <f>PI()*17.5*17.5*3000</f>
        <v>2886338.2504856223</v>
      </c>
      <c r="M52" s="1">
        <f t="shared" si="9"/>
        <v>9.8117398386121925E-6</v>
      </c>
      <c r="P52" t="s">
        <v>298</v>
      </c>
      <c r="Q52" s="4">
        <v>2.5</v>
      </c>
      <c r="R52" s="1">
        <f t="shared" si="10"/>
        <v>7.7700000000000001E-6</v>
      </c>
      <c r="S52" s="1">
        <f t="shared" si="11"/>
        <v>1.9425000000000001E-5</v>
      </c>
    </row>
    <row r="53" spans="10:19" x14ac:dyDescent="0.25">
      <c r="J53" t="s">
        <v>299</v>
      </c>
      <c r="K53" s="2">
        <v>35.4</v>
      </c>
      <c r="L53">
        <f>80*15*3000</f>
        <v>3600000</v>
      </c>
      <c r="M53" s="1">
        <f t="shared" si="9"/>
        <v>9.8333333333333329E-6</v>
      </c>
      <c r="P53" t="s">
        <v>300</v>
      </c>
      <c r="Q53" s="4">
        <v>18</v>
      </c>
      <c r="R53" s="1">
        <f>2700/(POWER(1000,3))</f>
        <v>2.7E-6</v>
      </c>
      <c r="S53" s="1">
        <f t="shared" si="11"/>
        <v>4.8600000000000002E-5</v>
      </c>
    </row>
    <row r="54" spans="10:19" x14ac:dyDescent="0.25">
      <c r="J54" t="s">
        <v>299</v>
      </c>
      <c r="K54" s="2">
        <v>81.599999999999994</v>
      </c>
      <c r="L54">
        <f>70*20*6000</f>
        <v>8400000</v>
      </c>
      <c r="M54" s="1">
        <f t="shared" si="9"/>
        <v>9.7142857142857135E-6</v>
      </c>
    </row>
    <row r="55" spans="10:19" x14ac:dyDescent="0.25">
      <c r="J55" t="s">
        <v>301</v>
      </c>
      <c r="K55" s="2">
        <v>8</v>
      </c>
      <c r="L55">
        <f>30*30*100</f>
        <v>90000</v>
      </c>
      <c r="M55" s="1">
        <f t="shared" si="9"/>
        <v>8.8888888888888893E-5</v>
      </c>
      <c r="R55" s="1"/>
    </row>
    <row r="56" spans="10:19" x14ac:dyDescent="0.25">
      <c r="J56" t="s">
        <v>301</v>
      </c>
      <c r="K56" s="2">
        <v>50</v>
      </c>
      <c r="L56">
        <f>140*50*285</f>
        <v>1995000</v>
      </c>
      <c r="M56" s="1">
        <f t="shared" si="9"/>
        <v>2.5062656641604011E-5</v>
      </c>
    </row>
    <row r="57" spans="10:19" x14ac:dyDescent="0.25">
      <c r="J57" t="s">
        <v>301</v>
      </c>
      <c r="K57" s="2">
        <v>46.2</v>
      </c>
      <c r="L57">
        <f>160*50*260</f>
        <v>2080000</v>
      </c>
      <c r="M57" s="1">
        <f t="shared" si="9"/>
        <v>2.2211538461538464E-5</v>
      </c>
    </row>
    <row r="58" spans="10:19" x14ac:dyDescent="0.25">
      <c r="J58" t="s">
        <v>302</v>
      </c>
      <c r="K58" s="2">
        <v>28</v>
      </c>
      <c r="L58">
        <f>PI()*65*65*103</f>
        <v>1367142.5830259381</v>
      </c>
      <c r="M58" s="1">
        <f t="shared" si="9"/>
        <v>2.0480672862977284E-5</v>
      </c>
    </row>
    <row r="59" spans="10:19" x14ac:dyDescent="0.25">
      <c r="J59" t="s">
        <v>302</v>
      </c>
      <c r="K59" s="2">
        <v>35.700000000000003</v>
      </c>
      <c r="L59">
        <f>PI()*65*65*113</f>
        <v>1499874.8726401068</v>
      </c>
      <c r="M59" s="1">
        <f t="shared" si="9"/>
        <v>2.380198551973887E-5</v>
      </c>
    </row>
    <row r="60" spans="10:19" x14ac:dyDescent="0.25">
      <c r="J60" t="s">
        <v>302</v>
      </c>
      <c r="K60" s="2">
        <v>13</v>
      </c>
      <c r="L60">
        <f>PI()*10*10*2000</f>
        <v>628318.5307179587</v>
      </c>
      <c r="M60" s="1">
        <f t="shared" si="9"/>
        <v>2.0690142601946392E-5</v>
      </c>
    </row>
    <row r="61" spans="10:19" x14ac:dyDescent="0.25">
      <c r="K61" s="2"/>
      <c r="L61" t="s">
        <v>334</v>
      </c>
      <c r="M61" s="1">
        <f>AVERAGE(M51,M50)</f>
        <v>1.7494170995654369E-5</v>
      </c>
    </row>
    <row r="62" spans="10:19" x14ac:dyDescent="0.25">
      <c r="L62" t="s">
        <v>8</v>
      </c>
      <c r="M62" s="1">
        <f>AVERAGE(M56:M60)</f>
        <v>2.2449399217561005E-5</v>
      </c>
    </row>
    <row r="64" spans="10:19" x14ac:dyDescent="0.25">
      <c r="J64" t="s">
        <v>335</v>
      </c>
    </row>
    <row r="65" spans="10:16" x14ac:dyDescent="0.25">
      <c r="J65" t="s">
        <v>4</v>
      </c>
      <c r="K65" t="s">
        <v>1</v>
      </c>
      <c r="L65" t="s">
        <v>2</v>
      </c>
      <c r="M65" t="s">
        <v>336</v>
      </c>
      <c r="N65" t="s">
        <v>7</v>
      </c>
      <c r="O65" t="s">
        <v>3</v>
      </c>
      <c r="P65" t="s">
        <v>149</v>
      </c>
    </row>
    <row r="66" spans="10:16" x14ac:dyDescent="0.25">
      <c r="J66">
        <v>80</v>
      </c>
      <c r="K66">
        <v>1000</v>
      </c>
      <c r="L66">
        <v>2000</v>
      </c>
      <c r="M66">
        <v>1284</v>
      </c>
      <c r="N66" s="2">
        <f>M66*L66*K66/1000000</f>
        <v>2568</v>
      </c>
      <c r="O66" s="1">
        <f>N66/(J66*K66*L66)</f>
        <v>1.605E-5</v>
      </c>
      <c r="P66" s="3" t="s">
        <v>337</v>
      </c>
    </row>
    <row r="67" spans="10:16" x14ac:dyDescent="0.25">
      <c r="J67">
        <v>50</v>
      </c>
      <c r="K67">
        <v>1000</v>
      </c>
      <c r="L67">
        <v>2000</v>
      </c>
      <c r="M67">
        <v>990</v>
      </c>
      <c r="N67" s="2">
        <f>M67*L67*K67/1000000</f>
        <v>1980</v>
      </c>
      <c r="O67" s="1">
        <f>N67/(J67*K67*L67)</f>
        <v>1.98E-5</v>
      </c>
    </row>
    <row r="68" spans="10:16" x14ac:dyDescent="0.25">
      <c r="J68">
        <v>30</v>
      </c>
      <c r="K68">
        <v>1000</v>
      </c>
      <c r="L68">
        <v>2000</v>
      </c>
      <c r="M68">
        <v>594</v>
      </c>
      <c r="N68" s="2">
        <f>M68*L68*K68/1000000</f>
        <v>1188</v>
      </c>
      <c r="O68" s="1">
        <f>N68/(J68*K68*L68)</f>
        <v>1.98E-5</v>
      </c>
    </row>
    <row r="69" spans="10:16" x14ac:dyDescent="0.25">
      <c r="J69">
        <v>40</v>
      </c>
      <c r="K69">
        <v>1000</v>
      </c>
      <c r="L69">
        <v>2000</v>
      </c>
      <c r="M69">
        <v>792</v>
      </c>
      <c r="N69" s="2">
        <f>M69*L69*K69/1000000</f>
        <v>1584</v>
      </c>
      <c r="O69" s="1">
        <f>N69/(J69*K69*L69)</f>
        <v>1.98E-5</v>
      </c>
    </row>
  </sheetData>
  <mergeCells count="5">
    <mergeCell ref="D4:D9"/>
    <mergeCell ref="B2:D2"/>
    <mergeCell ref="F2:G2"/>
    <mergeCell ref="B12:E12"/>
    <mergeCell ref="B22:F22"/>
  </mergeCells>
  <hyperlinks>
    <hyperlink ref="J1" r:id="rId1" xr:uid="{00000000-0004-0000-0C00-000000000000}"/>
    <hyperlink ref="AB1" r:id="rId2" xr:uid="{00000000-0004-0000-0C00-000001000000}"/>
    <hyperlink ref="P30" r:id="rId3" xr:uid="{00000000-0004-0000-0C00-000002000000}"/>
    <hyperlink ref="J43" r:id="rId4" xr:uid="{00000000-0004-0000-0C00-000004000000}"/>
    <hyperlink ref="P66" r:id="rId5" xr:uid="{00000000-0004-0000-0C00-000005000000}"/>
    <hyperlink ref="J30" r:id="rId6" xr:uid="{00000000-0004-0000-0C00-000006000000}"/>
  </hyperlinks>
  <pageMargins left="0.7" right="0.7" top="0.75" bottom="0.75" header="0.3" footer="0.3"/>
  <pageSetup paperSize="9"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4D62-C5E9-4F4C-BD41-7DF62D5F3336}">
  <dimension ref="B1:K165"/>
  <sheetViews>
    <sheetView showGridLines="0" workbookViewId="0">
      <selection activeCell="A6" sqref="A6:XFD6"/>
    </sheetView>
  </sheetViews>
  <sheetFormatPr baseColWidth="10" defaultColWidth="36.7109375" defaultRowHeight="15" x14ac:dyDescent="0.25"/>
  <cols>
    <col min="1" max="1" width="2.5703125" customWidth="1"/>
    <col min="2" max="2" width="7.5703125" bestFit="1" customWidth="1"/>
    <col min="3" max="3" width="9.7109375" bestFit="1" customWidth="1"/>
    <col min="4" max="4" width="12.85546875" bestFit="1" customWidth="1"/>
    <col min="5" max="5" width="22.7109375" bestFit="1" customWidth="1"/>
    <col min="6" max="6" width="36.140625" bestFit="1" customWidth="1"/>
    <col min="7" max="7" width="13" bestFit="1" customWidth="1"/>
    <col min="8" max="8" width="16.5703125" bestFit="1" customWidth="1"/>
    <col min="9" max="9" width="4" bestFit="1" customWidth="1"/>
    <col min="10" max="10" width="8" bestFit="1" customWidth="1"/>
    <col min="11" max="11" width="4.85546875" bestFit="1" customWidth="1"/>
  </cols>
  <sheetData>
    <row r="1" spans="2:11" ht="15.75" thickBot="1" x14ac:dyDescent="0.3"/>
    <row r="2" spans="2:11" ht="26.25" thickBot="1" x14ac:dyDescent="0.3">
      <c r="B2" s="412" t="s">
        <v>577</v>
      </c>
      <c r="C2" s="412" t="s">
        <v>578</v>
      </c>
      <c r="D2" s="412" t="s">
        <v>579</v>
      </c>
      <c r="E2" s="412" t="s">
        <v>580</v>
      </c>
      <c r="F2" s="412" t="s">
        <v>581</v>
      </c>
      <c r="G2" s="412" t="s">
        <v>582</v>
      </c>
      <c r="H2" s="412" t="s">
        <v>405</v>
      </c>
      <c r="I2" s="412" t="s">
        <v>583</v>
      </c>
      <c r="J2" s="412" t="s">
        <v>584</v>
      </c>
      <c r="K2" s="412" t="s">
        <v>16</v>
      </c>
    </row>
    <row r="3" spans="2:11" ht="15.75" thickBot="1" x14ac:dyDescent="0.3">
      <c r="B3" s="413"/>
      <c r="C3" s="413"/>
      <c r="D3" s="413"/>
      <c r="E3" s="413"/>
      <c r="F3" s="413"/>
      <c r="G3" s="413"/>
      <c r="H3" s="413"/>
      <c r="I3" s="413"/>
      <c r="J3" s="414" t="s">
        <v>585</v>
      </c>
      <c r="K3" s="424"/>
    </row>
    <row r="4" spans="2:11" ht="15.75" thickBot="1" x14ac:dyDescent="0.3">
      <c r="B4" s="415" t="s">
        <v>586</v>
      </c>
      <c r="C4" s="415" t="s">
        <v>587</v>
      </c>
      <c r="D4" s="415"/>
      <c r="E4" s="415" t="s">
        <v>588</v>
      </c>
      <c r="F4" s="415"/>
      <c r="G4" s="416"/>
      <c r="H4" s="416"/>
      <c r="I4" s="417">
        <v>1</v>
      </c>
      <c r="J4" s="416"/>
      <c r="K4" s="416"/>
    </row>
    <row r="5" spans="2:11" ht="15.75" thickBot="1" x14ac:dyDescent="0.3">
      <c r="B5" s="418"/>
      <c r="C5" s="418"/>
      <c r="D5" s="418" t="s">
        <v>589</v>
      </c>
      <c r="E5" s="418" t="s">
        <v>590</v>
      </c>
      <c r="F5" s="418" t="s">
        <v>591</v>
      </c>
      <c r="G5" s="419" t="s">
        <v>592</v>
      </c>
      <c r="H5" s="419" t="s">
        <v>593</v>
      </c>
      <c r="I5" s="420">
        <v>1</v>
      </c>
      <c r="J5" s="419"/>
      <c r="K5" s="419"/>
    </row>
    <row r="6" spans="2:11" ht="15.75" thickBot="1" x14ac:dyDescent="0.3">
      <c r="B6" s="415" t="s">
        <v>586</v>
      </c>
      <c r="C6" s="415" t="s">
        <v>594</v>
      </c>
      <c r="D6" s="415"/>
      <c r="E6" s="415" t="s">
        <v>595</v>
      </c>
      <c r="F6" s="415"/>
      <c r="G6" s="416"/>
      <c r="H6" s="416"/>
      <c r="I6" s="417">
        <v>1</v>
      </c>
      <c r="J6" s="416"/>
      <c r="K6" s="416"/>
    </row>
    <row r="7" spans="2:11" ht="15.75" thickBot="1" x14ac:dyDescent="0.3">
      <c r="B7" s="418"/>
      <c r="C7" s="418"/>
      <c r="D7" s="418" t="s">
        <v>596</v>
      </c>
      <c r="E7" s="418" t="s">
        <v>597</v>
      </c>
      <c r="F7" s="418" t="s">
        <v>598</v>
      </c>
      <c r="G7" s="419" t="s">
        <v>599</v>
      </c>
      <c r="H7" s="419" t="s">
        <v>600</v>
      </c>
      <c r="I7" s="420">
        <v>1</v>
      </c>
      <c r="J7" s="419"/>
      <c r="K7" s="419"/>
    </row>
    <row r="8" spans="2:11" ht="15.75" thickBot="1" x14ac:dyDescent="0.3">
      <c r="B8" s="418"/>
      <c r="C8" s="418"/>
      <c r="D8" s="418" t="s">
        <v>601</v>
      </c>
      <c r="E8" s="418" t="s">
        <v>602</v>
      </c>
      <c r="F8" s="418" t="s">
        <v>603</v>
      </c>
      <c r="G8" s="419" t="s">
        <v>599</v>
      </c>
      <c r="H8" s="419" t="s">
        <v>600</v>
      </c>
      <c r="I8" s="420">
        <v>2</v>
      </c>
      <c r="J8" s="419"/>
      <c r="K8" s="419"/>
    </row>
    <row r="9" spans="2:11" ht="15.75" thickBot="1" x14ac:dyDescent="0.3">
      <c r="B9" s="418"/>
      <c r="C9" s="418"/>
      <c r="D9" s="418" t="s">
        <v>604</v>
      </c>
      <c r="E9" s="418" t="s">
        <v>605</v>
      </c>
      <c r="F9" s="418" t="s">
        <v>606</v>
      </c>
      <c r="G9" s="419" t="s">
        <v>599</v>
      </c>
      <c r="H9" s="419" t="s">
        <v>600</v>
      </c>
      <c r="I9" s="420">
        <v>2</v>
      </c>
      <c r="J9" s="419"/>
      <c r="K9" s="419"/>
    </row>
    <row r="10" spans="2:11" ht="15.75" thickBot="1" x14ac:dyDescent="0.3">
      <c r="B10" s="418"/>
      <c r="C10" s="418"/>
      <c r="D10" s="421" t="s">
        <v>607</v>
      </c>
      <c r="E10" s="418" t="s">
        <v>608</v>
      </c>
      <c r="F10" s="418" t="s">
        <v>609</v>
      </c>
      <c r="G10" s="419" t="s">
        <v>599</v>
      </c>
      <c r="H10" s="419"/>
      <c r="I10" s="420">
        <v>4</v>
      </c>
      <c r="J10" s="419"/>
      <c r="K10" s="419"/>
    </row>
    <row r="11" spans="2:11" ht="15.75" thickBot="1" x14ac:dyDescent="0.3">
      <c r="B11" s="418"/>
      <c r="C11" s="418"/>
      <c r="D11" s="418" t="s">
        <v>610</v>
      </c>
      <c r="E11" s="418" t="s">
        <v>611</v>
      </c>
      <c r="F11" s="418" t="s">
        <v>612</v>
      </c>
      <c r="G11" s="419" t="s">
        <v>599</v>
      </c>
      <c r="H11" s="419"/>
      <c r="I11" s="420">
        <v>20</v>
      </c>
      <c r="J11" s="419"/>
      <c r="K11" s="419"/>
    </row>
    <row r="12" spans="2:11" ht="15.75" thickBot="1" x14ac:dyDescent="0.3">
      <c r="B12" s="415" t="s">
        <v>586</v>
      </c>
      <c r="C12" s="415" t="s">
        <v>613</v>
      </c>
      <c r="D12" s="415"/>
      <c r="E12" s="415" t="s">
        <v>614</v>
      </c>
      <c r="F12" s="415"/>
      <c r="G12" s="416"/>
      <c r="H12" s="416"/>
      <c r="I12" s="417">
        <v>1</v>
      </c>
      <c r="J12" s="416"/>
      <c r="K12" s="416"/>
    </row>
    <row r="13" spans="2:11" ht="15.75" thickBot="1" x14ac:dyDescent="0.3">
      <c r="B13" s="418"/>
      <c r="C13" s="418"/>
      <c r="D13" s="418" t="s">
        <v>615</v>
      </c>
      <c r="E13" s="418" t="s">
        <v>616</v>
      </c>
      <c r="F13" s="418" t="s">
        <v>617</v>
      </c>
      <c r="G13" s="419" t="s">
        <v>592</v>
      </c>
      <c r="H13" s="419" t="s">
        <v>618</v>
      </c>
      <c r="I13" s="420">
        <v>1</v>
      </c>
      <c r="J13" s="419"/>
      <c r="K13" s="419"/>
    </row>
    <row r="14" spans="2:11" ht="15.75" thickBot="1" x14ac:dyDescent="0.3">
      <c r="B14" s="418"/>
      <c r="C14" s="418"/>
      <c r="D14" s="418" t="s">
        <v>619</v>
      </c>
      <c r="E14" s="418" t="s">
        <v>620</v>
      </c>
      <c r="F14" s="418" t="s">
        <v>621</v>
      </c>
      <c r="G14" s="419" t="s">
        <v>592</v>
      </c>
      <c r="H14" s="419" t="s">
        <v>618</v>
      </c>
      <c r="I14" s="420">
        <v>1</v>
      </c>
      <c r="J14" s="419"/>
      <c r="K14" s="419"/>
    </row>
    <row r="15" spans="2:11" ht="15.75" thickBot="1" x14ac:dyDescent="0.3">
      <c r="B15" s="418"/>
      <c r="C15" s="418"/>
      <c r="D15" s="418" t="s">
        <v>622</v>
      </c>
      <c r="E15" s="418" t="s">
        <v>623</v>
      </c>
      <c r="F15" s="418" t="s">
        <v>624</v>
      </c>
      <c r="G15" s="419" t="s">
        <v>592</v>
      </c>
      <c r="H15" s="419" t="s">
        <v>618</v>
      </c>
      <c r="I15" s="420">
        <v>1</v>
      </c>
      <c r="J15" s="419"/>
      <c r="K15" s="419"/>
    </row>
    <row r="16" spans="2:11" ht="15.75" thickBot="1" x14ac:dyDescent="0.3">
      <c r="B16" s="418"/>
      <c r="C16" s="418"/>
      <c r="D16" s="418" t="s">
        <v>625</v>
      </c>
      <c r="E16" s="418" t="s">
        <v>626</v>
      </c>
      <c r="F16" s="418" t="s">
        <v>627</v>
      </c>
      <c r="G16" s="419" t="s">
        <v>592</v>
      </c>
      <c r="H16" s="419" t="s">
        <v>618</v>
      </c>
      <c r="I16" s="420">
        <v>2</v>
      </c>
      <c r="J16" s="419"/>
      <c r="K16" s="419"/>
    </row>
    <row r="17" spans="2:11" ht="15.75" thickBot="1" x14ac:dyDescent="0.3">
      <c r="B17" s="418"/>
      <c r="C17" s="418"/>
      <c r="D17" s="418" t="s">
        <v>628</v>
      </c>
      <c r="E17" s="418" t="s">
        <v>629</v>
      </c>
      <c r="F17" s="418" t="s">
        <v>630</v>
      </c>
      <c r="G17" s="419" t="s">
        <v>592</v>
      </c>
      <c r="H17" s="419" t="s">
        <v>618</v>
      </c>
      <c r="I17" s="420">
        <v>2</v>
      </c>
      <c r="J17" s="419"/>
      <c r="K17" s="419"/>
    </row>
    <row r="18" spans="2:11" ht="15.75" thickBot="1" x14ac:dyDescent="0.3">
      <c r="B18" s="418"/>
      <c r="C18" s="418"/>
      <c r="D18" s="418" t="s">
        <v>631</v>
      </c>
      <c r="E18" s="418" t="s">
        <v>632</v>
      </c>
      <c r="F18" s="418" t="s">
        <v>633</v>
      </c>
      <c r="G18" s="419"/>
      <c r="H18" s="419" t="s">
        <v>618</v>
      </c>
      <c r="I18" s="420">
        <v>2</v>
      </c>
      <c r="J18" s="419"/>
      <c r="K18" s="419"/>
    </row>
    <row r="19" spans="2:11" ht="15.75" thickBot="1" x14ac:dyDescent="0.3">
      <c r="B19" s="418"/>
      <c r="C19" s="418"/>
      <c r="D19" s="418" t="s">
        <v>634</v>
      </c>
      <c r="E19" s="418" t="s">
        <v>635</v>
      </c>
      <c r="F19" s="418" t="s">
        <v>630</v>
      </c>
      <c r="G19" s="419"/>
      <c r="H19" s="419" t="s">
        <v>618</v>
      </c>
      <c r="I19" s="420">
        <v>2</v>
      </c>
      <c r="J19" s="419"/>
      <c r="K19" s="419"/>
    </row>
    <row r="20" spans="2:11" ht="15.75" thickBot="1" x14ac:dyDescent="0.3">
      <c r="B20" s="418"/>
      <c r="C20" s="418"/>
      <c r="D20" s="418" t="s">
        <v>636</v>
      </c>
      <c r="E20" s="418" t="s">
        <v>637</v>
      </c>
      <c r="F20" s="418" t="s">
        <v>638</v>
      </c>
      <c r="G20" s="419"/>
      <c r="H20" s="419" t="s">
        <v>618</v>
      </c>
      <c r="I20" s="420">
        <v>1</v>
      </c>
      <c r="J20" s="419"/>
      <c r="K20" s="419"/>
    </row>
    <row r="21" spans="2:11" ht="15.75" thickBot="1" x14ac:dyDescent="0.3">
      <c r="B21" s="418"/>
      <c r="C21" s="418"/>
      <c r="D21" s="418" t="s">
        <v>639</v>
      </c>
      <c r="E21" s="418" t="s">
        <v>640</v>
      </c>
      <c r="F21" s="418" t="s">
        <v>638</v>
      </c>
      <c r="G21" s="419"/>
      <c r="H21" s="419" t="s">
        <v>618</v>
      </c>
      <c r="I21" s="420">
        <v>1</v>
      </c>
      <c r="J21" s="419"/>
      <c r="K21" s="419"/>
    </row>
    <row r="22" spans="2:11" ht="15.75" thickBot="1" x14ac:dyDescent="0.3">
      <c r="B22" s="418"/>
      <c r="C22" s="418"/>
      <c r="D22" s="418" t="s">
        <v>641</v>
      </c>
      <c r="E22" s="418" t="s">
        <v>642</v>
      </c>
      <c r="F22" s="418" t="s">
        <v>643</v>
      </c>
      <c r="G22" s="419"/>
      <c r="H22" s="419" t="s">
        <v>644</v>
      </c>
      <c r="I22" s="420">
        <v>2</v>
      </c>
      <c r="J22" s="419"/>
      <c r="K22" s="419"/>
    </row>
    <row r="23" spans="2:11" ht="15.75" thickBot="1" x14ac:dyDescent="0.3">
      <c r="B23" s="418"/>
      <c r="C23" s="418"/>
      <c r="D23" s="418" t="s">
        <v>645</v>
      </c>
      <c r="E23" s="418" t="s">
        <v>646</v>
      </c>
      <c r="F23" s="418" t="s">
        <v>647</v>
      </c>
      <c r="G23" s="419"/>
      <c r="H23" s="419" t="s">
        <v>648</v>
      </c>
      <c r="I23" s="420">
        <v>2</v>
      </c>
      <c r="J23" s="419"/>
      <c r="K23" s="419"/>
    </row>
    <row r="24" spans="2:11" ht="15.75" thickBot="1" x14ac:dyDescent="0.3">
      <c r="B24" s="418"/>
      <c r="C24" s="418"/>
      <c r="D24" s="418" t="s">
        <v>649</v>
      </c>
      <c r="E24" s="418" t="s">
        <v>650</v>
      </c>
      <c r="F24" s="418" t="s">
        <v>651</v>
      </c>
      <c r="G24" s="419" t="s">
        <v>599</v>
      </c>
      <c r="H24" s="419" t="s">
        <v>648</v>
      </c>
      <c r="I24" s="420">
        <v>2</v>
      </c>
      <c r="J24" s="419"/>
      <c r="K24" s="419"/>
    </row>
    <row r="25" spans="2:11" ht="15.75" thickBot="1" x14ac:dyDescent="0.3">
      <c r="B25" s="418"/>
      <c r="C25" s="418"/>
      <c r="D25" s="418" t="s">
        <v>652</v>
      </c>
      <c r="E25" s="418" t="s">
        <v>653</v>
      </c>
      <c r="F25" s="418" t="s">
        <v>654</v>
      </c>
      <c r="G25" s="419"/>
      <c r="H25" s="419" t="s">
        <v>648</v>
      </c>
      <c r="I25" s="420">
        <v>1</v>
      </c>
      <c r="J25" s="419"/>
      <c r="K25" s="419"/>
    </row>
    <row r="26" spans="2:11" ht="15.75" thickBot="1" x14ac:dyDescent="0.3">
      <c r="B26" s="418"/>
      <c r="C26" s="418"/>
      <c r="D26" s="418" t="s">
        <v>655</v>
      </c>
      <c r="E26" s="418" t="s">
        <v>656</v>
      </c>
      <c r="F26" s="418" t="s">
        <v>654</v>
      </c>
      <c r="G26" s="419"/>
      <c r="H26" s="419" t="s">
        <v>648</v>
      </c>
      <c r="I26" s="420">
        <v>1</v>
      </c>
      <c r="J26" s="419"/>
      <c r="K26" s="419"/>
    </row>
    <row r="27" spans="2:11" ht="15.75" thickBot="1" x14ac:dyDescent="0.3">
      <c r="B27" s="418"/>
      <c r="C27" s="418"/>
      <c r="D27" s="418" t="s">
        <v>657</v>
      </c>
      <c r="E27" s="418" t="s">
        <v>658</v>
      </c>
      <c r="F27" s="418" t="s">
        <v>659</v>
      </c>
      <c r="G27" s="419"/>
      <c r="H27" s="419" t="s">
        <v>648</v>
      </c>
      <c r="I27" s="420">
        <v>1</v>
      </c>
      <c r="J27" s="419"/>
      <c r="K27" s="419"/>
    </row>
    <row r="28" spans="2:11" ht="15.75" thickBot="1" x14ac:dyDescent="0.3">
      <c r="B28" s="418"/>
      <c r="C28" s="418"/>
      <c r="D28" s="422" t="s">
        <v>660</v>
      </c>
      <c r="E28" s="418" t="s">
        <v>661</v>
      </c>
      <c r="F28" s="418"/>
      <c r="G28" s="419"/>
      <c r="H28" s="419" t="s">
        <v>648</v>
      </c>
      <c r="I28" s="420">
        <v>2</v>
      </c>
      <c r="J28" s="419"/>
      <c r="K28" s="419"/>
    </row>
    <row r="29" spans="2:11" ht="15.75" thickBot="1" x14ac:dyDescent="0.3">
      <c r="B29" s="418"/>
      <c r="C29" s="418"/>
      <c r="D29" s="422" t="s">
        <v>662</v>
      </c>
      <c r="E29" s="418" t="s">
        <v>663</v>
      </c>
      <c r="F29" s="418"/>
      <c r="G29" s="419"/>
      <c r="H29" s="419" t="s">
        <v>648</v>
      </c>
      <c r="I29" s="420">
        <v>2</v>
      </c>
      <c r="J29" s="419"/>
      <c r="K29" s="419"/>
    </row>
    <row r="30" spans="2:11" ht="15.75" thickBot="1" x14ac:dyDescent="0.3">
      <c r="B30" s="418"/>
      <c r="C30" s="418"/>
      <c r="D30" s="422" t="s">
        <v>664</v>
      </c>
      <c r="E30" s="418" t="s">
        <v>665</v>
      </c>
      <c r="F30" s="418"/>
      <c r="G30" s="419"/>
      <c r="H30" s="419" t="s">
        <v>648</v>
      </c>
      <c r="I30" s="420">
        <v>4</v>
      </c>
      <c r="J30" s="419"/>
      <c r="K30" s="419"/>
    </row>
    <row r="31" spans="2:11" ht="15.75" thickBot="1" x14ac:dyDescent="0.3">
      <c r="B31" s="418"/>
      <c r="C31" s="418"/>
      <c r="D31" s="422" t="s">
        <v>666</v>
      </c>
      <c r="E31" s="418" t="s">
        <v>667</v>
      </c>
      <c r="F31" s="418"/>
      <c r="G31" s="419"/>
      <c r="H31" s="419" t="s">
        <v>648</v>
      </c>
      <c r="I31" s="420">
        <v>1</v>
      </c>
      <c r="J31" s="419"/>
      <c r="K31" s="419"/>
    </row>
    <row r="32" spans="2:11" ht="15.75" thickBot="1" x14ac:dyDescent="0.3">
      <c r="B32" s="418"/>
      <c r="C32" s="418"/>
      <c r="D32" s="422" t="s">
        <v>668</v>
      </c>
      <c r="E32" s="418" t="s">
        <v>669</v>
      </c>
      <c r="F32" s="418"/>
      <c r="G32" s="419"/>
      <c r="H32" s="419" t="s">
        <v>648</v>
      </c>
      <c r="I32" s="420">
        <v>12</v>
      </c>
      <c r="J32" s="419"/>
      <c r="K32" s="419"/>
    </row>
    <row r="33" spans="2:11" ht="15.75" thickBot="1" x14ac:dyDescent="0.3">
      <c r="B33" s="418"/>
      <c r="C33" s="418"/>
      <c r="D33" s="422" t="s">
        <v>670</v>
      </c>
      <c r="E33" s="418" t="s">
        <v>671</v>
      </c>
      <c r="F33" s="418"/>
      <c r="G33" s="419"/>
      <c r="H33" s="419" t="s">
        <v>648</v>
      </c>
      <c r="I33" s="420">
        <v>4</v>
      </c>
      <c r="J33" s="419"/>
      <c r="K33" s="419"/>
    </row>
    <row r="34" spans="2:11" ht="15.75" thickBot="1" x14ac:dyDescent="0.3">
      <c r="B34" s="418"/>
      <c r="C34" s="418"/>
      <c r="D34" s="422" t="s">
        <v>672</v>
      </c>
      <c r="E34" s="418" t="s">
        <v>673</v>
      </c>
      <c r="F34" s="418"/>
      <c r="G34" s="419"/>
      <c r="H34" s="419" t="s">
        <v>648</v>
      </c>
      <c r="I34" s="420">
        <v>8</v>
      </c>
      <c r="J34" s="419"/>
      <c r="K34" s="419"/>
    </row>
    <row r="35" spans="2:11" ht="15.75" thickBot="1" x14ac:dyDescent="0.3">
      <c r="B35" s="418"/>
      <c r="C35" s="418"/>
      <c r="D35" s="422" t="s">
        <v>674</v>
      </c>
      <c r="E35" s="418" t="s">
        <v>675</v>
      </c>
      <c r="F35" s="418"/>
      <c r="G35" s="419"/>
      <c r="H35" s="419" t="s">
        <v>648</v>
      </c>
      <c r="I35" s="420">
        <v>1</v>
      </c>
      <c r="J35" s="419"/>
      <c r="K35" s="419"/>
    </row>
    <row r="36" spans="2:11" ht="15.75" thickBot="1" x14ac:dyDescent="0.3">
      <c r="B36" s="418"/>
      <c r="C36" s="418"/>
      <c r="D36" s="422" t="s">
        <v>676</v>
      </c>
      <c r="E36" s="418" t="s">
        <v>677</v>
      </c>
      <c r="F36" s="418"/>
      <c r="G36" s="419"/>
      <c r="H36" s="419" t="s">
        <v>648</v>
      </c>
      <c r="I36" s="420">
        <v>2</v>
      </c>
      <c r="J36" s="419"/>
      <c r="K36" s="419"/>
    </row>
    <row r="37" spans="2:11" ht="15.75" thickBot="1" x14ac:dyDescent="0.3">
      <c r="B37" s="418"/>
      <c r="C37" s="418"/>
      <c r="D37" s="422" t="s">
        <v>678</v>
      </c>
      <c r="E37" s="418" t="s">
        <v>679</v>
      </c>
      <c r="F37" s="418"/>
      <c r="G37" s="419"/>
      <c r="H37" s="419" t="s">
        <v>648</v>
      </c>
      <c r="I37" s="420">
        <v>12</v>
      </c>
      <c r="J37" s="419"/>
      <c r="K37" s="419"/>
    </row>
    <row r="38" spans="2:11" ht="15.75" thickBot="1" x14ac:dyDescent="0.3">
      <c r="B38" s="418"/>
      <c r="C38" s="418"/>
      <c r="D38" s="422" t="s">
        <v>680</v>
      </c>
      <c r="E38" s="418" t="s">
        <v>681</v>
      </c>
      <c r="F38" s="418"/>
      <c r="G38" s="419"/>
      <c r="H38" s="419" t="s">
        <v>648</v>
      </c>
      <c r="I38" s="420">
        <v>1</v>
      </c>
      <c r="J38" s="419"/>
      <c r="K38" s="419"/>
    </row>
    <row r="39" spans="2:11" ht="15.75" thickBot="1" x14ac:dyDescent="0.3">
      <c r="B39" s="415" t="s">
        <v>586</v>
      </c>
      <c r="C39" s="415" t="s">
        <v>682</v>
      </c>
      <c r="D39" s="415"/>
      <c r="E39" s="415" t="s">
        <v>683</v>
      </c>
      <c r="F39" s="416"/>
      <c r="G39" s="416"/>
      <c r="H39" s="416"/>
      <c r="I39" s="417">
        <v>1</v>
      </c>
      <c r="J39" s="416"/>
      <c r="K39" s="416"/>
    </row>
    <row r="40" spans="2:11" ht="15.75" thickBot="1" x14ac:dyDescent="0.3">
      <c r="B40" s="418"/>
      <c r="C40" s="418"/>
      <c r="D40" s="418" t="s">
        <v>684</v>
      </c>
      <c r="E40" s="418" t="s">
        <v>685</v>
      </c>
      <c r="F40" s="418" t="s">
        <v>617</v>
      </c>
      <c r="G40" s="419"/>
      <c r="H40" s="419" t="s">
        <v>618</v>
      </c>
      <c r="I40" s="420">
        <v>1</v>
      </c>
      <c r="J40" s="419"/>
      <c r="K40" s="419"/>
    </row>
    <row r="41" spans="2:11" ht="15.75" thickBot="1" x14ac:dyDescent="0.3">
      <c r="B41" s="418"/>
      <c r="C41" s="418"/>
      <c r="D41" s="418" t="s">
        <v>686</v>
      </c>
      <c r="E41" s="418" t="s">
        <v>687</v>
      </c>
      <c r="F41" s="418" t="s">
        <v>624</v>
      </c>
      <c r="G41" s="419"/>
      <c r="H41" s="419" t="s">
        <v>618</v>
      </c>
      <c r="I41" s="420">
        <v>1</v>
      </c>
      <c r="J41" s="419"/>
      <c r="K41" s="419"/>
    </row>
    <row r="42" spans="2:11" ht="15.75" thickBot="1" x14ac:dyDescent="0.3">
      <c r="B42" s="418"/>
      <c r="C42" s="418"/>
      <c r="D42" s="418" t="s">
        <v>688</v>
      </c>
      <c r="E42" s="418" t="s">
        <v>620</v>
      </c>
      <c r="F42" s="418" t="s">
        <v>621</v>
      </c>
      <c r="G42" s="419"/>
      <c r="H42" s="419" t="s">
        <v>618</v>
      </c>
      <c r="I42" s="420">
        <v>1</v>
      </c>
      <c r="J42" s="419"/>
      <c r="K42" s="419"/>
    </row>
    <row r="43" spans="2:11" ht="15.75" thickBot="1" x14ac:dyDescent="0.3">
      <c r="B43" s="418"/>
      <c r="C43" s="418"/>
      <c r="D43" s="418" t="s">
        <v>689</v>
      </c>
      <c r="E43" s="418" t="s">
        <v>690</v>
      </c>
      <c r="F43" s="418" t="s">
        <v>691</v>
      </c>
      <c r="G43" s="419"/>
      <c r="H43" s="419"/>
      <c r="I43" s="418"/>
      <c r="J43" s="419"/>
      <c r="K43" s="419"/>
    </row>
    <row r="44" spans="2:11" ht="15.75" thickBot="1" x14ac:dyDescent="0.3">
      <c r="B44" s="418"/>
      <c r="C44" s="418"/>
      <c r="D44" s="418" t="s">
        <v>692</v>
      </c>
      <c r="E44" s="418" t="s">
        <v>693</v>
      </c>
      <c r="F44" s="418" t="s">
        <v>694</v>
      </c>
      <c r="G44" s="419"/>
      <c r="H44" s="419" t="s">
        <v>618</v>
      </c>
      <c r="I44" s="420">
        <v>2</v>
      </c>
      <c r="J44" s="419"/>
      <c r="K44" s="419"/>
    </row>
    <row r="45" spans="2:11" ht="15.75" thickBot="1" x14ac:dyDescent="0.3">
      <c r="B45" s="418"/>
      <c r="C45" s="418"/>
      <c r="D45" s="418" t="s">
        <v>695</v>
      </c>
      <c r="E45" s="418" t="s">
        <v>696</v>
      </c>
      <c r="F45" s="418" t="s">
        <v>627</v>
      </c>
      <c r="G45" s="419"/>
      <c r="H45" s="419" t="s">
        <v>618</v>
      </c>
      <c r="I45" s="420">
        <v>2</v>
      </c>
      <c r="J45" s="419"/>
      <c r="K45" s="419"/>
    </row>
    <row r="46" spans="2:11" ht="15.75" thickBot="1" x14ac:dyDescent="0.3">
      <c r="B46" s="418"/>
      <c r="C46" s="418"/>
      <c r="D46" s="418" t="s">
        <v>697</v>
      </c>
      <c r="E46" s="418" t="s">
        <v>698</v>
      </c>
      <c r="F46" s="418" t="s">
        <v>699</v>
      </c>
      <c r="G46" s="419"/>
      <c r="H46" s="419" t="s">
        <v>618</v>
      </c>
      <c r="I46" s="420">
        <v>2</v>
      </c>
      <c r="J46" s="419"/>
      <c r="K46" s="419"/>
    </row>
    <row r="47" spans="2:11" ht="15.75" thickBot="1" x14ac:dyDescent="0.3">
      <c r="B47" s="418"/>
      <c r="C47" s="418"/>
      <c r="D47" s="418" t="s">
        <v>700</v>
      </c>
      <c r="E47" s="418" t="s">
        <v>701</v>
      </c>
      <c r="F47" s="418" t="s">
        <v>702</v>
      </c>
      <c r="G47" s="419"/>
      <c r="H47" s="419" t="s">
        <v>618</v>
      </c>
      <c r="I47" s="420">
        <v>2</v>
      </c>
      <c r="J47" s="419"/>
      <c r="K47" s="419"/>
    </row>
    <row r="48" spans="2:11" ht="15.75" thickBot="1" x14ac:dyDescent="0.3">
      <c r="B48" s="418"/>
      <c r="C48" s="418"/>
      <c r="D48" s="418" t="s">
        <v>703</v>
      </c>
      <c r="E48" s="418" t="s">
        <v>704</v>
      </c>
      <c r="F48" s="418" t="s">
        <v>705</v>
      </c>
      <c r="G48" s="419"/>
      <c r="H48" s="419" t="s">
        <v>618</v>
      </c>
      <c r="I48" s="420">
        <v>1</v>
      </c>
      <c r="J48" s="419"/>
      <c r="K48" s="419"/>
    </row>
    <row r="49" spans="2:11" ht="15.75" thickBot="1" x14ac:dyDescent="0.3">
      <c r="B49" s="418"/>
      <c r="C49" s="418"/>
      <c r="D49" s="418" t="s">
        <v>706</v>
      </c>
      <c r="E49" s="418" t="s">
        <v>707</v>
      </c>
      <c r="F49" s="418" t="s">
        <v>708</v>
      </c>
      <c r="G49" s="419"/>
      <c r="H49" s="419" t="s">
        <v>618</v>
      </c>
      <c r="I49" s="420">
        <v>2</v>
      </c>
      <c r="J49" s="419"/>
      <c r="K49" s="419"/>
    </row>
    <row r="50" spans="2:11" ht="15.75" thickBot="1" x14ac:dyDescent="0.3">
      <c r="B50" s="418"/>
      <c r="C50" s="418"/>
      <c r="D50" s="418" t="s">
        <v>709</v>
      </c>
      <c r="E50" s="418" t="s">
        <v>710</v>
      </c>
      <c r="F50" s="418" t="s">
        <v>711</v>
      </c>
      <c r="G50" s="419"/>
      <c r="H50" s="419" t="s">
        <v>618</v>
      </c>
      <c r="I50" s="420">
        <v>1</v>
      </c>
      <c r="J50" s="419"/>
      <c r="K50" s="419"/>
    </row>
    <row r="51" spans="2:11" ht="15.75" thickBot="1" x14ac:dyDescent="0.3">
      <c r="B51" s="418"/>
      <c r="C51" s="418"/>
      <c r="D51" s="418" t="s">
        <v>712</v>
      </c>
      <c r="E51" s="418" t="s">
        <v>713</v>
      </c>
      <c r="F51" s="418" t="s">
        <v>714</v>
      </c>
      <c r="G51" s="419"/>
      <c r="H51" s="419" t="s">
        <v>618</v>
      </c>
      <c r="I51" s="420">
        <v>1</v>
      </c>
      <c r="J51" s="419"/>
      <c r="K51" s="419"/>
    </row>
    <row r="52" spans="2:11" ht="15.75" thickBot="1" x14ac:dyDescent="0.3">
      <c r="B52" s="418"/>
      <c r="C52" s="418"/>
      <c r="D52" s="418" t="s">
        <v>715</v>
      </c>
      <c r="E52" s="418" t="s">
        <v>716</v>
      </c>
      <c r="F52" s="418" t="s">
        <v>717</v>
      </c>
      <c r="G52" s="418"/>
      <c r="H52" s="419" t="s">
        <v>618</v>
      </c>
      <c r="I52" s="420">
        <v>1</v>
      </c>
      <c r="J52" s="418"/>
      <c r="K52" s="418"/>
    </row>
    <row r="53" spans="2:11" ht="15.75" thickBot="1" x14ac:dyDescent="0.3">
      <c r="B53" s="418"/>
      <c r="C53" s="418"/>
      <c r="D53" s="418" t="s">
        <v>718</v>
      </c>
      <c r="E53" s="418" t="s">
        <v>719</v>
      </c>
      <c r="F53" s="418" t="s">
        <v>720</v>
      </c>
      <c r="G53" s="418"/>
      <c r="H53" s="418" t="s">
        <v>648</v>
      </c>
      <c r="I53" s="420">
        <v>1</v>
      </c>
      <c r="J53" s="418"/>
      <c r="K53" s="418"/>
    </row>
    <row r="54" spans="2:11" ht="15.75" thickBot="1" x14ac:dyDescent="0.3">
      <c r="B54" s="418"/>
      <c r="C54" s="418"/>
      <c r="D54" s="418" t="s">
        <v>721</v>
      </c>
      <c r="E54" s="418" t="s">
        <v>722</v>
      </c>
      <c r="F54" s="418" t="s">
        <v>723</v>
      </c>
      <c r="G54" s="418"/>
      <c r="H54" s="418"/>
      <c r="I54" s="420">
        <v>1</v>
      </c>
      <c r="J54" s="418"/>
      <c r="K54" s="418"/>
    </row>
    <row r="55" spans="2:11" ht="15.75" thickBot="1" x14ac:dyDescent="0.3">
      <c r="B55" s="418"/>
      <c r="C55" s="418"/>
      <c r="D55" s="418" t="s">
        <v>724</v>
      </c>
      <c r="E55" s="418" t="s">
        <v>710</v>
      </c>
      <c r="F55" s="418" t="s">
        <v>725</v>
      </c>
      <c r="G55" s="418"/>
      <c r="H55" s="418" t="s">
        <v>648</v>
      </c>
      <c r="I55" s="420">
        <v>2</v>
      </c>
      <c r="J55" s="418"/>
      <c r="K55" s="418"/>
    </row>
    <row r="56" spans="2:11" ht="15.75" thickBot="1" x14ac:dyDescent="0.3">
      <c r="B56" s="418"/>
      <c r="C56" s="418"/>
      <c r="D56" s="418" t="s">
        <v>726</v>
      </c>
      <c r="E56" s="418" t="s">
        <v>727</v>
      </c>
      <c r="F56" s="418" t="s">
        <v>643</v>
      </c>
      <c r="G56" s="418"/>
      <c r="H56" s="418" t="s">
        <v>644</v>
      </c>
      <c r="I56" s="420">
        <v>2</v>
      </c>
      <c r="J56" s="418"/>
      <c r="K56" s="418"/>
    </row>
    <row r="57" spans="2:11" ht="15.75" thickBot="1" x14ac:dyDescent="0.3">
      <c r="B57" s="418"/>
      <c r="C57" s="418"/>
      <c r="D57" s="418" t="s">
        <v>728</v>
      </c>
      <c r="E57" s="418" t="s">
        <v>729</v>
      </c>
      <c r="F57" s="418" t="s">
        <v>654</v>
      </c>
      <c r="G57" s="418"/>
      <c r="H57" s="418" t="s">
        <v>648</v>
      </c>
      <c r="I57" s="420">
        <v>2</v>
      </c>
      <c r="J57" s="418"/>
      <c r="K57" s="418"/>
    </row>
    <row r="58" spans="2:11" ht="15.75" thickBot="1" x14ac:dyDescent="0.3">
      <c r="B58" s="418"/>
      <c r="C58" s="418"/>
      <c r="D58" s="422" t="s">
        <v>660</v>
      </c>
      <c r="E58" s="418" t="s">
        <v>661</v>
      </c>
      <c r="F58" s="418"/>
      <c r="G58" s="418"/>
      <c r="H58" s="418" t="s">
        <v>648</v>
      </c>
      <c r="I58" s="420">
        <v>1</v>
      </c>
      <c r="J58" s="418"/>
      <c r="K58" s="418"/>
    </row>
    <row r="59" spans="2:11" ht="15.75" thickBot="1" x14ac:dyDescent="0.3">
      <c r="B59" s="418"/>
      <c r="C59" s="418"/>
      <c r="D59" s="422" t="s">
        <v>730</v>
      </c>
      <c r="E59" s="418" t="s">
        <v>663</v>
      </c>
      <c r="F59" s="418"/>
      <c r="G59" s="418"/>
      <c r="H59" s="418" t="s">
        <v>648</v>
      </c>
      <c r="I59" s="420">
        <v>2</v>
      </c>
      <c r="J59" s="418"/>
      <c r="K59" s="418"/>
    </row>
    <row r="60" spans="2:11" ht="15.75" thickBot="1" x14ac:dyDescent="0.3">
      <c r="B60" s="418"/>
      <c r="C60" s="418"/>
      <c r="D60" s="422" t="s">
        <v>664</v>
      </c>
      <c r="E60" s="418" t="s">
        <v>665</v>
      </c>
      <c r="F60" s="418"/>
      <c r="G60" s="418"/>
      <c r="H60" s="418" t="s">
        <v>648</v>
      </c>
      <c r="I60" s="420">
        <v>4</v>
      </c>
      <c r="J60" s="418"/>
      <c r="K60" s="418"/>
    </row>
    <row r="61" spans="2:11" ht="15.75" thickBot="1" x14ac:dyDescent="0.3">
      <c r="B61" s="418"/>
      <c r="C61" s="418"/>
      <c r="D61" s="422" t="s">
        <v>731</v>
      </c>
      <c r="E61" s="418" t="s">
        <v>732</v>
      </c>
      <c r="F61" s="418"/>
      <c r="G61" s="418"/>
      <c r="H61" s="418" t="s">
        <v>648</v>
      </c>
      <c r="I61" s="420">
        <v>1</v>
      </c>
      <c r="J61" s="418"/>
      <c r="K61" s="418"/>
    </row>
    <row r="62" spans="2:11" ht="15.75" thickBot="1" x14ac:dyDescent="0.3">
      <c r="B62" s="418"/>
      <c r="C62" s="418"/>
      <c r="D62" s="422" t="s">
        <v>666</v>
      </c>
      <c r="E62" s="418" t="s">
        <v>667</v>
      </c>
      <c r="F62" s="418"/>
      <c r="G62" s="418"/>
      <c r="H62" s="418" t="s">
        <v>648</v>
      </c>
      <c r="I62" s="420">
        <v>1</v>
      </c>
      <c r="J62" s="418"/>
      <c r="K62" s="418"/>
    </row>
    <row r="63" spans="2:11" ht="15.75" thickBot="1" x14ac:dyDescent="0.3">
      <c r="B63" s="418"/>
      <c r="C63" s="418"/>
      <c r="D63" s="422" t="s">
        <v>670</v>
      </c>
      <c r="E63" s="418" t="s">
        <v>671</v>
      </c>
      <c r="F63" s="418"/>
      <c r="G63" s="418"/>
      <c r="H63" s="418" t="s">
        <v>648</v>
      </c>
      <c r="I63" s="420">
        <v>3</v>
      </c>
      <c r="J63" s="418"/>
      <c r="K63" s="418"/>
    </row>
    <row r="64" spans="2:11" ht="15.75" thickBot="1" x14ac:dyDescent="0.3">
      <c r="B64" s="418"/>
      <c r="C64" s="418"/>
      <c r="D64" s="422" t="s">
        <v>672</v>
      </c>
      <c r="E64" s="418" t="s">
        <v>673</v>
      </c>
      <c r="F64" s="418"/>
      <c r="G64" s="418"/>
      <c r="H64" s="418" t="s">
        <v>648</v>
      </c>
      <c r="I64" s="420">
        <v>9</v>
      </c>
      <c r="J64" s="418"/>
      <c r="K64" s="418"/>
    </row>
    <row r="65" spans="2:11" ht="15.75" thickBot="1" x14ac:dyDescent="0.3">
      <c r="B65" s="418"/>
      <c r="C65" s="418"/>
      <c r="D65" s="422" t="s">
        <v>674</v>
      </c>
      <c r="E65" s="418" t="s">
        <v>675</v>
      </c>
      <c r="F65" s="418"/>
      <c r="G65" s="418"/>
      <c r="H65" s="418" t="s">
        <v>648</v>
      </c>
      <c r="I65" s="420">
        <v>1</v>
      </c>
      <c r="J65" s="418"/>
      <c r="K65" s="418"/>
    </row>
    <row r="66" spans="2:11" ht="15.75" thickBot="1" x14ac:dyDescent="0.3">
      <c r="B66" s="418"/>
      <c r="C66" s="418"/>
      <c r="D66" s="422" t="s">
        <v>676</v>
      </c>
      <c r="E66" s="418" t="s">
        <v>677</v>
      </c>
      <c r="F66" s="418"/>
      <c r="G66" s="418"/>
      <c r="H66" s="418" t="s">
        <v>648</v>
      </c>
      <c r="I66" s="420">
        <v>1</v>
      </c>
      <c r="J66" s="418"/>
      <c r="K66" s="418"/>
    </row>
    <row r="67" spans="2:11" ht="15.75" thickBot="1" x14ac:dyDescent="0.3">
      <c r="B67" s="418"/>
      <c r="C67" s="418"/>
      <c r="D67" s="422" t="s">
        <v>678</v>
      </c>
      <c r="E67" s="418" t="s">
        <v>679</v>
      </c>
      <c r="F67" s="418"/>
      <c r="G67" s="418"/>
      <c r="H67" s="418" t="s">
        <v>648</v>
      </c>
      <c r="I67" s="420">
        <v>14</v>
      </c>
      <c r="J67" s="418"/>
      <c r="K67" s="418"/>
    </row>
    <row r="68" spans="2:11" ht="15.75" thickBot="1" x14ac:dyDescent="0.3">
      <c r="B68" s="418"/>
      <c r="C68" s="418"/>
      <c r="D68" s="422" t="s">
        <v>680</v>
      </c>
      <c r="E68" s="418" t="s">
        <v>681</v>
      </c>
      <c r="F68" s="418"/>
      <c r="G68" s="418"/>
      <c r="H68" s="418" t="s">
        <v>648</v>
      </c>
      <c r="I68" s="420">
        <v>1</v>
      </c>
      <c r="J68" s="418"/>
      <c r="K68" s="418"/>
    </row>
    <row r="69" spans="2:11" ht="15.75" thickBot="1" x14ac:dyDescent="0.3">
      <c r="B69" s="418"/>
      <c r="C69" s="418"/>
      <c r="D69" s="422" t="s">
        <v>733</v>
      </c>
      <c r="E69" s="418" t="s">
        <v>734</v>
      </c>
      <c r="F69" s="418"/>
      <c r="G69" s="418"/>
      <c r="H69" s="418" t="s">
        <v>648</v>
      </c>
      <c r="I69" s="420">
        <v>2</v>
      </c>
      <c r="J69" s="418"/>
      <c r="K69" s="418"/>
    </row>
    <row r="70" spans="2:11" ht="15.75" thickBot="1" x14ac:dyDescent="0.3">
      <c r="B70" s="415" t="s">
        <v>586</v>
      </c>
      <c r="C70" s="415" t="s">
        <v>735</v>
      </c>
      <c r="D70" s="415"/>
      <c r="E70" s="415" t="s">
        <v>736</v>
      </c>
      <c r="F70" s="415"/>
      <c r="G70" s="415"/>
      <c r="H70" s="415"/>
      <c r="I70" s="417">
        <v>1</v>
      </c>
      <c r="J70" s="415"/>
      <c r="K70" s="415"/>
    </row>
    <row r="71" spans="2:11" ht="15.75" thickBot="1" x14ac:dyDescent="0.3">
      <c r="B71" s="418"/>
      <c r="C71" s="418"/>
      <c r="D71" s="418" t="s">
        <v>684</v>
      </c>
      <c r="E71" s="418" t="s">
        <v>736</v>
      </c>
      <c r="F71" s="418" t="s">
        <v>737</v>
      </c>
      <c r="G71" s="418"/>
      <c r="H71" s="418"/>
      <c r="I71" s="420">
        <v>1</v>
      </c>
      <c r="J71" s="418"/>
      <c r="K71" s="418"/>
    </row>
    <row r="72" spans="2:11" ht="15.75" thickBot="1" x14ac:dyDescent="0.3">
      <c r="B72" s="418"/>
      <c r="C72" s="418"/>
      <c r="D72" s="418" t="s">
        <v>686</v>
      </c>
      <c r="E72" s="418" t="s">
        <v>738</v>
      </c>
      <c r="F72" s="418" t="s">
        <v>739</v>
      </c>
      <c r="G72" s="418"/>
      <c r="H72" s="418"/>
      <c r="I72" s="420">
        <v>1</v>
      </c>
      <c r="J72" s="418"/>
      <c r="K72" s="418"/>
    </row>
    <row r="73" spans="2:11" ht="15.75" thickBot="1" x14ac:dyDescent="0.3">
      <c r="B73" s="415" t="s">
        <v>586</v>
      </c>
      <c r="C73" s="415" t="s">
        <v>740</v>
      </c>
      <c r="D73" s="415"/>
      <c r="E73" s="415" t="s">
        <v>741</v>
      </c>
      <c r="F73" s="415"/>
      <c r="G73" s="415"/>
      <c r="H73" s="415"/>
      <c r="I73" s="417">
        <v>1</v>
      </c>
      <c r="J73" s="415"/>
      <c r="K73" s="415"/>
    </row>
    <row r="74" spans="2:11" ht="15.75" thickBot="1" x14ac:dyDescent="0.3">
      <c r="B74" s="418"/>
      <c r="C74" s="418"/>
      <c r="D74" s="418" t="s">
        <v>742</v>
      </c>
      <c r="E74" s="418" t="s">
        <v>743</v>
      </c>
      <c r="F74" s="418" t="s">
        <v>744</v>
      </c>
      <c r="G74" s="418"/>
      <c r="H74" s="418" t="s">
        <v>745</v>
      </c>
      <c r="I74" s="420">
        <v>1</v>
      </c>
      <c r="J74" s="418"/>
      <c r="K74" s="418"/>
    </row>
    <row r="75" spans="2:11" ht="15.75" thickBot="1" x14ac:dyDescent="0.3">
      <c r="B75" s="418"/>
      <c r="C75" s="418"/>
      <c r="D75" s="418" t="s">
        <v>746</v>
      </c>
      <c r="E75" s="418" t="s">
        <v>747</v>
      </c>
      <c r="F75" s="418" t="s">
        <v>748</v>
      </c>
      <c r="G75" s="418"/>
      <c r="H75" s="418" t="s">
        <v>745</v>
      </c>
      <c r="I75" s="420">
        <v>1</v>
      </c>
      <c r="J75" s="418"/>
      <c r="K75" s="418"/>
    </row>
    <row r="76" spans="2:11" ht="15.75" thickBot="1" x14ac:dyDescent="0.3">
      <c r="B76" s="418"/>
      <c r="C76" s="418"/>
      <c r="D76" s="422" t="s">
        <v>749</v>
      </c>
      <c r="E76" s="418" t="s">
        <v>750</v>
      </c>
      <c r="F76" s="418"/>
      <c r="G76" s="418"/>
      <c r="H76" s="418" t="s">
        <v>648</v>
      </c>
      <c r="I76" s="420">
        <v>6</v>
      </c>
      <c r="J76" s="418"/>
      <c r="K76" s="418"/>
    </row>
    <row r="77" spans="2:11" ht="15.75" thickBot="1" x14ac:dyDescent="0.3">
      <c r="B77" s="418"/>
      <c r="C77" s="418"/>
      <c r="D77" s="422" t="s">
        <v>670</v>
      </c>
      <c r="E77" s="418" t="s">
        <v>751</v>
      </c>
      <c r="F77" s="418"/>
      <c r="G77" s="418"/>
      <c r="H77" s="418" t="s">
        <v>648</v>
      </c>
      <c r="I77" s="420">
        <v>6</v>
      </c>
      <c r="J77" s="418"/>
      <c r="K77" s="418"/>
    </row>
    <row r="78" spans="2:11" ht="15.75" thickBot="1" x14ac:dyDescent="0.3">
      <c r="B78" s="418"/>
      <c r="C78" s="418"/>
      <c r="D78" s="422" t="s">
        <v>676</v>
      </c>
      <c r="E78" s="418" t="s">
        <v>752</v>
      </c>
      <c r="F78" s="418"/>
      <c r="G78" s="418"/>
      <c r="H78" s="418" t="s">
        <v>648</v>
      </c>
      <c r="I78" s="420">
        <v>6</v>
      </c>
      <c r="J78" s="418"/>
      <c r="K78" s="418"/>
    </row>
    <row r="79" spans="2:11" ht="15.75" thickBot="1" x14ac:dyDescent="0.3">
      <c r="B79" s="415" t="s">
        <v>586</v>
      </c>
      <c r="C79" s="415" t="s">
        <v>753</v>
      </c>
      <c r="D79" s="415"/>
      <c r="E79" s="415" t="s">
        <v>754</v>
      </c>
      <c r="F79" s="415"/>
      <c r="G79" s="415"/>
      <c r="H79" s="415"/>
      <c r="I79" s="417">
        <v>1</v>
      </c>
      <c r="J79" s="415"/>
      <c r="K79" s="415"/>
    </row>
    <row r="80" spans="2:11" ht="15.75" thickBot="1" x14ac:dyDescent="0.3">
      <c r="B80" s="418"/>
      <c r="C80" s="418"/>
      <c r="D80" s="418" t="s">
        <v>755</v>
      </c>
      <c r="E80" s="418" t="s">
        <v>756</v>
      </c>
      <c r="F80" s="418"/>
      <c r="G80" s="418" t="s">
        <v>599</v>
      </c>
      <c r="H80" s="418"/>
      <c r="I80" s="420">
        <v>10</v>
      </c>
      <c r="J80" s="418"/>
      <c r="K80" s="418"/>
    </row>
    <row r="81" spans="2:11" ht="15.75" thickBot="1" x14ac:dyDescent="0.3">
      <c r="B81" s="418"/>
      <c r="C81" s="418"/>
      <c r="D81" s="422"/>
      <c r="E81" s="418"/>
      <c r="F81" s="418"/>
      <c r="G81" s="418"/>
      <c r="H81" s="418"/>
      <c r="I81" s="420"/>
      <c r="J81" s="418"/>
      <c r="K81" s="418"/>
    </row>
    <row r="82" spans="2:11" ht="15.75" thickBot="1" x14ac:dyDescent="0.3">
      <c r="B82" s="418"/>
      <c r="C82" s="418"/>
      <c r="D82" s="422"/>
      <c r="E82" s="418"/>
      <c r="F82" s="418"/>
      <c r="G82" s="418"/>
      <c r="H82" s="418"/>
      <c r="I82" s="420"/>
      <c r="J82" s="418"/>
      <c r="K82" s="418"/>
    </row>
    <row r="83" spans="2:11" ht="15.75" thickBot="1" x14ac:dyDescent="0.3">
      <c r="B83" s="415" t="s">
        <v>586</v>
      </c>
      <c r="C83" s="415" t="s">
        <v>757</v>
      </c>
      <c r="D83" s="415"/>
      <c r="E83" s="415" t="s">
        <v>758</v>
      </c>
      <c r="F83" s="415"/>
      <c r="G83" s="415"/>
      <c r="H83" s="415"/>
      <c r="I83" s="417">
        <v>1</v>
      </c>
      <c r="J83" s="415"/>
      <c r="K83" s="415"/>
    </row>
    <row r="84" spans="2:11" ht="15.75" thickBot="1" x14ac:dyDescent="0.3">
      <c r="B84" s="418"/>
      <c r="C84" s="418"/>
      <c r="D84" s="418" t="s">
        <v>759</v>
      </c>
      <c r="E84" s="418" t="s">
        <v>760</v>
      </c>
      <c r="F84" s="418" t="s">
        <v>761</v>
      </c>
      <c r="G84" s="418" t="s">
        <v>592</v>
      </c>
      <c r="H84" s="418" t="s">
        <v>285</v>
      </c>
      <c r="I84" s="420">
        <v>1</v>
      </c>
      <c r="J84" s="418"/>
      <c r="K84" s="418"/>
    </row>
    <row r="85" spans="2:11" ht="15.75" thickBot="1" x14ac:dyDescent="0.3">
      <c r="B85" s="418"/>
      <c r="C85" s="418"/>
      <c r="D85" s="418" t="s">
        <v>762</v>
      </c>
      <c r="E85" s="418" t="s">
        <v>763</v>
      </c>
      <c r="F85" s="418" t="s">
        <v>761</v>
      </c>
      <c r="G85" s="418" t="s">
        <v>592</v>
      </c>
      <c r="H85" s="418" t="s">
        <v>285</v>
      </c>
      <c r="I85" s="420">
        <v>1</v>
      </c>
      <c r="J85" s="418"/>
      <c r="K85" s="418"/>
    </row>
    <row r="86" spans="2:11" ht="15.75" thickBot="1" x14ac:dyDescent="0.3">
      <c r="B86" s="418"/>
      <c r="C86" s="418"/>
      <c r="D86" s="418" t="s">
        <v>764</v>
      </c>
      <c r="E86" s="418" t="s">
        <v>765</v>
      </c>
      <c r="F86" s="418" t="s">
        <v>766</v>
      </c>
      <c r="G86" s="418" t="s">
        <v>592</v>
      </c>
      <c r="H86" s="418" t="s">
        <v>618</v>
      </c>
      <c r="I86" s="420">
        <v>2</v>
      </c>
      <c r="J86" s="418"/>
      <c r="K86" s="418"/>
    </row>
    <row r="87" spans="2:11" ht="15.75" thickBot="1" x14ac:dyDescent="0.3">
      <c r="B87" s="418"/>
      <c r="C87" s="418"/>
      <c r="D87" s="418" t="s">
        <v>767</v>
      </c>
      <c r="E87" s="418" t="s">
        <v>768</v>
      </c>
      <c r="F87" s="418" t="s">
        <v>766</v>
      </c>
      <c r="G87" s="418" t="s">
        <v>592</v>
      </c>
      <c r="H87" s="418" t="s">
        <v>618</v>
      </c>
      <c r="I87" s="420">
        <v>2</v>
      </c>
      <c r="J87" s="418"/>
      <c r="K87" s="418"/>
    </row>
    <row r="88" spans="2:11" ht="15.75" thickBot="1" x14ac:dyDescent="0.3">
      <c r="B88" s="418"/>
      <c r="C88" s="418"/>
      <c r="D88" s="418" t="s">
        <v>769</v>
      </c>
      <c r="E88" s="418" t="s">
        <v>770</v>
      </c>
      <c r="F88" s="418" t="s">
        <v>771</v>
      </c>
      <c r="G88" s="418" t="s">
        <v>592</v>
      </c>
      <c r="H88" s="418" t="s">
        <v>772</v>
      </c>
      <c r="I88" s="420">
        <v>1</v>
      </c>
      <c r="J88" s="418"/>
      <c r="K88" s="418"/>
    </row>
    <row r="89" spans="2:11" ht="15.75" thickBot="1" x14ac:dyDescent="0.3">
      <c r="B89" s="418"/>
      <c r="C89" s="418"/>
      <c r="D89" s="418" t="s">
        <v>773</v>
      </c>
      <c r="E89" s="418"/>
      <c r="F89" s="418"/>
      <c r="G89" s="418"/>
      <c r="H89" s="418"/>
      <c r="I89" s="420"/>
      <c r="J89" s="418"/>
      <c r="K89" s="418"/>
    </row>
    <row r="90" spans="2:11" ht="15.75" thickBot="1" x14ac:dyDescent="0.3">
      <c r="B90" s="418"/>
      <c r="C90" s="418"/>
      <c r="D90" s="418" t="s">
        <v>774</v>
      </c>
      <c r="E90" s="418"/>
      <c r="F90" s="418"/>
      <c r="G90" s="418"/>
      <c r="H90" s="418"/>
      <c r="I90" s="420"/>
      <c r="J90" s="418"/>
      <c r="K90" s="418"/>
    </row>
    <row r="91" spans="2:11" ht="15.75" thickBot="1" x14ac:dyDescent="0.3">
      <c r="B91" s="418"/>
      <c r="C91" s="418"/>
      <c r="D91" s="418" t="s">
        <v>775</v>
      </c>
      <c r="E91" s="418"/>
      <c r="F91" s="418"/>
      <c r="G91" s="418"/>
      <c r="H91" s="418"/>
      <c r="I91" s="420"/>
      <c r="J91" s="418"/>
      <c r="K91" s="418"/>
    </row>
    <row r="92" spans="2:11" ht="15.75" thickBot="1" x14ac:dyDescent="0.3">
      <c r="B92" s="415" t="s">
        <v>586</v>
      </c>
      <c r="C92" s="415" t="s">
        <v>776</v>
      </c>
      <c r="D92" s="415"/>
      <c r="E92" s="415" t="s">
        <v>777</v>
      </c>
      <c r="F92" s="415"/>
      <c r="G92" s="415"/>
      <c r="H92" s="415"/>
      <c r="I92" s="417">
        <v>1</v>
      </c>
      <c r="J92" s="415"/>
      <c r="K92" s="415"/>
    </row>
    <row r="93" spans="2:11" ht="15.75" thickBot="1" x14ac:dyDescent="0.3">
      <c r="B93" s="418"/>
      <c r="C93" s="418"/>
      <c r="D93" s="418" t="s">
        <v>778</v>
      </c>
      <c r="E93" s="418" t="s">
        <v>779</v>
      </c>
      <c r="F93" s="418" t="s">
        <v>780</v>
      </c>
      <c r="G93" s="418" t="s">
        <v>592</v>
      </c>
      <c r="H93" s="418" t="s">
        <v>618</v>
      </c>
      <c r="I93" s="420">
        <v>1</v>
      </c>
      <c r="J93" s="418"/>
      <c r="K93" s="418"/>
    </row>
    <row r="94" spans="2:11" ht="15.75" thickBot="1" x14ac:dyDescent="0.3">
      <c r="B94" s="418"/>
      <c r="C94" s="418"/>
      <c r="D94" s="418" t="s">
        <v>781</v>
      </c>
      <c r="E94" s="418" t="s">
        <v>782</v>
      </c>
      <c r="F94" s="418" t="s">
        <v>780</v>
      </c>
      <c r="G94" s="418" t="s">
        <v>592</v>
      </c>
      <c r="H94" s="418" t="s">
        <v>618</v>
      </c>
      <c r="I94" s="420">
        <v>1</v>
      </c>
      <c r="J94" s="418"/>
      <c r="K94" s="418"/>
    </row>
    <row r="95" spans="2:11" ht="15.75" thickBot="1" x14ac:dyDescent="0.3">
      <c r="B95" s="418"/>
      <c r="C95" s="418"/>
      <c r="D95" s="418" t="s">
        <v>783</v>
      </c>
      <c r="E95" s="418" t="s">
        <v>784</v>
      </c>
      <c r="F95" s="418" t="s">
        <v>780</v>
      </c>
      <c r="G95" s="418" t="s">
        <v>592</v>
      </c>
      <c r="H95" s="418" t="s">
        <v>618</v>
      </c>
      <c r="I95" s="420">
        <v>1</v>
      </c>
      <c r="J95" s="418"/>
      <c r="K95" s="418"/>
    </row>
    <row r="96" spans="2:11" ht="15.75" thickBot="1" x14ac:dyDescent="0.3">
      <c r="B96" s="418"/>
      <c r="C96" s="418"/>
      <c r="D96" s="418" t="s">
        <v>785</v>
      </c>
      <c r="E96" s="418" t="s">
        <v>786</v>
      </c>
      <c r="F96" s="418" t="s">
        <v>787</v>
      </c>
      <c r="G96" s="418" t="s">
        <v>592</v>
      </c>
      <c r="H96" s="418" t="s">
        <v>618</v>
      </c>
      <c r="I96" s="420">
        <v>1</v>
      </c>
      <c r="J96" s="418"/>
      <c r="K96" s="418"/>
    </row>
    <row r="97" spans="2:11" ht="15.75" thickBot="1" x14ac:dyDescent="0.3">
      <c r="B97" s="418"/>
      <c r="C97" s="418"/>
      <c r="D97" s="418" t="s">
        <v>788</v>
      </c>
      <c r="E97" s="418" t="s">
        <v>789</v>
      </c>
      <c r="F97" s="418" t="s">
        <v>790</v>
      </c>
      <c r="G97" s="418" t="s">
        <v>592</v>
      </c>
      <c r="H97" s="418" t="s">
        <v>618</v>
      </c>
      <c r="I97" s="420">
        <v>1</v>
      </c>
      <c r="J97" s="418"/>
      <c r="K97" s="418"/>
    </row>
    <row r="98" spans="2:11" ht="15.75" thickBot="1" x14ac:dyDescent="0.3">
      <c r="B98" s="418"/>
      <c r="C98" s="418"/>
      <c r="D98" s="418" t="s">
        <v>791</v>
      </c>
      <c r="E98" s="418" t="s">
        <v>792</v>
      </c>
      <c r="F98" s="418" t="s">
        <v>793</v>
      </c>
      <c r="G98" s="418" t="s">
        <v>592</v>
      </c>
      <c r="H98" s="418" t="s">
        <v>618</v>
      </c>
      <c r="I98" s="420">
        <v>1</v>
      </c>
      <c r="J98" s="418"/>
      <c r="K98" s="418"/>
    </row>
    <row r="99" spans="2:11" ht="15.75" thickBot="1" x14ac:dyDescent="0.3">
      <c r="B99" s="418"/>
      <c r="C99" s="418"/>
      <c r="D99" s="418" t="s">
        <v>794</v>
      </c>
      <c r="E99" s="423" t="s">
        <v>795</v>
      </c>
      <c r="F99" s="423" t="s">
        <v>796</v>
      </c>
      <c r="G99" s="423"/>
      <c r="H99" s="423"/>
      <c r="I99" s="423"/>
      <c r="J99" s="423"/>
      <c r="K99" s="423"/>
    </row>
    <row r="100" spans="2:11" ht="15.75" thickBot="1" x14ac:dyDescent="0.3">
      <c r="B100" s="418"/>
      <c r="C100" s="418"/>
      <c r="D100" s="418" t="s">
        <v>797</v>
      </c>
      <c r="E100" s="423" t="s">
        <v>798</v>
      </c>
      <c r="F100" s="423" t="s">
        <v>799</v>
      </c>
      <c r="G100" s="423" t="s">
        <v>592</v>
      </c>
      <c r="H100" s="423" t="s">
        <v>618</v>
      </c>
      <c r="I100" s="423">
        <v>1</v>
      </c>
      <c r="J100" s="423"/>
      <c r="K100" s="423"/>
    </row>
    <row r="101" spans="2:11" ht="15.75" thickBot="1" x14ac:dyDescent="0.3">
      <c r="B101" s="418"/>
      <c r="C101" s="418"/>
      <c r="D101" s="418" t="s">
        <v>800</v>
      </c>
      <c r="E101" s="423" t="s">
        <v>801</v>
      </c>
      <c r="F101" s="423" t="s">
        <v>802</v>
      </c>
      <c r="G101" s="423" t="s">
        <v>592</v>
      </c>
      <c r="H101" s="423" t="s">
        <v>618</v>
      </c>
      <c r="I101" s="423">
        <v>1</v>
      </c>
      <c r="J101" s="423"/>
      <c r="K101" s="423"/>
    </row>
    <row r="102" spans="2:11" ht="15.75" thickBot="1" x14ac:dyDescent="0.3">
      <c r="B102" s="418"/>
      <c r="C102" s="418"/>
      <c r="D102" s="418" t="s">
        <v>803</v>
      </c>
      <c r="E102" s="423" t="s">
        <v>804</v>
      </c>
      <c r="F102" s="423" t="s">
        <v>805</v>
      </c>
      <c r="G102" s="423" t="s">
        <v>592</v>
      </c>
      <c r="H102" s="423" t="s">
        <v>618</v>
      </c>
      <c r="I102" s="423">
        <v>1</v>
      </c>
      <c r="J102" s="423"/>
      <c r="K102" s="423"/>
    </row>
    <row r="103" spans="2:11" ht="15.75" thickBot="1" x14ac:dyDescent="0.3">
      <c r="B103" s="418"/>
      <c r="C103" s="418"/>
      <c r="D103" s="418" t="s">
        <v>806</v>
      </c>
      <c r="E103" s="423" t="s">
        <v>807</v>
      </c>
      <c r="F103" s="423" t="s">
        <v>808</v>
      </c>
      <c r="G103" s="423" t="s">
        <v>592</v>
      </c>
      <c r="H103" s="423" t="s">
        <v>618</v>
      </c>
      <c r="I103" s="423">
        <v>1</v>
      </c>
      <c r="J103" s="423"/>
      <c r="K103" s="423"/>
    </row>
    <row r="104" spans="2:11" ht="15.75" thickBot="1" x14ac:dyDescent="0.3">
      <c r="B104" s="418"/>
      <c r="C104" s="418"/>
      <c r="D104" s="418" t="s">
        <v>809</v>
      </c>
      <c r="E104" s="423" t="s">
        <v>810</v>
      </c>
      <c r="F104" s="423" t="s">
        <v>811</v>
      </c>
      <c r="G104" s="423" t="s">
        <v>592</v>
      </c>
      <c r="H104" s="423" t="s">
        <v>618</v>
      </c>
      <c r="I104" s="423">
        <v>1</v>
      </c>
      <c r="J104" s="423"/>
      <c r="K104" s="423"/>
    </row>
    <row r="105" spans="2:11" ht="15.75" thickBot="1" x14ac:dyDescent="0.3">
      <c r="B105" s="418"/>
      <c r="C105" s="418"/>
      <c r="D105" s="418" t="s">
        <v>812</v>
      </c>
      <c r="E105" s="423" t="s">
        <v>813</v>
      </c>
      <c r="F105" s="423" t="s">
        <v>814</v>
      </c>
      <c r="G105" s="423" t="s">
        <v>592</v>
      </c>
      <c r="H105" s="423" t="s">
        <v>618</v>
      </c>
      <c r="I105" s="423">
        <v>1</v>
      </c>
      <c r="J105" s="423"/>
      <c r="K105" s="423"/>
    </row>
    <row r="106" spans="2:11" ht="15.75" thickBot="1" x14ac:dyDescent="0.3">
      <c r="B106" s="418"/>
      <c r="C106" s="418"/>
      <c r="D106" s="418" t="s">
        <v>815</v>
      </c>
      <c r="E106" s="423" t="s">
        <v>816</v>
      </c>
      <c r="F106" s="423" t="s">
        <v>817</v>
      </c>
      <c r="G106" s="423" t="s">
        <v>592</v>
      </c>
      <c r="H106" s="423" t="s">
        <v>618</v>
      </c>
      <c r="I106" s="423">
        <v>1</v>
      </c>
      <c r="J106" s="423"/>
      <c r="K106" s="423"/>
    </row>
    <row r="107" spans="2:11" ht="15.75" thickBot="1" x14ac:dyDescent="0.3">
      <c r="B107" s="418"/>
      <c r="C107" s="418"/>
      <c r="D107" s="418" t="s">
        <v>818</v>
      </c>
      <c r="E107" s="423" t="s">
        <v>819</v>
      </c>
      <c r="F107" s="423" t="s">
        <v>820</v>
      </c>
      <c r="G107" s="423" t="s">
        <v>592</v>
      </c>
      <c r="H107" s="423" t="s">
        <v>618</v>
      </c>
      <c r="I107" s="423">
        <v>1</v>
      </c>
      <c r="J107" s="423"/>
      <c r="K107" s="423"/>
    </row>
    <row r="108" spans="2:11" ht="15.75" thickBot="1" x14ac:dyDescent="0.3">
      <c r="B108" s="418"/>
      <c r="C108" s="418"/>
      <c r="D108" s="418" t="s">
        <v>821</v>
      </c>
      <c r="E108" s="423" t="s">
        <v>822</v>
      </c>
      <c r="F108" s="423" t="s">
        <v>823</v>
      </c>
      <c r="G108" s="423" t="s">
        <v>592</v>
      </c>
      <c r="H108" s="423" t="s">
        <v>618</v>
      </c>
      <c r="I108" s="423">
        <v>1</v>
      </c>
      <c r="J108" s="423"/>
      <c r="K108" s="423"/>
    </row>
    <row r="109" spans="2:11" ht="15.75" thickBot="1" x14ac:dyDescent="0.3">
      <c r="B109" s="418"/>
      <c r="C109" s="418"/>
      <c r="D109" s="418" t="s">
        <v>824</v>
      </c>
      <c r="E109" s="423" t="s">
        <v>825</v>
      </c>
      <c r="F109" s="423" t="s">
        <v>826</v>
      </c>
      <c r="G109" s="423" t="s">
        <v>592</v>
      </c>
      <c r="H109" s="423" t="s">
        <v>618</v>
      </c>
      <c r="I109" s="423">
        <v>1</v>
      </c>
      <c r="J109" s="423"/>
      <c r="K109" s="423"/>
    </row>
    <row r="110" spans="2:11" ht="15.75" thickBot="1" x14ac:dyDescent="0.3">
      <c r="B110" s="418"/>
      <c r="C110" s="418"/>
      <c r="D110" s="418" t="s">
        <v>827</v>
      </c>
      <c r="E110" s="423" t="s">
        <v>828</v>
      </c>
      <c r="F110" s="423" t="s">
        <v>829</v>
      </c>
      <c r="G110" s="423" t="s">
        <v>592</v>
      </c>
      <c r="H110" s="423" t="s">
        <v>618</v>
      </c>
      <c r="I110" s="423">
        <v>1</v>
      </c>
      <c r="J110" s="423"/>
      <c r="K110" s="423"/>
    </row>
    <row r="111" spans="2:11" ht="15.75" thickBot="1" x14ac:dyDescent="0.3">
      <c r="B111" s="418"/>
      <c r="C111" s="418"/>
      <c r="D111" s="418" t="s">
        <v>830</v>
      </c>
      <c r="E111" s="423" t="s">
        <v>831</v>
      </c>
      <c r="F111" s="423" t="s">
        <v>832</v>
      </c>
      <c r="G111" s="423" t="s">
        <v>592</v>
      </c>
      <c r="H111" s="423" t="s">
        <v>618</v>
      </c>
      <c r="I111" s="423">
        <v>1</v>
      </c>
      <c r="J111" s="423"/>
      <c r="K111" s="423"/>
    </row>
    <row r="112" spans="2:11" ht="15.75" thickBot="1" x14ac:dyDescent="0.3">
      <c r="B112" s="418"/>
      <c r="C112" s="418"/>
      <c r="D112" s="418" t="s">
        <v>833</v>
      </c>
      <c r="E112" s="418" t="s">
        <v>834</v>
      </c>
      <c r="F112" s="418" t="s">
        <v>835</v>
      </c>
      <c r="G112" s="423" t="s">
        <v>592</v>
      </c>
      <c r="H112" s="423"/>
      <c r="I112" s="423">
        <v>1</v>
      </c>
      <c r="J112" s="418"/>
      <c r="K112" s="418"/>
    </row>
    <row r="113" spans="2:11" ht="15.75" thickBot="1" x14ac:dyDescent="0.3">
      <c r="B113" s="418"/>
      <c r="C113" s="418"/>
      <c r="D113" s="418" t="s">
        <v>836</v>
      </c>
      <c r="E113" s="418" t="s">
        <v>837</v>
      </c>
      <c r="F113" s="418" t="s">
        <v>835</v>
      </c>
      <c r="G113" s="423" t="s">
        <v>592</v>
      </c>
      <c r="H113" s="423"/>
      <c r="I113" s="423">
        <v>1</v>
      </c>
      <c r="J113" s="418"/>
      <c r="K113" s="418"/>
    </row>
    <row r="114" spans="2:11" ht="15.75" thickBot="1" x14ac:dyDescent="0.3">
      <c r="B114" s="415" t="s">
        <v>586</v>
      </c>
      <c r="C114" s="415" t="s">
        <v>838</v>
      </c>
      <c r="D114" s="415"/>
      <c r="E114" s="415" t="s">
        <v>839</v>
      </c>
      <c r="F114" s="415"/>
      <c r="G114" s="415"/>
      <c r="H114" s="415"/>
      <c r="I114" s="417">
        <v>1</v>
      </c>
      <c r="J114" s="415"/>
      <c r="K114" s="415"/>
    </row>
    <row r="115" spans="2:11" ht="15.75" thickBot="1" x14ac:dyDescent="0.3">
      <c r="B115" s="418"/>
      <c r="C115" s="418"/>
      <c r="D115" s="418" t="s">
        <v>840</v>
      </c>
      <c r="E115" s="418" t="s">
        <v>841</v>
      </c>
      <c r="F115" s="418" t="s">
        <v>842</v>
      </c>
      <c r="G115" s="418" t="s">
        <v>592</v>
      </c>
      <c r="H115" s="418" t="s">
        <v>648</v>
      </c>
      <c r="I115" s="420">
        <v>8</v>
      </c>
      <c r="J115" s="418"/>
      <c r="K115" s="418"/>
    </row>
    <row r="116" spans="2:11" ht="15.75" thickBot="1" x14ac:dyDescent="0.3">
      <c r="B116" s="418"/>
      <c r="C116" s="418"/>
      <c r="D116" s="418" t="s">
        <v>843</v>
      </c>
      <c r="E116" s="418" t="s">
        <v>844</v>
      </c>
      <c r="F116" s="418" t="s">
        <v>845</v>
      </c>
      <c r="G116" s="418" t="s">
        <v>592</v>
      </c>
      <c r="H116" s="418" t="s">
        <v>618</v>
      </c>
      <c r="I116" s="420">
        <v>2</v>
      </c>
      <c r="J116" s="418"/>
      <c r="K116" s="418"/>
    </row>
    <row r="117" spans="2:11" ht="15.75" thickBot="1" x14ac:dyDescent="0.3">
      <c r="B117" s="418"/>
      <c r="C117" s="418"/>
      <c r="D117" s="418" t="s">
        <v>846</v>
      </c>
      <c r="E117" s="418" t="s">
        <v>847</v>
      </c>
      <c r="F117" s="418" t="s">
        <v>848</v>
      </c>
      <c r="G117" s="418" t="s">
        <v>592</v>
      </c>
      <c r="H117" s="418" t="s">
        <v>618</v>
      </c>
      <c r="I117" s="420">
        <v>2</v>
      </c>
      <c r="J117" s="418"/>
      <c r="K117" s="418"/>
    </row>
    <row r="118" spans="2:11" ht="15.75" thickBot="1" x14ac:dyDescent="0.3">
      <c r="B118" s="418"/>
      <c r="C118" s="418"/>
      <c r="D118" s="418" t="s">
        <v>849</v>
      </c>
      <c r="E118" s="418" t="s">
        <v>850</v>
      </c>
      <c r="F118" s="418" t="s">
        <v>851</v>
      </c>
      <c r="G118" s="418" t="s">
        <v>592</v>
      </c>
      <c r="H118" s="418" t="s">
        <v>618</v>
      </c>
      <c r="I118" s="420">
        <v>2</v>
      </c>
      <c r="J118" s="418"/>
      <c r="K118" s="418"/>
    </row>
    <row r="119" spans="2:11" ht="15.75" thickBot="1" x14ac:dyDescent="0.3">
      <c r="B119" s="418"/>
      <c r="C119" s="418"/>
      <c r="D119" s="418" t="s">
        <v>852</v>
      </c>
      <c r="E119" s="418" t="s">
        <v>853</v>
      </c>
      <c r="F119" s="418" t="s">
        <v>854</v>
      </c>
      <c r="G119" s="418" t="s">
        <v>592</v>
      </c>
      <c r="H119" s="418" t="s">
        <v>618</v>
      </c>
      <c r="I119" s="420">
        <v>2</v>
      </c>
      <c r="J119" s="418"/>
      <c r="K119" s="418"/>
    </row>
    <row r="120" spans="2:11" ht="15.75" thickBot="1" x14ac:dyDescent="0.3">
      <c r="B120" s="415" t="s">
        <v>586</v>
      </c>
      <c r="C120" s="415" t="s">
        <v>855</v>
      </c>
      <c r="D120" s="415"/>
      <c r="E120" s="415" t="s">
        <v>856</v>
      </c>
      <c r="F120" s="415"/>
      <c r="G120" s="415"/>
      <c r="H120" s="415"/>
      <c r="I120" s="417">
        <v>1</v>
      </c>
      <c r="J120" s="415"/>
      <c r="K120" s="415"/>
    </row>
    <row r="121" spans="2:11" ht="15.75" thickBot="1" x14ac:dyDescent="0.3">
      <c r="B121" s="418"/>
      <c r="C121" s="418"/>
      <c r="D121" s="418" t="s">
        <v>857</v>
      </c>
      <c r="E121" s="418" t="s">
        <v>858</v>
      </c>
      <c r="F121" s="418" t="s">
        <v>859</v>
      </c>
      <c r="G121" s="418" t="s">
        <v>592</v>
      </c>
      <c r="H121" s="418" t="s">
        <v>618</v>
      </c>
      <c r="I121" s="420">
        <v>2</v>
      </c>
      <c r="J121" s="418"/>
      <c r="K121" s="418"/>
    </row>
    <row r="122" spans="2:11" ht="15.75" thickBot="1" x14ac:dyDescent="0.3">
      <c r="B122" s="418"/>
      <c r="C122" s="418"/>
      <c r="D122" s="418" t="s">
        <v>860</v>
      </c>
      <c r="E122" s="418" t="s">
        <v>861</v>
      </c>
      <c r="F122" s="418" t="s">
        <v>859</v>
      </c>
      <c r="G122" s="418" t="s">
        <v>592</v>
      </c>
      <c r="H122" s="418" t="s">
        <v>618</v>
      </c>
      <c r="I122" s="420">
        <v>2</v>
      </c>
      <c r="J122" s="418"/>
      <c r="K122" s="418"/>
    </row>
    <row r="123" spans="2:11" ht="15.75" thickBot="1" x14ac:dyDescent="0.3">
      <c r="B123" s="418"/>
      <c r="C123" s="418"/>
      <c r="D123" s="418" t="s">
        <v>862</v>
      </c>
      <c r="E123" s="418" t="s">
        <v>863</v>
      </c>
      <c r="F123" s="418" t="s">
        <v>864</v>
      </c>
      <c r="G123" s="418" t="s">
        <v>592</v>
      </c>
      <c r="H123" s="418" t="s">
        <v>618</v>
      </c>
      <c r="I123" s="420">
        <v>1</v>
      </c>
      <c r="J123" s="418"/>
      <c r="K123" s="418"/>
    </row>
    <row r="124" spans="2:11" ht="15.75" thickBot="1" x14ac:dyDescent="0.3">
      <c r="B124" s="418"/>
      <c r="C124" s="418"/>
      <c r="D124" s="418" t="s">
        <v>865</v>
      </c>
      <c r="E124" s="418" t="s">
        <v>866</v>
      </c>
      <c r="F124" s="418" t="s">
        <v>864</v>
      </c>
      <c r="G124" s="418" t="s">
        <v>592</v>
      </c>
      <c r="H124" s="418" t="s">
        <v>618</v>
      </c>
      <c r="I124" s="420">
        <v>1</v>
      </c>
      <c r="J124" s="418"/>
      <c r="K124" s="418"/>
    </row>
    <row r="125" spans="2:11" ht="15.75" thickBot="1" x14ac:dyDescent="0.3">
      <c r="B125" s="418"/>
      <c r="C125" s="418"/>
      <c r="D125" s="418" t="s">
        <v>867</v>
      </c>
      <c r="E125" s="418" t="s">
        <v>868</v>
      </c>
      <c r="F125" s="418" t="s">
        <v>864</v>
      </c>
      <c r="G125" s="418" t="s">
        <v>592</v>
      </c>
      <c r="H125" s="418" t="s">
        <v>618</v>
      </c>
      <c r="I125" s="420">
        <v>2</v>
      </c>
      <c r="J125" s="418"/>
      <c r="K125" s="418"/>
    </row>
    <row r="126" spans="2:11" ht="15.75" thickBot="1" x14ac:dyDescent="0.3">
      <c r="B126" s="418"/>
      <c r="C126" s="418"/>
      <c r="D126" s="418" t="s">
        <v>869</v>
      </c>
      <c r="E126" s="418" t="s">
        <v>870</v>
      </c>
      <c r="F126" s="418" t="s">
        <v>870</v>
      </c>
      <c r="G126" s="418" t="s">
        <v>592</v>
      </c>
      <c r="H126" s="418" t="s">
        <v>618</v>
      </c>
      <c r="I126" s="420">
        <v>2</v>
      </c>
      <c r="J126" s="418"/>
      <c r="K126" s="418"/>
    </row>
    <row r="127" spans="2:11" ht="15.75" thickBot="1" x14ac:dyDescent="0.3">
      <c r="B127" s="418"/>
      <c r="C127" s="418"/>
      <c r="D127" s="418" t="s">
        <v>871</v>
      </c>
      <c r="E127" s="418" t="s">
        <v>872</v>
      </c>
      <c r="F127" s="418" t="s">
        <v>872</v>
      </c>
      <c r="G127" s="418" t="s">
        <v>592</v>
      </c>
      <c r="H127" s="418" t="s">
        <v>618</v>
      </c>
      <c r="I127" s="420">
        <v>12</v>
      </c>
      <c r="J127" s="418"/>
      <c r="K127" s="418"/>
    </row>
    <row r="128" spans="2:11" ht="15.75" thickBot="1" x14ac:dyDescent="0.3">
      <c r="B128" s="415" t="s">
        <v>586</v>
      </c>
      <c r="C128" s="415" t="s">
        <v>873</v>
      </c>
      <c r="D128" s="415"/>
      <c r="E128" s="415" t="s">
        <v>874</v>
      </c>
      <c r="F128" s="415"/>
      <c r="G128" s="415"/>
      <c r="H128" s="415"/>
      <c r="I128" s="417">
        <v>1</v>
      </c>
      <c r="J128" s="415"/>
      <c r="K128" s="415"/>
    </row>
    <row r="129" spans="2:11" ht="15.75" thickBot="1" x14ac:dyDescent="0.3">
      <c r="B129" s="418"/>
      <c r="C129" s="418"/>
      <c r="D129" s="418" t="s">
        <v>875</v>
      </c>
      <c r="E129" s="418" t="s">
        <v>876</v>
      </c>
      <c r="F129" s="418"/>
      <c r="G129" s="418" t="s">
        <v>592</v>
      </c>
      <c r="H129" s="418" t="s">
        <v>618</v>
      </c>
      <c r="I129" s="420">
        <v>2</v>
      </c>
      <c r="J129" s="418"/>
      <c r="K129" s="418"/>
    </row>
    <row r="130" spans="2:11" ht="15.75" thickBot="1" x14ac:dyDescent="0.3">
      <c r="B130" s="418"/>
      <c r="C130" s="418"/>
      <c r="D130" s="418" t="s">
        <v>877</v>
      </c>
      <c r="E130" s="418" t="s">
        <v>878</v>
      </c>
      <c r="F130" s="418" t="s">
        <v>879</v>
      </c>
      <c r="G130" s="418" t="s">
        <v>592</v>
      </c>
      <c r="H130" s="418" t="s">
        <v>618</v>
      </c>
      <c r="I130" s="420">
        <v>2</v>
      </c>
      <c r="J130" s="418"/>
      <c r="K130" s="418"/>
    </row>
    <row r="131" spans="2:11" ht="15.75" thickBot="1" x14ac:dyDescent="0.3">
      <c r="B131" s="418"/>
      <c r="C131" s="418"/>
      <c r="D131" s="418" t="s">
        <v>880</v>
      </c>
      <c r="E131" s="418" t="s">
        <v>881</v>
      </c>
      <c r="F131" s="418" t="s">
        <v>882</v>
      </c>
      <c r="G131" s="419" t="s">
        <v>592</v>
      </c>
      <c r="H131" s="419" t="s">
        <v>618</v>
      </c>
      <c r="I131" s="420">
        <v>2</v>
      </c>
      <c r="J131" s="418"/>
      <c r="K131" s="418"/>
    </row>
    <row r="132" spans="2:11" ht="15.75" thickBot="1" x14ac:dyDescent="0.3">
      <c r="B132" s="418"/>
      <c r="C132" s="418"/>
      <c r="D132" s="418" t="s">
        <v>883</v>
      </c>
      <c r="E132" s="418" t="s">
        <v>884</v>
      </c>
      <c r="F132" s="418"/>
      <c r="G132" s="419" t="s">
        <v>592</v>
      </c>
      <c r="H132" s="419" t="s">
        <v>885</v>
      </c>
      <c r="I132" s="420">
        <v>2</v>
      </c>
      <c r="J132" s="418"/>
      <c r="K132" s="418"/>
    </row>
    <row r="133" spans="2:11" ht="15.75" thickBot="1" x14ac:dyDescent="0.3">
      <c r="B133" s="418"/>
      <c r="C133" s="418"/>
      <c r="D133" s="418" t="s">
        <v>886</v>
      </c>
      <c r="E133" s="418" t="s">
        <v>887</v>
      </c>
      <c r="F133" s="418"/>
      <c r="G133" s="419" t="s">
        <v>592</v>
      </c>
      <c r="H133" s="419" t="s">
        <v>888</v>
      </c>
      <c r="I133" s="420">
        <v>1</v>
      </c>
      <c r="J133" s="418"/>
      <c r="K133" s="418"/>
    </row>
    <row r="134" spans="2:11" ht="15.75" thickBot="1" x14ac:dyDescent="0.3">
      <c r="B134" s="418"/>
      <c r="C134" s="418"/>
      <c r="D134" s="418" t="s">
        <v>889</v>
      </c>
      <c r="E134" s="418" t="s">
        <v>890</v>
      </c>
      <c r="F134" s="418"/>
      <c r="G134" s="419" t="s">
        <v>592</v>
      </c>
      <c r="H134" s="419" t="s">
        <v>891</v>
      </c>
      <c r="I134" s="420">
        <v>2</v>
      </c>
      <c r="J134" s="418"/>
      <c r="K134" s="418"/>
    </row>
    <row r="135" spans="2:11" ht="15.75" thickBot="1" x14ac:dyDescent="0.3">
      <c r="B135" s="418"/>
      <c r="C135" s="418"/>
      <c r="D135" s="418" t="s">
        <v>892</v>
      </c>
      <c r="E135" s="418" t="s">
        <v>893</v>
      </c>
      <c r="F135" s="418"/>
      <c r="G135" s="419" t="s">
        <v>592</v>
      </c>
      <c r="H135" s="419" t="s">
        <v>894</v>
      </c>
      <c r="I135" s="420">
        <v>1</v>
      </c>
      <c r="J135" s="418"/>
      <c r="K135" s="418"/>
    </row>
    <row r="136" spans="2:11" ht="15.75" thickBot="1" x14ac:dyDescent="0.3">
      <c r="B136" s="418"/>
      <c r="C136" s="418"/>
      <c r="D136" s="418" t="s">
        <v>895</v>
      </c>
      <c r="E136" s="418" t="s">
        <v>896</v>
      </c>
      <c r="F136" s="418"/>
      <c r="G136" s="419" t="s">
        <v>592</v>
      </c>
      <c r="H136" s="419" t="s">
        <v>897</v>
      </c>
      <c r="I136" s="420">
        <v>1</v>
      </c>
      <c r="J136" s="418"/>
      <c r="K136" s="418"/>
    </row>
    <row r="137" spans="2:11" ht="15.75" thickBot="1" x14ac:dyDescent="0.3">
      <c r="B137" s="418"/>
      <c r="C137" s="418"/>
      <c r="D137" s="418" t="s">
        <v>898</v>
      </c>
      <c r="E137" s="418" t="s">
        <v>899</v>
      </c>
      <c r="F137" s="418"/>
      <c r="G137" s="419" t="s">
        <v>592</v>
      </c>
      <c r="H137" s="419" t="s">
        <v>900</v>
      </c>
      <c r="I137" s="420">
        <v>1</v>
      </c>
      <c r="J137" s="418"/>
      <c r="K137" s="418"/>
    </row>
    <row r="138" spans="2:11" ht="15.75" thickBot="1" x14ac:dyDescent="0.3">
      <c r="B138" s="415" t="s">
        <v>586</v>
      </c>
      <c r="C138" s="415" t="s">
        <v>901</v>
      </c>
      <c r="D138" s="415"/>
      <c r="E138" s="415" t="s">
        <v>902</v>
      </c>
      <c r="F138" s="415"/>
      <c r="G138" s="415"/>
      <c r="H138" s="415"/>
      <c r="I138" s="417">
        <v>1</v>
      </c>
      <c r="J138" s="415"/>
      <c r="K138" s="415"/>
    </row>
    <row r="139" spans="2:11" ht="15.75" thickBot="1" x14ac:dyDescent="0.3">
      <c r="B139" s="418"/>
      <c r="C139" s="418"/>
      <c r="D139" s="418" t="s">
        <v>903</v>
      </c>
      <c r="E139" s="418" t="s">
        <v>904</v>
      </c>
      <c r="F139" s="418" t="s">
        <v>905</v>
      </c>
      <c r="G139" s="418" t="s">
        <v>592</v>
      </c>
      <c r="H139" s="419" t="s">
        <v>618</v>
      </c>
      <c r="I139" s="420">
        <v>2</v>
      </c>
      <c r="J139" s="418"/>
      <c r="K139" s="418"/>
    </row>
    <row r="140" spans="2:11" ht="15.75" thickBot="1" x14ac:dyDescent="0.3">
      <c r="B140" s="418"/>
      <c r="C140" s="418"/>
      <c r="D140" s="418" t="s">
        <v>906</v>
      </c>
      <c r="E140" s="418" t="s">
        <v>907</v>
      </c>
      <c r="F140" s="418" t="s">
        <v>908</v>
      </c>
      <c r="G140" s="418" t="s">
        <v>592</v>
      </c>
      <c r="H140" s="419" t="s">
        <v>885</v>
      </c>
      <c r="I140" s="420">
        <v>2</v>
      </c>
      <c r="J140" s="418"/>
      <c r="K140" s="418"/>
    </row>
    <row r="141" spans="2:11" ht="15.75" thickBot="1" x14ac:dyDescent="0.3">
      <c r="B141" s="418"/>
      <c r="C141" s="418"/>
      <c r="D141" s="418" t="s">
        <v>909</v>
      </c>
      <c r="E141" s="418" t="s">
        <v>910</v>
      </c>
      <c r="F141" s="418" t="s">
        <v>911</v>
      </c>
      <c r="G141" s="418" t="s">
        <v>592</v>
      </c>
      <c r="H141" s="419" t="s">
        <v>888</v>
      </c>
      <c r="I141" s="420">
        <v>2</v>
      </c>
      <c r="J141" s="418"/>
      <c r="K141" s="418"/>
    </row>
    <row r="142" spans="2:11" ht="15.75" thickBot="1" x14ac:dyDescent="0.3">
      <c r="B142" s="418"/>
      <c r="C142" s="418"/>
      <c r="D142" s="418" t="s">
        <v>912</v>
      </c>
      <c r="E142" s="418" t="s">
        <v>913</v>
      </c>
      <c r="F142" s="418" t="s">
        <v>914</v>
      </c>
      <c r="G142" s="418" t="s">
        <v>592</v>
      </c>
      <c r="H142" s="419" t="s">
        <v>891</v>
      </c>
      <c r="I142" s="420">
        <v>2</v>
      </c>
      <c r="J142" s="418"/>
      <c r="K142" s="418"/>
    </row>
    <row r="143" spans="2:11" ht="15.75" thickBot="1" x14ac:dyDescent="0.3">
      <c r="B143" s="418"/>
      <c r="C143" s="418"/>
      <c r="D143" s="418" t="s">
        <v>915</v>
      </c>
      <c r="E143" s="418" t="s">
        <v>916</v>
      </c>
      <c r="F143" s="418" t="s">
        <v>917</v>
      </c>
      <c r="G143" s="418" t="s">
        <v>592</v>
      </c>
      <c r="H143" s="419" t="s">
        <v>894</v>
      </c>
      <c r="I143" s="420">
        <v>2</v>
      </c>
      <c r="J143" s="418"/>
      <c r="K143" s="418"/>
    </row>
    <row r="144" spans="2:11" ht="15.75" thickBot="1" x14ac:dyDescent="0.3">
      <c r="B144" s="418"/>
      <c r="C144" s="418"/>
      <c r="D144" s="418" t="s">
        <v>918</v>
      </c>
      <c r="E144" s="418" t="s">
        <v>919</v>
      </c>
      <c r="F144" s="418" t="s">
        <v>920</v>
      </c>
      <c r="G144" s="418" t="s">
        <v>592</v>
      </c>
      <c r="H144" s="419" t="s">
        <v>897</v>
      </c>
      <c r="I144" s="420">
        <v>2</v>
      </c>
      <c r="J144" s="418"/>
      <c r="K144" s="418"/>
    </row>
    <row r="145" spans="2:11" ht="15.75" thickBot="1" x14ac:dyDescent="0.3">
      <c r="B145" s="418"/>
      <c r="C145" s="418"/>
      <c r="D145" s="418" t="s">
        <v>921</v>
      </c>
      <c r="E145" s="418" t="s">
        <v>922</v>
      </c>
      <c r="F145" s="418" t="s">
        <v>923</v>
      </c>
      <c r="G145" s="418" t="s">
        <v>592</v>
      </c>
      <c r="H145" s="419" t="s">
        <v>900</v>
      </c>
      <c r="I145" s="420">
        <v>2</v>
      </c>
      <c r="J145" s="418"/>
      <c r="K145" s="418"/>
    </row>
    <row r="146" spans="2:11" ht="15.75" thickBot="1" x14ac:dyDescent="0.3">
      <c r="B146" s="418"/>
      <c r="C146" s="418"/>
      <c r="D146" s="418" t="s">
        <v>924</v>
      </c>
      <c r="E146" s="418" t="s">
        <v>925</v>
      </c>
      <c r="F146" s="418" t="s">
        <v>926</v>
      </c>
      <c r="G146" s="418" t="s">
        <v>592</v>
      </c>
      <c r="H146" s="419" t="s">
        <v>927</v>
      </c>
      <c r="I146" s="420">
        <v>2</v>
      </c>
      <c r="J146" s="418"/>
      <c r="K146" s="418"/>
    </row>
    <row r="147" spans="2:11" ht="15.75" thickBot="1" x14ac:dyDescent="0.3">
      <c r="B147" s="418"/>
      <c r="C147" s="418"/>
      <c r="D147" s="418" t="s">
        <v>928</v>
      </c>
      <c r="E147" s="418" t="s">
        <v>929</v>
      </c>
      <c r="F147" s="418" t="s">
        <v>930</v>
      </c>
      <c r="G147" s="418" t="s">
        <v>592</v>
      </c>
      <c r="H147" s="419" t="s">
        <v>931</v>
      </c>
      <c r="I147" s="420">
        <v>2</v>
      </c>
      <c r="J147" s="418"/>
      <c r="K147" s="418"/>
    </row>
    <row r="148" spans="2:11" ht="15.75" thickBot="1" x14ac:dyDescent="0.3">
      <c r="B148" s="418"/>
      <c r="C148" s="418"/>
      <c r="D148" s="418" t="s">
        <v>932</v>
      </c>
      <c r="E148" s="418" t="s">
        <v>933</v>
      </c>
      <c r="F148" s="418" t="s">
        <v>934</v>
      </c>
      <c r="G148" s="418" t="s">
        <v>592</v>
      </c>
      <c r="H148" s="419" t="s">
        <v>935</v>
      </c>
      <c r="I148" s="420">
        <v>2</v>
      </c>
      <c r="J148" s="418"/>
      <c r="K148" s="418"/>
    </row>
    <row r="149" spans="2:11" ht="15.75" thickBot="1" x14ac:dyDescent="0.3">
      <c r="B149" s="418"/>
      <c r="C149" s="418"/>
      <c r="D149" s="418" t="s">
        <v>936</v>
      </c>
      <c r="E149" s="418" t="s">
        <v>937</v>
      </c>
      <c r="F149" s="418" t="s">
        <v>938</v>
      </c>
      <c r="G149" s="418" t="s">
        <v>592</v>
      </c>
      <c r="H149" s="419" t="s">
        <v>939</v>
      </c>
      <c r="I149" s="420">
        <v>2</v>
      </c>
      <c r="J149" s="418"/>
      <c r="K149" s="418"/>
    </row>
    <row r="150" spans="2:11" ht="15.75" thickBot="1" x14ac:dyDescent="0.3">
      <c r="B150" s="418"/>
      <c r="C150" s="418"/>
      <c r="D150" s="418" t="s">
        <v>940</v>
      </c>
      <c r="E150" s="418" t="s">
        <v>941</v>
      </c>
      <c r="F150" s="418" t="s">
        <v>942</v>
      </c>
      <c r="G150" s="418" t="s">
        <v>592</v>
      </c>
      <c r="H150" s="419" t="s">
        <v>943</v>
      </c>
      <c r="I150" s="420">
        <v>2</v>
      </c>
      <c r="J150" s="418"/>
      <c r="K150" s="418"/>
    </row>
    <row r="151" spans="2:11" ht="15.75" thickBot="1" x14ac:dyDescent="0.3">
      <c r="B151" s="418"/>
      <c r="C151" s="418"/>
      <c r="D151" s="418" t="s">
        <v>944</v>
      </c>
      <c r="E151" s="418" t="s">
        <v>945</v>
      </c>
      <c r="F151" s="418" t="s">
        <v>946</v>
      </c>
      <c r="G151" s="418" t="s">
        <v>592</v>
      </c>
      <c r="H151" s="419" t="s">
        <v>947</v>
      </c>
      <c r="I151" s="420">
        <v>2</v>
      </c>
      <c r="J151" s="418"/>
      <c r="K151" s="418"/>
    </row>
    <row r="152" spans="2:11" ht="15.75" thickBot="1" x14ac:dyDescent="0.3">
      <c r="B152" s="418"/>
      <c r="C152" s="418"/>
      <c r="D152" s="418" t="s">
        <v>948</v>
      </c>
      <c r="E152" s="418" t="s">
        <v>949</v>
      </c>
      <c r="F152" s="418" t="s">
        <v>950</v>
      </c>
      <c r="G152" s="418" t="s">
        <v>592</v>
      </c>
      <c r="H152" s="419" t="s">
        <v>951</v>
      </c>
      <c r="I152" s="420">
        <v>2</v>
      </c>
      <c r="J152" s="418"/>
      <c r="K152" s="418"/>
    </row>
    <row r="153" spans="2:11" ht="15.75" thickBot="1" x14ac:dyDescent="0.3">
      <c r="B153" s="418"/>
      <c r="C153" s="418"/>
      <c r="D153" s="418" t="s">
        <v>952</v>
      </c>
      <c r="E153" s="418" t="s">
        <v>953</v>
      </c>
      <c r="F153" s="418" t="s">
        <v>954</v>
      </c>
      <c r="G153" s="418" t="s">
        <v>592</v>
      </c>
      <c r="H153" s="419" t="s">
        <v>955</v>
      </c>
      <c r="I153" s="420">
        <v>2</v>
      </c>
      <c r="J153" s="418"/>
      <c r="K153" s="418"/>
    </row>
    <row r="154" spans="2:11" ht="15.75" thickBot="1" x14ac:dyDescent="0.3">
      <c r="B154" s="418"/>
      <c r="C154" s="418"/>
      <c r="D154" s="418" t="s">
        <v>956</v>
      </c>
      <c r="E154" s="418" t="s">
        <v>957</v>
      </c>
      <c r="F154" s="418" t="s">
        <v>958</v>
      </c>
      <c r="G154" s="418" t="s">
        <v>592</v>
      </c>
      <c r="H154" s="419" t="s">
        <v>959</v>
      </c>
      <c r="I154" s="420">
        <v>2</v>
      </c>
      <c r="J154" s="418"/>
      <c r="K154" s="418"/>
    </row>
    <row r="155" spans="2:11" ht="15.75" thickBot="1" x14ac:dyDescent="0.3">
      <c r="B155" s="418"/>
      <c r="C155" s="418"/>
      <c r="D155" s="418" t="s">
        <v>960</v>
      </c>
      <c r="E155" s="418" t="s">
        <v>961</v>
      </c>
      <c r="F155" s="418" t="s">
        <v>962</v>
      </c>
      <c r="G155" s="418" t="s">
        <v>592</v>
      </c>
      <c r="H155" s="419" t="s">
        <v>963</v>
      </c>
      <c r="I155" s="420">
        <v>2</v>
      </c>
      <c r="J155" s="418"/>
      <c r="K155" s="418"/>
    </row>
    <row r="156" spans="2:11" ht="15.75" thickBot="1" x14ac:dyDescent="0.3">
      <c r="B156" s="418"/>
      <c r="C156" s="418"/>
      <c r="D156" s="418" t="s">
        <v>964</v>
      </c>
      <c r="E156" s="418" t="s">
        <v>965</v>
      </c>
      <c r="F156" s="418" t="s">
        <v>966</v>
      </c>
      <c r="G156" s="418" t="s">
        <v>592</v>
      </c>
      <c r="H156" s="419" t="s">
        <v>967</v>
      </c>
      <c r="I156" s="420">
        <v>2</v>
      </c>
      <c r="J156" s="418"/>
      <c r="K156" s="418"/>
    </row>
    <row r="157" spans="2:11" ht="15.75" thickBot="1" x14ac:dyDescent="0.3">
      <c r="B157" s="418"/>
      <c r="C157" s="418"/>
      <c r="D157" s="418" t="s">
        <v>968</v>
      </c>
      <c r="E157" s="418" t="s">
        <v>969</v>
      </c>
      <c r="F157" s="418" t="s">
        <v>970</v>
      </c>
      <c r="G157" s="418" t="s">
        <v>592</v>
      </c>
      <c r="H157" s="419" t="s">
        <v>971</v>
      </c>
      <c r="I157" s="420">
        <v>2</v>
      </c>
      <c r="J157" s="418"/>
      <c r="K157" s="418"/>
    </row>
    <row r="158" spans="2:11" ht="15.75" thickBot="1" x14ac:dyDescent="0.3">
      <c r="B158" s="418"/>
      <c r="C158" s="418"/>
      <c r="D158" s="418" t="s">
        <v>972</v>
      </c>
      <c r="E158" s="418" t="s">
        <v>973</v>
      </c>
      <c r="F158" s="418" t="s">
        <v>974</v>
      </c>
      <c r="G158" s="418" t="s">
        <v>592</v>
      </c>
      <c r="H158" s="419" t="s">
        <v>975</v>
      </c>
      <c r="I158" s="420">
        <v>2</v>
      </c>
      <c r="J158" s="418"/>
      <c r="K158" s="418"/>
    </row>
    <row r="159" spans="2:11" ht="15.75" thickBot="1" x14ac:dyDescent="0.3">
      <c r="B159" s="418"/>
      <c r="C159" s="418"/>
      <c r="D159" s="418" t="s">
        <v>976</v>
      </c>
      <c r="E159" s="418" t="s">
        <v>977</v>
      </c>
      <c r="F159" s="418" t="s">
        <v>978</v>
      </c>
      <c r="G159" s="418" t="s">
        <v>592</v>
      </c>
      <c r="H159" s="419" t="s">
        <v>979</v>
      </c>
      <c r="I159" s="420">
        <v>2</v>
      </c>
      <c r="J159" s="418"/>
      <c r="K159" s="418"/>
    </row>
    <row r="160" spans="2:11" ht="15.75" thickBot="1" x14ac:dyDescent="0.3">
      <c r="B160" s="418"/>
      <c r="C160" s="418"/>
      <c r="D160" s="418" t="s">
        <v>980</v>
      </c>
      <c r="E160" s="418" t="s">
        <v>981</v>
      </c>
      <c r="F160" s="418" t="s">
        <v>982</v>
      </c>
      <c r="G160" s="418" t="s">
        <v>592</v>
      </c>
      <c r="H160" s="419" t="s">
        <v>983</v>
      </c>
      <c r="I160" s="420">
        <v>2</v>
      </c>
      <c r="J160" s="418"/>
      <c r="K160" s="418"/>
    </row>
    <row r="161" spans="2:11" ht="15.75" thickBot="1" x14ac:dyDescent="0.3">
      <c r="B161" s="418"/>
      <c r="C161" s="418"/>
      <c r="D161" s="418" t="s">
        <v>984</v>
      </c>
      <c r="E161" s="418" t="s">
        <v>985</v>
      </c>
      <c r="F161" s="418" t="s">
        <v>986</v>
      </c>
      <c r="G161" s="418" t="s">
        <v>592</v>
      </c>
      <c r="H161" s="419" t="s">
        <v>987</v>
      </c>
      <c r="I161" s="420">
        <v>2</v>
      </c>
      <c r="J161" s="418"/>
      <c r="K161" s="418"/>
    </row>
    <row r="162" spans="2:11" ht="15.75" thickBot="1" x14ac:dyDescent="0.3">
      <c r="B162" s="418"/>
      <c r="C162" s="418"/>
      <c r="D162" s="418" t="s">
        <v>988</v>
      </c>
      <c r="E162" s="418" t="s">
        <v>989</v>
      </c>
      <c r="F162" s="418" t="s">
        <v>990</v>
      </c>
      <c r="G162" s="418" t="s">
        <v>592</v>
      </c>
      <c r="H162" s="419" t="s">
        <v>991</v>
      </c>
      <c r="I162" s="420">
        <v>2</v>
      </c>
      <c r="J162" s="418"/>
      <c r="K162" s="418"/>
    </row>
    <row r="163" spans="2:11" ht="15.75" thickBot="1" x14ac:dyDescent="0.3">
      <c r="B163" s="418"/>
      <c r="C163" s="418"/>
      <c r="D163" s="418" t="s">
        <v>992</v>
      </c>
      <c r="E163" s="418" t="s">
        <v>993</v>
      </c>
      <c r="F163" s="418" t="s">
        <v>994</v>
      </c>
      <c r="G163" s="418" t="s">
        <v>592</v>
      </c>
      <c r="H163" s="419" t="s">
        <v>995</v>
      </c>
      <c r="I163" s="420">
        <v>2</v>
      </c>
      <c r="J163" s="418"/>
      <c r="K163" s="418"/>
    </row>
    <row r="164" spans="2:11" ht="15.75" thickBot="1" x14ac:dyDescent="0.3">
      <c r="B164" s="418"/>
      <c r="C164" s="418"/>
      <c r="D164" s="418" t="s">
        <v>996</v>
      </c>
      <c r="E164" s="418" t="s">
        <v>997</v>
      </c>
      <c r="F164" s="418" t="s">
        <v>998</v>
      </c>
      <c r="G164" s="418" t="s">
        <v>592</v>
      </c>
      <c r="H164" s="419" t="s">
        <v>999</v>
      </c>
      <c r="I164" s="420">
        <v>2</v>
      </c>
      <c r="J164" s="418"/>
      <c r="K164" s="418"/>
    </row>
    <row r="165" spans="2:11" ht="15.75" thickBot="1" x14ac:dyDescent="0.3">
      <c r="B165" s="418"/>
      <c r="C165" s="418"/>
      <c r="D165" s="418" t="s">
        <v>1000</v>
      </c>
      <c r="E165" s="418" t="s">
        <v>1001</v>
      </c>
      <c r="F165" s="418"/>
      <c r="G165" s="418" t="s">
        <v>592</v>
      </c>
      <c r="H165" s="419" t="s">
        <v>1002</v>
      </c>
      <c r="I165" s="420">
        <v>2</v>
      </c>
      <c r="J165" s="418"/>
      <c r="K165" s="4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6004E-5A23-423F-8E6A-783EC59DF9AE}">
  <sheetPr>
    <tabColor theme="5"/>
  </sheetPr>
  <dimension ref="B1:M23"/>
  <sheetViews>
    <sheetView showGridLines="0" workbookViewId="0">
      <selection activeCell="E14" sqref="E14"/>
    </sheetView>
  </sheetViews>
  <sheetFormatPr baseColWidth="10" defaultRowHeight="15" x14ac:dyDescent="0.25"/>
  <cols>
    <col min="1" max="1" width="3.7109375" customWidth="1"/>
    <col min="2" max="2" width="27.28515625" bestFit="1" customWidth="1"/>
    <col min="3" max="3" width="17.5703125" bestFit="1" customWidth="1"/>
    <col min="4" max="4" width="13.7109375" bestFit="1" customWidth="1"/>
    <col min="5" max="5" width="24.42578125" bestFit="1" customWidth="1"/>
    <col min="6" max="6" width="21" bestFit="1" customWidth="1"/>
    <col min="7" max="7" width="23.42578125" bestFit="1" customWidth="1"/>
  </cols>
  <sheetData>
    <row r="1" spans="2:13" ht="15.75" thickBot="1" x14ac:dyDescent="0.3"/>
    <row r="2" spans="2:13" ht="15.75" thickBot="1" x14ac:dyDescent="0.3">
      <c r="B2" s="163" t="s">
        <v>416</v>
      </c>
      <c r="C2" s="164" t="s">
        <v>415</v>
      </c>
      <c r="D2" s="164" t="s">
        <v>1083</v>
      </c>
      <c r="E2" s="164" t="s">
        <v>1077</v>
      </c>
      <c r="F2" s="165" t="s">
        <v>417</v>
      </c>
      <c r="G2" s="165" t="s">
        <v>1078</v>
      </c>
    </row>
    <row r="3" spans="2:13" x14ac:dyDescent="0.25">
      <c r="B3" s="21">
        <v>30</v>
      </c>
      <c r="C3" s="512">
        <v>4.3659999999999997</v>
      </c>
      <c r="D3" s="24">
        <v>18</v>
      </c>
      <c r="E3" s="24">
        <v>19</v>
      </c>
      <c r="F3" s="124">
        <f>2*PI()*(B3/2)/1000*D3</f>
        <v>1.6964600329384882</v>
      </c>
      <c r="G3" s="516">
        <f>'Frame tubes'!D3*Summary!Z26+'Frame tubes'!D3*Summary!Z$30+Summary!Z$33</f>
        <v>633.84941928919204</v>
      </c>
      <c r="H3" s="1"/>
    </row>
    <row r="4" spans="2:13" ht="15" customHeight="1" x14ac:dyDescent="0.25">
      <c r="B4" s="17">
        <v>28</v>
      </c>
      <c r="C4" s="513">
        <f>10.43+0.162</f>
        <v>10.592000000000001</v>
      </c>
      <c r="D4" s="7">
        <v>21</v>
      </c>
      <c r="E4" s="7">
        <v>15.9</v>
      </c>
      <c r="F4" s="119">
        <f t="shared" ref="F4:F7" si="0">2*PI()*(B4/2)/1000*D4</f>
        <v>1.8472564803107983</v>
      </c>
      <c r="G4" s="516">
        <f>'Frame tubes'!D4*Summary!Z$27+'Frame tubes'!D4*Summary!Z$30+Summary!Z$33*2</f>
        <v>521.85905182614169</v>
      </c>
      <c r="H4" s="1"/>
    </row>
    <row r="5" spans="2:13" ht="15" customHeight="1" x14ac:dyDescent="0.25">
      <c r="B5" s="17">
        <v>25</v>
      </c>
      <c r="C5" s="513">
        <f>10.434+0.31</f>
        <v>10.744</v>
      </c>
      <c r="D5" s="7">
        <v>33</v>
      </c>
      <c r="E5" s="7">
        <v>14</v>
      </c>
      <c r="F5" s="119">
        <f t="shared" si="0"/>
        <v>2.5918139392115793</v>
      </c>
      <c r="G5" s="516">
        <f>'Frame tubes'!D5*Summary!Z$27+'Frame tubes'!D5*Summary!Z$30+Summary!Z$33*2</f>
        <v>804.53182755658827</v>
      </c>
      <c r="H5" s="1"/>
    </row>
    <row r="6" spans="2:13" ht="15" customHeight="1" x14ac:dyDescent="0.25">
      <c r="B6" s="17">
        <v>20</v>
      </c>
      <c r="C6" s="513">
        <v>8.3160000000000007</v>
      </c>
      <c r="D6" s="7">
        <v>24</v>
      </c>
      <c r="E6" s="7">
        <v>11.5</v>
      </c>
      <c r="F6" s="119">
        <f t="shared" si="0"/>
        <v>1.5079644737231008</v>
      </c>
      <c r="G6" s="516">
        <f>'Frame tubes'!D6*Summary!Z$27+'Frame tubes'!D6*Summary!Z$30+Summary!Z$33</f>
        <v>578.93639860982341</v>
      </c>
      <c r="H6" s="1"/>
    </row>
    <row r="7" spans="2:13" ht="15" customHeight="1" thickBot="1" x14ac:dyDescent="0.3">
      <c r="B7" s="17">
        <v>15</v>
      </c>
      <c r="C7" s="513">
        <v>6.101</v>
      </c>
      <c r="D7" s="7">
        <v>16</v>
      </c>
      <c r="E7" s="7">
        <v>9.5</v>
      </c>
      <c r="F7" s="119">
        <f t="shared" si="0"/>
        <v>0.7539822368615503</v>
      </c>
      <c r="G7" s="516">
        <f>'Frame tubes'!D7*Summary!Z$27+'Frame tubes'!D7*Summary!Z$30+Summary!Z$33</f>
        <v>390.48788145619221</v>
      </c>
      <c r="H7" s="1"/>
    </row>
    <row r="8" spans="2:13" ht="15.75" thickBot="1" x14ac:dyDescent="0.3">
      <c r="B8" s="520" t="s">
        <v>184</v>
      </c>
      <c r="C8" s="31"/>
      <c r="D8" s="25"/>
      <c r="E8" s="25"/>
      <c r="F8" s="25">
        <f>SUM(F3:F7)</f>
        <v>8.3974771630455169</v>
      </c>
      <c r="G8" s="519"/>
      <c r="H8" s="162"/>
      <c r="I8" s="162"/>
      <c r="J8" s="162"/>
    </row>
    <row r="9" spans="2:13" x14ac:dyDescent="0.25">
      <c r="E9" s="162"/>
      <c r="F9" s="518"/>
      <c r="G9" s="162"/>
      <c r="H9" s="162"/>
      <c r="I9" s="162"/>
      <c r="J9" s="162"/>
    </row>
    <row r="10" spans="2:13" x14ac:dyDescent="0.25">
      <c r="E10" s="162"/>
      <c r="F10" s="483"/>
      <c r="G10" s="162"/>
      <c r="H10" s="162"/>
      <c r="I10" s="162"/>
      <c r="J10" s="162"/>
    </row>
    <row r="11" spans="2:13" x14ac:dyDescent="0.25">
      <c r="E11" s="162"/>
      <c r="F11" s="162"/>
      <c r="G11" s="162"/>
      <c r="H11" s="162"/>
      <c r="I11" s="162"/>
      <c r="J11" s="162"/>
    </row>
    <row r="12" spans="2:13" x14ac:dyDescent="0.25">
      <c r="E12" s="162"/>
      <c r="F12" s="162"/>
      <c r="G12" s="162"/>
      <c r="H12" s="162"/>
      <c r="I12" s="162"/>
      <c r="J12" s="162"/>
    </row>
    <row r="13" spans="2:13" x14ac:dyDescent="0.25">
      <c r="E13" s="162"/>
      <c r="F13" s="162"/>
      <c r="G13" s="162"/>
      <c r="H13" s="162"/>
      <c r="I13" s="162"/>
      <c r="J13" s="162"/>
    </row>
    <row r="14" spans="2:13" ht="15.75" thickBot="1" x14ac:dyDescent="0.3"/>
    <row r="15" spans="2:13" x14ac:dyDescent="0.25">
      <c r="B15" s="514" t="s">
        <v>1076</v>
      </c>
      <c r="C15" s="515">
        <f>SUM(G3:G7)</f>
        <v>2929.6645787379375</v>
      </c>
      <c r="E15" s="2"/>
      <c r="F15" s="483"/>
      <c r="K15" s="162"/>
      <c r="L15" s="162"/>
      <c r="M15" s="162"/>
    </row>
    <row r="16" spans="2:13" x14ac:dyDescent="0.25">
      <c r="B16" s="17" t="s">
        <v>419</v>
      </c>
      <c r="C16" s="125">
        <f>Summary!Z55+SUM('Frame tubes'!F3:F7)*(Summary!Z54+Summary!Z53)</f>
        <v>6841.6398378597742</v>
      </c>
      <c r="G16" s="162"/>
      <c r="K16" s="162"/>
      <c r="L16" s="162"/>
      <c r="M16" s="162"/>
    </row>
    <row r="17" spans="2:13" x14ac:dyDescent="0.25">
      <c r="B17" s="17" t="s">
        <v>1071</v>
      </c>
      <c r="C17" s="123">
        <f>SUMPRODUCT(C3:C7,E3:E7)*1.2</f>
        <v>666.45155999999997</v>
      </c>
      <c r="D17" s="117"/>
      <c r="E17" s="117"/>
      <c r="F17" s="117"/>
      <c r="G17" s="162"/>
      <c r="K17" s="162"/>
      <c r="L17" s="162"/>
      <c r="M17" s="162"/>
    </row>
    <row r="18" spans="2:13" x14ac:dyDescent="0.25">
      <c r="B18" s="17" t="s">
        <v>421</v>
      </c>
      <c r="C18" s="125">
        <v>360</v>
      </c>
      <c r="D18" s="117"/>
      <c r="E18" s="117"/>
      <c r="F18" s="117"/>
      <c r="K18" s="162"/>
      <c r="L18" s="162"/>
      <c r="M18" s="162"/>
    </row>
    <row r="19" spans="2:13" ht="15.75" thickBot="1" x14ac:dyDescent="0.3">
      <c r="B19" s="19" t="s">
        <v>420</v>
      </c>
      <c r="C19" s="517">
        <f>360</f>
        <v>360</v>
      </c>
      <c r="D19" s="117"/>
      <c r="E19" s="117"/>
      <c r="F19" s="117"/>
      <c r="K19" s="162"/>
      <c r="L19" s="162"/>
      <c r="M19" s="162"/>
    </row>
    <row r="20" spans="2:13" x14ac:dyDescent="0.25">
      <c r="B20" s="117"/>
      <c r="C20" s="117"/>
      <c r="D20" s="117"/>
      <c r="E20" s="117"/>
      <c r="F20" s="117"/>
      <c r="K20" s="162"/>
      <c r="L20" s="162"/>
      <c r="M20" s="162"/>
    </row>
    <row r="21" spans="2:13" x14ac:dyDescent="0.25">
      <c r="B21" s="117"/>
      <c r="C21" s="117"/>
      <c r="D21" s="117"/>
      <c r="E21" s="117"/>
      <c r="F21" s="117"/>
      <c r="K21" s="162"/>
      <c r="L21" s="162"/>
      <c r="M21" s="162"/>
    </row>
    <row r="22" spans="2:13" x14ac:dyDescent="0.25">
      <c r="B22" s="117"/>
      <c r="C22" s="117"/>
      <c r="D22" s="117"/>
      <c r="E22" s="117"/>
      <c r="F22" s="117"/>
    </row>
    <row r="23" spans="2:13" x14ac:dyDescent="0.25">
      <c r="B23" s="117"/>
      <c r="C23" s="117"/>
      <c r="D23" s="117"/>
      <c r="E23" s="117"/>
      <c r="F23" s="1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K79"/>
  <sheetViews>
    <sheetView showGridLines="0" zoomScale="90" zoomScaleNormal="180" workbookViewId="0">
      <selection activeCell="I16" sqref="I16"/>
    </sheetView>
  </sheetViews>
  <sheetFormatPr baseColWidth="10" defaultRowHeight="15" x14ac:dyDescent="0.25"/>
  <cols>
    <col min="1" max="1" width="2.85546875" style="57" customWidth="1"/>
    <col min="2" max="2" width="42.7109375" style="67" bestFit="1" customWidth="1"/>
    <col min="3" max="3" width="18.42578125" style="58" bestFit="1" customWidth="1"/>
    <col min="4" max="4" width="23.42578125" style="58" bestFit="1" customWidth="1"/>
    <col min="5" max="5" width="47.42578125" style="58" bestFit="1" customWidth="1"/>
    <col min="6" max="6" width="25.140625" style="58" bestFit="1" customWidth="1"/>
    <col min="7" max="7" width="31.5703125" style="58" bestFit="1" customWidth="1"/>
    <col min="8" max="8" width="32.5703125" style="58" bestFit="1" customWidth="1"/>
    <col min="9" max="9" width="24.42578125" style="58" bestFit="1" customWidth="1"/>
    <col min="10" max="10" width="12.42578125" style="58" bestFit="1" customWidth="1"/>
    <col min="11" max="11" width="16.28515625" style="58" bestFit="1" customWidth="1"/>
    <col min="12" max="12" width="17.28515625" style="58" bestFit="1" customWidth="1"/>
    <col min="13" max="13" width="11.42578125" style="58"/>
    <col min="14" max="14" width="18" style="58" bestFit="1" customWidth="1"/>
    <col min="15" max="15" width="19.42578125" style="58" bestFit="1" customWidth="1"/>
    <col min="16" max="16" width="11.42578125" style="58"/>
    <col min="17" max="17" width="12.5703125" style="58" bestFit="1" customWidth="1"/>
    <col min="18" max="16384" width="11.42578125" style="58"/>
  </cols>
  <sheetData>
    <row r="1" spans="1:9" ht="15.75" thickBot="1" x14ac:dyDescent="0.3"/>
    <row r="2" spans="1:9" ht="15.75" thickBot="1" x14ac:dyDescent="0.3">
      <c r="A2" s="66"/>
      <c r="B2" s="564" t="s">
        <v>380</v>
      </c>
      <c r="C2" s="565"/>
      <c r="D2" s="565"/>
      <c r="E2" s="565"/>
      <c r="F2" s="566"/>
    </row>
    <row r="3" spans="1:9" ht="15.75" thickBot="1" x14ac:dyDescent="0.3">
      <c r="A3" s="66"/>
      <c r="B3" s="474" t="s">
        <v>22</v>
      </c>
      <c r="C3" s="618" t="s">
        <v>149</v>
      </c>
      <c r="D3" s="619"/>
      <c r="E3" s="619"/>
      <c r="F3" s="620"/>
    </row>
    <row r="4" spans="1:9" x14ac:dyDescent="0.25">
      <c r="A4" s="66"/>
      <c r="B4" s="68" t="s">
        <v>101</v>
      </c>
      <c r="C4" s="621" t="s">
        <v>65</v>
      </c>
      <c r="D4" s="622"/>
      <c r="E4" s="622"/>
      <c r="F4" s="623"/>
    </row>
    <row r="5" spans="1:9" x14ac:dyDescent="0.25">
      <c r="A5" s="66"/>
      <c r="B5" s="69" t="s">
        <v>366</v>
      </c>
      <c r="C5" s="624" t="s">
        <v>367</v>
      </c>
      <c r="D5" s="607"/>
      <c r="E5" s="607"/>
      <c r="F5" s="608"/>
    </row>
    <row r="6" spans="1:9" x14ac:dyDescent="0.25">
      <c r="A6" s="66"/>
      <c r="B6" s="69" t="s">
        <v>103</v>
      </c>
      <c r="C6" s="624" t="s">
        <v>102</v>
      </c>
      <c r="D6" s="607"/>
      <c r="E6" s="607"/>
      <c r="F6" s="608"/>
    </row>
    <row r="7" spans="1:9" x14ac:dyDescent="0.25">
      <c r="A7" s="66"/>
      <c r="B7" s="611" t="s">
        <v>386</v>
      </c>
      <c r="C7" s="606" t="s">
        <v>387</v>
      </c>
      <c r="D7" s="607"/>
      <c r="E7" s="607"/>
      <c r="F7" s="608"/>
    </row>
    <row r="8" spans="1:9" x14ac:dyDescent="0.25">
      <c r="A8" s="66"/>
      <c r="B8" s="612"/>
      <c r="C8" s="606" t="s">
        <v>390</v>
      </c>
      <c r="D8" s="614"/>
      <c r="E8" s="614"/>
      <c r="F8" s="615"/>
    </row>
    <row r="9" spans="1:9" x14ac:dyDescent="0.25">
      <c r="A9" s="66"/>
      <c r="B9" s="613"/>
      <c r="C9" s="606" t="s">
        <v>389</v>
      </c>
      <c r="D9" s="609"/>
      <c r="E9" s="609"/>
      <c r="F9" s="610"/>
    </row>
    <row r="10" spans="1:9" x14ac:dyDescent="0.25">
      <c r="A10" s="66"/>
      <c r="B10" s="70" t="s">
        <v>378</v>
      </c>
      <c r="C10" s="624" t="s">
        <v>379</v>
      </c>
      <c r="D10" s="607"/>
      <c r="E10" s="607"/>
      <c r="F10" s="608"/>
    </row>
    <row r="11" spans="1:9" ht="15.75" thickBot="1" x14ac:dyDescent="0.3">
      <c r="A11" s="66"/>
      <c r="B11" s="71" t="s">
        <v>364</v>
      </c>
      <c r="C11" s="625" t="s">
        <v>365</v>
      </c>
      <c r="D11" s="626"/>
      <c r="E11" s="626"/>
      <c r="F11" s="627"/>
    </row>
    <row r="12" spans="1:9" ht="15.75" thickBot="1" x14ac:dyDescent="0.3">
      <c r="A12" s="66"/>
    </row>
    <row r="13" spans="1:9" ht="15.75" thickBot="1" x14ac:dyDescent="0.3">
      <c r="A13" s="66"/>
      <c r="B13" s="564" t="s">
        <v>381</v>
      </c>
      <c r="C13" s="565"/>
      <c r="D13" s="565"/>
      <c r="E13" s="565"/>
      <c r="F13" s="565"/>
      <c r="G13" s="565"/>
      <c r="H13" s="566"/>
    </row>
    <row r="14" spans="1:9" ht="15.75" thickBot="1" x14ac:dyDescent="0.3">
      <c r="A14" s="66"/>
      <c r="B14" s="475" t="s">
        <v>343</v>
      </c>
      <c r="C14" s="476" t="s">
        <v>382</v>
      </c>
      <c r="D14" s="476" t="s">
        <v>392</v>
      </c>
      <c r="E14" s="476" t="s">
        <v>383</v>
      </c>
      <c r="F14" s="476" t="s">
        <v>185</v>
      </c>
      <c r="G14" s="476" t="s">
        <v>315</v>
      </c>
      <c r="H14" s="477" t="s">
        <v>492</v>
      </c>
    </row>
    <row r="15" spans="1:9" ht="30" x14ac:dyDescent="0.25">
      <c r="A15" s="66"/>
      <c r="B15" s="318" t="s">
        <v>395</v>
      </c>
      <c r="C15" s="402">
        <v>1</v>
      </c>
      <c r="D15" s="107">
        <f>1633/0.77</f>
        <v>2120.7792207792209</v>
      </c>
      <c r="E15" s="108">
        <f t="shared" ref="E15" si="0">C15*D15*12*1.45</f>
        <v>36901.558441558438</v>
      </c>
      <c r="F15" s="346">
        <f>K37</f>
        <v>3</v>
      </c>
      <c r="G15" s="109">
        <f>E15*(1-Summary!$D$12)*F15</f>
        <v>5535.2337662337704</v>
      </c>
      <c r="H15" s="110">
        <f>E15*Summary!$D$12/$C$29</f>
        <v>23.377610669343323</v>
      </c>
      <c r="I15" s="61">
        <f>H15/60*5</f>
        <v>1.9481342224452769</v>
      </c>
    </row>
    <row r="16" spans="1:9" ht="30" x14ac:dyDescent="0.25">
      <c r="A16" s="66"/>
      <c r="B16" s="319" t="s">
        <v>394</v>
      </c>
      <c r="C16" s="403">
        <v>1</v>
      </c>
      <c r="D16" s="59">
        <v>2525</v>
      </c>
      <c r="E16" s="59">
        <f>C16*D16*12*1.45</f>
        <v>43935</v>
      </c>
      <c r="F16" s="340">
        <f>K38</f>
        <v>2</v>
      </c>
      <c r="G16" s="60"/>
      <c r="H16" s="104">
        <f>E16*Summary!$D$12/($C$29*C16)</f>
        <v>27.833386126069051</v>
      </c>
    </row>
    <row r="17" spans="1:11" x14ac:dyDescent="0.25">
      <c r="A17" s="66"/>
      <c r="B17" s="320" t="s">
        <v>391</v>
      </c>
      <c r="C17" s="403">
        <v>1</v>
      </c>
      <c r="D17" s="76">
        <f>2231/0.77</f>
        <v>2897.4025974025972</v>
      </c>
      <c r="E17" s="59">
        <f t="shared" ref="E17:E18" si="1">C17*D17*12*1.45</f>
        <v>50414.805194805187</v>
      </c>
      <c r="F17" s="340">
        <f>K39</f>
        <v>1</v>
      </c>
      <c r="G17" s="77">
        <f>E17*(1-Summary!$D$12)*F17</f>
        <v>2520.7402597402615</v>
      </c>
      <c r="H17" s="104">
        <f>E17*Summary!$D$12/$C$29</f>
        <v>31.938425844032427</v>
      </c>
    </row>
    <row r="18" spans="1:11" ht="15.75" thickBot="1" x14ac:dyDescent="0.3">
      <c r="A18" s="66"/>
      <c r="B18" s="321" t="s">
        <v>388</v>
      </c>
      <c r="C18" s="404">
        <v>1</v>
      </c>
      <c r="D18" s="111">
        <f>2624/0.77</f>
        <v>3407.7922077922076</v>
      </c>
      <c r="E18" s="112">
        <f t="shared" si="1"/>
        <v>59295.584415584402</v>
      </c>
      <c r="F18" s="361">
        <f>K40</f>
        <v>0.5</v>
      </c>
      <c r="G18" s="113">
        <f>E18*(1-Summary!$D$12)*F18</f>
        <v>1482.3896103896113</v>
      </c>
      <c r="H18" s="114">
        <f>E18*Summary!$D$12/$C$29</f>
        <v>37.564513408669242</v>
      </c>
    </row>
    <row r="19" spans="1:11" ht="15.75" thickBot="1" x14ac:dyDescent="0.3">
      <c r="A19" s="66"/>
      <c r="E19" s="105" t="s">
        <v>181</v>
      </c>
      <c r="F19" s="362">
        <f>SUM(F15:F18)</f>
        <v>6.5</v>
      </c>
      <c r="G19" s="106">
        <f>SUM(G15:G18)</f>
        <v>9538.3636363636433</v>
      </c>
    </row>
    <row r="20" spans="1:11" ht="15.75" thickBot="1" x14ac:dyDescent="0.3">
      <c r="A20" s="66"/>
    </row>
    <row r="21" spans="1:11" ht="15.75" thickBot="1" x14ac:dyDescent="0.3">
      <c r="A21" s="66"/>
      <c r="B21" s="564" t="s">
        <v>344</v>
      </c>
      <c r="C21" s="566"/>
      <c r="E21" s="61"/>
    </row>
    <row r="22" spans="1:11" ht="15.75" thickBot="1" x14ac:dyDescent="0.3">
      <c r="A22" s="66"/>
      <c r="B22" s="474" t="s">
        <v>15</v>
      </c>
      <c r="C22" s="477" t="s">
        <v>34</v>
      </c>
      <c r="E22" s="61"/>
    </row>
    <row r="23" spans="1:11" x14ac:dyDescent="0.25">
      <c r="A23" s="66"/>
      <c r="B23" s="72" t="s">
        <v>104</v>
      </c>
      <c r="C23" s="62">
        <v>365</v>
      </c>
    </row>
    <row r="24" spans="1:11" x14ac:dyDescent="0.25">
      <c r="A24" s="66"/>
      <c r="B24" s="69" t="s">
        <v>105</v>
      </c>
      <c r="C24" s="63">
        <v>104</v>
      </c>
      <c r="E24" s="61"/>
    </row>
    <row r="25" spans="1:11" x14ac:dyDescent="0.25">
      <c r="A25" s="66"/>
      <c r="B25" s="69" t="s">
        <v>106</v>
      </c>
      <c r="C25" s="63">
        <v>8</v>
      </c>
    </row>
    <row r="26" spans="1:11" x14ac:dyDescent="0.25">
      <c r="A26" s="66"/>
      <c r="B26" s="69" t="s">
        <v>393</v>
      </c>
      <c r="C26" s="63">
        <v>27.5</v>
      </c>
    </row>
    <row r="27" spans="1:11" x14ac:dyDescent="0.25">
      <c r="A27" s="66"/>
      <c r="B27" s="69" t="s">
        <v>107</v>
      </c>
      <c r="C27" s="63">
        <f>C23-C24-C25-C26</f>
        <v>225.5</v>
      </c>
    </row>
    <row r="28" spans="1:11" x14ac:dyDescent="0.25">
      <c r="A28" s="66"/>
      <c r="B28" s="69" t="s">
        <v>108</v>
      </c>
      <c r="C28" s="64">
        <f>C27/5</f>
        <v>45.1</v>
      </c>
    </row>
    <row r="29" spans="1:11" ht="15.75" thickBot="1" x14ac:dyDescent="0.3">
      <c r="A29" s="66"/>
      <c r="B29" s="71" t="s">
        <v>314</v>
      </c>
      <c r="C29" s="103">
        <f>Summary!D12*Summary!D10*Summary!D9</f>
        <v>1499.575</v>
      </c>
    </row>
    <row r="31" spans="1:11" ht="15.75" thickBot="1" x14ac:dyDescent="0.3">
      <c r="B31" s="616" t="s">
        <v>346</v>
      </c>
      <c r="C31" s="617"/>
      <c r="D31" s="617"/>
      <c r="E31" s="617"/>
      <c r="F31" s="617"/>
      <c r="G31" s="617"/>
      <c r="H31" s="617"/>
      <c r="I31" s="617"/>
      <c r="J31" s="617"/>
      <c r="K31" s="617"/>
    </row>
    <row r="32" spans="1:11" ht="15.75" thickBot="1" x14ac:dyDescent="0.3">
      <c r="B32" s="478"/>
      <c r="C32" s="479" t="s">
        <v>182</v>
      </c>
      <c r="D32" s="479" t="s">
        <v>522</v>
      </c>
      <c r="E32" s="480" t="s">
        <v>531</v>
      </c>
      <c r="F32" s="479" t="s">
        <v>183</v>
      </c>
      <c r="G32" s="479" t="s">
        <v>1067</v>
      </c>
      <c r="H32" s="479" t="s">
        <v>529</v>
      </c>
      <c r="I32" s="479" t="s">
        <v>25</v>
      </c>
      <c r="J32" s="481" t="s">
        <v>19</v>
      </c>
      <c r="K32" s="482" t="s">
        <v>184</v>
      </c>
    </row>
    <row r="33" spans="1:11" x14ac:dyDescent="0.25">
      <c r="B33" s="349" t="s">
        <v>532</v>
      </c>
      <c r="C33" s="353">
        <v>0.8</v>
      </c>
      <c r="D33" s="354">
        <v>0.8</v>
      </c>
      <c r="E33" s="355">
        <v>0.7</v>
      </c>
      <c r="F33" s="354">
        <v>0.8</v>
      </c>
      <c r="G33" s="354">
        <v>0.45</v>
      </c>
      <c r="H33" s="354">
        <f>(C33+D33)*0.5</f>
        <v>0.8</v>
      </c>
      <c r="I33" s="354">
        <v>0.8</v>
      </c>
      <c r="J33" s="354">
        <v>0.06</v>
      </c>
      <c r="K33" s="356" t="s">
        <v>530</v>
      </c>
    </row>
    <row r="34" spans="1:11" x14ac:dyDescent="0.25">
      <c r="B34" s="350" t="s">
        <v>523</v>
      </c>
      <c r="C34" s="357">
        <f>C33*Summary!$D$10*Summary!$D$9</f>
        <v>1262.8000000000002</v>
      </c>
      <c r="D34" s="343">
        <f>D33*Summary!$D$10*Summary!$D$9</f>
        <v>1262.8000000000002</v>
      </c>
      <c r="E34" s="343">
        <f>E33*Summary!$D$10*Summary!$D$9</f>
        <v>1104.95</v>
      </c>
      <c r="F34" s="343">
        <f>F33*Summary!$D$10*Summary!$D$9</f>
        <v>1262.8000000000002</v>
      </c>
      <c r="G34" s="343">
        <f>G33*Summary!$D$10*Summary!$D$9</f>
        <v>710.32500000000005</v>
      </c>
      <c r="H34" s="343">
        <f>H33*Summary!$D$10*Summary!$D$9</f>
        <v>1262.8000000000002</v>
      </c>
      <c r="I34" s="343">
        <f>I33*Summary!$D$10*Summary!$D$9</f>
        <v>1262.8000000000002</v>
      </c>
      <c r="J34" s="343">
        <f>J33*Summary!$D$10*Summary!$D$9</f>
        <v>94.71</v>
      </c>
      <c r="K34" s="358">
        <f t="shared" ref="K34:K41" si="2">SUM(C34:J34)</f>
        <v>8223.9850000000006</v>
      </c>
    </row>
    <row r="35" spans="1:11" x14ac:dyDescent="0.25">
      <c r="B35" s="351" t="s">
        <v>524</v>
      </c>
      <c r="C35" s="357">
        <v>1</v>
      </c>
      <c r="D35" s="343">
        <v>1</v>
      </c>
      <c r="E35" s="343">
        <v>0.5</v>
      </c>
      <c r="F35" s="343">
        <v>2</v>
      </c>
      <c r="G35" s="343">
        <v>1</v>
      </c>
      <c r="H35" s="343">
        <v>1</v>
      </c>
      <c r="I35" s="343">
        <v>1</v>
      </c>
      <c r="J35" s="343">
        <v>1</v>
      </c>
      <c r="K35" s="359">
        <f t="shared" si="2"/>
        <v>8.5</v>
      </c>
    </row>
    <row r="36" spans="1:11" ht="15.75" thickBot="1" x14ac:dyDescent="0.3">
      <c r="B36" s="352" t="s">
        <v>525</v>
      </c>
      <c r="C36" s="360">
        <f>C35*C34</f>
        <v>1262.8000000000002</v>
      </c>
      <c r="D36" s="332">
        <f t="shared" ref="D36:E36" si="3">D35*D34</f>
        <v>1262.8000000000002</v>
      </c>
      <c r="E36" s="332">
        <f t="shared" si="3"/>
        <v>552.47500000000002</v>
      </c>
      <c r="F36" s="332">
        <f>F35*F34</f>
        <v>2525.6000000000004</v>
      </c>
      <c r="G36" s="332">
        <f>G35*G34</f>
        <v>710.32500000000005</v>
      </c>
      <c r="H36" s="332">
        <f>H35*H34</f>
        <v>1262.8000000000002</v>
      </c>
      <c r="I36" s="332">
        <f>I35*I34</f>
        <v>1262.8000000000002</v>
      </c>
      <c r="J36" s="332">
        <f>J35*J34</f>
        <v>94.71</v>
      </c>
      <c r="K36" s="103">
        <f t="shared" si="2"/>
        <v>8934.3100000000013</v>
      </c>
    </row>
    <row r="37" spans="1:11" ht="30" x14ac:dyDescent="0.25">
      <c r="B37" s="318" t="s">
        <v>395</v>
      </c>
      <c r="C37" s="339">
        <v>0.85</v>
      </c>
      <c r="D37" s="340">
        <v>0.85</v>
      </c>
      <c r="E37" s="340">
        <v>0.4</v>
      </c>
      <c r="F37" s="340"/>
      <c r="G37" s="340">
        <v>0.5</v>
      </c>
      <c r="H37" s="340"/>
      <c r="I37" s="340">
        <v>0.36</v>
      </c>
      <c r="J37" s="341">
        <v>0.04</v>
      </c>
      <c r="K37" s="342">
        <f t="shared" si="2"/>
        <v>3</v>
      </c>
    </row>
    <row r="38" spans="1:11" ht="30" x14ac:dyDescent="0.25">
      <c r="B38" s="319" t="s">
        <v>394</v>
      </c>
      <c r="C38" s="335"/>
      <c r="D38" s="343"/>
      <c r="E38" s="343"/>
      <c r="F38" s="343">
        <f>2*0.85</f>
        <v>1.7</v>
      </c>
      <c r="G38" s="343"/>
      <c r="H38" s="343"/>
      <c r="I38" s="343">
        <f>2*0.11</f>
        <v>0.22</v>
      </c>
      <c r="J38" s="341">
        <f>2*0.04</f>
        <v>0.08</v>
      </c>
      <c r="K38" s="344">
        <f t="shared" si="2"/>
        <v>2</v>
      </c>
    </row>
    <row r="39" spans="1:11" x14ac:dyDescent="0.25">
      <c r="B39" s="320" t="s">
        <v>391</v>
      </c>
      <c r="C39" s="335"/>
      <c r="D39" s="343"/>
      <c r="E39" s="343"/>
      <c r="F39" s="343"/>
      <c r="G39" s="343"/>
      <c r="H39" s="343">
        <v>0.35</v>
      </c>
      <c r="I39" s="343">
        <v>0.65</v>
      </c>
      <c r="J39" s="341"/>
      <c r="K39" s="344">
        <f t="shared" si="2"/>
        <v>1</v>
      </c>
    </row>
    <row r="40" spans="1:11" ht="15.75" thickBot="1" x14ac:dyDescent="0.3">
      <c r="B40" s="329" t="s">
        <v>388</v>
      </c>
      <c r="C40" s="336"/>
      <c r="D40" s="337"/>
      <c r="E40" s="337"/>
      <c r="F40" s="337"/>
      <c r="G40" s="337"/>
      <c r="H40" s="337">
        <v>0.5</v>
      </c>
      <c r="I40" s="337"/>
      <c r="J40" s="341"/>
      <c r="K40" s="338">
        <f t="shared" si="2"/>
        <v>0.5</v>
      </c>
    </row>
    <row r="41" spans="1:11" x14ac:dyDescent="0.25">
      <c r="B41" s="330" t="s">
        <v>526</v>
      </c>
      <c r="C41" s="345">
        <f t="shared" ref="C41:F41" si="4">$C$29*SUM(C37:C40)</f>
        <v>1274.6387500000001</v>
      </c>
      <c r="D41" s="346">
        <f t="shared" si="4"/>
        <v>1274.6387500000001</v>
      </c>
      <c r="E41" s="346">
        <f t="shared" si="4"/>
        <v>599.83000000000004</v>
      </c>
      <c r="F41" s="346">
        <f t="shared" si="4"/>
        <v>2549.2775000000001</v>
      </c>
      <c r="G41" s="346">
        <f t="shared" ref="G41" si="5">$C$29*SUM(G37:G40)</f>
        <v>749.78750000000002</v>
      </c>
      <c r="H41" s="346">
        <f>$C$29*SUM(H37:H40)</f>
        <v>1274.6387500000001</v>
      </c>
      <c r="I41" s="346">
        <f>$C$29*SUM(I37:I40)</f>
        <v>1844.4772500000001</v>
      </c>
      <c r="J41" s="347">
        <f>$C$29*SUM(J37:J40)</f>
        <v>179.94900000000001</v>
      </c>
      <c r="K41" s="348">
        <f t="shared" si="2"/>
        <v>9747.2375000000011</v>
      </c>
    </row>
    <row r="42" spans="1:11" ht="15.75" thickBot="1" x14ac:dyDescent="0.3">
      <c r="B42" s="321" t="s">
        <v>527</v>
      </c>
      <c r="C42" s="331" t="b">
        <f>IF(C36&lt;C41, TRUE, FALSE)</f>
        <v>1</v>
      </c>
      <c r="D42" s="332" t="b">
        <f t="shared" ref="D42:E42" si="6">IF(D36&lt;D41, TRUE, FALSE)</f>
        <v>1</v>
      </c>
      <c r="E42" s="332" t="b">
        <f t="shared" si="6"/>
        <v>1</v>
      </c>
      <c r="F42" s="332" t="b">
        <f t="shared" ref="F42:K42" si="7">IF(F36&lt;F41, TRUE, FALSE)</f>
        <v>1</v>
      </c>
      <c r="G42" s="332" t="b">
        <f t="shared" si="7"/>
        <v>1</v>
      </c>
      <c r="H42" s="332" t="b">
        <f t="shared" si="7"/>
        <v>1</v>
      </c>
      <c r="I42" s="332" t="b">
        <f t="shared" si="7"/>
        <v>1</v>
      </c>
      <c r="J42" s="332" t="b">
        <f t="shared" si="7"/>
        <v>1</v>
      </c>
      <c r="K42" s="333" t="b">
        <f t="shared" si="7"/>
        <v>1</v>
      </c>
    </row>
    <row r="43" spans="1:11" ht="15.75" thickBot="1" x14ac:dyDescent="0.3"/>
    <row r="44" spans="1:11" ht="15.75" thickBot="1" x14ac:dyDescent="0.3">
      <c r="B44" s="604" t="s">
        <v>345</v>
      </c>
      <c r="C44" s="605"/>
    </row>
    <row r="45" spans="1:11" ht="15.75" thickBot="1" x14ac:dyDescent="0.3">
      <c r="B45" s="73" t="s">
        <v>186</v>
      </c>
      <c r="C45" s="115">
        <f>SUMPRODUCT(E15:E18*J37:J40)</f>
        <v>4990.8623376623382</v>
      </c>
    </row>
    <row r="46" spans="1:11" x14ac:dyDescent="0.25">
      <c r="A46" s="65"/>
      <c r="C46" s="61"/>
    </row>
    <row r="47" spans="1:11" x14ac:dyDescent="0.25">
      <c r="A47" s="65"/>
    </row>
    <row r="48" spans="1:11" x14ac:dyDescent="0.25">
      <c r="A48" s="65"/>
    </row>
    <row r="49" spans="1:2" x14ac:dyDescent="0.25">
      <c r="A49" s="65"/>
    </row>
    <row r="50" spans="1:2" x14ac:dyDescent="0.25">
      <c r="A50" s="65"/>
      <c r="B50" s="58"/>
    </row>
    <row r="51" spans="1:2" x14ac:dyDescent="0.25">
      <c r="A51" s="65"/>
      <c r="B51" s="58"/>
    </row>
    <row r="52" spans="1:2" x14ac:dyDescent="0.25">
      <c r="B52" s="58"/>
    </row>
    <row r="53" spans="1:2" x14ac:dyDescent="0.25">
      <c r="B53" s="58"/>
    </row>
    <row r="54" spans="1:2" x14ac:dyDescent="0.25">
      <c r="B54" s="58"/>
    </row>
    <row r="55" spans="1:2" x14ac:dyDescent="0.25">
      <c r="B55" s="58"/>
    </row>
    <row r="56" spans="1:2" x14ac:dyDescent="0.25">
      <c r="B56" s="58"/>
    </row>
    <row r="57" spans="1:2" x14ac:dyDescent="0.25">
      <c r="B57" s="58"/>
    </row>
    <row r="58" spans="1:2" x14ac:dyDescent="0.25">
      <c r="B58" s="58"/>
    </row>
    <row r="59" spans="1:2" x14ac:dyDescent="0.25">
      <c r="B59" s="58"/>
    </row>
    <row r="60" spans="1:2" x14ac:dyDescent="0.25">
      <c r="B60" s="58"/>
    </row>
    <row r="61" spans="1:2" x14ac:dyDescent="0.25">
      <c r="B61" s="58"/>
    </row>
    <row r="62" spans="1:2" x14ac:dyDescent="0.25">
      <c r="B62" s="58"/>
    </row>
    <row r="69" spans="2:2" x14ac:dyDescent="0.25">
      <c r="B69" s="58"/>
    </row>
    <row r="70" spans="2:2" x14ac:dyDescent="0.25">
      <c r="B70" s="58"/>
    </row>
    <row r="71" spans="2:2" x14ac:dyDescent="0.25">
      <c r="B71" s="58"/>
    </row>
    <row r="72" spans="2:2" x14ac:dyDescent="0.25">
      <c r="B72" s="58"/>
    </row>
    <row r="73" spans="2:2" x14ac:dyDescent="0.25">
      <c r="B73" s="58"/>
    </row>
    <row r="74" spans="2:2" x14ac:dyDescent="0.25">
      <c r="B74" s="58"/>
    </row>
    <row r="75" spans="2:2" x14ac:dyDescent="0.25">
      <c r="B75" s="58"/>
    </row>
    <row r="76" spans="2:2" x14ac:dyDescent="0.25">
      <c r="B76" s="58"/>
    </row>
    <row r="77" spans="2:2" x14ac:dyDescent="0.25">
      <c r="B77" s="58"/>
    </row>
    <row r="78" spans="2:2" x14ac:dyDescent="0.25">
      <c r="B78" s="58"/>
    </row>
    <row r="79" spans="2:2" x14ac:dyDescent="0.25">
      <c r="B79" s="58"/>
    </row>
  </sheetData>
  <mergeCells count="15">
    <mergeCell ref="B2:F2"/>
    <mergeCell ref="B13:H13"/>
    <mergeCell ref="C3:F3"/>
    <mergeCell ref="C4:F4"/>
    <mergeCell ref="C5:F5"/>
    <mergeCell ref="C6:F6"/>
    <mergeCell ref="C10:F10"/>
    <mergeCell ref="C11:F11"/>
    <mergeCell ref="B44:C44"/>
    <mergeCell ref="C7:F7"/>
    <mergeCell ref="C9:F9"/>
    <mergeCell ref="B7:B9"/>
    <mergeCell ref="C8:F8"/>
    <mergeCell ref="B21:C21"/>
    <mergeCell ref="B31:K31"/>
  </mergeCells>
  <hyperlinks>
    <hyperlink ref="C4" r:id="rId1" xr:uid="{00000000-0004-0000-0100-000000000000}"/>
    <hyperlink ref="C5" r:id="rId2" xr:uid="{57BD7899-887D-43DC-B562-ADBB9658383C}"/>
    <hyperlink ref="C11" r:id="rId3" xr:uid="{8217434D-7C07-4E8C-BA90-49CA24347AAE}"/>
    <hyperlink ref="C6" r:id="rId4" xr:uid="{5A1E2311-D9D5-4C0B-BC94-4A8AC4615E00}"/>
    <hyperlink ref="C7" r:id="rId5" xr:uid="{1D2CF1E1-09DF-41BB-B05B-1C792AB04F99}"/>
    <hyperlink ref="C9" r:id="rId6" xr:uid="{9E20021D-FD15-4A3A-8A4B-7AD6FC3F26D6}"/>
    <hyperlink ref="C8" r:id="rId7" xr:uid="{AEF21A58-9BF6-4ACF-A485-1D6413944317}"/>
  </hyperlinks>
  <pageMargins left="0.7" right="0.7" top="0.75" bottom="0.75" header="0.3" footer="0.3"/>
  <pageSetup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G24"/>
  <sheetViews>
    <sheetView showGridLines="0" zoomScale="101" workbookViewId="0">
      <selection activeCell="F7" sqref="F7"/>
    </sheetView>
  </sheetViews>
  <sheetFormatPr baseColWidth="10" defaultRowHeight="15" x14ac:dyDescent="0.25"/>
  <cols>
    <col min="1" max="1" width="2.7109375" style="166" customWidth="1"/>
    <col min="2" max="2" width="19" style="166" bestFit="1" customWidth="1"/>
    <col min="3" max="3" width="17.5703125" style="166" bestFit="1" customWidth="1"/>
    <col min="4" max="4" width="15.28515625" style="167" bestFit="1" customWidth="1"/>
    <col min="5" max="5" width="10.85546875" style="167" bestFit="1" customWidth="1"/>
    <col min="6" max="6" width="16.5703125" style="166" bestFit="1" customWidth="1"/>
    <col min="7" max="7" width="149.5703125" style="166" bestFit="1" customWidth="1"/>
    <col min="8" max="16384" width="11.42578125" style="166"/>
  </cols>
  <sheetData>
    <row r="1" spans="1:7" ht="15.75" thickBot="1" x14ac:dyDescent="0.3"/>
    <row r="2" spans="1:7" ht="15.75" thickBot="1" x14ac:dyDescent="0.3">
      <c r="A2" s="75"/>
      <c r="B2" s="158" t="s">
        <v>24</v>
      </c>
      <c r="C2" s="158" t="s">
        <v>22</v>
      </c>
      <c r="D2" s="158" t="s">
        <v>429</v>
      </c>
      <c r="E2" s="158" t="s">
        <v>34</v>
      </c>
      <c r="F2" s="158" t="s">
        <v>350</v>
      </c>
      <c r="G2" s="158" t="s">
        <v>149</v>
      </c>
    </row>
    <row r="3" spans="1:7" x14ac:dyDescent="0.25">
      <c r="A3" s="75"/>
      <c r="B3" s="628" t="s">
        <v>17</v>
      </c>
      <c r="C3" s="168" t="s">
        <v>482</v>
      </c>
      <c r="D3" s="169" t="s">
        <v>489</v>
      </c>
      <c r="E3" s="170">
        <v>38.64</v>
      </c>
      <c r="F3" s="181">
        <f>E3*(1+Summary!$D$17)</f>
        <v>46.368000000000002</v>
      </c>
      <c r="G3" s="171" t="s">
        <v>192</v>
      </c>
    </row>
    <row r="4" spans="1:7" x14ac:dyDescent="0.25">
      <c r="A4" s="75"/>
      <c r="B4" s="629"/>
      <c r="C4" s="172" t="s">
        <v>484</v>
      </c>
      <c r="D4" s="173" t="s">
        <v>483</v>
      </c>
      <c r="E4" s="172">
        <f>(24*2 + 7.5)*0.8+16+14</f>
        <v>74.400000000000006</v>
      </c>
      <c r="F4" s="172"/>
      <c r="G4" s="174" t="s">
        <v>193</v>
      </c>
    </row>
    <row r="5" spans="1:7" x14ac:dyDescent="0.25">
      <c r="A5" s="75"/>
      <c r="B5" s="629"/>
      <c r="C5" s="172" t="s">
        <v>485</v>
      </c>
      <c r="D5" s="173" t="s">
        <v>490</v>
      </c>
      <c r="E5" s="175">
        <f>E4*E3</f>
        <v>2874.8160000000003</v>
      </c>
      <c r="F5" s="188">
        <f>E5*(1+Summary!$D$17)</f>
        <v>3449.7792000000004</v>
      </c>
      <c r="G5" s="176"/>
    </row>
    <row r="6" spans="1:7" ht="15.75" thickBot="1" x14ac:dyDescent="0.3">
      <c r="A6" s="75"/>
      <c r="B6" s="630"/>
      <c r="C6" s="179" t="s">
        <v>486</v>
      </c>
      <c r="D6" s="180" t="s">
        <v>491</v>
      </c>
      <c r="E6" s="189">
        <v>7.8299999999999995E-2</v>
      </c>
      <c r="F6" s="190">
        <f>E6*(1+Summary!$D$17)</f>
        <v>9.3959999999999988E-2</v>
      </c>
      <c r="G6" s="191" t="s">
        <v>109</v>
      </c>
    </row>
    <row r="7" spans="1:7" ht="18" thickBot="1" x14ac:dyDescent="0.3">
      <c r="A7" s="75"/>
      <c r="B7" s="182" t="s">
        <v>349</v>
      </c>
      <c r="C7" s="183" t="s">
        <v>487</v>
      </c>
      <c r="D7" s="184" t="s">
        <v>488</v>
      </c>
      <c r="E7" s="185">
        <v>2.77</v>
      </c>
      <c r="F7" s="186">
        <f>E7*(1+Summary!D17)</f>
        <v>3.3239999999999998</v>
      </c>
      <c r="G7" s="187" t="s">
        <v>275</v>
      </c>
    </row>
    <row r="8" spans="1:7" x14ac:dyDescent="0.25">
      <c r="B8" s="177"/>
      <c r="C8" s="177"/>
      <c r="D8" s="178"/>
      <c r="E8" s="178"/>
      <c r="F8" s="177"/>
    </row>
    <row r="9" spans="1:7" x14ac:dyDescent="0.25">
      <c r="C9" s="167"/>
      <c r="E9" s="166"/>
      <c r="F9" s="177"/>
    </row>
    <row r="10" spans="1:7" x14ac:dyDescent="0.25">
      <c r="C10" s="167"/>
      <c r="E10" s="166"/>
      <c r="F10" s="177"/>
    </row>
    <row r="11" spans="1:7" x14ac:dyDescent="0.25">
      <c r="C11" s="167"/>
      <c r="E11" s="166"/>
      <c r="F11" s="177"/>
    </row>
    <row r="12" spans="1:7" x14ac:dyDescent="0.25">
      <c r="C12" s="167"/>
      <c r="E12" s="166"/>
    </row>
    <row r="13" spans="1:7" x14ac:dyDescent="0.25">
      <c r="C13" s="167"/>
      <c r="E13" s="166"/>
    </row>
    <row r="14" spans="1:7" x14ac:dyDescent="0.25">
      <c r="C14" s="167"/>
      <c r="E14" s="166"/>
    </row>
    <row r="15" spans="1:7" x14ac:dyDescent="0.25">
      <c r="C15" s="167"/>
      <c r="E15" s="166"/>
    </row>
    <row r="16" spans="1:7" x14ac:dyDescent="0.25">
      <c r="C16" s="167"/>
      <c r="E16" s="166"/>
    </row>
    <row r="17" spans="3:5" x14ac:dyDescent="0.25">
      <c r="C17" s="167"/>
      <c r="E17" s="166"/>
    </row>
    <row r="18" spans="3:5" x14ac:dyDescent="0.25">
      <c r="C18" s="167"/>
      <c r="E18" s="166"/>
    </row>
    <row r="19" spans="3:5" x14ac:dyDescent="0.25">
      <c r="C19" s="167"/>
      <c r="E19" s="166"/>
    </row>
    <row r="20" spans="3:5" x14ac:dyDescent="0.25">
      <c r="C20" s="167"/>
      <c r="E20" s="166"/>
    </row>
    <row r="21" spans="3:5" x14ac:dyDescent="0.25">
      <c r="C21" s="167"/>
      <c r="E21" s="166"/>
    </row>
    <row r="22" spans="3:5" x14ac:dyDescent="0.25">
      <c r="C22" s="167"/>
      <c r="E22" s="166"/>
    </row>
    <row r="23" spans="3:5" x14ac:dyDescent="0.25">
      <c r="C23" s="167"/>
      <c r="E23" s="166"/>
    </row>
    <row r="24" spans="3:5" x14ac:dyDescent="0.25">
      <c r="C24" s="167"/>
      <c r="E24" s="166"/>
    </row>
  </sheetData>
  <mergeCells count="1">
    <mergeCell ref="B3:B6"/>
  </mergeCells>
  <hyperlinks>
    <hyperlink ref="G6" r:id="rId1" xr:uid="{1396A18B-5C63-4303-B7D0-B97192DD6001}"/>
    <hyperlink ref="G3" r:id="rId2" location="decomposition-facture" xr:uid="{B0006980-5F30-4DF1-8435-732FCE10A1C4}"/>
    <hyperlink ref="G4" r:id="rId3" xr:uid="{F9B0E1E1-E50F-4CB0-991D-38564C885D2F}"/>
    <hyperlink ref="G7" r:id="rId4" xr:uid="{3503A96D-4995-4257-81F3-5306EB139EED}"/>
  </hyperlinks>
  <pageMargins left="0.7" right="0.7" top="0.75" bottom="0.75" header="0.3" footer="0.3"/>
  <pageSetup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I29"/>
  <sheetViews>
    <sheetView showGridLines="0" workbookViewId="0">
      <selection activeCell="A22" sqref="A22"/>
    </sheetView>
  </sheetViews>
  <sheetFormatPr baseColWidth="10" defaultRowHeight="15" x14ac:dyDescent="0.25"/>
  <cols>
    <col min="1" max="1" width="3.7109375" style="43" customWidth="1"/>
    <col min="2" max="2" width="14.28515625" style="43" bestFit="1" customWidth="1"/>
    <col min="3" max="3" width="26.140625" style="43" bestFit="1" customWidth="1"/>
    <col min="4" max="4" width="36.85546875" style="43" bestFit="1" customWidth="1"/>
    <col min="5" max="5" width="17.7109375" style="43" bestFit="1" customWidth="1"/>
    <col min="6" max="6" width="10.85546875" style="43" bestFit="1" customWidth="1"/>
    <col min="7" max="7" width="10.85546875" style="43" customWidth="1"/>
    <col min="8" max="8" width="14.7109375" style="43" bestFit="1" customWidth="1"/>
    <col min="9" max="9" width="119" style="43" bestFit="1" customWidth="1"/>
    <col min="10" max="16384" width="11.42578125" style="43"/>
  </cols>
  <sheetData>
    <row r="1" spans="1:9" ht="15.75" thickBot="1" x14ac:dyDescent="0.3"/>
    <row r="2" spans="1:9" ht="15.75" thickBot="1" x14ac:dyDescent="0.3">
      <c r="A2" s="75"/>
      <c r="B2" s="142" t="s">
        <v>352</v>
      </c>
      <c r="C2" s="140" t="s">
        <v>15</v>
      </c>
      <c r="D2" s="140" t="s">
        <v>429</v>
      </c>
      <c r="E2" s="140" t="s">
        <v>424</v>
      </c>
      <c r="F2" s="140" t="s">
        <v>348</v>
      </c>
      <c r="G2" s="140" t="s">
        <v>347</v>
      </c>
      <c r="H2" s="140" t="s">
        <v>425</v>
      </c>
      <c r="I2" s="141" t="s">
        <v>149</v>
      </c>
    </row>
    <row r="3" spans="1:9" x14ac:dyDescent="0.25">
      <c r="A3" s="75"/>
      <c r="B3" s="631" t="s">
        <v>353</v>
      </c>
      <c r="C3" s="45" t="s">
        <v>59</v>
      </c>
      <c r="D3" s="45" t="s">
        <v>430</v>
      </c>
      <c r="E3" s="44" t="s">
        <v>428</v>
      </c>
      <c r="F3" s="52">
        <f>G3/(1+Summary!$D$17)</f>
        <v>373.33333333333337</v>
      </c>
      <c r="G3" s="52">
        <v>448</v>
      </c>
      <c r="H3" s="52">
        <f>G3*2</f>
        <v>896</v>
      </c>
      <c r="I3" s="144" t="s">
        <v>60</v>
      </c>
    </row>
    <row r="4" spans="1:9" ht="15.75" thickBot="1" x14ac:dyDescent="0.3">
      <c r="A4" s="75"/>
      <c r="B4" s="633"/>
      <c r="C4" s="50" t="s">
        <v>61</v>
      </c>
      <c r="D4" s="50" t="s">
        <v>441</v>
      </c>
      <c r="E4" s="48" t="s">
        <v>132</v>
      </c>
      <c r="F4" s="55">
        <v>4.2</v>
      </c>
      <c r="G4" s="55">
        <f>F4*(1+Summary!D17)</f>
        <v>5.04</v>
      </c>
      <c r="H4" s="55">
        <f>(SUM('Manpower &amp; time'!C17:C18)+1)*'IT&amp;Office'!G4</f>
        <v>15.120000000000001</v>
      </c>
      <c r="I4" s="145" t="s">
        <v>131</v>
      </c>
    </row>
    <row r="5" spans="1:9" x14ac:dyDescent="0.25">
      <c r="A5" s="75"/>
      <c r="B5" s="631" t="s">
        <v>354</v>
      </c>
      <c r="C5" s="45" t="s">
        <v>440</v>
      </c>
      <c r="D5" s="45" t="s">
        <v>435</v>
      </c>
      <c r="E5" s="44" t="s">
        <v>426</v>
      </c>
      <c r="F5" s="146">
        <f>G5/(1+Summary!$D$17)</f>
        <v>224.91666666666666</v>
      </c>
      <c r="G5" s="52">
        <v>269.89999999999998</v>
      </c>
      <c r="H5" s="52">
        <f>G5</f>
        <v>269.89999999999998</v>
      </c>
      <c r="I5" s="144" t="s">
        <v>112</v>
      </c>
    </row>
    <row r="6" spans="1:9" x14ac:dyDescent="0.25">
      <c r="A6" s="75"/>
      <c r="B6" s="632"/>
      <c r="C6" s="47" t="s">
        <v>117</v>
      </c>
      <c r="D6" s="47" t="s">
        <v>436</v>
      </c>
      <c r="E6" s="46" t="s">
        <v>427</v>
      </c>
      <c r="F6" s="49">
        <f>G6/(1+Summary!$D$17)</f>
        <v>41.666666666666671</v>
      </c>
      <c r="G6" s="49">
        <v>50</v>
      </c>
      <c r="H6" s="49">
        <f>3*G6</f>
        <v>150</v>
      </c>
      <c r="I6" s="147" t="s">
        <v>118</v>
      </c>
    </row>
    <row r="7" spans="1:9" x14ac:dyDescent="0.25">
      <c r="A7" s="75"/>
      <c r="B7" s="632"/>
      <c r="C7" s="47" t="s">
        <v>120</v>
      </c>
      <c r="D7" s="47" t="s">
        <v>435</v>
      </c>
      <c r="E7" s="46" t="s">
        <v>427</v>
      </c>
      <c r="F7" s="148">
        <f>G7/(1+Summary!$D$17)</f>
        <v>114.99166666666667</v>
      </c>
      <c r="G7" s="49">
        <v>137.99</v>
      </c>
      <c r="H7" s="49">
        <f>G7</f>
        <v>137.99</v>
      </c>
      <c r="I7" s="147" t="s">
        <v>119</v>
      </c>
    </row>
    <row r="8" spans="1:9" x14ac:dyDescent="0.25">
      <c r="A8" s="75"/>
      <c r="B8" s="632"/>
      <c r="C8" s="47" t="s">
        <v>133</v>
      </c>
      <c r="D8" s="47" t="s">
        <v>437</v>
      </c>
      <c r="E8" s="46" t="s">
        <v>427</v>
      </c>
      <c r="F8" s="49">
        <v>23.6</v>
      </c>
      <c r="G8" s="49">
        <f>F8*(1+Summary!$D$17)</f>
        <v>28.32</v>
      </c>
      <c r="H8" s="49">
        <f>2*G8</f>
        <v>56.64</v>
      </c>
      <c r="I8" s="147" t="s">
        <v>134</v>
      </c>
    </row>
    <row r="9" spans="1:9" ht="15.75" thickBot="1" x14ac:dyDescent="0.3">
      <c r="A9" s="75"/>
      <c r="B9" s="633"/>
      <c r="C9" s="50" t="s">
        <v>135</v>
      </c>
      <c r="D9" s="50" t="s">
        <v>435</v>
      </c>
      <c r="E9" s="48" t="s">
        <v>427</v>
      </c>
      <c r="F9" s="55">
        <v>39.950000000000003</v>
      </c>
      <c r="G9" s="55">
        <f>F9*(1+Summary!$D$17)</f>
        <v>47.940000000000005</v>
      </c>
      <c r="H9" s="55">
        <f>G9</f>
        <v>47.940000000000005</v>
      </c>
      <c r="I9" s="145" t="s">
        <v>136</v>
      </c>
    </row>
    <row r="10" spans="1:9" x14ac:dyDescent="0.25">
      <c r="A10" s="75"/>
      <c r="B10" s="634" t="s">
        <v>355</v>
      </c>
      <c r="C10" s="45" t="s">
        <v>121</v>
      </c>
      <c r="D10" s="54" t="s">
        <v>432</v>
      </c>
      <c r="E10" s="44" t="s">
        <v>426</v>
      </c>
      <c r="F10" s="148">
        <v>849</v>
      </c>
      <c r="G10" s="52">
        <v>2097.6</v>
      </c>
      <c r="H10" s="52">
        <f>(SUM('Manpower &amp; time'!C17:C18)+1)*G10</f>
        <v>6292.7999999999993</v>
      </c>
      <c r="I10" s="144" t="s">
        <v>122</v>
      </c>
    </row>
    <row r="11" spans="1:9" x14ac:dyDescent="0.25">
      <c r="A11" s="75"/>
      <c r="B11" s="635"/>
      <c r="C11" s="47" t="s">
        <v>114</v>
      </c>
      <c r="D11" s="53" t="s">
        <v>431</v>
      </c>
      <c r="E11" s="46" t="s">
        <v>426</v>
      </c>
      <c r="F11" s="148">
        <f>G11/(1+Summary!$D$17)</f>
        <v>1791.75</v>
      </c>
      <c r="G11" s="49">
        <v>2150.1</v>
      </c>
      <c r="H11" s="49">
        <f>2*G11</f>
        <v>4300.2</v>
      </c>
      <c r="I11" s="147" t="s">
        <v>113</v>
      </c>
    </row>
    <row r="12" spans="1:9" ht="15.75" thickBot="1" x14ac:dyDescent="0.3">
      <c r="A12" s="75"/>
      <c r="B12" s="636"/>
      <c r="C12" s="50" t="s">
        <v>129</v>
      </c>
      <c r="D12" s="153" t="s">
        <v>441</v>
      </c>
      <c r="E12" s="48" t="s">
        <v>426</v>
      </c>
      <c r="F12" s="55">
        <f>G12/(1+Summary!$D$17)</f>
        <v>517</v>
      </c>
      <c r="G12" s="55">
        <v>620.4</v>
      </c>
      <c r="H12" s="55">
        <f>5*G12</f>
        <v>3102</v>
      </c>
      <c r="I12" s="145" t="s">
        <v>130</v>
      </c>
    </row>
    <row r="13" spans="1:9" x14ac:dyDescent="0.25">
      <c r="A13" s="75"/>
      <c r="B13" s="634" t="s">
        <v>356</v>
      </c>
      <c r="C13" s="45" t="s">
        <v>116</v>
      </c>
      <c r="D13" s="45" t="s">
        <v>441</v>
      </c>
      <c r="E13" s="44" t="s">
        <v>426</v>
      </c>
      <c r="F13" s="148">
        <f>G13/(1+Summary!$D$17)</f>
        <v>153</v>
      </c>
      <c r="G13" s="52">
        <v>183.6</v>
      </c>
      <c r="H13" s="52">
        <f>5*G13</f>
        <v>918</v>
      </c>
      <c r="I13" s="144" t="s">
        <v>115</v>
      </c>
    </row>
    <row r="14" spans="1:9" x14ac:dyDescent="0.25">
      <c r="A14" s="75"/>
      <c r="B14" s="635"/>
      <c r="C14" s="47" t="s">
        <v>124</v>
      </c>
      <c r="D14" s="47" t="s">
        <v>433</v>
      </c>
      <c r="E14" s="46" t="s">
        <v>426</v>
      </c>
      <c r="F14" s="148">
        <f>G14/(1+Summary!$D$17)</f>
        <v>45</v>
      </c>
      <c r="G14" s="49">
        <v>54</v>
      </c>
      <c r="H14" s="49">
        <f>G14</f>
        <v>54</v>
      </c>
      <c r="I14" s="147" t="s">
        <v>123</v>
      </c>
    </row>
    <row r="15" spans="1:9" x14ac:dyDescent="0.25">
      <c r="A15" s="75"/>
      <c r="B15" s="635"/>
      <c r="C15" s="47" t="s">
        <v>125</v>
      </c>
      <c r="D15" s="47" t="s">
        <v>434</v>
      </c>
      <c r="E15" s="46" t="s">
        <v>426</v>
      </c>
      <c r="F15" s="148">
        <f>G15/(1+Summary!$D$17)</f>
        <v>34</v>
      </c>
      <c r="G15" s="49">
        <v>40.799999999999997</v>
      </c>
      <c r="H15" s="49">
        <f>6*G15</f>
        <v>244.79999999999998</v>
      </c>
      <c r="I15" s="147" t="s">
        <v>126</v>
      </c>
    </row>
    <row r="16" spans="1:9" ht="15.75" thickBot="1" x14ac:dyDescent="0.3">
      <c r="A16" s="75"/>
      <c r="B16" s="636"/>
      <c r="C16" s="50" t="s">
        <v>127</v>
      </c>
      <c r="D16" s="50" t="s">
        <v>435</v>
      </c>
      <c r="E16" s="48" t="s">
        <v>426</v>
      </c>
      <c r="F16" s="148">
        <f>G16/(1+Summary!$D$17)</f>
        <v>181</v>
      </c>
      <c r="G16" s="55">
        <v>217.2</v>
      </c>
      <c r="H16" s="55">
        <f>G16</f>
        <v>217.2</v>
      </c>
      <c r="I16" s="145" t="s">
        <v>128</v>
      </c>
    </row>
    <row r="17" spans="1:9" ht="15.75" thickBot="1" x14ac:dyDescent="0.3">
      <c r="A17" s="75"/>
      <c r="B17" s="143" t="s">
        <v>357</v>
      </c>
      <c r="C17" s="149" t="s">
        <v>29</v>
      </c>
      <c r="D17" s="149" t="s">
        <v>438</v>
      </c>
      <c r="E17" s="150" t="s">
        <v>427</v>
      </c>
      <c r="F17" s="151">
        <f>102*12</f>
        <v>1224</v>
      </c>
      <c r="G17" s="55">
        <f>F17*(1+Summary!$D$17)</f>
        <v>1468.8</v>
      </c>
      <c r="H17" s="151">
        <f>G17</f>
        <v>1468.8</v>
      </c>
      <c r="I17" s="152" t="s">
        <v>137</v>
      </c>
    </row>
    <row r="18" spans="1:9" x14ac:dyDescent="0.25">
      <c r="A18" s="75"/>
      <c r="B18" s="634" t="s">
        <v>358</v>
      </c>
      <c r="C18" s="45" t="s">
        <v>204</v>
      </c>
      <c r="D18" s="45" t="s">
        <v>437</v>
      </c>
      <c r="E18" s="44" t="s">
        <v>426</v>
      </c>
      <c r="F18" s="52">
        <v>96</v>
      </c>
      <c r="G18" s="49">
        <f>F18*(1+Summary!$D$17)</f>
        <v>115.19999999999999</v>
      </c>
      <c r="H18" s="52">
        <f>G18*2</f>
        <v>230.39999999999998</v>
      </c>
      <c r="I18" s="144" t="s">
        <v>203</v>
      </c>
    </row>
    <row r="19" spans="1:9" ht="15.75" thickBot="1" x14ac:dyDescent="0.3">
      <c r="A19" s="75"/>
      <c r="B19" s="636"/>
      <c r="C19" s="50" t="s">
        <v>358</v>
      </c>
      <c r="D19" s="50" t="s">
        <v>439</v>
      </c>
      <c r="E19" s="48" t="s">
        <v>426</v>
      </c>
      <c r="F19" s="55">
        <v>285</v>
      </c>
      <c r="G19" s="55">
        <f>F19*(1+Summary!$D$17)</f>
        <v>342</v>
      </c>
      <c r="H19" s="55">
        <f>4*G19</f>
        <v>1368</v>
      </c>
      <c r="I19" s="145" t="s">
        <v>205</v>
      </c>
    </row>
    <row r="20" spans="1:9" x14ac:dyDescent="0.25">
      <c r="B20" s="27"/>
    </row>
    <row r="21" spans="1:9" ht="15.75" thickBot="1" x14ac:dyDescent="0.3"/>
    <row r="22" spans="1:9" ht="15.75" thickBot="1" x14ac:dyDescent="0.3">
      <c r="A22" s="75"/>
      <c r="B22" s="158" t="s">
        <v>352</v>
      </c>
      <c r="C22" s="140" t="s">
        <v>15</v>
      </c>
      <c r="D22" s="140" t="s">
        <v>429</v>
      </c>
      <c r="E22" s="140" t="s">
        <v>424</v>
      </c>
      <c r="F22" s="140" t="s">
        <v>348</v>
      </c>
      <c r="G22" s="140" t="s">
        <v>347</v>
      </c>
      <c r="H22" s="140" t="s">
        <v>425</v>
      </c>
      <c r="I22" s="141" t="s">
        <v>149</v>
      </c>
    </row>
    <row r="23" spans="1:9" x14ac:dyDescent="0.25">
      <c r="A23" s="75"/>
      <c r="B23" s="631" t="s">
        <v>262</v>
      </c>
      <c r="C23" s="157" t="s">
        <v>211</v>
      </c>
      <c r="D23" s="44" t="s">
        <v>441</v>
      </c>
      <c r="E23" s="24" t="s">
        <v>426</v>
      </c>
      <c r="F23" s="23">
        <v>619</v>
      </c>
      <c r="G23" s="155">
        <f>F23*(1+Summary!$D$17)</f>
        <v>742.8</v>
      </c>
      <c r="H23" s="155">
        <f>5*G23</f>
        <v>3714</v>
      </c>
      <c r="I23" s="22" t="s">
        <v>210</v>
      </c>
    </row>
    <row r="24" spans="1:9" x14ac:dyDescent="0.25">
      <c r="A24" s="75"/>
      <c r="B24" s="632"/>
      <c r="C24" s="13" t="s">
        <v>212</v>
      </c>
      <c r="D24" s="24" t="s">
        <v>441</v>
      </c>
      <c r="E24" s="7" t="s">
        <v>426</v>
      </c>
      <c r="F24" s="8">
        <v>248</v>
      </c>
      <c r="G24" s="155">
        <f>F24*(1+Summary!$D$17)</f>
        <v>297.59999999999997</v>
      </c>
      <c r="H24" s="159">
        <f>5*G24</f>
        <v>1487.9999999999998</v>
      </c>
      <c r="I24" s="18" t="s">
        <v>210</v>
      </c>
    </row>
    <row r="25" spans="1:9" x14ac:dyDescent="0.25">
      <c r="A25" s="75"/>
      <c r="B25" s="632"/>
      <c r="C25" s="13" t="s">
        <v>362</v>
      </c>
      <c r="D25" s="7" t="s">
        <v>437</v>
      </c>
      <c r="E25" s="7" t="s">
        <v>426</v>
      </c>
      <c r="F25" s="8">
        <v>320</v>
      </c>
      <c r="G25" s="155">
        <f>F25*(1+Summary!$D$17)</f>
        <v>384</v>
      </c>
      <c r="H25" s="159">
        <f>G25</f>
        <v>384</v>
      </c>
      <c r="I25" s="18" t="s">
        <v>210</v>
      </c>
    </row>
    <row r="26" spans="1:9" x14ac:dyDescent="0.25">
      <c r="A26" s="75"/>
      <c r="B26" s="632"/>
      <c r="C26" s="13" t="s">
        <v>363</v>
      </c>
      <c r="D26" s="7" t="s">
        <v>437</v>
      </c>
      <c r="E26" s="7" t="s">
        <v>426</v>
      </c>
      <c r="F26" s="8">
        <v>515</v>
      </c>
      <c r="G26" s="155">
        <f>F26*(1+Summary!$D$17)</f>
        <v>618</v>
      </c>
      <c r="H26" s="159">
        <f>G26*2</f>
        <v>1236</v>
      </c>
      <c r="I26" s="18" t="s">
        <v>210</v>
      </c>
    </row>
    <row r="27" spans="1:9" x14ac:dyDescent="0.25">
      <c r="A27" s="75"/>
      <c r="B27" s="632"/>
      <c r="C27" s="13" t="s">
        <v>213</v>
      </c>
      <c r="D27" s="7" t="s">
        <v>437</v>
      </c>
      <c r="E27" s="7" t="s">
        <v>426</v>
      </c>
      <c r="F27" s="8">
        <v>1125</v>
      </c>
      <c r="G27" s="155">
        <f>F27*(1+Summary!$D$17)</f>
        <v>1350</v>
      </c>
      <c r="H27" s="159">
        <f>G27*2</f>
        <v>2700</v>
      </c>
      <c r="I27" s="18" t="s">
        <v>214</v>
      </c>
    </row>
    <row r="28" spans="1:9" x14ac:dyDescent="0.25">
      <c r="A28" s="75"/>
      <c r="B28" s="632"/>
      <c r="C28" s="13" t="s">
        <v>215</v>
      </c>
      <c r="D28" s="7" t="s">
        <v>435</v>
      </c>
      <c r="E28" s="7" t="s">
        <v>426</v>
      </c>
      <c r="F28" s="8">
        <v>1851</v>
      </c>
      <c r="G28" s="155">
        <f>F28*(1+Summary!$D$17)</f>
        <v>2221.1999999999998</v>
      </c>
      <c r="H28" s="159">
        <f>G28</f>
        <v>2221.1999999999998</v>
      </c>
      <c r="I28" s="18" t="s">
        <v>216</v>
      </c>
    </row>
    <row r="29" spans="1:9" ht="15.75" thickBot="1" x14ac:dyDescent="0.3">
      <c r="A29" s="75"/>
      <c r="B29" s="633"/>
      <c r="C29" s="14" t="s">
        <v>217</v>
      </c>
      <c r="D29" s="11" t="s">
        <v>444</v>
      </c>
      <c r="E29" s="11" t="s">
        <v>426</v>
      </c>
      <c r="F29" s="16">
        <v>417</v>
      </c>
      <c r="G29" s="156">
        <f>F29*(1+Summary!$D$17)</f>
        <v>500.4</v>
      </c>
      <c r="H29" s="156">
        <f>10*G29</f>
        <v>5004</v>
      </c>
      <c r="I29" s="20" t="s">
        <v>218</v>
      </c>
    </row>
  </sheetData>
  <mergeCells count="6">
    <mergeCell ref="B23:B29"/>
    <mergeCell ref="B10:B12"/>
    <mergeCell ref="B13:B16"/>
    <mergeCell ref="B18:B19"/>
    <mergeCell ref="B3:B4"/>
    <mergeCell ref="B5:B9"/>
  </mergeCells>
  <hyperlinks>
    <hyperlink ref="I3" r:id="rId1" xr:uid="{FD9041DB-5526-4E8F-BFD7-AA5D94C5B2E4}"/>
    <hyperlink ref="I4" r:id="rId2" xr:uid="{E6B5906C-F2EB-4ABD-BA4B-CF8971DBD144}"/>
    <hyperlink ref="I5" r:id="rId3" xr:uid="{FFF5BA92-621D-46DE-8A93-77B4E8D5335C}"/>
    <hyperlink ref="I6" r:id="rId4" xr:uid="{FE8366DB-ECBE-4BB2-A101-8DFC60ED63B1}"/>
    <hyperlink ref="I7" r:id="rId5" xr:uid="{3A34D2B9-B400-4EBB-ADEA-B50DD16E9C6E}"/>
    <hyperlink ref="I8" r:id="rId6" xr:uid="{7230FFA8-873B-440D-AD71-C1A7ED419CA4}"/>
    <hyperlink ref="I9" r:id="rId7" xr:uid="{9E79F410-3DE5-41E1-AD83-DE8CA1BFCDEB}"/>
    <hyperlink ref="I10" r:id="rId8" xr:uid="{07C655F5-BAB6-4261-B193-0B6630DB43BC}"/>
    <hyperlink ref="I11" r:id="rId9" xr:uid="{B2D6165E-7A6E-4187-9770-841DD800B6D2}"/>
    <hyperlink ref="I12" r:id="rId10" xr:uid="{733AFC55-D6C6-48FF-B2CA-6749EDCE5942}"/>
    <hyperlink ref="I13" r:id="rId11" xr:uid="{F0891ACC-E316-49B1-86B7-7F7F9C09CF94}"/>
    <hyperlink ref="I14" r:id="rId12" xr:uid="{5C9D5D1C-C868-40FA-A5FF-35B918CAA5DB}"/>
    <hyperlink ref="I15" r:id="rId13" xr:uid="{8DFB83E8-5B50-4860-9758-230A5952BE6F}"/>
    <hyperlink ref="I16" r:id="rId14" xr:uid="{AE430928-5516-4D7D-97A4-4CA05BF478EF}"/>
    <hyperlink ref="I18" r:id="rId15" xr:uid="{82CA0279-6909-4488-90C8-2ED8DCD91CB3}"/>
    <hyperlink ref="I19" r:id="rId16" xr:uid="{913CA25F-1E06-451F-97A3-0A3263DD6814}"/>
    <hyperlink ref="I23" r:id="rId17" xr:uid="{2131B039-6D68-4CB3-95D7-8D4A25B5C754}"/>
    <hyperlink ref="I24" r:id="rId18" xr:uid="{1E504BA5-2C15-4A87-A57B-A15650729C4A}"/>
    <hyperlink ref="I25" r:id="rId19" xr:uid="{6E2B9B81-99B1-4B6B-B91A-654077C93711}"/>
    <hyperlink ref="I26" r:id="rId20" xr:uid="{6654171F-F120-4516-A062-8F605307B3E1}"/>
    <hyperlink ref="I27" r:id="rId21" xr:uid="{BE11A961-4344-41C0-A52A-76264661B771}"/>
    <hyperlink ref="I28" r:id="rId22" xr:uid="{232DD4D1-2BDF-44BB-A0AD-09C68C94D24A}"/>
    <hyperlink ref="I29" r:id="rId23" xr:uid="{8009E3DA-8BF6-447C-9701-DAFA5C2BE40A}"/>
  </hyperlinks>
  <pageMargins left="0.7" right="0.7" top="0.75" bottom="0.75" header="0.3" footer="0.3"/>
  <pageSetup orientation="portrait" r:id="rId2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G24"/>
  <sheetViews>
    <sheetView showGridLines="0" workbookViewId="0">
      <selection activeCell="G7" sqref="G7"/>
    </sheetView>
  </sheetViews>
  <sheetFormatPr baseColWidth="10" defaultRowHeight="15" x14ac:dyDescent="0.25"/>
  <cols>
    <col min="1" max="1" width="3" customWidth="1"/>
    <col min="2" max="2" width="20.85546875" bestFit="1" customWidth="1"/>
    <col min="3" max="3" width="35.140625" bestFit="1" customWidth="1"/>
    <col min="4" max="4" width="25.85546875" bestFit="1" customWidth="1"/>
    <col min="5" max="5" width="17" bestFit="1" customWidth="1"/>
    <col min="6" max="6" width="16.5703125" bestFit="1" customWidth="1"/>
    <col min="7" max="7" width="126.7109375" bestFit="1" customWidth="1"/>
  </cols>
  <sheetData>
    <row r="1" spans="1:7" ht="15.75" thickBot="1" x14ac:dyDescent="0.3"/>
    <row r="2" spans="1:7" ht="15.75" thickBot="1" x14ac:dyDescent="0.3">
      <c r="A2" s="75"/>
      <c r="B2" s="142" t="s">
        <v>24</v>
      </c>
      <c r="C2" s="142" t="s">
        <v>22</v>
      </c>
      <c r="D2" s="142" t="s">
        <v>429</v>
      </c>
      <c r="E2" s="142" t="s">
        <v>351</v>
      </c>
      <c r="F2" s="142" t="s">
        <v>350</v>
      </c>
      <c r="G2" s="142" t="s">
        <v>149</v>
      </c>
    </row>
    <row r="3" spans="1:7" s="162" customFormat="1" x14ac:dyDescent="0.25">
      <c r="A3" s="75"/>
      <c r="B3" s="631" t="s">
        <v>497</v>
      </c>
      <c r="C3" s="13" t="s">
        <v>308</v>
      </c>
      <c r="D3" s="7"/>
      <c r="E3" s="8">
        <v>15000</v>
      </c>
      <c r="F3" s="201">
        <f>E3*(1+Summary!$D$17)</f>
        <v>18000</v>
      </c>
      <c r="G3" s="18" t="s">
        <v>306</v>
      </c>
    </row>
    <row r="4" spans="1:7" s="162" customFormat="1" ht="15.75" thickBot="1" x14ac:dyDescent="0.3">
      <c r="A4" s="75"/>
      <c r="B4" s="633"/>
      <c r="C4" s="13" t="s">
        <v>309</v>
      </c>
      <c r="D4" s="7"/>
      <c r="E4" s="8">
        <v>10000</v>
      </c>
      <c r="F4" s="201">
        <f>E4*(1+Summary!$D$17)</f>
        <v>12000</v>
      </c>
      <c r="G4" s="18" t="s">
        <v>307</v>
      </c>
    </row>
    <row r="5" spans="1:7" x14ac:dyDescent="0.25">
      <c r="A5" s="75"/>
      <c r="B5" s="631" t="s">
        <v>496</v>
      </c>
      <c r="C5" s="12" t="s">
        <v>53</v>
      </c>
      <c r="D5" s="10" t="s">
        <v>499</v>
      </c>
      <c r="E5" s="10">
        <v>1072</v>
      </c>
      <c r="F5" s="15">
        <f>E5*(1+Summary!$D$17)</f>
        <v>1286.3999999999999</v>
      </c>
      <c r="G5" s="161" t="s">
        <v>54</v>
      </c>
    </row>
    <row r="6" spans="1:7" x14ac:dyDescent="0.25">
      <c r="A6" s="75"/>
      <c r="B6" s="632"/>
      <c r="C6" s="13" t="s">
        <v>57</v>
      </c>
      <c r="D6" s="7" t="s">
        <v>500</v>
      </c>
      <c r="E6" s="23">
        <v>12350</v>
      </c>
      <c r="F6" s="8">
        <f>E6*(1+Summary!$D$17)</f>
        <v>14820</v>
      </c>
      <c r="G6" s="18" t="s">
        <v>55</v>
      </c>
    </row>
    <row r="7" spans="1:7" x14ac:dyDescent="0.25">
      <c r="A7" s="75"/>
      <c r="B7" s="632"/>
      <c r="C7" s="13" t="s">
        <v>249</v>
      </c>
      <c r="D7" s="7"/>
      <c r="E7" s="8">
        <v>3954</v>
      </c>
      <c r="F7" s="8">
        <f>E7*(1+Summary!$D$17)</f>
        <v>4744.8</v>
      </c>
      <c r="G7" s="18" t="s">
        <v>248</v>
      </c>
    </row>
    <row r="8" spans="1:7" x14ac:dyDescent="0.25">
      <c r="A8" s="75"/>
      <c r="B8" s="632"/>
      <c r="C8" s="13" t="s">
        <v>269</v>
      </c>
      <c r="D8" s="7"/>
      <c r="E8" s="8">
        <v>405</v>
      </c>
      <c r="F8" s="8">
        <f>E8*(1+Summary!$D$17)</f>
        <v>486</v>
      </c>
      <c r="G8" s="18" t="s">
        <v>270</v>
      </c>
    </row>
    <row r="9" spans="1:7" s="162" customFormat="1" x14ac:dyDescent="0.25">
      <c r="A9" s="75"/>
      <c r="B9" s="632"/>
      <c r="C9" s="17" t="s">
        <v>322</v>
      </c>
      <c r="D9" s="7">
        <v>1</v>
      </c>
      <c r="E9" s="8">
        <f>1031.54</f>
        <v>1031.54</v>
      </c>
      <c r="F9" s="7">
        <f>E9*(1+Summary!$D$17)</f>
        <v>1237.848</v>
      </c>
      <c r="G9" s="18" t="s">
        <v>323</v>
      </c>
    </row>
    <row r="10" spans="1:7" ht="15.75" thickBot="1" x14ac:dyDescent="0.3">
      <c r="A10" s="75"/>
      <c r="B10" s="633"/>
      <c r="C10" s="197" t="s">
        <v>495</v>
      </c>
      <c r="D10" s="198"/>
      <c r="E10" s="198">
        <v>245</v>
      </c>
      <c r="F10" s="199">
        <f>E10*(1+Summary!$D$17)</f>
        <v>294</v>
      </c>
      <c r="G10" s="200" t="s">
        <v>271</v>
      </c>
    </row>
    <row r="11" spans="1:7" x14ac:dyDescent="0.25">
      <c r="A11" s="75"/>
      <c r="B11" s="631" t="s">
        <v>359</v>
      </c>
      <c r="C11" s="12" t="s">
        <v>162</v>
      </c>
      <c r="D11" s="10" t="s">
        <v>163</v>
      </c>
      <c r="E11" s="15">
        <f>1335/1.2</f>
        <v>1112.5</v>
      </c>
      <c r="F11" s="15">
        <f>E11*(1+Summary!$D$17)</f>
        <v>1335</v>
      </c>
      <c r="G11" s="26" t="s">
        <v>62</v>
      </c>
    </row>
    <row r="12" spans="1:7" ht="15.75" thickBot="1" x14ac:dyDescent="0.3">
      <c r="A12" s="75"/>
      <c r="B12" s="633"/>
      <c r="C12" s="14" t="s">
        <v>162</v>
      </c>
      <c r="D12" s="11" t="s">
        <v>164</v>
      </c>
      <c r="E12" s="16">
        <f>2087/1.2</f>
        <v>1739.1666666666667</v>
      </c>
      <c r="F12" s="16">
        <f>E12*(1+Summary!$D$17)</f>
        <v>2087</v>
      </c>
      <c r="G12" s="20" t="s">
        <v>148</v>
      </c>
    </row>
    <row r="13" spans="1:7" x14ac:dyDescent="0.25">
      <c r="A13" s="75"/>
      <c r="B13" s="631" t="s">
        <v>360</v>
      </c>
      <c r="C13" s="12" t="s">
        <v>253</v>
      </c>
      <c r="D13" s="10">
        <v>5</v>
      </c>
      <c r="E13" s="15">
        <v>69.400000000000006</v>
      </c>
      <c r="F13" s="15">
        <f>E13*(1+Summary!$D$17)</f>
        <v>83.28</v>
      </c>
      <c r="G13" s="26" t="s">
        <v>252</v>
      </c>
    </row>
    <row r="14" spans="1:7" x14ac:dyDescent="0.25">
      <c r="A14" s="75"/>
      <c r="B14" s="632"/>
      <c r="C14" s="13" t="s">
        <v>255</v>
      </c>
      <c r="D14" s="7">
        <v>1</v>
      </c>
      <c r="E14" s="8">
        <v>1433.25</v>
      </c>
      <c r="F14" s="8">
        <f>E14*(1+Summary!$D$17)</f>
        <v>1719.8999999999999</v>
      </c>
      <c r="G14" s="18" t="s">
        <v>254</v>
      </c>
    </row>
    <row r="15" spans="1:7" x14ac:dyDescent="0.25">
      <c r="A15" s="75"/>
      <c r="B15" s="632"/>
      <c r="C15" s="13" t="s">
        <v>257</v>
      </c>
      <c r="D15" s="7">
        <v>1</v>
      </c>
      <c r="E15" s="8">
        <v>1866.02</v>
      </c>
      <c r="F15" s="8">
        <f>E15*(1+Summary!$D$17)</f>
        <v>2239.2239999999997</v>
      </c>
      <c r="G15" s="18" t="s">
        <v>256</v>
      </c>
    </row>
    <row r="16" spans="1:7" x14ac:dyDescent="0.25">
      <c r="A16" s="75"/>
      <c r="B16" s="632"/>
      <c r="C16" s="13" t="s">
        <v>259</v>
      </c>
      <c r="D16" s="7">
        <v>1</v>
      </c>
      <c r="E16" s="8">
        <v>859.65</v>
      </c>
      <c r="F16" s="8">
        <f>E16*(1+Summary!$D$17)</f>
        <v>1031.58</v>
      </c>
      <c r="G16" s="18" t="s">
        <v>258</v>
      </c>
    </row>
    <row r="17" spans="1:7" x14ac:dyDescent="0.25">
      <c r="A17" s="75"/>
      <c r="B17" s="632"/>
      <c r="C17" s="13" t="s">
        <v>261</v>
      </c>
      <c r="D17" s="7">
        <v>3</v>
      </c>
      <c r="E17" s="8">
        <v>699.07</v>
      </c>
      <c r="F17" s="8">
        <f>E17*(1+Summary!$D$17)</f>
        <v>838.88400000000001</v>
      </c>
      <c r="G17" s="18" t="s">
        <v>260</v>
      </c>
    </row>
    <row r="18" spans="1:7" x14ac:dyDescent="0.25">
      <c r="A18" s="75"/>
      <c r="B18" s="632"/>
      <c r="C18" s="13" t="s">
        <v>263</v>
      </c>
      <c r="D18" s="7">
        <v>30</v>
      </c>
      <c r="E18" s="8">
        <v>16.899999999999999</v>
      </c>
      <c r="F18" s="8">
        <f>E18*(1+Summary!$D$17)</f>
        <v>20.279999999999998</v>
      </c>
      <c r="G18" s="18" t="s">
        <v>264</v>
      </c>
    </row>
    <row r="19" spans="1:7" x14ac:dyDescent="0.25">
      <c r="A19" s="75"/>
      <c r="B19" s="632"/>
      <c r="C19" s="13" t="s">
        <v>222</v>
      </c>
      <c r="D19" s="7">
        <v>6</v>
      </c>
      <c r="E19" s="8">
        <v>1001.67</v>
      </c>
      <c r="F19" s="8">
        <f>E19*(1+Summary!$D$17)</f>
        <v>1202.0039999999999</v>
      </c>
      <c r="G19" s="18" t="s">
        <v>219</v>
      </c>
    </row>
    <row r="20" spans="1:7" x14ac:dyDescent="0.25">
      <c r="A20" s="75"/>
      <c r="B20" s="632"/>
      <c r="C20" s="13" t="s">
        <v>220</v>
      </c>
      <c r="D20" s="7">
        <v>3</v>
      </c>
      <c r="E20" s="8">
        <v>352.31</v>
      </c>
      <c r="F20" s="8">
        <f>E20*(1+Summary!$D$17)</f>
        <v>422.77199999999999</v>
      </c>
      <c r="G20" s="18" t="s">
        <v>221</v>
      </c>
    </row>
    <row r="21" spans="1:7" ht="15.75" thickBot="1" x14ac:dyDescent="0.3">
      <c r="A21" s="75"/>
      <c r="B21" s="633"/>
      <c r="C21" s="14" t="s">
        <v>251</v>
      </c>
      <c r="D21" s="11">
        <v>6</v>
      </c>
      <c r="E21" s="16">
        <v>2302.5700000000002</v>
      </c>
      <c r="F21" s="16">
        <f>E21*(1+Summary!$D$17)</f>
        <v>2763.0840000000003</v>
      </c>
      <c r="G21" s="20" t="s">
        <v>250</v>
      </c>
    </row>
    <row r="22" spans="1:7" ht="15.75" thickBot="1" x14ac:dyDescent="0.3">
      <c r="A22" s="75"/>
      <c r="B22" s="143" t="s">
        <v>361</v>
      </c>
      <c r="C22" s="31" t="s">
        <v>267</v>
      </c>
      <c r="D22" s="25">
        <v>2</v>
      </c>
      <c r="E22" s="36">
        <v>1075</v>
      </c>
      <c r="F22" s="36">
        <f>E22*(1+Summary!$D$17)</f>
        <v>1290</v>
      </c>
      <c r="G22" s="37" t="s">
        <v>268</v>
      </c>
    </row>
    <row r="24" spans="1:7" x14ac:dyDescent="0.25">
      <c r="A24" s="162"/>
    </row>
  </sheetData>
  <mergeCells count="4">
    <mergeCell ref="B3:B4"/>
    <mergeCell ref="B5:B10"/>
    <mergeCell ref="B11:B12"/>
    <mergeCell ref="B13:B21"/>
  </mergeCells>
  <hyperlinks>
    <hyperlink ref="G11" r:id="rId1" xr:uid="{00000000-0004-0000-0600-000000000000}"/>
    <hyperlink ref="G12" r:id="rId2" xr:uid="{00000000-0004-0000-0600-000001000000}"/>
    <hyperlink ref="G5" r:id="rId3" xr:uid="{00000000-0004-0000-0600-000002000000}"/>
    <hyperlink ref="G6" r:id="rId4" xr:uid="{00000000-0004-0000-0600-000007000000}"/>
    <hyperlink ref="G19" r:id="rId5" xr:uid="{00000000-0004-0000-0600-000008000000}"/>
    <hyperlink ref="G20" r:id="rId6" xr:uid="{00000000-0004-0000-0600-000009000000}"/>
    <hyperlink ref="G13" r:id="rId7" xr:uid="{A4C7276F-7168-490B-BEB2-32AC6233E6FA}"/>
    <hyperlink ref="G14" r:id="rId8" xr:uid="{055614BC-01C0-4B4C-A0ED-5FF8F51C7B2E}"/>
    <hyperlink ref="G15" r:id="rId9" xr:uid="{4AAE0EA1-9B29-404E-808F-5F20B5CB209A}"/>
    <hyperlink ref="G16" r:id="rId10" xr:uid="{2064E6CC-B012-4F85-84BD-4BEEE0ADB236}"/>
    <hyperlink ref="G17" r:id="rId11" xr:uid="{20B57005-5733-46FC-A599-FDAE90D8F45C}"/>
    <hyperlink ref="G18" r:id="rId12" xr:uid="{CEA2462A-FEA4-4128-8BC5-F267CC225FDC}"/>
    <hyperlink ref="G21" r:id="rId13" xr:uid="{810E01CC-42CA-420E-A1E9-D2266529E894}"/>
    <hyperlink ref="G9" r:id="rId14" xr:uid="{24BF8C79-4A7B-4569-B195-D9C730161DED}"/>
    <hyperlink ref="G22" r:id="rId15" xr:uid="{F2E381E2-49C0-4630-A9BA-32A395E37EAE}"/>
    <hyperlink ref="G8" r:id="rId16" xr:uid="{9564B0DA-BC67-4507-8A51-942DEBAD3FAC}"/>
    <hyperlink ref="G10" r:id="rId17" xr:uid="{303819D9-F58B-48BE-A744-AC489139E136}"/>
    <hyperlink ref="G7" r:id="rId18" xr:uid="{2772983D-FB0E-4605-A104-57E0846DAE6B}"/>
    <hyperlink ref="G4" r:id="rId19" xr:uid="{EF41B720-D0EE-437F-92B0-A5F081EA1F33}"/>
    <hyperlink ref="G3" r:id="rId20" xr:uid="{04E1A58F-9592-4F05-87F1-0BDCDA60B03D}"/>
  </hyperlinks>
  <pageMargins left="0.7" right="0.7" top="0.75" bottom="0.75" header="0.3" footer="0.3"/>
  <pageSetup orientation="portrait" r:id="rId2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F19"/>
  <sheetViews>
    <sheetView showGridLines="0" workbookViewId="0">
      <selection activeCell="A5" sqref="A5"/>
    </sheetView>
  </sheetViews>
  <sheetFormatPr baseColWidth="10" defaultRowHeight="15" x14ac:dyDescent="0.25"/>
  <cols>
    <col min="1" max="1" width="3.5703125" customWidth="1"/>
    <col min="2" max="2" width="28.28515625" bestFit="1" customWidth="1"/>
    <col min="3" max="3" width="11.85546875" bestFit="1" customWidth="1"/>
    <col min="4" max="4" width="16.5703125" bestFit="1" customWidth="1"/>
    <col min="5" max="5" width="17" bestFit="1" customWidth="1"/>
    <col min="6" max="6" width="165" customWidth="1"/>
  </cols>
  <sheetData>
    <row r="1" spans="1:6" ht="15.75" thickBot="1" x14ac:dyDescent="0.3"/>
    <row r="2" spans="1:6" ht="15.75" thickBot="1" x14ac:dyDescent="0.3">
      <c r="B2" s="138" t="s">
        <v>22</v>
      </c>
      <c r="C2" s="139" t="s">
        <v>138</v>
      </c>
      <c r="D2" s="140" t="s">
        <v>350</v>
      </c>
      <c r="E2" s="140" t="s">
        <v>351</v>
      </c>
      <c r="F2" s="141" t="s">
        <v>149</v>
      </c>
    </row>
    <row r="3" spans="1:6" ht="30" x14ac:dyDescent="0.25">
      <c r="B3" s="126" t="s">
        <v>422</v>
      </c>
      <c r="C3" s="127" t="s">
        <v>73</v>
      </c>
      <c r="D3" s="128">
        <v>149</v>
      </c>
      <c r="E3" s="129">
        <f>D3/(1+Summary!$D$17)</f>
        <v>124.16666666666667</v>
      </c>
      <c r="F3" s="130" t="s">
        <v>72</v>
      </c>
    </row>
    <row r="4" spans="1:6" ht="30" x14ac:dyDescent="0.25">
      <c r="B4" s="131" t="s">
        <v>75</v>
      </c>
      <c r="C4" s="132">
        <v>0.01</v>
      </c>
      <c r="D4" s="133">
        <v>129</v>
      </c>
      <c r="E4" s="134">
        <f>D4/(1+Summary!$D$17)</f>
        <v>107.5</v>
      </c>
      <c r="F4" s="135" t="s">
        <v>74</v>
      </c>
    </row>
    <row r="5" spans="1:6" x14ac:dyDescent="0.25">
      <c r="A5" s="75"/>
      <c r="B5" s="136" t="s">
        <v>27</v>
      </c>
      <c r="C5" s="13">
        <v>0.01</v>
      </c>
      <c r="D5" s="28">
        <v>60</v>
      </c>
      <c r="E5" s="30">
        <f>D5/(1+Summary!$D$17)</f>
        <v>50</v>
      </c>
      <c r="F5" s="34" t="s">
        <v>76</v>
      </c>
    </row>
    <row r="6" spans="1:6" x14ac:dyDescent="0.25">
      <c r="A6" s="75"/>
      <c r="B6" s="136" t="s">
        <v>80</v>
      </c>
      <c r="C6" s="13"/>
      <c r="D6" s="28">
        <v>167</v>
      </c>
      <c r="E6" s="30">
        <f>D6/(1+Summary!$D$17)</f>
        <v>139.16666666666669</v>
      </c>
      <c r="F6" s="34" t="s">
        <v>77</v>
      </c>
    </row>
    <row r="7" spans="1:6" ht="30" x14ac:dyDescent="0.25">
      <c r="A7" s="75"/>
      <c r="B7" s="136" t="s">
        <v>79</v>
      </c>
      <c r="C7" s="13"/>
      <c r="D7" s="28">
        <v>94</v>
      </c>
      <c r="E7" s="30">
        <f>D7/(1+Summary!$D$17)</f>
        <v>78.333333333333343</v>
      </c>
      <c r="F7" s="34" t="s">
        <v>78</v>
      </c>
    </row>
    <row r="8" spans="1:6" x14ac:dyDescent="0.25">
      <c r="A8" s="75"/>
      <c r="B8" s="136" t="s">
        <v>81</v>
      </c>
      <c r="C8" s="13"/>
      <c r="D8" s="28">
        <v>282</v>
      </c>
      <c r="E8" s="30">
        <f>D8/(1+Summary!$D$17)</f>
        <v>235</v>
      </c>
      <c r="F8" s="34" t="s">
        <v>82</v>
      </c>
    </row>
    <row r="9" spans="1:6" x14ac:dyDescent="0.25">
      <c r="A9" s="75"/>
      <c r="B9" s="136" t="s">
        <v>84</v>
      </c>
      <c r="C9" s="13"/>
      <c r="D9" s="28">
        <v>408</v>
      </c>
      <c r="E9" s="30">
        <f>D9/(1+Summary!$D$17)</f>
        <v>340</v>
      </c>
      <c r="F9" s="33"/>
    </row>
    <row r="10" spans="1:6" ht="30" x14ac:dyDescent="0.25">
      <c r="A10" s="75"/>
      <c r="B10" s="136" t="s">
        <v>85</v>
      </c>
      <c r="C10" s="13"/>
      <c r="D10" s="28">
        <v>3322</v>
      </c>
      <c r="E10" s="30">
        <f>D10/(1+Summary!$D$17)</f>
        <v>2768.3333333333335</v>
      </c>
      <c r="F10" s="34" t="s">
        <v>83</v>
      </c>
    </row>
    <row r="11" spans="1:6" ht="30" x14ac:dyDescent="0.25">
      <c r="A11" s="75"/>
      <c r="B11" s="637" t="s">
        <v>86</v>
      </c>
      <c r="C11" s="13" t="s">
        <v>87</v>
      </c>
      <c r="D11" s="28">
        <v>1390</v>
      </c>
      <c r="E11" s="30">
        <f>D11/(1+Summary!$D$17)</f>
        <v>1158.3333333333335</v>
      </c>
      <c r="F11" s="34" t="s">
        <v>88</v>
      </c>
    </row>
    <row r="12" spans="1:6" ht="30" x14ac:dyDescent="0.25">
      <c r="A12" s="75"/>
      <c r="B12" s="638"/>
      <c r="C12" s="13" t="s">
        <v>90</v>
      </c>
      <c r="D12" s="28">
        <v>1202</v>
      </c>
      <c r="E12" s="30">
        <f>D12/(1+Summary!$D$17)</f>
        <v>1001.6666666666667</v>
      </c>
      <c r="F12" s="34" t="s">
        <v>89</v>
      </c>
    </row>
    <row r="13" spans="1:6" ht="30" x14ac:dyDescent="0.25">
      <c r="A13" s="75"/>
      <c r="B13" s="638"/>
      <c r="C13" s="13" t="s">
        <v>92</v>
      </c>
      <c r="D13" s="28">
        <v>146</v>
      </c>
      <c r="E13" s="30">
        <f>D13/(1+Summary!$D$17)</f>
        <v>121.66666666666667</v>
      </c>
      <c r="F13" s="34" t="s">
        <v>91</v>
      </c>
    </row>
    <row r="14" spans="1:6" ht="30" x14ac:dyDescent="0.25">
      <c r="A14" s="75"/>
      <c r="B14" s="639"/>
      <c r="C14" s="13" t="s">
        <v>94</v>
      </c>
      <c r="D14" s="28">
        <v>162</v>
      </c>
      <c r="E14" s="30">
        <f>D14/(1+Summary!$D$17)</f>
        <v>135</v>
      </c>
      <c r="F14" s="34" t="s">
        <v>93</v>
      </c>
    </row>
    <row r="15" spans="1:6" ht="30" x14ac:dyDescent="0.25">
      <c r="A15" s="75"/>
      <c r="B15" s="637" t="s">
        <v>26</v>
      </c>
      <c r="C15" s="13" t="s">
        <v>96</v>
      </c>
      <c r="D15" s="28">
        <v>1623</v>
      </c>
      <c r="E15" s="30">
        <f>D15/(1+Summary!$D$17)</f>
        <v>1352.5</v>
      </c>
      <c r="F15" s="34" t="s">
        <v>95</v>
      </c>
    </row>
    <row r="16" spans="1:6" ht="30" x14ac:dyDescent="0.25">
      <c r="A16" s="75"/>
      <c r="B16" s="639"/>
      <c r="C16" s="29" t="s">
        <v>141</v>
      </c>
      <c r="D16" s="28">
        <v>675</v>
      </c>
      <c r="E16" s="30">
        <f>D16/(1+Summary!$D$17)</f>
        <v>562.5</v>
      </c>
      <c r="F16" s="34" t="s">
        <v>142</v>
      </c>
    </row>
    <row r="17" spans="1:6" x14ac:dyDescent="0.25">
      <c r="A17" s="75"/>
      <c r="B17" s="136" t="s">
        <v>97</v>
      </c>
      <c r="C17" s="13" t="s">
        <v>99</v>
      </c>
      <c r="D17" s="9">
        <v>308</v>
      </c>
      <c r="E17" s="30">
        <f>D17/(1+Summary!$D$17)</f>
        <v>256.66666666666669</v>
      </c>
      <c r="F17" s="34" t="s">
        <v>98</v>
      </c>
    </row>
    <row r="18" spans="1:6" x14ac:dyDescent="0.25">
      <c r="A18" s="75"/>
      <c r="B18" s="136" t="s">
        <v>170</v>
      </c>
      <c r="C18" s="13" t="s">
        <v>171</v>
      </c>
      <c r="D18" s="8">
        <f>48334.81*1.2</f>
        <v>58001.771999999997</v>
      </c>
      <c r="E18" s="30">
        <f>D18/(1+Summary!$D$17)</f>
        <v>48334.81</v>
      </c>
      <c r="F18" s="34" t="s">
        <v>169</v>
      </c>
    </row>
    <row r="19" spans="1:6" ht="15.75" thickBot="1" x14ac:dyDescent="0.3">
      <c r="A19" s="75"/>
      <c r="B19" s="137" t="s">
        <v>173</v>
      </c>
      <c r="C19" s="14" t="s">
        <v>174</v>
      </c>
      <c r="D19" s="11">
        <f>5390*1.2</f>
        <v>6468</v>
      </c>
      <c r="E19" s="30">
        <f>D19/(1+Summary!$D$17)</f>
        <v>5390</v>
      </c>
      <c r="F19" s="35" t="s">
        <v>172</v>
      </c>
    </row>
  </sheetData>
  <mergeCells count="2">
    <mergeCell ref="B11:B14"/>
    <mergeCell ref="B15:B16"/>
  </mergeCells>
  <hyperlinks>
    <hyperlink ref="F3" r:id="rId1" xr:uid="{00000000-0004-0000-0300-000000000000}"/>
    <hyperlink ref="F17" r:id="rId2" xr:uid="{00000000-0004-0000-0300-000001000000}"/>
    <hyperlink ref="F15" r:id="rId3" xr:uid="{00000000-0004-0000-0300-000002000000}"/>
    <hyperlink ref="F4" r:id="rId4" xr:uid="{17C91CA5-122D-487F-B62C-3980991E1934}"/>
    <hyperlink ref="F5" r:id="rId5" xr:uid="{C2A869EE-2F96-4614-925F-6CA4B371DB72}"/>
    <hyperlink ref="F6" r:id="rId6" xr:uid="{D0EBC0A2-C619-4A15-A1EE-1433C247088A}"/>
    <hyperlink ref="F7" r:id="rId7" xr:uid="{C6FB60E2-B3C6-4A1E-8DBC-B38B896D44BB}"/>
    <hyperlink ref="F8" r:id="rId8" xr:uid="{5DAA328B-CED5-4D1C-A543-4FCD716CB537}"/>
    <hyperlink ref="F10" r:id="rId9" xr:uid="{4E3EA835-01DE-44C2-81B1-6DEF49D48D22}"/>
    <hyperlink ref="F11" r:id="rId10" xr:uid="{D44C1749-D817-49A8-8100-38DA8F13BDCD}"/>
    <hyperlink ref="F12" r:id="rId11" xr:uid="{CE0DD8F6-C1D9-4C8E-824D-E9DF24ED93BE}"/>
    <hyperlink ref="F13" r:id="rId12" xr:uid="{83E64948-1BB5-4525-9713-79B9118F8959}"/>
    <hyperlink ref="F14" r:id="rId13" xr:uid="{A4A03384-7F4F-4E1D-B7EE-350C37081037}"/>
    <hyperlink ref="F16" r:id="rId14" xr:uid="{F25F3AA7-1A18-4D78-B3C2-7671C1A0AECE}"/>
    <hyperlink ref="F18" r:id="rId15" xr:uid="{FC2F4028-1D2B-4007-A317-C665F746A5E7}"/>
    <hyperlink ref="F19" r:id="rId16" xr:uid="{69B85A02-22FB-402F-8A33-F82B1CD5314A}"/>
  </hyperlinks>
  <pageMargins left="0.7" right="0.7" top="0.75" bottom="0.75" header="0.3" footer="0.3"/>
  <pageSetup orientation="portrait" r:id="rId17"/>
  <legacyDrawing r:id="rId1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1:G45"/>
  <sheetViews>
    <sheetView showGridLines="0" workbookViewId="0">
      <selection activeCell="F4" sqref="F4"/>
    </sheetView>
  </sheetViews>
  <sheetFormatPr baseColWidth="10" defaultRowHeight="15" x14ac:dyDescent="0.25"/>
  <cols>
    <col min="1" max="1" width="4" style="43" customWidth="1"/>
    <col min="2" max="2" width="25" style="43" bestFit="1" customWidth="1"/>
    <col min="3" max="3" width="24.5703125" style="43" bestFit="1" customWidth="1"/>
    <col min="4" max="4" width="19" style="306" bestFit="1" customWidth="1"/>
    <col min="5" max="5" width="18.7109375" style="43" bestFit="1" customWidth="1"/>
    <col min="6" max="6" width="111.140625" style="43" bestFit="1" customWidth="1"/>
    <col min="7" max="7" width="9.42578125" style="43" bestFit="1" customWidth="1"/>
    <col min="8" max="16384" width="11.42578125" style="43"/>
  </cols>
  <sheetData>
    <row r="1" spans="2:6" ht="15.75" thickBot="1" x14ac:dyDescent="0.3"/>
    <row r="2" spans="2:6" ht="15.75" thickBot="1" x14ac:dyDescent="0.3">
      <c r="B2" s="640" t="s">
        <v>396</v>
      </c>
      <c r="C2" s="641"/>
      <c r="D2" s="641"/>
      <c r="E2" s="641"/>
      <c r="F2" s="642"/>
    </row>
    <row r="3" spans="2:6" ht="15.75" thickBot="1" x14ac:dyDescent="0.3">
      <c r="B3" s="297" t="s">
        <v>22</v>
      </c>
      <c r="C3" s="300" t="s">
        <v>161</v>
      </c>
      <c r="D3" s="307" t="s">
        <v>140</v>
      </c>
      <c r="E3" s="300" t="s">
        <v>139</v>
      </c>
      <c r="F3" s="301" t="s">
        <v>149</v>
      </c>
    </row>
    <row r="4" spans="2:6" x14ac:dyDescent="0.25">
      <c r="B4" s="302" t="s">
        <v>506</v>
      </c>
      <c r="C4" s="44"/>
      <c r="D4" s="308"/>
      <c r="E4" s="52">
        <f>D4*(1+Summary!$D$17)</f>
        <v>0</v>
      </c>
      <c r="F4" s="144" t="s">
        <v>12</v>
      </c>
    </row>
    <row r="5" spans="2:6" x14ac:dyDescent="0.25">
      <c r="B5" s="154" t="s">
        <v>507</v>
      </c>
      <c r="C5" s="46" t="s">
        <v>41</v>
      </c>
      <c r="D5" s="309">
        <v>79995</v>
      </c>
      <c r="E5" s="49">
        <f>D5*(1+Summary!$D$17)</f>
        <v>95994</v>
      </c>
      <c r="F5" s="147" t="s">
        <v>42</v>
      </c>
    </row>
    <row r="6" spans="2:6" x14ac:dyDescent="0.25">
      <c r="B6" s="305" t="s">
        <v>70</v>
      </c>
      <c r="C6" s="148" t="s">
        <v>557</v>
      </c>
      <c r="D6" s="310">
        <v>100</v>
      </c>
      <c r="E6" s="49">
        <f>D6*(1+Summary!$D$17)</f>
        <v>120</v>
      </c>
      <c r="F6" s="311" t="s">
        <v>71</v>
      </c>
    </row>
    <row r="7" spans="2:6" ht="15.75" thickBot="1" x14ac:dyDescent="0.3">
      <c r="B7" s="154" t="s">
        <v>56</v>
      </c>
      <c r="C7" s="49">
        <v>2500</v>
      </c>
      <c r="D7" s="309">
        <f>2500/1.2</f>
        <v>2083.3333333333335</v>
      </c>
      <c r="E7" s="49">
        <f>D7*(1+Summary!$D$17)</f>
        <v>2500</v>
      </c>
      <c r="F7" s="147" t="s">
        <v>52</v>
      </c>
    </row>
    <row r="8" spans="2:6" ht="15.75" thickBot="1" x14ac:dyDescent="0.3">
      <c r="B8" s="86" t="s">
        <v>22</v>
      </c>
      <c r="C8" s="303" t="s">
        <v>161</v>
      </c>
      <c r="D8" s="652" t="s">
        <v>34</v>
      </c>
      <c r="E8" s="653"/>
      <c r="F8" s="304" t="s">
        <v>149</v>
      </c>
    </row>
    <row r="9" spans="2:6" x14ac:dyDescent="0.25">
      <c r="B9" s="646" t="s">
        <v>508</v>
      </c>
      <c r="C9" s="44" t="s">
        <v>510</v>
      </c>
      <c r="D9" s="654">
        <v>12000</v>
      </c>
      <c r="E9" s="655"/>
      <c r="F9" s="649" t="s">
        <v>42</v>
      </c>
    </row>
    <row r="10" spans="2:6" x14ac:dyDescent="0.25">
      <c r="B10" s="647"/>
      <c r="C10" s="46" t="s">
        <v>511</v>
      </c>
      <c r="D10" s="656" t="s">
        <v>509</v>
      </c>
      <c r="E10" s="657"/>
      <c r="F10" s="650"/>
    </row>
    <row r="11" spans="2:6" x14ac:dyDescent="0.25">
      <c r="B11" s="647"/>
      <c r="C11" s="46" t="s">
        <v>498</v>
      </c>
      <c r="D11" s="658">
        <v>22.4</v>
      </c>
      <c r="E11" s="659"/>
      <c r="F11" s="650"/>
    </row>
    <row r="12" spans="2:6" x14ac:dyDescent="0.25">
      <c r="B12" s="647"/>
      <c r="C12" s="46" t="s">
        <v>512</v>
      </c>
      <c r="D12" s="656" t="s">
        <v>43</v>
      </c>
      <c r="E12" s="657"/>
      <c r="F12" s="650"/>
    </row>
    <row r="13" spans="2:6" x14ac:dyDescent="0.25">
      <c r="B13" s="647"/>
      <c r="C13" s="46" t="s">
        <v>44</v>
      </c>
      <c r="D13" s="656" t="s">
        <v>45</v>
      </c>
      <c r="E13" s="657"/>
      <c r="F13" s="650"/>
    </row>
    <row r="14" spans="2:6" x14ac:dyDescent="0.25">
      <c r="B14" s="647"/>
      <c r="C14" s="46" t="s">
        <v>513</v>
      </c>
      <c r="D14" s="656" t="s">
        <v>46</v>
      </c>
      <c r="E14" s="657"/>
      <c r="F14" s="650"/>
    </row>
    <row r="15" spans="2:6" x14ac:dyDescent="0.25">
      <c r="B15" s="647"/>
      <c r="C15" s="46" t="s">
        <v>514</v>
      </c>
      <c r="D15" s="656" t="s">
        <v>515</v>
      </c>
      <c r="E15" s="657"/>
      <c r="F15" s="650"/>
    </row>
    <row r="16" spans="2:6" ht="15.75" thickBot="1" x14ac:dyDescent="0.3">
      <c r="B16" s="648"/>
      <c r="C16" s="48" t="s">
        <v>517</v>
      </c>
      <c r="D16" s="660" t="s">
        <v>516</v>
      </c>
      <c r="E16" s="661"/>
      <c r="F16" s="651"/>
    </row>
    <row r="17" spans="1:7" ht="15.75" thickBot="1" x14ac:dyDescent="0.3">
      <c r="D17" s="43"/>
    </row>
    <row r="18" spans="1:7" ht="15.75" thickBot="1" x14ac:dyDescent="0.3">
      <c r="C18" s="640" t="s">
        <v>405</v>
      </c>
      <c r="D18" s="641"/>
      <c r="E18" s="641"/>
      <c r="F18" s="642"/>
    </row>
    <row r="19" spans="1:7" ht="15.75" thickBot="1" x14ac:dyDescent="0.3">
      <c r="C19" s="643" t="s">
        <v>47</v>
      </c>
      <c r="D19" s="644"/>
      <c r="E19" s="644"/>
      <c r="F19" s="645"/>
    </row>
    <row r="20" spans="1:7" ht="15.75" thickBot="1" x14ac:dyDescent="0.3">
      <c r="C20" s="100"/>
      <c r="D20" s="101" t="s">
        <v>34</v>
      </c>
      <c r="E20" s="298" t="s">
        <v>406</v>
      </c>
      <c r="F20" s="299" t="s">
        <v>149</v>
      </c>
    </row>
    <row r="21" spans="1:7" x14ac:dyDescent="0.25">
      <c r="C21" s="315" t="s">
        <v>518</v>
      </c>
      <c r="D21" s="312"/>
      <c r="E21" s="44"/>
      <c r="F21" s="144" t="s">
        <v>51</v>
      </c>
    </row>
    <row r="22" spans="1:7" x14ac:dyDescent="0.25">
      <c r="C22" s="316" t="s">
        <v>519</v>
      </c>
      <c r="D22" s="313"/>
      <c r="E22" s="46" t="s">
        <v>48</v>
      </c>
      <c r="F22" s="147" t="s">
        <v>50</v>
      </c>
    </row>
    <row r="23" spans="1:7" ht="15.75" thickBot="1" x14ac:dyDescent="0.3">
      <c r="C23" s="317" t="s">
        <v>520</v>
      </c>
      <c r="D23" s="314">
        <v>10.58</v>
      </c>
      <c r="E23" s="48"/>
      <c r="F23" s="51" t="s">
        <v>560</v>
      </c>
    </row>
    <row r="24" spans="1:7" x14ac:dyDescent="0.25">
      <c r="B24" s="306"/>
      <c r="C24" s="306"/>
      <c r="E24" s="306"/>
      <c r="F24" s="306"/>
    </row>
    <row r="25" spans="1:7" x14ac:dyDescent="0.25">
      <c r="B25" s="306"/>
      <c r="C25" s="306"/>
      <c r="E25" s="306"/>
      <c r="F25" s="306"/>
      <c r="G25" s="56"/>
    </row>
    <row r="26" spans="1:7" x14ac:dyDescent="0.25">
      <c r="B26" s="306"/>
      <c r="C26" s="306"/>
      <c r="E26" s="306"/>
      <c r="F26" s="306"/>
      <c r="G26" s="56"/>
    </row>
    <row r="27" spans="1:7" x14ac:dyDescent="0.25">
      <c r="B27" s="306"/>
      <c r="D27" s="43"/>
      <c r="G27" s="56"/>
    </row>
    <row r="28" spans="1:7" x14ac:dyDescent="0.25">
      <c r="A28" s="306"/>
      <c r="B28" s="306"/>
      <c r="C28" s="306"/>
      <c r="E28" s="306"/>
      <c r="F28" s="306"/>
    </row>
    <row r="29" spans="1:7" x14ac:dyDescent="0.25">
      <c r="A29" s="306"/>
      <c r="B29" s="306"/>
    </row>
    <row r="30" spans="1:7" x14ac:dyDescent="0.25">
      <c r="A30" s="306"/>
      <c r="B30" s="306"/>
      <c r="C30" s="306"/>
      <c r="E30" s="306"/>
      <c r="F30" s="306"/>
    </row>
    <row r="31" spans="1:7" x14ac:dyDescent="0.25">
      <c r="A31" s="306"/>
      <c r="B31" s="306"/>
      <c r="C31" s="306"/>
      <c r="E31" s="306"/>
      <c r="F31" s="306"/>
    </row>
    <row r="32" spans="1:7" x14ac:dyDescent="0.25">
      <c r="A32" s="306"/>
      <c r="B32" s="306"/>
      <c r="C32" s="306"/>
      <c r="E32" s="306"/>
      <c r="F32" s="306"/>
    </row>
    <row r="33" spans="1:6" x14ac:dyDescent="0.25">
      <c r="A33" s="306"/>
      <c r="B33" s="306"/>
      <c r="C33" s="306"/>
      <c r="E33" s="306"/>
      <c r="F33" s="306"/>
    </row>
    <row r="34" spans="1:6" x14ac:dyDescent="0.25">
      <c r="A34" s="306"/>
      <c r="B34" s="306"/>
      <c r="C34" s="306"/>
      <c r="E34" s="306"/>
      <c r="F34" s="306"/>
    </row>
    <row r="35" spans="1:6" x14ac:dyDescent="0.25">
      <c r="A35" s="306"/>
      <c r="B35" s="306"/>
      <c r="C35" s="306"/>
      <c r="E35" s="306"/>
      <c r="F35" s="306"/>
    </row>
    <row r="36" spans="1:6" x14ac:dyDescent="0.25">
      <c r="A36" s="306"/>
      <c r="B36" s="306"/>
      <c r="C36" s="306"/>
      <c r="E36" s="306"/>
      <c r="F36" s="306"/>
    </row>
    <row r="37" spans="1:6" x14ac:dyDescent="0.25">
      <c r="A37" s="306"/>
      <c r="B37" s="306"/>
      <c r="C37" s="306"/>
      <c r="E37" s="306"/>
      <c r="F37" s="306"/>
    </row>
    <row r="41" spans="1:6" x14ac:dyDescent="0.25">
      <c r="B41" s="306"/>
      <c r="C41" s="306"/>
      <c r="E41" s="306"/>
      <c r="F41" s="306"/>
    </row>
    <row r="42" spans="1:6" x14ac:dyDescent="0.25">
      <c r="B42" s="306"/>
      <c r="C42" s="306"/>
      <c r="E42" s="306"/>
      <c r="F42" s="306"/>
    </row>
    <row r="43" spans="1:6" x14ac:dyDescent="0.25">
      <c r="B43" s="306"/>
      <c r="C43" s="306"/>
      <c r="E43" s="306"/>
      <c r="F43" s="306"/>
    </row>
    <row r="44" spans="1:6" x14ac:dyDescent="0.25">
      <c r="B44" s="306"/>
      <c r="C44" s="306"/>
      <c r="E44" s="306"/>
      <c r="F44" s="306"/>
    </row>
    <row r="45" spans="1:6" x14ac:dyDescent="0.25">
      <c r="B45" s="306"/>
      <c r="C45" s="306"/>
      <c r="E45" s="306"/>
      <c r="F45" s="306"/>
    </row>
  </sheetData>
  <mergeCells count="14">
    <mergeCell ref="B2:F2"/>
    <mergeCell ref="C18:F18"/>
    <mergeCell ref="C19:F19"/>
    <mergeCell ref="B9:B16"/>
    <mergeCell ref="F9:F16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</mergeCells>
  <hyperlinks>
    <hyperlink ref="F4" r:id="rId1" xr:uid="{00000000-0004-0000-0700-000000000000}"/>
    <hyperlink ref="F5" r:id="rId2" xr:uid="{00000000-0004-0000-0700-000001000000}"/>
    <hyperlink ref="F6" r:id="rId3" xr:uid="{FF3218DB-58F2-4142-89F7-50464F72D68A}"/>
    <hyperlink ref="F7" r:id="rId4" xr:uid="{CE6504F5-91A3-4AA8-A587-8D161F40F267}"/>
    <hyperlink ref="F21" r:id="rId5" xr:uid="{B1250A06-815C-4A83-A212-96001E3FAB8C}"/>
    <hyperlink ref="F22" r:id="rId6" xr:uid="{4AF2A1F2-F8F4-411F-B4F8-0D496BFFA78E}"/>
    <hyperlink ref="F9" r:id="rId7" xr:uid="{3779EE71-A3A1-4901-8E18-94D4464BE387}"/>
  </hyperlinks>
  <pageMargins left="0.7" right="0.7" top="0.75" bottom="0.75" header="0.3" footer="0.3"/>
  <pageSetup orientation="portrait"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0086-F0B7-408C-82FE-7CDCCC9406F5}">
  <sheetPr>
    <tabColor theme="7"/>
  </sheetPr>
  <dimension ref="A1:N28"/>
  <sheetViews>
    <sheetView showGridLines="0" workbookViewId="0">
      <selection activeCell="B12" sqref="B12"/>
    </sheetView>
  </sheetViews>
  <sheetFormatPr baseColWidth="10" defaultRowHeight="15" x14ac:dyDescent="0.25"/>
  <cols>
    <col min="1" max="1" width="2.85546875" style="39" customWidth="1"/>
    <col min="2" max="2" width="21" style="39" bestFit="1" customWidth="1"/>
    <col min="3" max="3" width="34.28515625" style="39" bestFit="1" customWidth="1"/>
    <col min="4" max="4" width="12.28515625" style="39" bestFit="1" customWidth="1"/>
    <col min="5" max="5" width="13.7109375" style="39" bestFit="1" customWidth="1"/>
    <col min="6" max="6" width="84.7109375" style="39" bestFit="1" customWidth="1"/>
    <col min="7" max="7" width="10.28515625" style="39" bestFit="1" customWidth="1"/>
    <col min="8" max="8" width="13.5703125" style="39" customWidth="1"/>
    <col min="9" max="16384" width="11.42578125" style="39"/>
  </cols>
  <sheetData>
    <row r="1" spans="1:14" ht="15.75" thickBot="1" x14ac:dyDescent="0.3"/>
    <row r="2" spans="1:14" ht="15.75" thickBot="1" x14ac:dyDescent="0.3">
      <c r="A2" s="75"/>
      <c r="B2" s="640" t="s">
        <v>396</v>
      </c>
      <c r="C2" s="641"/>
      <c r="D2" s="641"/>
      <c r="E2" s="641"/>
      <c r="F2" s="642"/>
    </row>
    <row r="3" spans="1:14" ht="15.75" thickBot="1" x14ac:dyDescent="0.3">
      <c r="A3" s="75"/>
      <c r="B3" s="86" t="s">
        <v>22</v>
      </c>
      <c r="C3" s="87" t="s">
        <v>161</v>
      </c>
      <c r="D3" s="87" t="s">
        <v>140</v>
      </c>
      <c r="E3" s="87" t="s">
        <v>139</v>
      </c>
      <c r="F3" s="88" t="s">
        <v>149</v>
      </c>
      <c r="N3" s="78"/>
    </row>
    <row r="4" spans="1:14" x14ac:dyDescent="0.25">
      <c r="A4" s="75"/>
      <c r="B4" s="364" t="s">
        <v>533</v>
      </c>
      <c r="C4" s="365"/>
      <c r="D4" s="366">
        <f>1000000/1.2</f>
        <v>833333.33333333337</v>
      </c>
      <c r="E4" s="367">
        <f>D4*(1+Summary!$D$17)</f>
        <v>1000000</v>
      </c>
      <c r="F4" s="370" t="s">
        <v>1003</v>
      </c>
    </row>
    <row r="5" spans="1:14" x14ac:dyDescent="0.25">
      <c r="A5" s="75"/>
      <c r="B5" s="82" t="s">
        <v>534</v>
      </c>
      <c r="C5" s="79"/>
      <c r="D5" s="89">
        <f>750000/1.2</f>
        <v>625000</v>
      </c>
      <c r="E5" s="85">
        <f>D5*(1+Summary!$D$17)</f>
        <v>750000</v>
      </c>
      <c r="F5" s="369"/>
    </row>
    <row r="6" spans="1:14" x14ac:dyDescent="0.25">
      <c r="A6" s="75"/>
      <c r="B6" s="82" t="s">
        <v>535</v>
      </c>
      <c r="C6" s="79" t="s">
        <v>541</v>
      </c>
      <c r="D6" s="89">
        <f>10000/1.2</f>
        <v>8333.3333333333339</v>
      </c>
      <c r="E6" s="85">
        <f>D6*(1+Summary!$D$17)</f>
        <v>10000</v>
      </c>
      <c r="F6" s="670" t="s">
        <v>539</v>
      </c>
    </row>
    <row r="7" spans="1:14" x14ac:dyDescent="0.25">
      <c r="A7" s="75"/>
      <c r="B7" s="82" t="s">
        <v>537</v>
      </c>
      <c r="C7" s="79" t="s">
        <v>540</v>
      </c>
      <c r="D7" s="89">
        <f>1500/1.2</f>
        <v>1250</v>
      </c>
      <c r="E7" s="85">
        <f>D7*(1+Summary!$D$17)</f>
        <v>1500</v>
      </c>
      <c r="F7" s="670"/>
      <c r="I7" s="78"/>
    </row>
    <row r="8" spans="1:14" ht="15.75" thickBot="1" x14ac:dyDescent="0.3">
      <c r="A8" s="75"/>
      <c r="B8" s="83" t="s">
        <v>538</v>
      </c>
      <c r="C8" s="84" t="s">
        <v>536</v>
      </c>
      <c r="D8" s="92">
        <f>1500/1.2</f>
        <v>1250</v>
      </c>
      <c r="E8" s="368">
        <f>D8*(1+Summary!$D$17)</f>
        <v>1500</v>
      </c>
      <c r="F8" s="671"/>
    </row>
    <row r="9" spans="1:14" ht="15.75" thickBot="1" x14ac:dyDescent="0.3">
      <c r="A9" s="75"/>
    </row>
    <row r="10" spans="1:14" ht="15.75" thickBot="1" x14ac:dyDescent="0.3">
      <c r="A10" s="75"/>
      <c r="C10" s="640" t="s">
        <v>528</v>
      </c>
      <c r="D10" s="641"/>
      <c r="E10" s="641"/>
      <c r="F10" s="642"/>
    </row>
    <row r="11" spans="1:14" ht="15.75" thickBot="1" x14ac:dyDescent="0.3">
      <c r="A11" s="75"/>
      <c r="C11" s="643" t="s">
        <v>542</v>
      </c>
      <c r="D11" s="644"/>
      <c r="E11" s="644"/>
      <c r="F11" s="645"/>
    </row>
    <row r="12" spans="1:14" ht="15.75" thickBot="1" x14ac:dyDescent="0.3">
      <c r="A12" s="75"/>
      <c r="C12" s="96"/>
      <c r="D12" s="93" t="s">
        <v>34</v>
      </c>
      <c r="E12" s="668" t="s">
        <v>149</v>
      </c>
      <c r="F12" s="669"/>
    </row>
    <row r="13" spans="1:14" ht="15.75" thickBot="1" x14ac:dyDescent="0.3">
      <c r="A13" s="75"/>
      <c r="C13" s="98" t="s">
        <v>543</v>
      </c>
      <c r="D13" s="371">
        <v>5</v>
      </c>
      <c r="E13" s="192"/>
      <c r="F13" s="193"/>
    </row>
    <row r="14" spans="1:14" ht="15.75" thickBot="1" x14ac:dyDescent="0.3">
      <c r="A14" s="75"/>
      <c r="C14" s="643" t="s">
        <v>544</v>
      </c>
      <c r="D14" s="644"/>
      <c r="E14" s="644"/>
      <c r="F14" s="645"/>
    </row>
    <row r="15" spans="1:14" ht="15.75" thickBot="1" x14ac:dyDescent="0.3">
      <c r="A15" s="75"/>
      <c r="C15" s="96"/>
      <c r="D15" s="93" t="s">
        <v>34</v>
      </c>
      <c r="E15" s="668" t="s">
        <v>149</v>
      </c>
      <c r="F15" s="669"/>
    </row>
    <row r="16" spans="1:14" ht="15.75" customHeight="1" thickBot="1" x14ac:dyDescent="0.3">
      <c r="A16" s="75"/>
      <c r="C16" s="96" t="s">
        <v>550</v>
      </c>
      <c r="D16" s="79">
        <v>5</v>
      </c>
      <c r="E16" s="662" t="s">
        <v>539</v>
      </c>
      <c r="F16" s="663"/>
    </row>
    <row r="17" spans="1:6" ht="15.75" thickBot="1" x14ac:dyDescent="0.3">
      <c r="A17" s="75"/>
      <c r="C17" s="96" t="s">
        <v>552</v>
      </c>
      <c r="D17" s="84">
        <v>1</v>
      </c>
      <c r="E17" s="666"/>
      <c r="F17" s="667"/>
    </row>
    <row r="18" spans="1:6" ht="15.75" thickBot="1" x14ac:dyDescent="0.3">
      <c r="A18" s="75"/>
      <c r="C18" s="643" t="s">
        <v>545</v>
      </c>
      <c r="D18" s="644"/>
      <c r="E18" s="644"/>
      <c r="F18" s="645"/>
    </row>
    <row r="19" spans="1:6" ht="15.75" thickBot="1" x14ac:dyDescent="0.3">
      <c r="A19" s="75"/>
      <c r="C19" s="100"/>
      <c r="D19" s="101" t="s">
        <v>34</v>
      </c>
      <c r="E19" s="668" t="s">
        <v>149</v>
      </c>
      <c r="F19" s="669"/>
    </row>
    <row r="20" spans="1:6" ht="15" customHeight="1" x14ac:dyDescent="0.25">
      <c r="A20" s="75"/>
      <c r="C20" s="373" t="s">
        <v>546</v>
      </c>
      <c r="D20" s="102">
        <v>3</v>
      </c>
      <c r="E20" s="662" t="s">
        <v>549</v>
      </c>
      <c r="F20" s="663"/>
    </row>
    <row r="21" spans="1:6" x14ac:dyDescent="0.25">
      <c r="A21" s="75"/>
      <c r="C21" s="374" t="s">
        <v>547</v>
      </c>
      <c r="D21" s="372">
        <v>40</v>
      </c>
      <c r="E21" s="664"/>
      <c r="F21" s="665"/>
    </row>
    <row r="22" spans="1:6" ht="15.75" thickBot="1" x14ac:dyDescent="0.3">
      <c r="A22" s="75"/>
      <c r="C22" s="375" t="s">
        <v>548</v>
      </c>
      <c r="D22" s="377">
        <v>10</v>
      </c>
      <c r="E22" s="666"/>
      <c r="F22" s="667"/>
    </row>
    <row r="23" spans="1:6" ht="15.75" thickBot="1" x14ac:dyDescent="0.3">
      <c r="A23" s="75"/>
      <c r="C23" s="194"/>
      <c r="D23" s="195"/>
      <c r="E23" s="195"/>
      <c r="F23" s="196"/>
    </row>
    <row r="24" spans="1:6" ht="15.75" thickBot="1" x14ac:dyDescent="0.3">
      <c r="A24" s="75"/>
      <c r="C24" s="100"/>
      <c r="D24" s="101" t="s">
        <v>34</v>
      </c>
      <c r="E24" s="668" t="s">
        <v>149</v>
      </c>
      <c r="F24" s="669"/>
    </row>
    <row r="25" spans="1:6" ht="15.75" customHeight="1" thickBot="1" x14ac:dyDescent="0.3">
      <c r="A25" s="75"/>
      <c r="C25" s="96" t="s">
        <v>551</v>
      </c>
      <c r="D25" s="102">
        <f>D20+D13*60+D16*60 +D22</f>
        <v>613</v>
      </c>
      <c r="E25" s="662" t="s">
        <v>539</v>
      </c>
      <c r="F25" s="663"/>
    </row>
    <row r="26" spans="1:6" ht="15.75" thickBot="1" x14ac:dyDescent="0.3">
      <c r="A26" s="75"/>
      <c r="C26" s="96" t="s">
        <v>553</v>
      </c>
      <c r="D26" s="376">
        <f>D20+D13*60+D17*60+D22</f>
        <v>373</v>
      </c>
      <c r="E26" s="664"/>
      <c r="F26" s="665"/>
    </row>
    <row r="27" spans="1:6" ht="15.75" thickBot="1" x14ac:dyDescent="0.3">
      <c r="A27" s="75"/>
      <c r="C27" s="96" t="s">
        <v>554</v>
      </c>
      <c r="D27" s="81">
        <f>D25/3600*'Manpower &amp; time'!H15</f>
        <v>3.980687594529849</v>
      </c>
      <c r="E27" s="664"/>
      <c r="F27" s="665"/>
    </row>
    <row r="28" spans="1:6" ht="15.75" thickBot="1" x14ac:dyDescent="0.3">
      <c r="A28" s="75"/>
      <c r="C28" s="96" t="s">
        <v>555</v>
      </c>
      <c r="D28" s="90">
        <f>D26/3600*'Manpower &amp; time'!H15</f>
        <v>2.4221802165736275</v>
      </c>
      <c r="E28" s="666"/>
      <c r="F28" s="667"/>
    </row>
  </sheetData>
  <mergeCells count="13">
    <mergeCell ref="E25:F28"/>
    <mergeCell ref="E12:F12"/>
    <mergeCell ref="C10:F10"/>
    <mergeCell ref="B2:F2"/>
    <mergeCell ref="F6:F8"/>
    <mergeCell ref="E16:F17"/>
    <mergeCell ref="E20:F22"/>
    <mergeCell ref="E24:F24"/>
    <mergeCell ref="E19:F19"/>
    <mergeCell ref="C11:F11"/>
    <mergeCell ref="C14:F14"/>
    <mergeCell ref="C18:F18"/>
    <mergeCell ref="E15:F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Summary</vt:lpstr>
      <vt:lpstr>Frame tubes</vt:lpstr>
      <vt:lpstr>Manpower &amp; time</vt:lpstr>
      <vt:lpstr>Energies</vt:lpstr>
      <vt:lpstr>IT&amp;Office</vt:lpstr>
      <vt:lpstr>Manufacturing</vt:lpstr>
      <vt:lpstr>Metrology</vt:lpstr>
      <vt:lpstr>Milling</vt:lpstr>
      <vt:lpstr>3D Laser Cutting</vt:lpstr>
      <vt:lpstr>2D Laser Cutting</vt:lpstr>
      <vt:lpstr>Welding</vt:lpstr>
      <vt:lpstr>Conventional Machinery</vt:lpstr>
      <vt:lpstr>Body Manufacturing</vt:lpstr>
      <vt:lpstr>Material</vt:lpstr>
      <vt:lpstr>Pieces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Louise Am</cp:lastModifiedBy>
  <dcterms:created xsi:type="dcterms:W3CDTF">2019-04-04T18:24:41Z</dcterms:created>
  <dcterms:modified xsi:type="dcterms:W3CDTF">2021-06-15T18:34:56Z</dcterms:modified>
</cp:coreProperties>
</file>