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5\Documents\02-Etudes\2019-ECL\Trans Semestres\01-EPSA\03-Trans Saisons\Git\ELIZ-2021\CR_Cost_Report\01_BOM\00_Cost_Report_Document\"/>
    </mc:Choice>
  </mc:AlternateContent>
  <xr:revisionPtr revIDLastSave="0" documentId="13_ncr:1_{768B82EB-D045-4576-B9B4-D7CF91A4DC44}" xr6:coauthVersionLast="47" xr6:coauthVersionMax="47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IT&amp;Office" sheetId="9" r:id="rId4"/>
    <sheet name="Manufacturing" sheetId="8" r:id="rId5"/>
    <sheet name="Metrology" sheetId="12" r:id="rId6"/>
    <sheet name="Welding" sheetId="10" r:id="rId7"/>
    <sheet name="Cutting" sheetId="17" r:id="rId8"/>
    <sheet name="CNC mill" sheetId="3" r:id="rId9"/>
    <sheet name="CNC lathe" sheetId="4" r:id="rId10"/>
    <sheet name="Laser cutter" sheetId="5" r:id="rId11"/>
    <sheet name="Frame tubes" sheetId="16" r:id="rId12"/>
    <sheet name="Body" sheetId="18" r:id="rId13"/>
    <sheet name="Material" sheetId="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6" l="1"/>
  <c r="I20" i="6"/>
  <c r="K20" i="6" s="1"/>
  <c r="F4" i="8"/>
  <c r="F3" i="8"/>
  <c r="E6" i="3"/>
  <c r="E7" i="3"/>
  <c r="E5" i="3"/>
  <c r="E4" i="3"/>
  <c r="K21" i="6"/>
  <c r="E12" i="8"/>
  <c r="E11" i="8"/>
  <c r="C17" i="13"/>
  <c r="C12" i="13"/>
  <c r="D10" i="6" l="1"/>
  <c r="F10" i="16"/>
  <c r="F6" i="13"/>
  <c r="F5" i="13"/>
  <c r="F3" i="13"/>
  <c r="E4" i="13"/>
  <c r="E5" i="13" s="1"/>
  <c r="F7" i="13"/>
  <c r="C5" i="16"/>
  <c r="C4" i="16"/>
  <c r="F11" i="8"/>
  <c r="F13" i="8"/>
  <c r="F14" i="8"/>
  <c r="F15" i="8"/>
  <c r="F16" i="8"/>
  <c r="F17" i="8"/>
  <c r="F18" i="8"/>
  <c r="F19" i="8"/>
  <c r="F20" i="8"/>
  <c r="F21" i="8"/>
  <c r="F22" i="8"/>
  <c r="I25" i="6" s="1"/>
  <c r="F12" i="8"/>
  <c r="F6" i="8"/>
  <c r="F7" i="8"/>
  <c r="F8" i="8"/>
  <c r="F10" i="8"/>
  <c r="F5" i="8"/>
  <c r="D18" i="18"/>
  <c r="D17" i="18"/>
  <c r="D12" i="18"/>
  <c r="D11" i="18"/>
  <c r="D10" i="18"/>
  <c r="D9" i="18"/>
  <c r="D8" i="18"/>
  <c r="D7" i="18"/>
  <c r="D6" i="18"/>
  <c r="D5" i="18"/>
  <c r="D4" i="18"/>
  <c r="D13" i="6" l="1"/>
  <c r="I8" i="6"/>
  <c r="I22" i="6"/>
  <c r="I24" i="6"/>
  <c r="K24" i="6" s="1"/>
  <c r="G23" i="9"/>
  <c r="H23" i="9" s="1"/>
  <c r="G24" i="9"/>
  <c r="H24" i="9" s="1"/>
  <c r="G25" i="9"/>
  <c r="H25" i="9" s="1"/>
  <c r="G26" i="9"/>
  <c r="H26" i="9" s="1"/>
  <c r="G27" i="9"/>
  <c r="H27" i="9" s="1"/>
  <c r="G28" i="9"/>
  <c r="H28" i="9" s="1"/>
  <c r="G29" i="9"/>
  <c r="H29" i="9" s="1"/>
  <c r="F17" i="9"/>
  <c r="G17" i="9" s="1"/>
  <c r="H17" i="9" s="1"/>
  <c r="I15" i="6" s="1"/>
  <c r="K15" i="6" s="1"/>
  <c r="H16" i="9"/>
  <c r="H15" i="9"/>
  <c r="H14" i="9"/>
  <c r="H13" i="9"/>
  <c r="H12" i="9"/>
  <c r="H10" i="9"/>
  <c r="H11" i="9"/>
  <c r="H3" i="9"/>
  <c r="G19" i="9"/>
  <c r="H19" i="9" s="1"/>
  <c r="G18" i="9"/>
  <c r="H18" i="9" s="1"/>
  <c r="F14" i="9"/>
  <c r="F15" i="9"/>
  <c r="F16" i="9"/>
  <c r="F13" i="9"/>
  <c r="F11" i="9"/>
  <c r="F12" i="9"/>
  <c r="G9" i="9"/>
  <c r="H9" i="9" s="1"/>
  <c r="H6" i="9"/>
  <c r="G8" i="9"/>
  <c r="H8" i="9" s="1"/>
  <c r="H7" i="9"/>
  <c r="H5" i="9"/>
  <c r="I12" i="6" s="1"/>
  <c r="F6" i="9"/>
  <c r="F7" i="9"/>
  <c r="F5" i="9"/>
  <c r="F3" i="9"/>
  <c r="G4" i="9"/>
  <c r="H4" i="9" s="1"/>
  <c r="E18" i="12"/>
  <c r="E19" i="12"/>
  <c r="D19" i="12"/>
  <c r="D18" i="12"/>
  <c r="I14" i="6" l="1"/>
  <c r="K14" i="6" s="1"/>
  <c r="I18" i="6"/>
  <c r="I13" i="6"/>
  <c r="K13" i="6" s="1"/>
  <c r="I16" i="6"/>
  <c r="K16" i="6" s="1"/>
  <c r="I11" i="6"/>
  <c r="K11" i="6" s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3" i="12"/>
  <c r="C11" i="16"/>
  <c r="F4" i="16"/>
  <c r="F5" i="16"/>
  <c r="F6" i="16"/>
  <c r="F7" i="16"/>
  <c r="F8" i="16"/>
  <c r="F3" i="16"/>
  <c r="D26" i="10"/>
  <c r="D27" i="10" s="1"/>
  <c r="I26" i="6" l="1"/>
  <c r="K26" i="6" s="1"/>
  <c r="I28" i="6"/>
  <c r="D18" i="10"/>
  <c r="D20" i="10" s="1"/>
  <c r="E10" i="10"/>
  <c r="D10" i="10" s="1"/>
  <c r="E11" i="10"/>
  <c r="D11" i="10" s="1"/>
  <c r="E4" i="10"/>
  <c r="D4" i="10" s="1"/>
  <c r="D5" i="10"/>
  <c r="D6" i="10"/>
  <c r="D7" i="10"/>
  <c r="D8" i="10"/>
  <c r="D9" i="10"/>
  <c r="E16" i="11"/>
  <c r="D15" i="11"/>
  <c r="E15" i="11" s="1"/>
  <c r="D18" i="11"/>
  <c r="E18" i="11" s="1"/>
  <c r="D17" i="11"/>
  <c r="E17" i="11" s="1"/>
  <c r="D15" i="6"/>
  <c r="D14" i="6"/>
  <c r="D5" i="6"/>
  <c r="D6" i="6" l="1"/>
  <c r="C42" i="11"/>
  <c r="D4" i="6"/>
  <c r="G18" i="11"/>
  <c r="D8" i="6"/>
  <c r="D7" i="6"/>
  <c r="R43" i="6" l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D61" i="2"/>
  <c r="Q22" i="2"/>
  <c r="E16" i="2"/>
  <c r="Q11" i="2"/>
  <c r="E28" i="2"/>
  <c r="W7" i="2"/>
  <c r="K37" i="2"/>
  <c r="R39" i="2"/>
  <c r="J12" i="2"/>
  <c r="E40" i="2"/>
  <c r="D62" i="2"/>
  <c r="E9" i="8" l="1"/>
  <c r="F9" i="8" l="1"/>
  <c r="N51" i="6"/>
  <c r="J14" i="5"/>
  <c r="N85" i="6" s="1"/>
  <c r="N39" i="6" l="1"/>
  <c r="L35" i="11"/>
  <c r="F17" i="11" s="1"/>
  <c r="G17" i="11" s="1"/>
  <c r="R48" i="6"/>
  <c r="T48" i="6" s="1"/>
  <c r="R47" i="6"/>
  <c r="T47" i="6" s="1"/>
  <c r="N40" i="6"/>
  <c r="R50" i="6" l="1"/>
  <c r="T50" i="6" s="1"/>
  <c r="R44" i="6" l="1"/>
  <c r="R45" i="6"/>
  <c r="R46" i="6"/>
  <c r="R7" i="5" l="1"/>
  <c r="G5" i="5"/>
  <c r="R28" i="6" s="1"/>
  <c r="S5" i="5"/>
  <c r="R5" i="5"/>
  <c r="R8" i="5" l="1"/>
  <c r="I10" i="6"/>
  <c r="K25" i="6"/>
  <c r="B2" i="4" l="1"/>
  <c r="R12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R21" i="6" s="1"/>
  <c r="R22" i="6" l="1"/>
  <c r="T22" i="6" s="1"/>
  <c r="T21" i="6"/>
  <c r="F13" i="4"/>
  <c r="F14" i="4"/>
  <c r="R18" i="6" s="1"/>
  <c r="T18" i="6" s="1"/>
  <c r="F12" i="4"/>
  <c r="E12" i="4"/>
  <c r="R14" i="6"/>
  <c r="T14" i="6" s="1"/>
  <c r="B7" i="4"/>
  <c r="R13" i="6" s="1"/>
  <c r="T13" i="6" s="1"/>
  <c r="T12" i="6"/>
  <c r="N14" i="6"/>
  <c r="N16" i="6"/>
  <c r="R15" i="6"/>
  <c r="T15" i="6" s="1"/>
  <c r="N18" i="6" l="1"/>
  <c r="N17" i="6"/>
  <c r="S83" i="6"/>
  <c r="S69" i="6"/>
  <c r="N6" i="6" l="1"/>
  <c r="L34" i="11" l="1"/>
  <c r="F16" i="11" s="1"/>
  <c r="F19" i="11" s="1"/>
  <c r="L33" i="11"/>
  <c r="F15" i="11" s="1"/>
  <c r="G15" i="11" s="1"/>
  <c r="G19" i="11" s="1"/>
  <c r="I6" i="6" s="1"/>
  <c r="N8" i="6"/>
  <c r="K8" i="6" l="1"/>
  <c r="I7" i="6"/>
  <c r="K7" i="6" s="1"/>
  <c r="N9" i="6"/>
  <c r="N10" i="6"/>
  <c r="R39" i="6"/>
  <c r="T39" i="6" s="1"/>
  <c r="R40" i="6"/>
  <c r="T40" i="6" s="1"/>
  <c r="R38" i="6"/>
  <c r="T38" i="6" s="1"/>
  <c r="R37" i="6"/>
  <c r="T37" i="6" s="1"/>
  <c r="I32" i="6"/>
  <c r="K32" i="6" s="1"/>
  <c r="I29" i="6"/>
  <c r="K29" i="6" s="1"/>
  <c r="R41" i="6"/>
  <c r="T41" i="6" s="1"/>
  <c r="R6" i="6"/>
  <c r="R5" i="6"/>
  <c r="T5" i="6" s="1"/>
  <c r="K10" i="6"/>
  <c r="K18" i="6"/>
  <c r="K17" i="6"/>
  <c r="R4" i="6"/>
  <c r="T6" i="6" l="1"/>
  <c r="R49" i="6"/>
  <c r="T49" i="6" s="1"/>
  <c r="S102" i="6" s="1"/>
  <c r="K19" i="6"/>
  <c r="K6" i="6"/>
  <c r="R42" i="6"/>
  <c r="T42" i="6" s="1"/>
  <c r="S95" i="6" s="1"/>
  <c r="R7" i="6"/>
  <c r="T7" i="6" s="1"/>
  <c r="T4" i="6"/>
  <c r="K12" i="6"/>
  <c r="C27" i="11"/>
  <c r="I4" i="6"/>
  <c r="K4" i="6" s="1"/>
  <c r="E17" i="12" l="1"/>
  <c r="I31" i="6" s="1"/>
  <c r="K31" i="6" s="1"/>
  <c r="C28" i="11"/>
  <c r="C29" i="11"/>
  <c r="H16" i="11" s="1"/>
  <c r="D31" i="10" s="1"/>
  <c r="R24" i="6"/>
  <c r="R51" i="6"/>
  <c r="R10" i="6"/>
  <c r="T10" i="6" s="1"/>
  <c r="S55" i="6" s="1"/>
  <c r="R16" i="6"/>
  <c r="R8" i="6"/>
  <c r="I5" i="6"/>
  <c r="K5" i="6" s="1"/>
  <c r="K28" i="6"/>
  <c r="I30" i="6"/>
  <c r="K30" i="6" s="1"/>
  <c r="I27" i="6"/>
  <c r="K27" i="6" s="1"/>
  <c r="H17" i="11" l="1"/>
  <c r="H15" i="11"/>
  <c r="H18" i="11"/>
  <c r="C38" i="11"/>
  <c r="F38" i="11"/>
  <c r="G38" i="11"/>
  <c r="D38" i="11"/>
  <c r="E38" i="11"/>
  <c r="I9" i="6"/>
  <c r="K9" i="6" s="1"/>
  <c r="K38" i="11"/>
  <c r="H38" i="11"/>
  <c r="K39" i="6"/>
  <c r="J37" i="11"/>
  <c r="E37" i="11"/>
  <c r="L36" i="11" s="1"/>
  <c r="G37" i="11"/>
  <c r="K37" i="11"/>
  <c r="H37" i="11"/>
  <c r="D37" i="11"/>
  <c r="C37" i="11"/>
  <c r="F37" i="11"/>
  <c r="I37" i="11"/>
  <c r="J38" i="11" l="1"/>
  <c r="D32" i="10"/>
  <c r="D34" i="10" s="1"/>
  <c r="D34" i="17"/>
  <c r="I38" i="11"/>
  <c r="K38" i="6"/>
  <c r="K37" i="6"/>
  <c r="K40" i="6"/>
  <c r="L37" i="11"/>
  <c r="L38" i="11" l="1"/>
  <c r="I23" i="6" l="1"/>
  <c r="K23" i="6" s="1"/>
  <c r="K22" i="6"/>
  <c r="K35" i="6" s="1"/>
  <c r="K36" i="6" s="1"/>
  <c r="S62" i="6" l="1"/>
  <c r="S77" i="6"/>
  <c r="S80" i="6"/>
  <c r="S84" i="6"/>
  <c r="S79" i="6"/>
  <c r="S64" i="6"/>
  <c r="S91" i="6"/>
  <c r="S56" i="6"/>
  <c r="S92" i="6"/>
  <c r="S65" i="6"/>
  <c r="S96" i="6"/>
  <c r="S97" i="6" s="1"/>
  <c r="S93" i="6"/>
  <c r="S78" i="6"/>
  <c r="S63" i="6"/>
  <c r="S76" i="6"/>
  <c r="S81" i="6"/>
  <c r="S90" i="6"/>
  <c r="S70" i="6"/>
  <c r="S103" i="6"/>
  <c r="S67" i="6"/>
  <c r="S66" i="6"/>
  <c r="S107" i="6" l="1"/>
  <c r="S104" i="6"/>
  <c r="S106" i="6" s="1"/>
  <c r="S68" i="6"/>
  <c r="S57" i="6"/>
  <c r="S59" i="6" s="1"/>
  <c r="S60" i="6" s="1"/>
  <c r="S99" i="6"/>
  <c r="S100" i="6"/>
  <c r="S71" i="6"/>
  <c r="S73" i="6" s="1"/>
  <c r="S74" i="6" s="1"/>
  <c r="S82" i="6"/>
  <c r="S94" i="6"/>
  <c r="S85" i="6"/>
  <c r="S87" i="6" s="1"/>
  <c r="S8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Am</author>
  </authors>
  <commentList>
    <comment ref="B3" authorId="0" shapeId="0" xr:uid="{43CE24F2-8037-45FD-8E56-05C16C3F5F59}">
      <text>
        <r>
          <rPr>
            <b/>
            <sz val="9"/>
            <color indexed="81"/>
            <rFont val="Tahoma"/>
            <charset val="1"/>
          </rPr>
          <t>Louise Am:</t>
        </r>
        <r>
          <rPr>
            <sz val="9"/>
            <color indexed="81"/>
            <rFont val="Tahoma"/>
            <charset val="1"/>
          </rPr>
          <t xml:space="preserve">
Demander à Boisard</t>
        </r>
      </text>
    </comment>
    <comment ref="B4" authorId="0" shapeId="0" xr:uid="{DE19AA21-248F-4D50-88CF-E4A94A7CDEB2}">
      <text>
        <r>
          <rPr>
            <b/>
            <sz val="9"/>
            <color indexed="81"/>
            <rFont val="Tahoma"/>
            <charset val="1"/>
          </rPr>
          <t>Louise Am:</t>
        </r>
        <r>
          <rPr>
            <sz val="9"/>
            <color indexed="81"/>
            <rFont val="Tahoma"/>
            <charset val="1"/>
          </rPr>
          <t xml:space="preserve">
Boisard
</t>
        </r>
      </text>
    </comment>
  </commentList>
</comments>
</file>

<file path=xl/sharedStrings.xml><?xml version="1.0" encoding="utf-8"?>
<sst xmlns="http://schemas.openxmlformats.org/spreadsheetml/2006/main" count="954" uniqueCount="626">
  <si>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</si>
  <si>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</si>
  <si>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</si>
  <si>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</si>
  <si>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</si>
  <si>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</si>
  <si>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</si>
  <si>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</si>
  <si>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</si>
  <si>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</si>
  <si>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</si>
  <si>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</si>
  <si>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</si>
  <si>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</si>
  <si>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</si>
  <si>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</si>
  <si>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</si>
  <si>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</si>
  <si>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</si>
  <si>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</si>
  <si>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</si>
  <si>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</si>
  <si>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</si>
  <si>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</si>
  <si>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</si>
  <si>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</si>
  <si>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</si>
  <si>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</si>
  <si>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</si>
  <si>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</si>
  <si>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</si>
  <si>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</si>
  <si>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</si>
  <si>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Internet/phone access</t>
  </si>
  <si>
    <t>Office furniture</t>
  </si>
  <si>
    <t>Fume extractor</t>
  </si>
  <si>
    <t>Manufacturing</t>
  </si>
  <si>
    <t>General Data</t>
  </si>
  <si>
    <t>Value</t>
  </si>
  <si>
    <t>Technician</t>
  </si>
  <si>
    <t>Engineer</t>
  </si>
  <si>
    <t xml:space="preserve">Time </t>
  </si>
  <si>
    <t>Hours/week</t>
  </si>
  <si>
    <t>Week/year</t>
  </si>
  <si>
    <t>Base OPE</t>
  </si>
  <si>
    <t xml:space="preserve">VF-3SSYT </t>
  </si>
  <si>
    <t>https://www.haascnc.com/machines/vertical-mills/vf-series/models/medium/vf-3ssyt.html</t>
  </si>
  <si>
    <t>122Nm @ 2000rpm</t>
  </si>
  <si>
    <t>Max cutting speed</t>
  </si>
  <si>
    <t>21.2m/min</t>
  </si>
  <si>
    <t>13723N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</si>
  <si>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</si>
  <si>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</si>
  <si>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</si>
  <si>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</si>
  <si>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</si>
  <si>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</si>
  <si>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</si>
  <si>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</si>
  <si>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</si>
  <si>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</si>
  <si>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</si>
  <si>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</si>
  <si>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</si>
  <si>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</si>
  <si>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</si>
  <si>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</si>
  <si>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</si>
  <si>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</si>
  <si>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</si>
  <si>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</si>
  <si>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</si>
  <si>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</si>
  <si>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</si>
  <si>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</si>
  <si>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</si>
  <si>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</si>
  <si>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</si>
  <si>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</si>
  <si>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Tool Holder</t>
  </si>
  <si>
    <t>https://www.hoffmann-group.com/FR/fr/hof/Accessoires-machines/Porte-outils/c/30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</si>
  <si>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</si>
  <si>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</si>
  <si>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</si>
  <si>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</si>
  <si>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</si>
  <si>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</si>
  <si>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</si>
  <si>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</si>
  <si>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</si>
  <si>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</si>
  <si>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</si>
  <si>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</si>
  <si>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</si>
  <si>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</si>
  <si>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</si>
  <si>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</si>
  <si>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</si>
  <si>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</si>
  <si>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</si>
  <si>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</si>
  <si>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</si>
  <si>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</si>
  <si>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</si>
  <si>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</si>
  <si>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</si>
  <si>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</si>
  <si>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</si>
  <si>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</si>
  <si>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</si>
  <si>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</si>
  <si>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</si>
  <si>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</si>
  <si>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</si>
  <si>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</si>
  <si>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</si>
  <si>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</si>
  <si>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</si>
  <si>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</si>
  <si>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</si>
  <si>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</si>
  <si>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</si>
  <si>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</si>
  <si>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</si>
  <si>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</si>
  <si>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</si>
  <si>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</si>
  <si>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</si>
  <si>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</si>
  <si>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</si>
  <si>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</si>
  <si>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</si>
  <si>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</si>
  <si>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</si>
  <si>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</si>
  <si>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</si>
  <si>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</si>
  <si>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</si>
  <si>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</si>
  <si>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</si>
  <si>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</si>
  <si>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</si>
  <si>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HT</t>
  </si>
  <si>
    <t>/month/user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</si>
  <si>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</si>
  <si>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</si>
  <si>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</si>
  <si>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</si>
  <si>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</si>
  <si>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</si>
  <si>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</si>
  <si>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</si>
  <si>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</si>
  <si>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</si>
  <si>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</si>
  <si>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</si>
  <si>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</si>
  <si>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</si>
  <si>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</si>
  <si>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</si>
  <si>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Source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</si>
  <si>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</si>
  <si>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</si>
  <si>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</si>
  <si>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</si>
  <si>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</si>
  <si>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</si>
  <si>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</si>
  <si>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</si>
  <si>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</si>
  <si>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</si>
  <si>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</si>
  <si>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</si>
  <si>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</si>
  <si>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</si>
  <si>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</si>
  <si>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</si>
  <si>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</si>
  <si>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</si>
  <si>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</si>
  <si>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</si>
  <si>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</si>
  <si>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</si>
  <si>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</si>
  <si>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</si>
  <si>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</si>
  <si>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</si>
  <si>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</si>
  <si>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</si>
  <si>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</si>
  <si>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</si>
  <si>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</si>
  <si>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</si>
  <si>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</si>
  <si>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</si>
  <si>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</si>
  <si>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</si>
  <si>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</si>
  <si>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</si>
  <si>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</si>
  <si>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</si>
  <si>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</si>
  <si>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</si>
  <si>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</si>
  <si>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</si>
  <si>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</si>
  <si>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</si>
  <si>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 xml:space="preserve">Shopfloor allocation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</si>
  <si>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</si>
  <si>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</si>
  <si>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</si>
  <si>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</si>
  <si>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</si>
  <si>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</si>
  <si>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</si>
  <si>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</si>
  <si>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</si>
  <si>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</si>
  <si>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</si>
  <si>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</si>
  <si>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</si>
  <si>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</si>
  <si>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</si>
  <si>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</si>
  <si>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</si>
  <si>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</si>
  <si>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</si>
  <si>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</si>
  <si>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</si>
  <si>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 xml:space="preserve"> Cost of Setup + cleaning</t>
  </si>
  <si>
    <t>Yearly fixed cost of machine</t>
  </si>
  <si>
    <t>Fixed cost of machine / hour</t>
  </si>
  <si>
    <t>Cost of machine/hour running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</si>
  <si>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</si>
  <si>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</si>
  <si>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</si>
  <si>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</si>
  <si>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</si>
  <si>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</si>
  <si>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</si>
  <si>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</si>
  <si>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</si>
  <si>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</si>
  <si>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</si>
  <si>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</si>
  <si>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</si>
  <si>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</si>
  <si>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</si>
  <si>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</si>
  <si>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</si>
  <si>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</si>
  <si>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</si>
  <si>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</si>
  <si>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</si>
  <si>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</si>
  <si>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</si>
  <si>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</si>
  <si>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</si>
  <si>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</si>
  <si>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</si>
  <si>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</si>
  <si>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</si>
  <si>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</si>
  <si>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</si>
  <si>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</si>
  <si>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</si>
  <si>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</si>
  <si>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</si>
  <si>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</si>
  <si>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</si>
  <si>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</si>
  <si>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</si>
  <si>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</si>
  <si>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</si>
  <si>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</si>
  <si>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</si>
  <si>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</si>
  <si>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</si>
  <si>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</si>
  <si>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</si>
  <si>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</si>
  <si>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</si>
  <si>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</si>
  <si>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</si>
  <si>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</si>
  <si>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</si>
  <si>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</si>
  <si>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</si>
  <si>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</si>
  <si>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</si>
  <si>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</si>
  <si>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</si>
  <si>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</si>
  <si>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</si>
  <si>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Other specific tools (scribing tool, eletrical pliers, simple measuring tools, …)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</si>
  <si>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</si>
  <si>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</si>
  <si>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</si>
  <si>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</si>
  <si>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</si>
  <si>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</si>
  <si>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</si>
  <si>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</si>
  <si>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</si>
  <si>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</si>
  <si>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</si>
  <si>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</si>
  <si>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</si>
  <si>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</si>
  <si>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</si>
  <si>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</si>
  <si>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boxes</t>
  </si>
  <si>
    <t>https://www.orexad.com/fr/bac-rako/p-G1383000092</t>
  </si>
  <si>
    <t>Depreciation time (year)</t>
  </si>
  <si>
    <t>Phone/mobile phone</t>
  </si>
  <si>
    <t>Measuring and deflash time / mm^3 (40% of machining time)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</si>
  <si>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</si>
  <si>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</si>
  <si>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</si>
  <si>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</si>
  <si>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https://www.manutan.fr/fr/maf/etau-magnat</t>
  </si>
  <si>
    <t>Conventionnal machining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</si>
  <si>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</si>
  <si>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</si>
  <si>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</si>
  <si>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</si>
  <si>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</si>
  <si>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</si>
  <si>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</si>
  <si>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</si>
  <si>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</si>
  <si>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</si>
  <si>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</si>
  <si>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</si>
  <si>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</si>
  <si>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</si>
  <si>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</si>
  <si>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</si>
  <si>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</si>
  <si>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>Consumption for exhaust system (unity = bottles)</t>
  </si>
  <si>
    <t>Lenght of welding for exhaust system (m)</t>
  </si>
  <si>
    <t>Price (€/m)</t>
  </si>
  <si>
    <t>Price (€/kg, HT)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</si>
  <si>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</si>
  <si>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</si>
  <si>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</si>
  <si>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</si>
  <si>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</si>
  <si>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</si>
  <si>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</si>
  <si>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</si>
  <si>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</si>
  <si>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</si>
  <si>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</si>
  <si>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</si>
  <si>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</si>
  <si>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</si>
  <si>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</si>
  <si>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</si>
  <si>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</si>
  <si>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</si>
  <si>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</si>
  <si>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</si>
  <si>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</si>
  <si>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</si>
  <si>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</si>
  <si>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</si>
  <si>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</si>
  <si>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</si>
  <si>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</si>
  <si>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</si>
  <si>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</si>
  <si>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</si>
  <si>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</si>
  <si>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</si>
  <si>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</si>
  <si>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</si>
  <si>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</si>
  <si>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</si>
  <si>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</si>
  <si>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 xml:space="preserve">Conventionnal turning machine </t>
  </si>
  <si>
    <t>3 % of initial cost /year</t>
  </si>
  <si>
    <t xml:space="preserve">Cutting tools </t>
  </si>
  <si>
    <t>Welder + Grade II C</t>
  </si>
  <si>
    <t>Welder cost/hour</t>
  </si>
  <si>
    <t>Manwork availability (95%) /year (hrs)</t>
  </si>
  <si>
    <t>Fixed cost (5% of the time)</t>
  </si>
  <si>
    <t>Tool holders and fixtures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</si>
  <si>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</si>
  <si>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</si>
  <si>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</si>
  <si>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</si>
  <si>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</si>
  <si>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</si>
  <si>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</si>
  <si>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</si>
  <si>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</si>
  <si>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</si>
  <si>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</si>
  <si>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</si>
  <si>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</si>
  <si>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</si>
  <si>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</si>
  <si>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</si>
  <si>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</si>
  <si>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</si>
  <si>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</si>
  <si>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</si>
  <si>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</si>
  <si>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</si>
  <si>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</si>
  <si>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</si>
  <si>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</si>
  <si>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</si>
  <si>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</si>
  <si>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</si>
  <si>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</si>
  <si>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</si>
  <si>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</si>
  <si>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</si>
  <si>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</si>
  <si>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</si>
  <si>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</si>
  <si>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</si>
  <si>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Price for cutting Delrin</t>
  </si>
  <si>
    <t>Cost per year</t>
  </si>
  <si>
    <t>cost/hour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</si>
  <si>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</si>
  <si>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</si>
  <si>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</si>
  <si>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</si>
  <si>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</si>
  <si>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</si>
  <si>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</si>
  <si>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</si>
  <si>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</si>
  <si>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</si>
  <si>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</si>
  <si>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</si>
  <si>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</si>
  <si>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Price (€)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</si>
  <si>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</si>
  <si>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</si>
  <si>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</si>
  <si>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</si>
  <si>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</si>
  <si>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</si>
  <si>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</si>
  <si>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</si>
  <si>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Tool cabinet</t>
  </si>
  <si>
    <t xml:space="preserve">Organising </t>
  </si>
  <si>
    <t>Cleaning</t>
  </si>
  <si>
    <t>Shelves without door</t>
  </si>
  <si>
    <t>Shelves with door</t>
  </si>
  <si>
    <t>Minimal Wage in France</t>
  </si>
  <si>
    <t xml:space="preserve">https://travail-emploi.gouv.fr/droit-du-travail/la-remuneration/article/le-smic-montants-en-vigueur-a-compter-du-1er-janvier-2021 </t>
  </si>
  <si>
    <t>Wage cost calculation for the company</t>
  </si>
  <si>
    <t>https://www.service-public.fr/professionnels-entreprises/vosdroits/services-en-ligne-et-formulaires/simulateur-cout-embauche</t>
  </si>
  <si>
    <t>French labour law impose this minimal rate to earn the min wage</t>
  </si>
  <si>
    <t>Total of week per year without, holiday, bank  holiday…</t>
  </si>
  <si>
    <t>It is a prototyping company, soit does not run nonstop. 
6%: maintenance and cleaning of shop floor</t>
  </si>
  <si>
    <t xml:space="preserve">People cannot be working nonstop. </t>
  </si>
  <si>
    <t xml:space="preserve">VAT </t>
  </si>
  <si>
    <t>Euro to Dollar Rate</t>
  </si>
  <si>
    <t>Administrative Workforce</t>
  </si>
  <si>
    <t>Operative Workforce</t>
  </si>
  <si>
    <t>French VAT</t>
  </si>
  <si>
    <t>The 13/05/2021 rate</t>
  </si>
  <si>
    <t>Welder Wages in France</t>
  </si>
  <si>
    <t>https://www.reconversionprofessionnelle.org/salaire-soudeur/</t>
  </si>
  <si>
    <t>Power of Machinery</t>
  </si>
  <si>
    <t>Name of Machine</t>
  </si>
  <si>
    <t>Documentation Sources</t>
  </si>
  <si>
    <t>Manpower Cost</t>
  </si>
  <si>
    <t>Staffing</t>
  </si>
  <si>
    <t>Yearly wage cost for the company (total)</t>
  </si>
  <si>
    <t>Welder</t>
  </si>
  <si>
    <t>Sales/Administratives</t>
  </si>
  <si>
    <t xml:space="preserve">Grades in automobile sector </t>
  </si>
  <si>
    <t>https://www.services-automobile.fr/sites/default/files/2018-04/Convention%20collective%20-%20Chapitre%20III.pdf</t>
  </si>
  <si>
    <t>Engineer - Grade II</t>
  </si>
  <si>
    <t>https://www.services-automobile.fr/sites/default/files/2018-04/Convention%20collective%20-%20Chapitre%20V.pdf</t>
  </si>
  <si>
    <t>https://www.services-automobile.fr/sites/default/files/2020-11/1.4%20-%20Chap.III%20bis%20-%20V29_0.pdf</t>
  </si>
  <si>
    <t>Technician - Grade 23</t>
  </si>
  <si>
    <t>Month wage (gross)</t>
  </si>
  <si>
    <t>Payed holliday (5 W) and payed leave (2,5 D)</t>
  </si>
  <si>
    <t>Laser Cutting 
(Operator needed for 0.5*time running )</t>
  </si>
  <si>
    <t>Operator - Grade 9
Welder</t>
  </si>
  <si>
    <t>Operator - Grade 4 
(Laser cutting, bending and painting)</t>
  </si>
  <si>
    <t>Equipements</t>
  </si>
  <si>
    <t>https://lastafelshop.com/product/welding-table-4000-x-2000-complete/?lang=en</t>
  </si>
  <si>
    <t>https://lastafelshop.com/product/starter-packet-big/?lang=en</t>
  </si>
  <si>
    <t>https://fireballtool.com/magic-pack-plus/</t>
  </si>
  <si>
    <t xml:space="preserve">Clamping devices </t>
  </si>
  <si>
    <t>complete pack</t>
  </si>
  <si>
    <t>Squares</t>
  </si>
  <si>
    <t>4000x2000 + adjustable height</t>
  </si>
  <si>
    <t>Welding table</t>
  </si>
  <si>
    <t>Material</t>
  </si>
  <si>
    <t>Provider</t>
  </si>
  <si>
    <t>Price for one bottle (€ HT)</t>
  </si>
  <si>
    <t>Consumption (unity = bottles/year)</t>
  </si>
  <si>
    <t>Conversations with our partner La Giraudière</t>
  </si>
  <si>
    <t>Radius (mm)</t>
  </si>
  <si>
    <t>Weight by welding rod (kg/m)</t>
  </si>
  <si>
    <t>Conversation with our partners (Bery Inox and La Giraudière)</t>
  </si>
  <si>
    <t>Metal rod : Ø ??? mm TIG acier 35CrMo4</t>
  </si>
  <si>
    <t>Conversations with our partner Bery Inox</t>
  </si>
  <si>
    <t>Nombre</t>
  </si>
  <si>
    <t>Prix tube (€HT/m)</t>
  </si>
  <si>
    <t>Longueur tube (m)</t>
  </si>
  <si>
    <t>Diamètre tube (mm)</t>
  </si>
  <si>
    <t>Longueur à souder (m)</t>
  </si>
  <si>
    <t>Prix tubes total (€ HT)</t>
  </si>
  <si>
    <t>Price of welding metal (€/m, HT)</t>
  </si>
  <si>
    <t>Overall Welding cost (€ HT/m)</t>
  </si>
  <si>
    <t>Prix découpe total (€ HT)</t>
  </si>
  <si>
    <t>Prix soudure tube total (€ HT)</t>
  </si>
  <si>
    <t>Prix cintrage total (€ HT)</t>
  </si>
  <si>
    <t>Prix mise en pos</t>
  </si>
  <si>
    <t>Prix peinture total</t>
  </si>
  <si>
    <t xml:space="preserve">Moveable head Indicator </t>
  </si>
  <si>
    <t>Machining</t>
  </si>
  <si>
    <t>Unit of price</t>
  </si>
  <si>
    <t>Total (incl taxe)</t>
  </si>
  <si>
    <t>Need depreciation</t>
  </si>
  <si>
    <t>/year</t>
  </si>
  <si>
    <t>/year/user</t>
  </si>
  <si>
    <t>Comments</t>
  </si>
  <si>
    <t xml:space="preserve">2 license </t>
  </si>
  <si>
    <t>2 PC for CAD</t>
  </si>
  <si>
    <t>1 (always useful)</t>
  </si>
  <si>
    <t>1 for the only laptop</t>
  </si>
  <si>
    <t>6 for the 6 computers</t>
  </si>
  <si>
    <t>x1</t>
  </si>
  <si>
    <t>x3</t>
  </si>
  <si>
    <t>x2</t>
  </si>
  <si>
    <t xml:space="preserve"> 2 standard line, one mobile</t>
  </si>
  <si>
    <t>x4</t>
  </si>
  <si>
    <t>Printer A3/A4/… Scan/Fax…</t>
  </si>
  <si>
    <t>x5 (= technician + engineer + operators )</t>
  </si>
  <si>
    <t>Computers and accessories</t>
  </si>
  <si>
    <t>Printer consumable (4000 A4pages B&amp;W, 1600 A4pages Colors, A4x5000, A3x2000)</t>
  </si>
  <si>
    <t>x10</t>
  </si>
  <si>
    <t>IT&amp;Office</t>
  </si>
  <si>
    <t>Tooling</t>
  </si>
  <si>
    <t>Drill</t>
  </si>
  <si>
    <t>Makita 18V Drilling machine + batteries</t>
  </si>
  <si>
    <t>https://www.manomano.fr/p/perceuse-visseuse-18-v-li-ion-4-ah-13-mm-3-batteriesmakita-ddf482rm3j-1442275</t>
  </si>
  <si>
    <t>Nail gun</t>
  </si>
  <si>
    <t>Makita 18V Pin Nailer</t>
  </si>
  <si>
    <t>https://www.manomano.fr/p/cloueuse-sans-fil-2-batteries-makita-dbn600rtj-1-pcs-10186275</t>
  </si>
  <si>
    <t>Sander</t>
  </si>
  <si>
    <t>Makita 310W Orbital Sander</t>
  </si>
  <si>
    <t>https://www.manomano.fr/p/ponceuse-excentrique-310w-150mm-dans-makpac-makita-bo6030j-19544979?model_id=50464</t>
  </si>
  <si>
    <t>JigSaw</t>
  </si>
  <si>
    <t>Makita 720W JigSaw</t>
  </si>
  <si>
    <t>https://www.manomano.fr/p/scie-sauteuse-pendulaire-4351fctk-makita-28080</t>
  </si>
  <si>
    <t>Air Compressor</t>
  </si>
  <si>
    <t>Michelin Air Compressor 270L</t>
  </si>
  <si>
    <t>https://www.manomano.fr/catalogue/p/michelin-compresseur-270-litres-75-cv-14bars-19634090?model_id=19632092</t>
  </si>
  <si>
    <t>Roller for resin</t>
  </si>
  <si>
    <t>Combined roller Aluminium - D15 X140</t>
  </si>
  <si>
    <t>https://ecomposites.fr/outillage/107-ebulleur-aluminium-combine-d15-x140.html</t>
  </si>
  <si>
    <t>Combined roller Aluminium - D45 X70</t>
  </si>
  <si>
    <t>https://ecomposites.fr/outillage/53-ebulleur-combine-d45x70.html</t>
  </si>
  <si>
    <t>Kit for resin application</t>
  </si>
  <si>
    <t>Brush + rollers + gloves</t>
  </si>
  <si>
    <t>https://ecomposites.fr/les-kits/86-kit-resine-gelcoat.html</t>
  </si>
  <si>
    <t>Spray gun</t>
  </si>
  <si>
    <t>https://www.esska.fr/shop/Pistolet-pulverisateur-a-2-composants-pilote-mixte-N-melange-exterieur--762432000003-8820?hlid=762432000103</t>
  </si>
  <si>
    <t>CNC Mill</t>
  </si>
  <si>
    <t>DEMANDER QUELLE MACHINE</t>
  </si>
  <si>
    <t>Spray station</t>
  </si>
  <si>
    <t>All resin types</t>
  </si>
  <si>
    <t>https://www.esska.fr/shop/Unite-de-pulverisation-de-fibres-avec-bras-de-mixage-externe-et-chassis-elargi--ipsb-8000-4880</t>
  </si>
  <si>
    <t>Woodworking station</t>
  </si>
  <si>
    <t>Leman 6 operations</t>
  </si>
  <si>
    <t>https://www.outillage2000.com/machines-a-bois/combines-a-bois/combinee-leman-6-operations-mono-4722.html</t>
  </si>
  <si>
    <t>Resin</t>
  </si>
  <si>
    <t>DEMANDER QUELLE RESINE ET QUELLE QTE</t>
  </si>
  <si>
    <t>Fiber fabric</t>
  </si>
  <si>
    <t>DEMANDER REFERENCE ET QTE</t>
  </si>
  <si>
    <t>Energy Consumption</t>
  </si>
  <si>
    <t>Subscription</t>
  </si>
  <si>
    <t>kVA</t>
  </si>
  <si>
    <t>Power needed</t>
  </si>
  <si>
    <t>Subscription total</t>
  </si>
  <si>
    <t>Price</t>
  </si>
  <si>
    <t>Water price</t>
  </si>
  <si>
    <r>
      <t>€/m</t>
    </r>
    <r>
      <rPr>
        <vertAlign val="superscript"/>
        <sz val="11"/>
        <color theme="1"/>
        <rFont val="Calibri"/>
        <family val="2"/>
        <scheme val="minor"/>
      </rPr>
      <t>3</t>
    </r>
  </si>
  <si>
    <t>€/kVA (escl tax)</t>
  </si>
  <si>
    <t>€ (escl tax)</t>
  </si>
  <si>
    <t>€/kWh (escl tax)</t>
  </si>
  <si>
    <t>Hourly Wage (€/h/employee)</t>
  </si>
  <si>
    <t>Time of the Welding (h)</t>
  </si>
  <si>
    <t>Cost of 2 operators (€/h)</t>
  </si>
  <si>
    <t>Overall Welding cost (€ HT)</t>
  </si>
  <si>
    <t>Cost of 2 operators (€ HT)</t>
  </si>
  <si>
    <t>Vice</t>
  </si>
  <si>
    <t>Manufacturing tools</t>
  </si>
  <si>
    <t>Machinery</t>
  </si>
  <si>
    <t>Power (kW)</t>
  </si>
  <si>
    <t>For the brackets</t>
  </si>
  <si>
    <t>For the raw material</t>
  </si>
  <si>
    <t>Manufacturing tools (Band Saw, Drill, Metal bender, belt and disc grinder, Vise, forklift…)</t>
  </si>
  <si>
    <t>Roller Cabinet (3 V3 and 3 V5)</t>
  </si>
  <si>
    <t>Cost (incl tax)</t>
  </si>
  <si>
    <t>Shopfloor organisation equipement (locker, shelves, drawer…)</t>
  </si>
  <si>
    <r>
      <t>Water rate/m</t>
    </r>
    <r>
      <rPr>
        <vertAlign val="superscript"/>
        <sz val="11"/>
        <color theme="1"/>
        <rFont val="Corbel"/>
        <family val="2"/>
      </rPr>
      <t>3</t>
    </r>
  </si>
  <si>
    <t xml:space="preserve">Reference of the CNC Mills </t>
  </si>
  <si>
    <t>Chosen CNC Mill</t>
  </si>
  <si>
    <t>Technical info</t>
  </si>
  <si>
    <t>1016,660,635</t>
  </si>
  <si>
    <t>Rotation per minute (rpm)</t>
  </si>
  <si>
    <t>Travel (x,y,z) (mm)</t>
  </si>
  <si>
    <t>Nominal torque and rpm</t>
  </si>
  <si>
    <t>Max load on axis</t>
  </si>
  <si>
    <t>electrospindle</t>
  </si>
  <si>
    <t>yes</t>
  </si>
  <si>
    <t>x=1372, y=610</t>
  </si>
  <si>
    <t>table dimensions (mm)</t>
  </si>
  <si>
    <t>Coolants references</t>
  </si>
  <si>
    <t>Coolant chosen</t>
  </si>
  <si>
    <t>Price (€ incl tax/L)</t>
  </si>
  <si>
    <t>Machinery (CNC conventionnal,…)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</si>
</sst>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[$€-40C]_-;\-* #,##0.00\ [$€-40C]_-;_-* &quot;-&quot;??\ [$€-40C]_-;_-@_-"/>
    <numFmt numFmtId="166" formatCode="#,##0.00\ &quot;€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u/>
      <sz val="11"/>
      <color theme="10"/>
      <name val="Corbe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name val="Corbel"/>
      <family val="2"/>
    </font>
    <font>
      <vertAlign val="superscript"/>
      <sz val="11"/>
      <color theme="1"/>
      <name val="Corbel"/>
      <family val="2"/>
    </font>
    <font>
      <sz val="11"/>
      <name val="Corbel"/>
      <family val="2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6">
    <xf numFmtId="0" fontId="0" fillId="0" borderId="0" xfId="0"/>
    <xf numFmtId="11" fontId="0" fillId="0" borderId="0" xfId="0" applyNumberFormat="1"/>
    <xf numFmtId="44" fontId="0" fillId="0" borderId="0" xfId="1" applyFont="1"/>
    <xf numFmtId="0" fontId="4" fillId="0" borderId="0" xfId="2"/>
    <xf numFmtId="9" fontId="0" fillId="0" borderId="0" xfId="0" applyNumberFormat="1"/>
    <xf numFmtId="44" fontId="0" fillId="0" borderId="0" xfId="0" applyNumberFormat="1"/>
    <xf numFmtId="165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 applyFont="1"/>
    <xf numFmtId="0" fontId="0" fillId="0" borderId="12" xfId="0" applyBorder="1"/>
    <xf numFmtId="44" fontId="0" fillId="0" borderId="12" xfId="1" applyFont="1" applyBorder="1"/>
    <xf numFmtId="9" fontId="0" fillId="12" borderId="0" xfId="3" applyFont="1" applyFill="1"/>
    <xf numFmtId="165" fontId="0" fillId="0" borderId="12" xfId="0" applyNumberFormat="1" applyBorder="1"/>
    <xf numFmtId="0" fontId="0" fillId="0" borderId="14" xfId="0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44" fontId="0" fillId="0" borderId="14" xfId="1" applyFont="1" applyBorder="1"/>
    <xf numFmtId="44" fontId="0" fillId="0" borderId="17" xfId="1" applyFont="1" applyBorder="1"/>
    <xf numFmtId="0" fontId="0" fillId="0" borderId="35" xfId="0" applyBorder="1"/>
    <xf numFmtId="0" fontId="4" fillId="0" borderId="16" xfId="2" applyBorder="1"/>
    <xf numFmtId="0" fontId="0" fillId="0" borderId="36" xfId="0" applyBorder="1"/>
    <xf numFmtId="0" fontId="4" fillId="0" borderId="18" xfId="2" applyBorder="1"/>
    <xf numFmtId="0" fontId="0" fillId="0" borderId="37" xfId="0" applyBorder="1"/>
    <xf numFmtId="0" fontId="4" fillId="0" borderId="32" xfId="2" applyBorder="1"/>
    <xf numFmtId="44" fontId="0" fillId="0" borderId="31" xfId="1" applyFont="1" applyBorder="1"/>
    <xf numFmtId="0" fontId="0" fillId="0" borderId="31" xfId="0" applyBorder="1"/>
    <xf numFmtId="0" fontId="0" fillId="0" borderId="40" xfId="0" applyBorder="1"/>
    <xf numFmtId="0" fontId="4" fillId="0" borderId="15" xfId="2" applyBorder="1"/>
    <xf numFmtId="0" fontId="2" fillId="0" borderId="0" xfId="0" applyFont="1" applyAlignment="1">
      <alignment horizontal="center" vertical="center"/>
    </xf>
    <xf numFmtId="6" fontId="0" fillId="0" borderId="12" xfId="0" applyNumberFormat="1" applyBorder="1"/>
    <xf numFmtId="17" fontId="0" fillId="0" borderId="22" xfId="0" applyNumberFormat="1" applyBorder="1"/>
    <xf numFmtId="8" fontId="0" fillId="0" borderId="31" xfId="0" applyNumberFormat="1" applyBorder="1"/>
    <xf numFmtId="0" fontId="0" fillId="0" borderId="50" xfId="0" applyBorder="1"/>
    <xf numFmtId="0" fontId="4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4" fillId="0" borderId="16" xfId="2" applyBorder="1" applyAlignment="1">
      <alignment wrapText="1"/>
    </xf>
    <xf numFmtId="0" fontId="4" fillId="0" borderId="18" xfId="2" applyBorder="1" applyAlignment="1">
      <alignment wrapText="1"/>
    </xf>
    <xf numFmtId="44" fontId="0" fillId="0" borderId="40" xfId="1" applyFont="1" applyBorder="1"/>
    <xf numFmtId="0" fontId="4" fillId="0" borderId="39" xfId="2" applyBorder="1"/>
    <xf numFmtId="0" fontId="6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37" xfId="0" applyBorder="1" applyAlignment="1">
      <alignment wrapText="1"/>
    </xf>
    <xf numFmtId="0" fontId="0" fillId="0" borderId="31" xfId="0" applyBorder="1" applyAlignment="1">
      <alignment wrapText="1"/>
    </xf>
    <xf numFmtId="44" fontId="0" fillId="0" borderId="17" xfId="1" applyFont="1" applyBorder="1" applyAlignment="1">
      <alignment wrapText="1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7" xfId="0" applyBorder="1" applyAlignment="1">
      <alignment vertical="center"/>
    </xf>
    <xf numFmtId="44" fontId="0" fillId="0" borderId="12" xfId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44" fontId="0" fillId="0" borderId="14" xfId="1" applyFont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9" xfId="0" applyBorder="1" applyAlignment="1">
      <alignment vertical="center" wrapText="1"/>
    </xf>
    <xf numFmtId="44" fontId="0" fillId="0" borderId="17" xfId="1" applyFont="1" applyBorder="1" applyAlignment="1">
      <alignment vertical="center"/>
    </xf>
    <xf numFmtId="44" fontId="0" fillId="0" borderId="0" xfId="0" applyNumberFormat="1" applyAlignment="1">
      <alignment vertical="center"/>
    </xf>
    <xf numFmtId="0" fontId="7" fillId="0" borderId="0" xfId="0" applyFont="1" applyAlignment="1"/>
    <xf numFmtId="0" fontId="7" fillId="0" borderId="0" xfId="0" applyFont="1"/>
    <xf numFmtId="0" fontId="8" fillId="14" borderId="40" xfId="0" applyFont="1" applyFill="1" applyBorder="1" applyAlignment="1">
      <alignment horizontal="center" vertical="center"/>
    </xf>
    <xf numFmtId="0" fontId="8" fillId="14" borderId="39" xfId="0" applyFont="1" applyFill="1" applyBorder="1" applyAlignment="1">
      <alignment horizontal="center" vertical="center"/>
    </xf>
    <xf numFmtId="44" fontId="7" fillId="0" borderId="31" xfId="1" applyFont="1" applyBorder="1"/>
    <xf numFmtId="44" fontId="7" fillId="0" borderId="31" xfId="0" applyNumberFormat="1" applyFont="1" applyBorder="1"/>
    <xf numFmtId="44" fontId="7" fillId="0" borderId="0" xfId="0" applyNumberFormat="1" applyFont="1"/>
    <xf numFmtId="0" fontId="7" fillId="0" borderId="32" xfId="0" applyFont="1" applyBorder="1"/>
    <xf numFmtId="0" fontId="7" fillId="0" borderId="16" xfId="0" applyFont="1" applyBorder="1"/>
    <xf numFmtId="1" fontId="7" fillId="0" borderId="16" xfId="0" applyNumberFormat="1" applyFont="1" applyBorder="1"/>
    <xf numFmtId="0" fontId="8" fillId="14" borderId="49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7" fillId="15" borderId="0" xfId="0" applyFont="1" applyFill="1" applyAlignment="1"/>
    <xf numFmtId="0" fontId="7" fillId="16" borderId="31" xfId="0" applyFont="1" applyFill="1" applyBorder="1"/>
    <xf numFmtId="0" fontId="7" fillId="16" borderId="12" xfId="0" applyFont="1" applyFill="1" applyBorder="1"/>
    <xf numFmtId="1" fontId="7" fillId="0" borderId="31" xfId="1" applyNumberFormat="1" applyFont="1" applyBorder="1"/>
    <xf numFmtId="0" fontId="8" fillId="14" borderId="38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8" fillId="0" borderId="37" xfId="0" applyFont="1" applyBorder="1" applyAlignment="1">
      <alignment horizontal="left"/>
    </xf>
    <xf numFmtId="0" fontId="8" fillId="14" borderId="38" xfId="0" applyFont="1" applyFill="1" applyBorder="1" applyAlignment="1">
      <alignment horizontal="left"/>
    </xf>
    <xf numFmtId="0" fontId="8" fillId="0" borderId="59" xfId="0" applyFont="1" applyBorder="1" applyAlignment="1">
      <alignment horizontal="left"/>
    </xf>
    <xf numFmtId="0" fontId="8" fillId="16" borderId="41" xfId="0" applyFont="1" applyFill="1" applyBorder="1" applyAlignment="1">
      <alignment horizontal="left"/>
    </xf>
    <xf numFmtId="0" fontId="7" fillId="16" borderId="44" xfId="0" applyFont="1" applyFill="1" applyBorder="1"/>
    <xf numFmtId="0" fontId="7" fillId="16" borderId="48" xfId="0" applyFont="1" applyFill="1" applyBorder="1"/>
    <xf numFmtId="0" fontId="8" fillId="16" borderId="45" xfId="0" applyFont="1" applyFill="1" applyBorder="1"/>
    <xf numFmtId="0" fontId="8" fillId="16" borderId="42" xfId="0" applyFont="1" applyFill="1" applyBorder="1" applyAlignment="1">
      <alignment horizontal="left"/>
    </xf>
    <xf numFmtId="0" fontId="7" fillId="16" borderId="22" xfId="0" applyFont="1" applyFill="1" applyBorder="1"/>
    <xf numFmtId="0" fontId="7" fillId="16" borderId="46" xfId="0" applyFont="1" applyFill="1" applyBorder="1"/>
    <xf numFmtId="0" fontId="8" fillId="16" borderId="42" xfId="0" applyFont="1" applyFill="1" applyBorder="1"/>
    <xf numFmtId="0" fontId="8" fillId="16" borderId="43" xfId="0" applyFont="1" applyFill="1" applyBorder="1" applyAlignment="1">
      <alignment horizontal="left"/>
    </xf>
    <xf numFmtId="0" fontId="7" fillId="16" borderId="21" xfId="0" applyFont="1" applyFill="1" applyBorder="1"/>
    <xf numFmtId="0" fontId="7" fillId="16" borderId="17" xfId="0" applyFont="1" applyFill="1" applyBorder="1"/>
    <xf numFmtId="0" fontId="7" fillId="16" borderId="47" xfId="0" applyFont="1" applyFill="1" applyBorder="1"/>
    <xf numFmtId="0" fontId="7" fillId="16" borderId="43" xfId="0" applyFont="1" applyFill="1" applyBorder="1"/>
    <xf numFmtId="0" fontId="6" fillId="0" borderId="60" xfId="0" applyFont="1" applyBorder="1" applyAlignment="1">
      <alignment horizontal="justify" vertical="center"/>
    </xf>
    <xf numFmtId="0" fontId="0" fillId="15" borderId="0" xfId="0" applyFill="1" applyAlignment="1">
      <alignment vertical="center"/>
    </xf>
    <xf numFmtId="44" fontId="7" fillId="17" borderId="31" xfId="1" applyFont="1" applyFill="1" applyBorder="1"/>
    <xf numFmtId="44" fontId="7" fillId="0" borderId="31" xfId="0" applyNumberFormat="1" applyFont="1" applyFill="1" applyBorder="1"/>
    <xf numFmtId="0" fontId="8" fillId="14" borderId="38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left" wrapText="1"/>
    </xf>
    <xf numFmtId="0" fontId="8" fillId="14" borderId="40" xfId="0" applyFont="1" applyFill="1" applyBorder="1" applyAlignment="1">
      <alignment horizontal="center" vertical="center" wrapText="1"/>
    </xf>
    <xf numFmtId="0" fontId="4" fillId="0" borderId="0" xfId="2" applyAlignment="1">
      <alignment wrapText="1"/>
    </xf>
    <xf numFmtId="0" fontId="0" fillId="0" borderId="12" xfId="0" applyBorder="1" applyAlignment="1">
      <alignment wrapText="1"/>
    </xf>
    <xf numFmtId="44" fontId="0" fillId="0" borderId="12" xfId="1" applyFont="1" applyBorder="1" applyAlignment="1">
      <alignment wrapText="1"/>
    </xf>
    <xf numFmtId="44" fontId="0" fillId="0" borderId="12" xfId="0" applyNumberForma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7" xfId="0" applyBorder="1" applyAlignment="1">
      <alignment wrapText="1"/>
    </xf>
    <xf numFmtId="44" fontId="0" fillId="0" borderId="31" xfId="1" applyFont="1" applyBorder="1" applyAlignment="1">
      <alignment wrapText="1"/>
    </xf>
    <xf numFmtId="0" fontId="2" fillId="7" borderId="38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wrapText="1"/>
    </xf>
    <xf numFmtId="0" fontId="2" fillId="7" borderId="39" xfId="0" applyFont="1" applyFill="1" applyBorder="1" applyAlignment="1">
      <alignment horizontal="center" wrapText="1"/>
    </xf>
    <xf numFmtId="44" fontId="0" fillId="0" borderId="31" xfId="0" applyNumberFormat="1" applyBorder="1" applyAlignment="1">
      <alignment wrapText="1"/>
    </xf>
    <xf numFmtId="44" fontId="0" fillId="0" borderId="17" xfId="0" applyNumberFormat="1" applyBorder="1" applyAlignment="1">
      <alignment wrapText="1"/>
    </xf>
    <xf numFmtId="0" fontId="4" fillId="0" borderId="11" xfId="2" applyBorder="1"/>
    <xf numFmtId="44" fontId="0" fillId="0" borderId="62" xfId="0" applyNumberFormat="1" applyBorder="1" applyAlignment="1">
      <alignment wrapText="1"/>
    </xf>
    <xf numFmtId="0" fontId="2" fillId="7" borderId="50" xfId="0" applyFont="1" applyFill="1" applyBorder="1" applyAlignment="1">
      <alignment horizontal="center" wrapText="1"/>
    </xf>
    <xf numFmtId="0" fontId="0" fillId="0" borderId="22" xfId="0" applyBorder="1" applyAlignment="1">
      <alignment wrapText="1"/>
    </xf>
    <xf numFmtId="2" fontId="0" fillId="0" borderId="22" xfId="0" applyNumberFormat="1" applyBorder="1" applyAlignment="1">
      <alignment wrapText="1"/>
    </xf>
    <xf numFmtId="0" fontId="2" fillId="7" borderId="33" xfId="0" applyFont="1" applyFill="1" applyBorder="1" applyAlignment="1">
      <alignment horizontal="center" vertical="center"/>
    </xf>
    <xf numFmtId="44" fontId="0" fillId="0" borderId="21" xfId="0" applyNumberFormat="1" applyBorder="1" applyAlignment="1">
      <alignment wrapText="1"/>
    </xf>
    <xf numFmtId="0" fontId="2" fillId="7" borderId="25" xfId="0" applyFont="1" applyFill="1" applyBorder="1" applyAlignment="1">
      <alignment horizontal="center" vertical="center"/>
    </xf>
    <xf numFmtId="44" fontId="0" fillId="0" borderId="44" xfId="1" applyFont="1" applyBorder="1" applyAlignment="1">
      <alignment wrapText="1"/>
    </xf>
    <xf numFmtId="0" fontId="2" fillId="7" borderId="23" xfId="0" applyFont="1" applyFill="1" applyBorder="1" applyAlignment="1">
      <alignment horizontal="center" vertical="center"/>
    </xf>
    <xf numFmtId="0" fontId="2" fillId="7" borderId="63" xfId="0" applyFont="1" applyFill="1" applyBorder="1" applyAlignment="1">
      <alignment horizontal="center" wrapText="1"/>
    </xf>
    <xf numFmtId="1" fontId="0" fillId="0" borderId="14" xfId="0" applyNumberFormat="1" applyBorder="1" applyAlignment="1">
      <alignment wrapText="1"/>
    </xf>
    <xf numFmtId="0" fontId="7" fillId="0" borderId="18" xfId="0" applyFont="1" applyFill="1" applyBorder="1"/>
    <xf numFmtId="44" fontId="7" fillId="0" borderId="32" xfId="0" applyNumberFormat="1" applyFont="1" applyFill="1" applyBorder="1"/>
    <xf numFmtId="0" fontId="8" fillId="0" borderId="59" xfId="0" applyFont="1" applyBorder="1" applyAlignment="1">
      <alignment horizontal="center" vertical="center"/>
    </xf>
    <xf numFmtId="0" fontId="8" fillId="16" borderId="62" xfId="0" applyFont="1" applyFill="1" applyBorder="1"/>
    <xf numFmtId="44" fontId="8" fillId="0" borderId="28" xfId="1" applyFont="1" applyBorder="1"/>
    <xf numFmtId="0" fontId="8" fillId="0" borderId="34" xfId="0" applyFont="1" applyBorder="1" applyAlignment="1">
      <alignment horizontal="left" wrapText="1"/>
    </xf>
    <xf numFmtId="1" fontId="7" fillId="0" borderId="14" xfId="1" applyNumberFormat="1" applyFont="1" applyBorder="1"/>
    <xf numFmtId="44" fontId="7" fillId="17" borderId="14" xfId="1" applyFont="1" applyFill="1" applyBorder="1"/>
    <xf numFmtId="44" fontId="7" fillId="0" borderId="14" xfId="1" applyFont="1" applyBorder="1"/>
    <xf numFmtId="0" fontId="7" fillId="16" borderId="14" xfId="0" applyFont="1" applyFill="1" applyBorder="1"/>
    <xf numFmtId="44" fontId="7" fillId="0" borderId="14" xfId="0" applyNumberFormat="1" applyFont="1" applyFill="1" applyBorder="1"/>
    <xf numFmtId="44" fontId="7" fillId="0" borderId="15" xfId="0" applyNumberFormat="1" applyFont="1" applyFill="1" applyBorder="1"/>
    <xf numFmtId="1" fontId="7" fillId="0" borderId="62" xfId="1" applyNumberFormat="1" applyFont="1" applyBorder="1"/>
    <xf numFmtId="44" fontId="7" fillId="17" borderId="62" xfId="1" applyFont="1" applyFill="1" applyBorder="1"/>
    <xf numFmtId="44" fontId="7" fillId="0" borderId="62" xfId="1" applyFont="1" applyBorder="1"/>
    <xf numFmtId="44" fontId="7" fillId="0" borderId="62" xfId="0" applyNumberFormat="1" applyFont="1" applyFill="1" applyBorder="1"/>
    <xf numFmtId="44" fontId="7" fillId="0" borderId="28" xfId="0" applyNumberFormat="1" applyFont="1" applyFill="1" applyBorder="1"/>
    <xf numFmtId="0" fontId="7" fillId="0" borderId="28" xfId="0" applyFont="1" applyFill="1" applyBorder="1"/>
    <xf numFmtId="0" fontId="0" fillId="16" borderId="14" xfId="0" applyFill="1" applyBorder="1" applyAlignment="1">
      <alignment wrapText="1"/>
    </xf>
    <xf numFmtId="0" fontId="0" fillId="16" borderId="12" xfId="0" applyFill="1" applyBorder="1" applyAlignment="1">
      <alignment wrapText="1"/>
    </xf>
    <xf numFmtId="44" fontId="0" fillId="0" borderId="17" xfId="1" applyFont="1" applyFill="1" applyBorder="1" applyAlignment="1">
      <alignment wrapText="1"/>
    </xf>
    <xf numFmtId="0" fontId="0" fillId="0" borderId="0" xfId="0" applyBorder="1"/>
    <xf numFmtId="0" fontId="0" fillId="0" borderId="34" xfId="0" applyBorder="1"/>
    <xf numFmtId="0" fontId="0" fillId="0" borderId="16" xfId="0" applyBorder="1"/>
    <xf numFmtId="0" fontId="0" fillId="0" borderId="18" xfId="0" applyBorder="1"/>
    <xf numFmtId="44" fontId="0" fillId="0" borderId="15" xfId="0" applyNumberFormat="1" applyBorder="1"/>
    <xf numFmtId="0" fontId="2" fillId="3" borderId="33" xfId="0" applyFont="1" applyFill="1" applyBorder="1" applyAlignment="1">
      <alignment wrapText="1"/>
    </xf>
    <xf numFmtId="44" fontId="0" fillId="0" borderId="33" xfId="0" applyNumberFormat="1" applyBorder="1" applyAlignment="1">
      <alignment wrapText="1"/>
    </xf>
    <xf numFmtId="44" fontId="0" fillId="0" borderId="27" xfId="0" applyNumberFormat="1" applyBorder="1"/>
    <xf numFmtId="0" fontId="0" fillId="0" borderId="32" xfId="0" applyBorder="1"/>
    <xf numFmtId="0" fontId="0" fillId="0" borderId="59" xfId="0" applyBorder="1"/>
    <xf numFmtId="44" fontId="0" fillId="0" borderId="16" xfId="0" applyNumberFormat="1" applyBorder="1"/>
    <xf numFmtId="0" fontId="0" fillId="16" borderId="45" xfId="0" applyFont="1" applyFill="1" applyBorder="1" applyAlignment="1">
      <alignment horizontal="left" vertical="center"/>
    </xf>
    <xf numFmtId="0" fontId="0" fillId="16" borderId="44" xfId="0" applyFill="1" applyBorder="1"/>
    <xf numFmtId="6" fontId="0" fillId="16" borderId="31" xfId="0" applyNumberFormat="1" applyFill="1" applyBorder="1"/>
    <xf numFmtId="8" fontId="0" fillId="16" borderId="31" xfId="0" applyNumberFormat="1" applyFill="1" applyBorder="1"/>
    <xf numFmtId="0" fontId="4" fillId="16" borderId="32" xfId="2" applyFill="1" applyBorder="1" applyAlignment="1">
      <alignment wrapText="1"/>
    </xf>
    <xf numFmtId="0" fontId="3" fillId="16" borderId="42" xfId="0" applyFont="1" applyFill="1" applyBorder="1" applyAlignment="1">
      <alignment horizontal="left" vertical="center"/>
    </xf>
    <xf numFmtId="0" fontId="3" fillId="16" borderId="22" xfId="0" applyFont="1" applyFill="1" applyBorder="1"/>
    <xf numFmtId="6" fontId="3" fillId="16" borderId="12" xfId="0" applyNumberFormat="1" applyFont="1" applyFill="1" applyBorder="1"/>
    <xf numFmtId="8" fontId="3" fillId="16" borderId="31" xfId="0" applyNumberFormat="1" applyFont="1" applyFill="1" applyBorder="1"/>
    <xf numFmtId="0" fontId="4" fillId="16" borderId="16" xfId="2" applyFill="1" applyBorder="1" applyAlignment="1">
      <alignment wrapText="1"/>
    </xf>
    <xf numFmtId="0" fontId="2" fillId="4" borderId="42" xfId="0" applyFont="1" applyFill="1" applyBorder="1" applyAlignment="1">
      <alignment horizontal="left" vertical="center"/>
    </xf>
    <xf numFmtId="0" fontId="2" fillId="4" borderId="43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4" fillId="0" borderId="15" xfId="2" applyBorder="1" applyAlignment="1">
      <alignment vertical="center"/>
    </xf>
    <xf numFmtId="0" fontId="4" fillId="0" borderId="18" xfId="2" applyBorder="1" applyAlignment="1">
      <alignment vertical="center"/>
    </xf>
    <xf numFmtId="44" fontId="0" fillId="0" borderId="67" xfId="1" applyFont="1" applyBorder="1" applyAlignment="1">
      <alignment vertical="center"/>
    </xf>
    <xf numFmtId="0" fontId="4" fillId="0" borderId="16" xfId="2" applyBorder="1" applyAlignment="1">
      <alignment vertical="center"/>
    </xf>
    <xf numFmtId="44" fontId="0" fillId="0" borderId="31" xfId="1" applyFon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40" xfId="0" applyBorder="1" applyAlignment="1">
      <alignment vertical="center"/>
    </xf>
    <xf numFmtId="44" fontId="0" fillId="0" borderId="40" xfId="1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35" xfId="0" applyBorder="1" applyAlignment="1">
      <alignment vertical="center"/>
    </xf>
    <xf numFmtId="44" fontId="0" fillId="0" borderId="31" xfId="0" applyNumberFormat="1" applyBorder="1"/>
    <xf numFmtId="44" fontId="0" fillId="0" borderId="17" xfId="0" applyNumberFormat="1" applyBorder="1"/>
    <xf numFmtId="0" fontId="0" fillId="0" borderId="44" xfId="0" applyBorder="1"/>
    <xf numFmtId="0" fontId="2" fillId="6" borderId="68" xfId="0" applyFont="1" applyFill="1" applyBorder="1" applyAlignment="1">
      <alignment horizontal="center" vertical="center"/>
    </xf>
    <xf numFmtId="44" fontId="0" fillId="0" borderId="12" xfId="0" applyNumberFormat="1" applyBorder="1"/>
    <xf numFmtId="44" fontId="2" fillId="7" borderId="40" xfId="1" applyFont="1" applyFill="1" applyBorder="1" applyAlignment="1">
      <alignment horizontal="center" wrapText="1"/>
    </xf>
    <xf numFmtId="0" fontId="12" fillId="0" borderId="31" xfId="0" applyFont="1" applyBorder="1"/>
    <xf numFmtId="0" fontId="12" fillId="0" borderId="17" xfId="0" applyFont="1" applyBorder="1"/>
    <xf numFmtId="0" fontId="4" fillId="0" borderId="56" xfId="2" applyBorder="1"/>
    <xf numFmtId="0" fontId="0" fillId="0" borderId="0" xfId="0"/>
    <xf numFmtId="0" fontId="2" fillId="18" borderId="38" xfId="0" applyFont="1" applyFill="1" applyBorder="1"/>
    <xf numFmtId="0" fontId="2" fillId="18" borderId="40" xfId="0" applyFont="1" applyFill="1" applyBorder="1"/>
    <xf numFmtId="0" fontId="2" fillId="18" borderId="39" xfId="0" applyFont="1" applyFill="1" applyBorder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14" xfId="0" applyFont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44" fontId="1" fillId="0" borderId="14" xfId="1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0" fillId="0" borderId="12" xfId="0" applyFont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44" fontId="0" fillId="0" borderId="12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0" fillId="0" borderId="32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35" xfId="0" applyFont="1" applyBorder="1" applyAlignment="1">
      <alignment horizontal="center" wrapText="1"/>
    </xf>
    <xf numFmtId="0" fontId="0" fillId="0" borderId="36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 wrapText="1"/>
    </xf>
    <xf numFmtId="44" fontId="0" fillId="0" borderId="14" xfId="0" applyNumberFormat="1" applyFont="1" applyBorder="1" applyAlignment="1">
      <alignment horizontal="center" wrapText="1"/>
    </xf>
    <xf numFmtId="0" fontId="2" fillId="5" borderId="59" xfId="0" applyFont="1" applyFill="1" applyBorder="1" applyAlignment="1">
      <alignment horizontal="center" wrapText="1"/>
    </xf>
    <xf numFmtId="0" fontId="0" fillId="0" borderId="62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166" fontId="0" fillId="0" borderId="62" xfId="0" applyNumberFormat="1" applyFont="1" applyBorder="1" applyAlignment="1">
      <alignment horizontal="center"/>
    </xf>
    <xf numFmtId="166" fontId="0" fillId="0" borderId="62" xfId="0" applyNumberFormat="1" applyFont="1" applyBorder="1" applyAlignment="1">
      <alignment horizontal="center" wrapText="1"/>
    </xf>
    <xf numFmtId="0" fontId="4" fillId="0" borderId="28" xfId="2" applyFont="1" applyBorder="1" applyAlignment="1">
      <alignment horizontal="center"/>
    </xf>
    <xf numFmtId="44" fontId="0" fillId="0" borderId="12" xfId="0" applyNumberFormat="1" applyFont="1" applyBorder="1" applyAlignment="1">
      <alignment horizontal="center" wrapText="1"/>
    </xf>
    <xf numFmtId="44" fontId="0" fillId="0" borderId="17" xfId="1" applyFont="1" applyBorder="1" applyAlignment="1">
      <alignment horizontal="center" wrapText="1"/>
    </xf>
    <xf numFmtId="44" fontId="0" fillId="0" borderId="17" xfId="0" applyNumberFormat="1" applyFont="1" applyBorder="1" applyAlignment="1">
      <alignment horizontal="center" wrapText="1"/>
    </xf>
    <xf numFmtId="0" fontId="4" fillId="0" borderId="18" xfId="2" applyFont="1" applyBorder="1" applyAlignment="1">
      <alignment horizontal="center"/>
    </xf>
    <xf numFmtId="0" fontId="0" fillId="0" borderId="0" xfId="0" applyFill="1" applyBorder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4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9" fillId="0" borderId="57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56" xfId="2" applyFont="1" applyBorder="1" applyAlignment="1">
      <alignment horizontal="center"/>
    </xf>
    <xf numFmtId="0" fontId="9" fillId="0" borderId="46" xfId="2" applyFont="1" applyBorder="1" applyAlignment="1">
      <alignment horizontal="center"/>
    </xf>
    <xf numFmtId="0" fontId="9" fillId="0" borderId="54" xfId="2" applyFont="1" applyBorder="1" applyAlignment="1">
      <alignment horizontal="center"/>
    </xf>
    <xf numFmtId="0" fontId="9" fillId="0" borderId="55" xfId="2" applyFont="1" applyBorder="1" applyAlignment="1">
      <alignment horizontal="center"/>
    </xf>
    <xf numFmtId="0" fontId="9" fillId="0" borderId="47" xfId="2" applyFont="1" applyBorder="1" applyAlignment="1">
      <alignment horizontal="center"/>
    </xf>
    <xf numFmtId="0" fontId="9" fillId="0" borderId="20" xfId="2" applyFont="1" applyBorder="1" applyAlignment="1">
      <alignment horizontal="center"/>
    </xf>
    <xf numFmtId="0" fontId="9" fillId="0" borderId="58" xfId="2" applyFont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4" fillId="0" borderId="46" xfId="2" applyBorder="1" applyAlignment="1">
      <alignment horizontal="center" wrapText="1"/>
    </xf>
    <xf numFmtId="0" fontId="9" fillId="0" borderId="54" xfId="2" applyFont="1" applyBorder="1" applyAlignment="1">
      <alignment horizontal="center" wrapText="1"/>
    </xf>
    <xf numFmtId="0" fontId="9" fillId="0" borderId="55" xfId="2" applyFont="1" applyBorder="1" applyAlignment="1">
      <alignment horizontal="center" wrapText="1"/>
    </xf>
    <xf numFmtId="0" fontId="8" fillId="0" borderId="53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54" xfId="2" applyBorder="1" applyAlignment="1">
      <alignment horizontal="center" wrapText="1"/>
    </xf>
    <xf numFmtId="0" fontId="4" fillId="0" borderId="55" xfId="2" applyBorder="1" applyAlignment="1">
      <alignment horizont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45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7" borderId="49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69" xfId="0" applyBorder="1"/>
    <xf numFmtId="0" fontId="2" fillId="6" borderId="7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wrapText="1"/>
    </xf>
    <xf numFmtId="0" fontId="0" fillId="0" borderId="62" xfId="0" applyBorder="1"/>
    <xf numFmtId="44" fontId="0" fillId="0" borderId="62" xfId="1" applyFont="1" applyBorder="1"/>
    <xf numFmtId="0" fontId="4" fillId="0" borderId="28" xfId="2" applyBorder="1"/>
    <xf numFmtId="44" fontId="0" fillId="0" borderId="22" xfId="1" applyFont="1" applyBorder="1"/>
    <xf numFmtId="0" fontId="7" fillId="0" borderId="0" xfId="0" applyFont="1" applyAlignment="1">
      <alignment vertical="center"/>
    </xf>
    <xf numFmtId="0" fontId="7" fillId="15" borderId="0" xfId="0" applyFont="1" applyFill="1" applyAlignment="1">
      <alignment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10" borderId="33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vertical="center"/>
    </xf>
    <xf numFmtId="44" fontId="7" fillId="0" borderId="14" xfId="0" applyNumberFormat="1" applyFont="1" applyBorder="1" applyAlignment="1">
      <alignment vertical="center"/>
    </xf>
    <xf numFmtId="44" fontId="7" fillId="0" borderId="26" xfId="0" applyNumberFormat="1" applyFont="1" applyBorder="1" applyAlignment="1">
      <alignment vertical="center"/>
    </xf>
    <xf numFmtId="0" fontId="8" fillId="6" borderId="23" xfId="0" applyFont="1" applyFill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8" fontId="7" fillId="0" borderId="15" xfId="0" applyNumberFormat="1" applyFont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44" fontId="7" fillId="0" borderId="15" xfId="0" applyNumberFormat="1" applyFont="1" applyBorder="1" applyAlignment="1">
      <alignment vertical="center"/>
    </xf>
    <xf numFmtId="0" fontId="8" fillId="11" borderId="23" xfId="0" applyFont="1" applyFill="1" applyBorder="1" applyAlignment="1">
      <alignment horizontal="center" vertical="center" wrapText="1"/>
    </xf>
    <xf numFmtId="44" fontId="7" fillId="0" borderId="26" xfId="0" applyNumberFormat="1" applyFont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44" fontId="7" fillId="0" borderId="12" xfId="0" applyNumberFormat="1" applyFont="1" applyBorder="1" applyAlignment="1">
      <alignment vertical="center"/>
    </xf>
    <xf numFmtId="0" fontId="7" fillId="0" borderId="12" xfId="0" applyNumberFormat="1" applyFont="1" applyBorder="1" applyAlignment="1">
      <alignment vertical="center"/>
    </xf>
    <xf numFmtId="8" fontId="7" fillId="0" borderId="16" xfId="0" applyNumberFormat="1" applyFont="1" applyBorder="1" applyAlignment="1">
      <alignment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44" fontId="7" fillId="0" borderId="16" xfId="0" applyNumberFormat="1" applyFont="1" applyBorder="1" applyAlignment="1">
      <alignment vertical="center"/>
    </xf>
    <xf numFmtId="0" fontId="8" fillId="11" borderId="24" xfId="0" applyFont="1" applyFill="1" applyBorder="1" applyAlignment="1">
      <alignment horizontal="center" vertical="center" wrapText="1"/>
    </xf>
    <xf numFmtId="44" fontId="7" fillId="0" borderId="27" xfId="0" applyNumberFormat="1" applyFont="1" applyBorder="1" applyAlignment="1">
      <alignment horizontal="center" vertical="center"/>
    </xf>
    <xf numFmtId="9" fontId="8" fillId="7" borderId="11" xfId="3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44" fontId="7" fillId="0" borderId="17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8" fontId="7" fillId="0" borderId="18" xfId="0" applyNumberFormat="1" applyFont="1" applyBorder="1" applyAlignment="1">
      <alignment vertical="center"/>
    </xf>
    <xf numFmtId="0" fontId="8" fillId="11" borderId="25" xfId="0" applyFont="1" applyFill="1" applyBorder="1" applyAlignment="1">
      <alignment horizontal="center" vertical="center" wrapText="1"/>
    </xf>
    <xf numFmtId="44" fontId="7" fillId="0" borderId="28" xfId="0" applyNumberFormat="1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vertical="center"/>
    </xf>
    <xf numFmtId="11" fontId="8" fillId="7" borderId="11" xfId="0" applyNumberFormat="1" applyFont="1" applyFill="1" applyBorder="1" applyAlignment="1">
      <alignment horizontal="center" vertical="center"/>
    </xf>
    <xf numFmtId="165" fontId="7" fillId="0" borderId="12" xfId="0" applyNumberFormat="1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8" fillId="11" borderId="23" xfId="0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8" fillId="6" borderId="24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vertical="center" wrapText="1"/>
    </xf>
    <xf numFmtId="44" fontId="7" fillId="0" borderId="12" xfId="1" applyFont="1" applyBorder="1" applyAlignment="1">
      <alignment vertical="center"/>
    </xf>
    <xf numFmtId="0" fontId="8" fillId="11" borderId="24" xfId="0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vertical="center"/>
    </xf>
    <xf numFmtId="1" fontId="7" fillId="0" borderId="16" xfId="0" applyNumberFormat="1" applyFont="1" applyBorder="1" applyAlignment="1">
      <alignment vertical="center"/>
    </xf>
    <xf numFmtId="0" fontId="8" fillId="6" borderId="25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vertical="center"/>
    </xf>
    <xf numFmtId="9" fontId="7" fillId="0" borderId="12" xfId="3" applyFont="1" applyBorder="1" applyAlignment="1">
      <alignment vertical="center"/>
    </xf>
    <xf numFmtId="9" fontId="7" fillId="0" borderId="16" xfId="3" applyFont="1" applyBorder="1" applyAlignment="1">
      <alignment vertical="center" wrapText="1"/>
    </xf>
    <xf numFmtId="0" fontId="8" fillId="6" borderId="2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11" borderId="25" xfId="0" applyFont="1" applyFill="1" applyBorder="1" applyAlignment="1">
      <alignment horizontal="center" vertical="center"/>
    </xf>
    <xf numFmtId="9" fontId="7" fillId="0" borderId="17" xfId="3" applyFont="1" applyBorder="1" applyAlignment="1">
      <alignment vertical="center"/>
    </xf>
    <xf numFmtId="9" fontId="7" fillId="0" borderId="18" xfId="3" applyFont="1" applyBorder="1" applyAlignment="1">
      <alignment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44" fontId="7" fillId="0" borderId="14" xfId="1" applyFont="1" applyBorder="1" applyAlignment="1">
      <alignment vertical="center"/>
    </xf>
    <xf numFmtId="0" fontId="7" fillId="0" borderId="22" xfId="0" applyFont="1" applyBorder="1" applyAlignment="1">
      <alignment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7" fillId="0" borderId="16" xfId="0" applyNumberFormat="1" applyFont="1" applyBorder="1" applyAlignment="1">
      <alignment vertical="center"/>
    </xf>
    <xf numFmtId="9" fontId="8" fillId="8" borderId="11" xfId="3" applyFont="1" applyFill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1" fontId="8" fillId="8" borderId="11" xfId="0" applyNumberFormat="1" applyFont="1" applyFill="1" applyBorder="1" applyAlignment="1">
      <alignment horizontal="center" vertical="center"/>
    </xf>
    <xf numFmtId="9" fontId="7" fillId="0" borderId="18" xfId="3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44" fontId="7" fillId="0" borderId="31" xfId="1" applyFont="1" applyFill="1" applyBorder="1" applyAlignment="1">
      <alignment vertical="center"/>
    </xf>
    <xf numFmtId="0" fontId="7" fillId="0" borderId="31" xfId="0" applyNumberFormat="1" applyFont="1" applyBorder="1" applyAlignment="1">
      <alignment vertical="center"/>
    </xf>
    <xf numFmtId="8" fontId="7" fillId="0" borderId="32" xfId="0" applyNumberFormat="1" applyFont="1" applyBorder="1" applyAlignment="1">
      <alignment vertical="center"/>
    </xf>
    <xf numFmtId="0" fontId="8" fillId="6" borderId="25" xfId="0" applyFont="1" applyFill="1" applyBorder="1" applyAlignment="1">
      <alignment horizontal="center" vertical="center"/>
    </xf>
    <xf numFmtId="0" fontId="7" fillId="0" borderId="19" xfId="0" applyFont="1" applyBorder="1" applyAlignment="1">
      <alignment vertical="center" wrapText="1"/>
    </xf>
    <xf numFmtId="0" fontId="13" fillId="8" borderId="4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7" fillId="0" borderId="60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vertical="center"/>
    </xf>
    <xf numFmtId="9" fontId="8" fillId="9" borderId="11" xfId="3" applyFont="1" applyFill="1" applyBorder="1" applyAlignment="1">
      <alignment horizontal="center" vertical="center"/>
    </xf>
    <xf numFmtId="8" fontId="7" fillId="0" borderId="14" xfId="0" applyNumberFormat="1" applyFont="1" applyBorder="1" applyAlignment="1">
      <alignment vertical="center"/>
    </xf>
    <xf numFmtId="8" fontId="7" fillId="0" borderId="12" xfId="0" applyNumberFormat="1" applyFont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1" fontId="8" fillId="9" borderId="11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9" borderId="11" xfId="0" applyNumberFormat="1" applyFont="1" applyFill="1" applyBorder="1" applyAlignment="1">
      <alignment horizontal="center" vertical="center"/>
    </xf>
    <xf numFmtId="9" fontId="8" fillId="0" borderId="12" xfId="3" applyFont="1" applyFill="1" applyBorder="1" applyAlignment="1">
      <alignment horizontal="center" vertical="center"/>
    </xf>
    <xf numFmtId="9" fontId="8" fillId="0" borderId="16" xfId="3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4" fontId="7" fillId="0" borderId="15" xfId="1" applyFont="1" applyBorder="1" applyAlignment="1">
      <alignment vertical="center"/>
    </xf>
    <xf numFmtId="0" fontId="13" fillId="9" borderId="4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4" fontId="7" fillId="0" borderId="16" xfId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4" fontId="7" fillId="0" borderId="18" xfId="1" applyFont="1" applyFill="1" applyBorder="1" applyAlignment="1">
      <alignment vertical="center"/>
    </xf>
    <xf numFmtId="11" fontId="8" fillId="7" borderId="11" xfId="4" applyNumberFormat="1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15" fillId="7" borderId="10" xfId="0" applyFont="1" applyFill="1" applyBorder="1" applyAlignment="1">
      <alignment vertical="center"/>
    </xf>
    <xf numFmtId="0" fontId="15" fillId="7" borderId="11" xfId="0" applyFont="1" applyFill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7" fillId="7" borderId="6" xfId="0" applyFont="1" applyFill="1" applyBorder="1" applyAlignment="1">
      <alignment vertical="center"/>
    </xf>
    <xf numFmtId="0" fontId="8" fillId="8" borderId="4" xfId="0" applyFont="1" applyFill="1" applyBorder="1" applyAlignment="1">
      <alignment horizontal="center" vertical="center"/>
    </xf>
    <xf numFmtId="44" fontId="7" fillId="0" borderId="17" xfId="1" applyFont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44" fontId="8" fillId="0" borderId="15" xfId="0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44" fontId="8" fillId="0" borderId="16" xfId="0" applyNumberFormat="1" applyFont="1" applyFill="1" applyBorder="1" applyAlignment="1">
      <alignment horizontal="center" vertical="center"/>
    </xf>
    <xf numFmtId="44" fontId="7" fillId="0" borderId="0" xfId="0" applyNumberFormat="1" applyFont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9" fontId="8" fillId="7" borderId="0" xfId="0" applyNumberFormat="1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7" fillId="7" borderId="1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11" fontId="7" fillId="0" borderId="16" xfId="0" applyNumberFormat="1" applyFont="1" applyFill="1" applyBorder="1" applyAlignment="1">
      <alignment horizontal="right" vertical="center"/>
    </xf>
    <xf numFmtId="2" fontId="7" fillId="0" borderId="0" xfId="0" applyNumberFormat="1" applyFont="1" applyAlignment="1">
      <alignment vertical="center"/>
    </xf>
    <xf numFmtId="9" fontId="7" fillId="0" borderId="16" xfId="3" applyFont="1" applyFill="1" applyBorder="1" applyAlignment="1">
      <alignment horizontal="right" vertical="center"/>
    </xf>
    <xf numFmtId="1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9" fontId="7" fillId="0" borderId="0" xfId="3" applyFont="1" applyAlignment="1">
      <alignment vertical="center"/>
    </xf>
    <xf numFmtId="44" fontId="7" fillId="0" borderId="0" xfId="0" applyNumberFormat="1" applyFont="1" applyAlignment="1">
      <alignment vertical="center"/>
    </xf>
    <xf numFmtId="0" fontId="7" fillId="7" borderId="5" xfId="0" applyFont="1" applyFill="1" applyBorder="1" applyAlignment="1">
      <alignment vertical="center"/>
    </xf>
    <xf numFmtId="0" fontId="8" fillId="0" borderId="17" xfId="0" applyFont="1" applyFill="1" applyBorder="1" applyAlignment="1">
      <alignment horizontal="center" vertical="center"/>
    </xf>
    <xf numFmtId="44" fontId="7" fillId="0" borderId="18" xfId="0" applyNumberFormat="1" applyFont="1" applyFill="1" applyBorder="1" applyAlignment="1">
      <alignment horizontal="right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vertical="center"/>
    </xf>
    <xf numFmtId="9" fontId="8" fillId="8" borderId="0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8" borderId="10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8" fillId="0" borderId="29" xfId="0" applyFont="1" applyFill="1" applyBorder="1" applyAlignment="1">
      <alignment horizontal="center" vertical="center"/>
    </xf>
    <xf numFmtId="44" fontId="7" fillId="0" borderId="30" xfId="0" applyNumberFormat="1" applyFont="1" applyFill="1" applyBorder="1" applyAlignment="1">
      <alignment horizontal="right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vertical="center"/>
    </xf>
    <xf numFmtId="9" fontId="8" fillId="9" borderId="0" xfId="0" applyNumberFormat="1" applyFont="1" applyFill="1" applyBorder="1" applyAlignment="1">
      <alignment vertical="center"/>
    </xf>
    <xf numFmtId="44" fontId="7" fillId="0" borderId="16" xfId="1" applyFont="1" applyFill="1" applyBorder="1" applyAlignment="1">
      <alignment horizontal="right" vertical="center"/>
    </xf>
    <xf numFmtId="0" fontId="7" fillId="9" borderId="4" xfId="0" applyFont="1" applyFill="1" applyBorder="1" applyAlignment="1">
      <alignment vertical="center"/>
    </xf>
    <xf numFmtId="0" fontId="7" fillId="9" borderId="5" xfId="0" applyFont="1" applyFill="1" applyBorder="1" applyAlignment="1">
      <alignment vertical="center"/>
    </xf>
    <xf numFmtId="0" fontId="8" fillId="0" borderId="31" xfId="0" applyFont="1" applyFill="1" applyBorder="1" applyAlignment="1">
      <alignment horizontal="center" vertical="center"/>
    </xf>
    <xf numFmtId="44" fontId="7" fillId="0" borderId="32" xfId="0" applyNumberFormat="1" applyFont="1" applyBorder="1" applyAlignment="1">
      <alignment vertical="center"/>
    </xf>
    <xf numFmtId="0" fontId="8" fillId="7" borderId="0" xfId="0" applyFont="1" applyFill="1" applyBorder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8" fillId="8" borderId="0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vertical="center"/>
    </xf>
    <xf numFmtId="0" fontId="2" fillId="7" borderId="68" xfId="0" applyFont="1" applyFill="1" applyBorder="1" applyAlignment="1">
      <alignment horizontal="center" vertical="center"/>
    </xf>
    <xf numFmtId="0" fontId="2" fillId="7" borderId="67" xfId="0" applyFont="1" applyFill="1" applyBorder="1" applyAlignment="1">
      <alignment horizontal="center" wrapText="1"/>
    </xf>
    <xf numFmtId="0" fontId="2" fillId="7" borderId="26" xfId="0" applyFont="1" applyFill="1" applyBorder="1" applyAlignment="1">
      <alignment horizontal="center" wrapText="1"/>
    </xf>
    <xf numFmtId="0" fontId="2" fillId="7" borderId="67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2" fillId="7" borderId="40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/>
    </xf>
    <xf numFmtId="44" fontId="0" fillId="0" borderId="0" xfId="1" applyFont="1" applyAlignment="1">
      <alignment horizontal="right" vertical="center"/>
    </xf>
    <xf numFmtId="44" fontId="2" fillId="7" borderId="67" xfId="1" applyFont="1" applyFill="1" applyBorder="1" applyAlignment="1">
      <alignment horizontal="right" vertical="center" wrapText="1"/>
    </xf>
    <xf numFmtId="44" fontId="0" fillId="0" borderId="14" xfId="1" applyFont="1" applyBorder="1" applyAlignment="1">
      <alignment horizontal="right" vertical="center"/>
    </xf>
    <xf numFmtId="44" fontId="0" fillId="0" borderId="12" xfId="1" applyFont="1" applyBorder="1" applyAlignment="1">
      <alignment horizontal="right" vertical="center"/>
    </xf>
    <xf numFmtId="44" fontId="0" fillId="0" borderId="31" xfId="1" applyFont="1" applyBorder="1" applyAlignment="1">
      <alignment horizontal="right" vertical="center"/>
    </xf>
    <xf numFmtId="0" fontId="4" fillId="0" borderId="32" xfId="2" applyBorder="1" applyAlignment="1">
      <alignment vertical="center"/>
    </xf>
    <xf numFmtId="44" fontId="0" fillId="0" borderId="19" xfId="1" applyFont="1" applyBorder="1" applyAlignment="1">
      <alignment horizontal="right" vertical="center"/>
    </xf>
    <xf numFmtId="44" fontId="0" fillId="0" borderId="22" xfId="1" applyFont="1" applyBorder="1" applyAlignment="1">
      <alignment horizontal="right" vertical="center"/>
    </xf>
    <xf numFmtId="44" fontId="0" fillId="0" borderId="21" xfId="1" applyFont="1" applyBorder="1" applyAlignment="1">
      <alignment horizontal="right"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2" fillId="0" borderId="68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2" fillId="7" borderId="49" xfId="1" applyFont="1" applyFill="1" applyBorder="1" applyAlignment="1">
      <alignment horizontal="center" vertical="center" wrapText="1"/>
    </xf>
    <xf numFmtId="44" fontId="2" fillId="7" borderId="50" xfId="1" applyFont="1" applyFill="1" applyBorder="1" applyAlignment="1">
      <alignment horizontal="center" vertical="center" wrapText="1"/>
    </xf>
    <xf numFmtId="164" fontId="0" fillId="0" borderId="57" xfId="4" applyFont="1" applyBorder="1" applyAlignment="1">
      <alignment horizontal="right" vertical="center"/>
    </xf>
    <xf numFmtId="164" fontId="0" fillId="0" borderId="19" xfId="4" applyFont="1" applyBorder="1" applyAlignment="1">
      <alignment horizontal="right" vertical="center"/>
    </xf>
    <xf numFmtId="164" fontId="0" fillId="0" borderId="46" xfId="4" applyFont="1" applyBorder="1" applyAlignment="1">
      <alignment horizontal="right" vertical="center"/>
    </xf>
    <xf numFmtId="164" fontId="0" fillId="0" borderId="22" xfId="4" applyFont="1" applyBorder="1" applyAlignment="1">
      <alignment horizontal="right" vertical="center"/>
    </xf>
    <xf numFmtId="164" fontId="0" fillId="0" borderId="47" xfId="4" applyFont="1" applyBorder="1" applyAlignment="1">
      <alignment horizontal="right" vertical="center"/>
    </xf>
    <xf numFmtId="164" fontId="0" fillId="0" borderId="21" xfId="4" applyFont="1" applyBorder="1" applyAlignment="1">
      <alignment horizontal="right" vertical="center"/>
    </xf>
    <xf numFmtId="164" fontId="0" fillId="0" borderId="46" xfId="4" applyFont="1" applyBorder="1" applyAlignment="1">
      <alignment horizontal="right" vertical="center" indent="6"/>
    </xf>
    <xf numFmtId="164" fontId="0" fillId="0" borderId="22" xfId="4" applyFont="1" applyBorder="1" applyAlignment="1">
      <alignment horizontal="right" vertical="center" indent="6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haascnc.com/shop/category/pricelist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nomano.fr/p/scie-sauteuse-pendulaire-4351fctk-makita-28080" TargetMode="External"/><Relationship Id="rId2" Type="http://schemas.openxmlformats.org/officeDocument/2006/relationships/hyperlink" Target="https://www.manomano.fr/p/cloueuse-sans-fil-2-batteries-makita-dbn600rtj-1-pcs-10186275" TargetMode="External"/><Relationship Id="rId1" Type="http://schemas.openxmlformats.org/officeDocument/2006/relationships/hyperlink" Target="https://www.manomano.fr/p/perceuse-visseuse-18-v-li-ion-4-ah-13-mm-3-batteriesmakita-ddf482rm3j-1442275" TargetMode="External"/><Relationship Id="rId5" Type="http://schemas.openxmlformats.org/officeDocument/2006/relationships/hyperlink" Target="https://www.outillage2000.com/machines-a-bois/combines-a-bois/combinee-leman-6-operations-mono-4722.html" TargetMode="External"/><Relationship Id="rId4" Type="http://schemas.openxmlformats.org/officeDocument/2006/relationships/hyperlink" Target="https://www.manomano.fr/catalogue/p/michelin-compresseur-270-litres-75-cv-14bars-19634090?model_id=19632092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travail-emploi.gouv.fr/droit-du-travail/la-remuneration/article/le-smic-montants-en-vigueur-a-compter-du-1er-janvier-2021" TargetMode="External"/><Relationship Id="rId7" Type="http://schemas.openxmlformats.org/officeDocument/2006/relationships/hyperlink" Target="https://www.services-automobile.fr/sites/default/files/2020-11/1.4%20-%20Chap.III%20bis%20-%20V29_0.pdf" TargetMode="External"/><Relationship Id="rId2" Type="http://schemas.openxmlformats.org/officeDocument/2006/relationships/hyperlink" Target="https://www.service-public.fr/professionnels-entreprises/vosdroits/services-en-ligne-et-formulaires/simulateur-cout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6" Type="http://schemas.openxmlformats.org/officeDocument/2006/relationships/hyperlink" Target="https://www.services-automobile.fr/sites/default/files/2018-04/Convention%20collective%20-%20Chapitre%20V.pdf" TargetMode="External"/><Relationship Id="rId5" Type="http://schemas.openxmlformats.org/officeDocument/2006/relationships/hyperlink" Target="https://www.services-automobile.fr/sites/default/files/2018-04/Convention%20collective%20-%20Chapitre%20III.pdf" TargetMode="External"/><Relationship Id="rId4" Type="http://schemas.openxmlformats.org/officeDocument/2006/relationships/hyperlink" Target="https://www.juristique.org/social/duree-du-travai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guides/compteur/puissance/estimation?fbclid=IwAR0M9rlabDNFJxLa_aehdEGtK33qlQUwFO2xf_a1OlrFo_cEoo8_Df1M5hg" TargetMode="External"/><Relationship Id="rId2" Type="http://schemas.openxmlformats.org/officeDocument/2006/relationships/hyperlink" Target="https://www.fournisseurs-electricite.com/edf/pro/tarifs-reglementes/jaune" TargetMode="External"/><Relationship Id="rId1" Type="http://schemas.openxmlformats.org/officeDocument/2006/relationships/hyperlink" Target="https://www.kelwatt.fr/guide/prix-electricite-entreprise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eau-direct.fr/gestion/pri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18" Type="http://schemas.openxmlformats.org/officeDocument/2006/relationships/hyperlink" Target="https://www.francebureau.com/media/catalogue-mobilier/bureau-modulaire-kibo.pdf" TargetMode="External"/><Relationship Id="rId3" Type="http://schemas.openxmlformats.org/officeDocument/2006/relationships/hyperlink" Target="https://store.hp.com/FranceStore/Merch/Product.aspx?id=G5J38A&amp;opt=A80&amp;sel=PRN" TargetMode="External"/><Relationship Id="rId21" Type="http://schemas.openxmlformats.org/officeDocument/2006/relationships/hyperlink" Target="https://www.francebureau.com/media/catalogue-mobilier/bureau-direction-etretat.pdf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17" Type="http://schemas.openxmlformats.org/officeDocument/2006/relationships/hyperlink" Target="https://www.francebureau.com/media/catalogue-mobilier/bureau-modulaire-kibo.pdf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20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23" Type="http://schemas.openxmlformats.org/officeDocument/2006/relationships/hyperlink" Target="https://www.francebureau.com/alto-16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19" Type="http://schemas.openxmlformats.org/officeDocument/2006/relationships/hyperlink" Target="https://www.francebureau.com/media/catalogue-mobilier/bureau-modulaire-kibo.pdf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Relationship Id="rId22" Type="http://schemas.openxmlformats.org/officeDocument/2006/relationships/hyperlink" Target="https://www.francebureau.com/media/catalogue-mobilier/table-reunion-modulable-arc-reunio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rayonnage-mi-lourd-double-face-horizontale-g-lever/r-PR_G1408014469?" TargetMode="External"/><Relationship Id="rId13" Type="http://schemas.openxmlformats.org/officeDocument/2006/relationships/hyperlink" Target="https://www.orexad.com/fr/vestiaire-ventile-sur-socle/r-PR_1012867?" TargetMode="External"/><Relationship Id="rId18" Type="http://schemas.openxmlformats.org/officeDocument/2006/relationships/hyperlink" Target="https://www.baileigh.com/variable-speed-drill-press-dp-1200vs" TargetMode="External"/><Relationship Id="rId3" Type="http://schemas.openxmlformats.org/officeDocument/2006/relationships/hyperlink" Target="https://www.baileigh.com/sheet-metal-brake-hb-4816e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www.orexad.com/fr/fond-tole-rayonnage-a-tablettes-tolees-g-robust/p-G1408010697" TargetMode="External"/><Relationship Id="rId12" Type="http://schemas.openxmlformats.org/officeDocument/2006/relationships/hyperlink" Target="https://www.orexad.com/fr/bac-rako/p-G1383000092" TargetMode="External"/><Relationship Id="rId17" Type="http://schemas.openxmlformats.org/officeDocument/2006/relationships/hyperlink" Target="https://www.manutan.fr/fr/maf/etau-magnat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onceuse-combinee-disque-bande-jsg-233-promac-230-v" TargetMode="External"/><Relationship Id="rId20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30" TargetMode="External"/><Relationship Id="rId11" Type="http://schemas.openxmlformats.org/officeDocument/2006/relationships/hyperlink" Target="https://www.orexad.com/fr/armoire-a-portes-battantes/p-G1359000412" TargetMode="External"/><Relationship Id="rId5" Type="http://schemas.openxmlformats.org/officeDocument/2006/relationships/hyperlink" Target="https://www.orexad.com/fr/etabli-standard/p-G1359000849" TargetMode="External"/><Relationship Id="rId15" Type="http://schemas.openxmlformats.org/officeDocument/2006/relationships/hyperlink" Target="https://www.manutan.fr/fr/maf/aspirateur-eau-et-poussieres-nt-70-2-me-tc-karcher" TargetMode="External"/><Relationship Id="rId10" Type="http://schemas.openxmlformats.org/officeDocument/2006/relationships/hyperlink" Target="https://www.orexad.com/fr/systemes-cn/p-G1359000803" TargetMode="External"/><Relationship Id="rId19" Type="http://schemas.openxmlformats.org/officeDocument/2006/relationships/hyperlink" Target="https://www.surplex.com/fr/vente/c/tours-paralleles-4340.html" TargetMode="External"/><Relationship Id="rId4" Type="http://schemas.openxmlformats.org/officeDocument/2006/relationships/hyperlink" Target="https://www.baileigh.com/semi-auto-band-saw-bs-330sa" TargetMode="External"/><Relationship Id="rId9" Type="http://schemas.openxmlformats.org/officeDocument/2006/relationships/hyperlink" Target="https://www.orexad.com/fr/desserte-de-transport/p-G1359000463" TargetMode="External"/><Relationship Id="rId14" Type="http://schemas.openxmlformats.org/officeDocument/2006/relationships/hyperlink" Target="https://www.orexad.com/fr/transpalette-galvanise-2-5t/p-G301900000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77/Paire%20de%20v%C3%A9s/$catalogue/mitutoyoData/PR/911-111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2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colonne-de-mesure-817clm-cap-600-770-pupitre-2d/p-G1197000019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1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www.orexad.com/fr/projecteur-de-profil-pj-h30/p-G1213001821" TargetMode="External"/><Relationship Id="rId10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4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ireballtool.com/magic-pack-plus/" TargetMode="External"/><Relationship Id="rId3" Type="http://schemas.openxmlformats.org/officeDocument/2006/relationships/hyperlink" Target="https://www.orexad.com/fr/mobiflex-200-m-systeme-d-aspiration-des-fumees/p-G1189001541" TargetMode="External"/><Relationship Id="rId7" Type="http://schemas.openxmlformats.org/officeDocument/2006/relationships/hyperlink" Target="https://www.promeca.com/soudage-et-accessoires/equipements-du-soudeur/vetements-specifiques-du-soudeur" TargetMode="External"/><Relationship Id="rId2" Type="http://schemas.openxmlformats.org/officeDocument/2006/relationships/hyperlink" Target="https://www.promeca.com/poste-a-souder-tig220-ac-dc-ta34-ref-eau-esab-caddy-tig2200iac-dc" TargetMode="External"/><Relationship Id="rId1" Type="http://schemas.openxmlformats.org/officeDocument/2006/relationships/hyperlink" Target="https://lastafelshop.com/product/welding-table-4000-x-2000-complete/?lang=en" TargetMode="External"/><Relationship Id="rId6" Type="http://schemas.openxmlformats.org/officeDocument/2006/relationships/hyperlink" Target="https://www.promeca.com/cagoule-speedglas-100v-noir-751120" TargetMode="External"/><Relationship Id="rId5" Type="http://schemas.openxmlformats.org/officeDocument/2006/relationships/hyperlink" Target="https://lastafelshop.com/product/starter-packet-big/?lang=en" TargetMode="External"/><Relationship Id="rId4" Type="http://schemas.openxmlformats.org/officeDocument/2006/relationships/hyperlink" Target="https://www.orexad.com/fr/refroidisseurs-cool-arc/p-G1189001474" TargetMode="External"/><Relationship Id="rId9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Porte-outils/c/30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6" Type="http://schemas.openxmlformats.org/officeDocument/2006/relationships/hyperlink" Target="https://www.otelo.fr/catalogue/huile-coupe/rocol-0003050209-skg.html" TargetMode="External"/><Relationship Id="rId5" Type="http://schemas.openxmlformats.org/officeDocument/2006/relationships/hyperlink" Target="https://www.otelo.fr/catalogue/fluides-huiles-coupe-solubles.html" TargetMode="External"/><Relationship Id="rId4" Type="http://schemas.openxmlformats.org/officeDocument/2006/relationships/hyperlink" Target="https://www.hoffmann-group.com/FR/fr/hof/Accessoires-machines/Etaux/Etau-haute-pression-CN---NC8/p/360405-125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T107"/>
  <sheetViews>
    <sheetView showGridLines="0" tabSelected="1" zoomScale="97" zoomScaleNormal="59" workbookViewId="0">
      <selection activeCell="E31" sqref="E31"/>
    </sheetView>
  </sheetViews>
  <sheetFormatPr baseColWidth="10" defaultRowHeight="15" x14ac:dyDescent="0.25"/>
  <cols>
    <col min="1" max="1" width="3.140625" style="302" customWidth="1"/>
    <col min="2" max="2" width="20.5703125" style="302" bestFit="1" customWidth="1"/>
    <col min="3" max="3" width="21.7109375" style="302" bestFit="1" customWidth="1"/>
    <col min="4" max="4" width="13.7109375" style="302" bestFit="1" customWidth="1"/>
    <col min="5" max="5" width="58" style="302" bestFit="1" customWidth="1"/>
    <col min="6" max="6" width="4.85546875" style="302" customWidth="1"/>
    <col min="7" max="7" width="20.7109375" style="302" bestFit="1" customWidth="1"/>
    <col min="8" max="8" width="79.7109375" style="302" bestFit="1" customWidth="1"/>
    <col min="9" max="9" width="13.85546875" style="302" bestFit="1" customWidth="1"/>
    <col min="10" max="10" width="23.28515625" style="302" bestFit="1" customWidth="1"/>
    <col min="11" max="11" width="11.28515625" style="302" bestFit="1" customWidth="1"/>
    <col min="12" max="12" width="4.5703125" style="302" customWidth="1"/>
    <col min="13" max="13" width="65.85546875" style="302" bestFit="1" customWidth="1"/>
    <col min="14" max="14" width="9.85546875" style="302" bestFit="1" customWidth="1"/>
    <col min="15" max="15" width="29.42578125" style="302" bestFit="1" customWidth="1"/>
    <col min="16" max="16" width="8.85546875" style="302" bestFit="1" customWidth="1"/>
    <col min="17" max="17" width="20.42578125" style="302" bestFit="1" customWidth="1"/>
    <col min="18" max="18" width="14" style="302" bestFit="1" customWidth="1"/>
    <col min="19" max="19" width="23.28515625" style="302" bestFit="1" customWidth="1"/>
    <col min="20" max="20" width="12.85546875" style="302" bestFit="1" customWidth="1"/>
    <col min="21" max="21" width="4.7109375" style="302" customWidth="1"/>
    <col min="22" max="22" width="29.42578125" style="302" bestFit="1" customWidth="1"/>
    <col min="23" max="23" width="14.5703125" style="302" bestFit="1" customWidth="1"/>
    <col min="24" max="24" width="11.42578125" style="302"/>
    <col min="25" max="25" width="4.85546875" style="302" customWidth="1"/>
    <col min="26" max="16384" width="11.42578125" style="302"/>
  </cols>
  <sheetData>
    <row r="1" spans="1:20" ht="15.75" thickBot="1" x14ac:dyDescent="0.3"/>
    <row r="2" spans="1:20" ht="15.75" thickBot="1" x14ac:dyDescent="0.3">
      <c r="A2" s="303"/>
      <c r="B2" s="304" t="s">
        <v>37</v>
      </c>
      <c r="C2" s="305"/>
      <c r="D2" s="305"/>
      <c r="E2" s="306"/>
      <c r="F2" s="303"/>
      <c r="G2" s="307" t="s">
        <v>14</v>
      </c>
      <c r="H2" s="308"/>
      <c r="I2" s="308"/>
      <c r="J2" s="308"/>
      <c r="K2" s="309"/>
      <c r="M2" s="310" t="s">
        <v>164</v>
      </c>
      <c r="N2" s="311"/>
      <c r="O2" s="311"/>
      <c r="P2" s="311"/>
      <c r="Q2" s="311"/>
      <c r="R2" s="311"/>
      <c r="S2" s="311"/>
      <c r="T2" s="312"/>
    </row>
    <row r="3" spans="1:20" ht="30.75" thickBot="1" x14ac:dyDescent="0.3">
      <c r="A3" s="303"/>
      <c r="B3" s="313" t="s">
        <v>28</v>
      </c>
      <c r="C3" s="313" t="s">
        <v>16</v>
      </c>
      <c r="D3" s="313" t="s">
        <v>38</v>
      </c>
      <c r="E3" s="314" t="s">
        <v>182</v>
      </c>
      <c r="F3" s="303"/>
      <c r="G3" s="315" t="s">
        <v>28</v>
      </c>
      <c r="H3" s="316" t="s">
        <v>25</v>
      </c>
      <c r="I3" s="316" t="s">
        <v>607</v>
      </c>
      <c r="J3" s="317" t="s">
        <v>313</v>
      </c>
      <c r="K3" s="318" t="s">
        <v>162</v>
      </c>
      <c r="M3" s="319" t="s">
        <v>15</v>
      </c>
      <c r="N3" s="320"/>
      <c r="O3" s="320" t="s">
        <v>16</v>
      </c>
      <c r="P3" s="320" t="s">
        <v>167</v>
      </c>
      <c r="Q3" s="320" t="s">
        <v>172</v>
      </c>
      <c r="R3" s="320" t="s">
        <v>17</v>
      </c>
      <c r="S3" s="321" t="s">
        <v>313</v>
      </c>
      <c r="T3" s="322" t="s">
        <v>162</v>
      </c>
    </row>
    <row r="4" spans="1:20" ht="30.75" thickBot="1" x14ac:dyDescent="0.3">
      <c r="A4" s="303"/>
      <c r="B4" s="323" t="s">
        <v>464</v>
      </c>
      <c r="C4" s="324" t="s">
        <v>477</v>
      </c>
      <c r="D4" s="325">
        <f>'Manpower &amp; time'!E17</f>
        <v>151244.41558441558</v>
      </c>
      <c r="E4" s="326" t="s">
        <v>425</v>
      </c>
      <c r="G4" s="327" t="s">
        <v>209</v>
      </c>
      <c r="H4" s="328" t="s">
        <v>109</v>
      </c>
      <c r="I4" s="325" t="e">
        <f>#REF!</f>
        <v>#REF!</v>
      </c>
      <c r="J4" s="329">
        <v>1</v>
      </c>
      <c r="K4" s="330" t="e">
        <f t="shared" ref="K4:K10" si="0">I4/J4</f>
        <v>#REF!</v>
      </c>
      <c r="M4" s="331" t="s">
        <v>393</v>
      </c>
      <c r="N4" s="332"/>
      <c r="O4" s="328" t="s">
        <v>163</v>
      </c>
      <c r="P4" s="333" t="s">
        <v>168</v>
      </c>
      <c r="Q4" s="333"/>
      <c r="R4" s="325" t="e">
        <f>'CNC mill'!#REF!</f>
        <v>#REF!</v>
      </c>
      <c r="S4" s="333">
        <v>10</v>
      </c>
      <c r="T4" s="334" t="e">
        <f>R4/S4</f>
        <v>#REF!</v>
      </c>
    </row>
    <row r="5" spans="1:20" x14ac:dyDescent="0.25">
      <c r="A5" s="303"/>
      <c r="B5" s="335" t="s">
        <v>465</v>
      </c>
      <c r="C5" s="100" t="s">
        <v>476</v>
      </c>
      <c r="D5" s="325" t="e">
        <f>'Manpower &amp; time'!#REF!/'Manpower &amp; time'!#REF!</f>
        <v>#REF!</v>
      </c>
      <c r="E5" s="336" t="s">
        <v>425</v>
      </c>
      <c r="G5" s="337"/>
      <c r="H5" s="338" t="s">
        <v>205</v>
      </c>
      <c r="I5" s="339" t="e">
        <f>#REF!*0.4</f>
        <v>#REF!</v>
      </c>
      <c r="J5" s="340">
        <v>1</v>
      </c>
      <c r="K5" s="341" t="e">
        <f t="shared" si="0"/>
        <v>#REF!</v>
      </c>
      <c r="M5" s="342" t="s">
        <v>211</v>
      </c>
      <c r="N5" s="343">
        <v>22.4</v>
      </c>
      <c r="O5" s="338" t="s">
        <v>165</v>
      </c>
      <c r="P5" s="344" t="s">
        <v>168</v>
      </c>
      <c r="Q5" s="344"/>
      <c r="R5" s="339">
        <f>'CNC mill'!C6*'CNC mill'!D6</f>
        <v>4000</v>
      </c>
      <c r="S5" s="344">
        <v>5</v>
      </c>
      <c r="T5" s="345">
        <f t="shared" ref="T5:T7" si="1">R5/S5</f>
        <v>800</v>
      </c>
    </row>
    <row r="6" spans="1:20" x14ac:dyDescent="0.25">
      <c r="A6" s="303"/>
      <c r="B6" s="346"/>
      <c r="C6" s="338" t="s">
        <v>26</v>
      </c>
      <c r="D6" s="339">
        <f>'Manpower &amp; time'!E16/'Manpower &amp; time'!C16</f>
        <v>43935</v>
      </c>
      <c r="E6" s="347"/>
      <c r="G6" s="337"/>
      <c r="H6" s="338" t="s">
        <v>405</v>
      </c>
      <c r="I6" s="339">
        <f>'Manpower &amp; time'!G19</f>
        <v>17643.938961038977</v>
      </c>
      <c r="J6" s="340">
        <v>1</v>
      </c>
      <c r="K6" s="341">
        <f t="shared" si="0"/>
        <v>17643.938961038977</v>
      </c>
      <c r="M6" s="342" t="s">
        <v>180</v>
      </c>
      <c r="N6" s="348" t="e">
        <f>#REF!</f>
        <v>#REF!</v>
      </c>
      <c r="O6" s="338" t="s">
        <v>166</v>
      </c>
      <c r="P6" s="344" t="s">
        <v>168</v>
      </c>
      <c r="Q6" s="344"/>
      <c r="R6" s="339">
        <f>'CNC mill'!C7</f>
        <v>2500</v>
      </c>
      <c r="S6" s="344">
        <v>5</v>
      </c>
      <c r="T6" s="345">
        <f t="shared" si="1"/>
        <v>500</v>
      </c>
    </row>
    <row r="7" spans="1:20" ht="15.75" thickBot="1" x14ac:dyDescent="0.3">
      <c r="A7" s="303"/>
      <c r="B7" s="346"/>
      <c r="C7" s="338" t="s">
        <v>39</v>
      </c>
      <c r="D7" s="339">
        <f>'Manpower &amp; time'!E17/'Manpower &amp; time'!C17</f>
        <v>50414.805194805194</v>
      </c>
      <c r="E7" s="347"/>
      <c r="G7" s="349"/>
      <c r="H7" s="350" t="s">
        <v>210</v>
      </c>
      <c r="I7" s="351">
        <f>'Manpower &amp; time'!C42</f>
        <v>25482.187012987011</v>
      </c>
      <c r="J7" s="352">
        <v>1</v>
      </c>
      <c r="K7" s="353">
        <f t="shared" si="0"/>
        <v>25482.187012987011</v>
      </c>
      <c r="M7" s="342" t="s">
        <v>181</v>
      </c>
      <c r="N7" s="343">
        <v>5</v>
      </c>
      <c r="O7" s="338" t="s">
        <v>22</v>
      </c>
      <c r="P7" s="344" t="s">
        <v>168</v>
      </c>
      <c r="Q7" s="344" t="s">
        <v>173</v>
      </c>
      <c r="R7" s="339" t="e">
        <f>0.05*R4</f>
        <v>#REF!</v>
      </c>
      <c r="S7" s="344">
        <v>1</v>
      </c>
      <c r="T7" s="345" t="e">
        <f t="shared" si="1"/>
        <v>#REF!</v>
      </c>
    </row>
    <row r="8" spans="1:20" ht="15.75" thickBot="1" x14ac:dyDescent="0.3">
      <c r="A8" s="303"/>
      <c r="B8" s="354"/>
      <c r="C8" s="338" t="s">
        <v>40</v>
      </c>
      <c r="D8" s="339">
        <f>'Manpower &amp; time'!E18/'Manpower &amp; time'!C18</f>
        <v>59295.584415584402</v>
      </c>
      <c r="E8" s="355"/>
      <c r="G8" s="356" t="s">
        <v>583</v>
      </c>
      <c r="H8" s="357" t="s">
        <v>213</v>
      </c>
      <c r="I8" s="325">
        <f>Energies!F5</f>
        <v>3449.7792000000004</v>
      </c>
      <c r="J8" s="333">
        <v>1</v>
      </c>
      <c r="K8" s="330">
        <f t="shared" si="0"/>
        <v>3449.7792000000004</v>
      </c>
      <c r="M8" s="342" t="s">
        <v>394</v>
      </c>
      <c r="N8" s="358">
        <f>1/10000</f>
        <v>1E-4</v>
      </c>
      <c r="O8" s="338" t="s">
        <v>19</v>
      </c>
      <c r="P8" s="344" t="s">
        <v>169</v>
      </c>
      <c r="Q8" s="344" t="s">
        <v>212</v>
      </c>
      <c r="R8" s="359" t="e">
        <f>N5*0.8*#REF!</f>
        <v>#REF!</v>
      </c>
      <c r="S8" s="344"/>
      <c r="T8" s="360"/>
    </row>
    <row r="9" spans="1:20" x14ac:dyDescent="0.25">
      <c r="A9" s="303"/>
      <c r="B9" s="361" t="s">
        <v>41</v>
      </c>
      <c r="C9" s="328" t="s">
        <v>42</v>
      </c>
      <c r="D9" s="333">
        <v>35</v>
      </c>
      <c r="E9" s="362" t="s">
        <v>458</v>
      </c>
      <c r="G9" s="363"/>
      <c r="H9" s="364" t="s">
        <v>214</v>
      </c>
      <c r="I9" s="365" t="e">
        <f>16*#REF!*#REF!*#REF!</f>
        <v>#REF!</v>
      </c>
      <c r="J9" s="344">
        <v>1</v>
      </c>
      <c r="K9" s="341" t="e">
        <f t="shared" si="0"/>
        <v>#REF!</v>
      </c>
      <c r="M9" s="342" t="s">
        <v>430</v>
      </c>
      <c r="N9" s="358">
        <f>N8*0.5</f>
        <v>5.0000000000000002E-5</v>
      </c>
      <c r="O9" s="338" t="s">
        <v>171</v>
      </c>
      <c r="P9" s="344" t="s">
        <v>169</v>
      </c>
      <c r="Q9" s="344" t="s">
        <v>217</v>
      </c>
      <c r="R9" s="365">
        <v>20</v>
      </c>
      <c r="S9" s="344"/>
      <c r="T9" s="360"/>
    </row>
    <row r="10" spans="1:20" ht="15.75" thickBot="1" x14ac:dyDescent="0.3">
      <c r="A10" s="303"/>
      <c r="B10" s="366"/>
      <c r="C10" s="338" t="s">
        <v>43</v>
      </c>
      <c r="D10" s="367">
        <f>'Manpower &amp; time'!C28</f>
        <v>45.1</v>
      </c>
      <c r="E10" s="368" t="s">
        <v>459</v>
      </c>
      <c r="G10" s="369"/>
      <c r="H10" s="370" t="s">
        <v>337</v>
      </c>
      <c r="I10" s="365">
        <f>Energies!D9*60</f>
        <v>0</v>
      </c>
      <c r="J10" s="344">
        <v>1</v>
      </c>
      <c r="K10" s="341">
        <f t="shared" si="0"/>
        <v>0</v>
      </c>
      <c r="M10" s="342" t="s">
        <v>315</v>
      </c>
      <c r="N10" s="358">
        <f>N8*0.4</f>
        <v>4.0000000000000003E-5</v>
      </c>
      <c r="O10" s="338" t="s">
        <v>170</v>
      </c>
      <c r="P10" s="344" t="s">
        <v>169</v>
      </c>
      <c r="Q10" s="344" t="s">
        <v>252</v>
      </c>
      <c r="R10" s="339">
        <f>1*'CNC mill'!G27</f>
        <v>0</v>
      </c>
      <c r="S10" s="344">
        <v>1</v>
      </c>
      <c r="T10" s="345">
        <f t="shared" ref="T10" si="2">R10/S10</f>
        <v>0</v>
      </c>
    </row>
    <row r="11" spans="1:20" ht="30.75" thickBot="1" x14ac:dyDescent="0.3">
      <c r="A11" s="303"/>
      <c r="B11" s="366"/>
      <c r="C11" s="338" t="s">
        <v>44</v>
      </c>
      <c r="D11" s="371">
        <v>0.8</v>
      </c>
      <c r="E11" s="372" t="s">
        <v>460</v>
      </c>
      <c r="F11" s="303"/>
      <c r="G11" s="373" t="s">
        <v>544</v>
      </c>
      <c r="H11" s="338" t="s">
        <v>443</v>
      </c>
      <c r="I11" s="339">
        <f>SUM('IT&amp;Office'!H3:H4)</f>
        <v>921.2</v>
      </c>
      <c r="J11" s="340">
        <v>1</v>
      </c>
      <c r="K11" s="341">
        <f t="shared" ref="K11" si="3">I11/J11</f>
        <v>921.2</v>
      </c>
      <c r="M11" s="374" t="s">
        <v>198</v>
      </c>
      <c r="N11" s="375">
        <v>20</v>
      </c>
      <c r="O11" s="350"/>
      <c r="P11" s="376"/>
      <c r="Q11" s="376"/>
      <c r="R11" s="376"/>
      <c r="S11" s="376"/>
      <c r="T11" s="377"/>
    </row>
    <row r="12" spans="1:20" ht="15.75" thickBot="1" x14ac:dyDescent="0.3">
      <c r="A12" s="303"/>
      <c r="B12" s="378"/>
      <c r="C12" s="350" t="s">
        <v>199</v>
      </c>
      <c r="D12" s="379">
        <v>0.95</v>
      </c>
      <c r="E12" s="380" t="s">
        <v>461</v>
      </c>
      <c r="F12" s="303"/>
      <c r="G12" s="381"/>
      <c r="H12" s="338" t="s">
        <v>161</v>
      </c>
      <c r="I12" s="339">
        <f>'IT&amp;Office'!H5</f>
        <v>269.89999999999998</v>
      </c>
      <c r="J12" s="340">
        <v>3</v>
      </c>
      <c r="K12" s="341">
        <f>I12/J12</f>
        <v>89.966666666666654</v>
      </c>
      <c r="M12" s="382" t="s">
        <v>18</v>
      </c>
      <c r="N12" s="383"/>
      <c r="O12" s="328" t="s">
        <v>264</v>
      </c>
      <c r="P12" s="333" t="s">
        <v>168</v>
      </c>
      <c r="Q12" s="333"/>
      <c r="R12" s="384">
        <f>'CNC lathe'!B2</f>
        <v>133720</v>
      </c>
      <c r="S12" s="333">
        <v>10</v>
      </c>
      <c r="T12" s="334">
        <f>R12/S12</f>
        <v>13372</v>
      </c>
    </row>
    <row r="13" spans="1:20" x14ac:dyDescent="0.25">
      <c r="A13" s="303"/>
      <c r="B13" s="335" t="s">
        <v>254</v>
      </c>
      <c r="C13" s="328" t="s">
        <v>120</v>
      </c>
      <c r="D13" s="325">
        <f>Energies!F5</f>
        <v>3449.7792000000004</v>
      </c>
      <c r="E13" s="334"/>
      <c r="F13" s="303"/>
      <c r="G13" s="381"/>
      <c r="H13" s="385" t="s">
        <v>542</v>
      </c>
      <c r="I13" s="339">
        <f>SUM('IT&amp;Office'!H6:H9)</f>
        <v>392.57</v>
      </c>
      <c r="J13" s="340">
        <v>1</v>
      </c>
      <c r="K13" s="341">
        <f>I13/J13</f>
        <v>392.57</v>
      </c>
      <c r="M13" s="386" t="s">
        <v>211</v>
      </c>
      <c r="N13" s="387">
        <v>29.8</v>
      </c>
      <c r="O13" s="338" t="s">
        <v>253</v>
      </c>
      <c r="P13" s="344" t="s">
        <v>168</v>
      </c>
      <c r="Q13" s="344"/>
      <c r="R13" s="339">
        <f>12*'CNC lathe'!B6+6*'CNC lathe'!B7</f>
        <v>19200</v>
      </c>
      <c r="S13" s="344">
        <v>10</v>
      </c>
      <c r="T13" s="345">
        <f>R13/S13</f>
        <v>1920</v>
      </c>
    </row>
    <row r="14" spans="1:20" x14ac:dyDescent="0.25">
      <c r="A14" s="303"/>
      <c r="B14" s="346"/>
      <c r="C14" s="338" t="s">
        <v>121</v>
      </c>
      <c r="D14" s="359" t="str">
        <f>Energies!C6</f>
        <v>Price</v>
      </c>
      <c r="E14" s="388"/>
      <c r="F14" s="303"/>
      <c r="G14" s="381"/>
      <c r="H14" s="338" t="s">
        <v>541</v>
      </c>
      <c r="I14" s="339">
        <f>SUM('IT&amp;Office'!H10:H15)</f>
        <v>19107</v>
      </c>
      <c r="J14" s="340">
        <v>3</v>
      </c>
      <c r="K14" s="341">
        <f>I14/J14</f>
        <v>6369</v>
      </c>
      <c r="M14" s="386" t="s">
        <v>180</v>
      </c>
      <c r="N14" s="389" t="e">
        <f>#REF!</f>
        <v>#REF!</v>
      </c>
      <c r="O14" s="338" t="s">
        <v>266</v>
      </c>
      <c r="P14" s="344" t="s">
        <v>168</v>
      </c>
      <c r="Q14" s="344"/>
      <c r="R14" s="339">
        <f>'CNC lathe'!B8*30</f>
        <v>4800</v>
      </c>
      <c r="S14" s="344">
        <v>5</v>
      </c>
      <c r="T14" s="345">
        <f t="shared" ref="T14:T15" si="4">R14/S14</f>
        <v>960</v>
      </c>
    </row>
    <row r="15" spans="1:20" ht="18" thickBot="1" x14ac:dyDescent="0.3">
      <c r="A15" s="303"/>
      <c r="B15" s="354"/>
      <c r="C15" s="350" t="s">
        <v>609</v>
      </c>
      <c r="D15" s="351">
        <f>Energies!D9</f>
        <v>0</v>
      </c>
      <c r="E15" s="377"/>
      <c r="F15" s="303"/>
      <c r="G15" s="381"/>
      <c r="H15" s="338" t="s">
        <v>33</v>
      </c>
      <c r="I15" s="339">
        <f>'IT&amp;Office'!H17</f>
        <v>1468.8</v>
      </c>
      <c r="J15" s="340">
        <v>1</v>
      </c>
      <c r="K15" s="341">
        <f t="shared" ref="K15:K16" si="5">I15/J15</f>
        <v>1468.8</v>
      </c>
      <c r="M15" s="386" t="s">
        <v>181</v>
      </c>
      <c r="N15" s="387">
        <v>5</v>
      </c>
      <c r="O15" s="338" t="s">
        <v>22</v>
      </c>
      <c r="P15" s="344" t="s">
        <v>168</v>
      </c>
      <c r="Q15" s="344" t="s">
        <v>173</v>
      </c>
      <c r="R15" s="365">
        <f>0.05*R12</f>
        <v>6686</v>
      </c>
      <c r="S15" s="344">
        <v>1</v>
      </c>
      <c r="T15" s="345">
        <f t="shared" si="4"/>
        <v>6686</v>
      </c>
    </row>
    <row r="16" spans="1:20" x14ac:dyDescent="0.25">
      <c r="A16" s="303"/>
      <c r="B16" s="335" t="s">
        <v>255</v>
      </c>
      <c r="C16" s="328" t="s">
        <v>463</v>
      </c>
      <c r="D16" s="329">
        <v>1.2076</v>
      </c>
      <c r="E16" s="362" t="s">
        <v>467</v>
      </c>
      <c r="F16" s="303"/>
      <c r="G16" s="381"/>
      <c r="H16" s="390" t="s">
        <v>314</v>
      </c>
      <c r="I16" s="339">
        <f>SUM('IT&amp;Office'!H18:H19)</f>
        <v>1598.4</v>
      </c>
      <c r="J16" s="340">
        <v>3</v>
      </c>
      <c r="K16" s="341">
        <f t="shared" si="5"/>
        <v>532.80000000000007</v>
      </c>
      <c r="M16" s="386" t="s">
        <v>394</v>
      </c>
      <c r="N16" s="391">
        <f>1/10000</f>
        <v>1E-4</v>
      </c>
      <c r="O16" s="338" t="s">
        <v>19</v>
      </c>
      <c r="P16" s="344" t="s">
        <v>169</v>
      </c>
      <c r="Q16" s="344" t="s">
        <v>212</v>
      </c>
      <c r="R16" s="359" t="e">
        <f>N13*0.8*#REF!</f>
        <v>#REF!</v>
      </c>
      <c r="S16" s="344"/>
      <c r="T16" s="360"/>
    </row>
    <row r="17" spans="1:20" ht="15.75" thickBot="1" x14ac:dyDescent="0.3">
      <c r="A17" s="303"/>
      <c r="B17" s="354"/>
      <c r="C17" s="350" t="s">
        <v>462</v>
      </c>
      <c r="D17" s="379">
        <v>0.2</v>
      </c>
      <c r="E17" s="392" t="s">
        <v>466</v>
      </c>
      <c r="F17" s="303"/>
      <c r="G17" s="381"/>
      <c r="H17" s="393" t="s">
        <v>34</v>
      </c>
      <c r="I17" s="394">
        <v>200</v>
      </c>
      <c r="J17" s="395">
        <v>1</v>
      </c>
      <c r="K17" s="396">
        <f t="shared" ref="K17:K19" si="6">I17/J17</f>
        <v>200</v>
      </c>
      <c r="M17" s="386" t="s">
        <v>429</v>
      </c>
      <c r="N17" s="391">
        <f>N16*0.5</f>
        <v>5.0000000000000002E-5</v>
      </c>
      <c r="O17" s="338" t="s">
        <v>171</v>
      </c>
      <c r="P17" s="344" t="s">
        <v>169</v>
      </c>
      <c r="Q17" s="344" t="s">
        <v>212</v>
      </c>
      <c r="R17" s="365">
        <v>10</v>
      </c>
      <c r="S17" s="344"/>
      <c r="T17" s="360"/>
    </row>
    <row r="18" spans="1:20" ht="15.75" thickBot="1" x14ac:dyDescent="0.3">
      <c r="F18" s="303"/>
      <c r="G18" s="397"/>
      <c r="H18" s="350" t="s">
        <v>256</v>
      </c>
      <c r="I18" s="351">
        <f>SUM('IT&amp;Office'!H23:H29)</f>
        <v>16747.2</v>
      </c>
      <c r="J18" s="376">
        <v>10</v>
      </c>
      <c r="K18" s="353">
        <f t="shared" si="6"/>
        <v>1674.72</v>
      </c>
      <c r="M18" s="386" t="s">
        <v>315</v>
      </c>
      <c r="N18" s="391">
        <f>N16*0.4</f>
        <v>4.0000000000000003E-5</v>
      </c>
      <c r="O18" s="338" t="s">
        <v>170</v>
      </c>
      <c r="P18" s="344" t="s">
        <v>169</v>
      </c>
      <c r="Q18" s="344" t="s">
        <v>252</v>
      </c>
      <c r="R18" s="339">
        <f>'CNC lathe'!F14</f>
        <v>88.025599999999997</v>
      </c>
      <c r="S18" s="344">
        <v>1</v>
      </c>
      <c r="T18" s="345">
        <f>R18/S18</f>
        <v>88.025599999999997</v>
      </c>
    </row>
    <row r="19" spans="1:20" ht="15.75" thickBot="1" x14ac:dyDescent="0.3">
      <c r="F19" s="303"/>
      <c r="G19" s="373" t="s">
        <v>36</v>
      </c>
      <c r="H19" s="398" t="s">
        <v>625</v>
      </c>
      <c r="I19" s="325">
        <f>SUM(Manufacturing!F3:F4)</f>
        <v>30000</v>
      </c>
      <c r="J19" s="333">
        <v>10</v>
      </c>
      <c r="K19" s="330">
        <f>I19/J19</f>
        <v>3000</v>
      </c>
      <c r="M19" s="399" t="s">
        <v>198</v>
      </c>
      <c r="N19" s="400">
        <v>15</v>
      </c>
      <c r="O19" s="350"/>
      <c r="P19" s="376"/>
      <c r="Q19" s="376"/>
      <c r="R19" s="376"/>
      <c r="S19" s="376"/>
      <c r="T19" s="377"/>
    </row>
    <row r="20" spans="1:20" ht="15.75" thickBot="1" x14ac:dyDescent="0.3">
      <c r="F20" s="303"/>
      <c r="G20" s="381"/>
      <c r="H20" s="338" t="s">
        <v>605</v>
      </c>
      <c r="I20" s="339">
        <f>SUM(Manufacturing!F6:F11)</f>
        <v>22917.648000000001</v>
      </c>
      <c r="J20" s="344">
        <v>10</v>
      </c>
      <c r="K20" s="341">
        <f>I20/J20</f>
        <v>2291.7647999999999</v>
      </c>
      <c r="M20" s="401"/>
      <c r="N20" s="387"/>
      <c r="O20" s="402"/>
      <c r="P20" s="403"/>
      <c r="Q20" s="403"/>
      <c r="R20" s="403"/>
      <c r="S20" s="403"/>
      <c r="T20" s="404"/>
    </row>
    <row r="21" spans="1:20" x14ac:dyDescent="0.25">
      <c r="F21" s="303"/>
      <c r="G21" s="381"/>
      <c r="H21" s="338" t="s">
        <v>295</v>
      </c>
      <c r="I21" s="339">
        <v>3000</v>
      </c>
      <c r="J21" s="344">
        <v>1</v>
      </c>
      <c r="K21" s="341">
        <f>I21/J21</f>
        <v>3000</v>
      </c>
      <c r="M21" s="405" t="s">
        <v>20</v>
      </c>
      <c r="N21" s="406"/>
      <c r="O21" s="328" t="s">
        <v>21</v>
      </c>
      <c r="P21" s="333" t="s">
        <v>168</v>
      </c>
      <c r="Q21" s="333"/>
      <c r="R21" s="325" t="e">
        <f>'Laser cutter'!G4</f>
        <v>#REF!</v>
      </c>
      <c r="S21" s="333">
        <v>10</v>
      </c>
      <c r="T21" s="334" t="e">
        <f>R21/S21</f>
        <v>#REF!</v>
      </c>
    </row>
    <row r="22" spans="1:20" x14ac:dyDescent="0.25">
      <c r="F22" s="303"/>
      <c r="G22" s="381"/>
      <c r="H22" s="338" t="s">
        <v>606</v>
      </c>
      <c r="I22" s="339">
        <f>Manufacturing!F11*3+Manufacturing!F12*3</f>
        <v>10266</v>
      </c>
      <c r="J22" s="344">
        <v>10</v>
      </c>
      <c r="K22" s="341">
        <f>I22/J22</f>
        <v>1026.5999999999999</v>
      </c>
      <c r="M22" s="407" t="s">
        <v>211</v>
      </c>
      <c r="N22" s="408">
        <v>7.5</v>
      </c>
      <c r="O22" s="338" t="s">
        <v>22</v>
      </c>
      <c r="P22" s="344" t="s">
        <v>168</v>
      </c>
      <c r="Q22" s="344" t="s">
        <v>173</v>
      </c>
      <c r="R22" s="339" t="e">
        <f>0.05*R21</f>
        <v>#REF!</v>
      </c>
      <c r="S22" s="344">
        <v>1</v>
      </c>
      <c r="T22" s="345" t="e">
        <f>R22/S22</f>
        <v>#REF!</v>
      </c>
    </row>
    <row r="23" spans="1:20" x14ac:dyDescent="0.25">
      <c r="F23" s="303"/>
      <c r="G23" s="381"/>
      <c r="H23" s="385" t="s">
        <v>294</v>
      </c>
      <c r="I23" s="339">
        <f>0.5*I22</f>
        <v>5133</v>
      </c>
      <c r="J23" s="344">
        <v>10</v>
      </c>
      <c r="K23" s="341">
        <f>I23/J23</f>
        <v>513.29999999999995</v>
      </c>
      <c r="M23" s="407"/>
      <c r="N23" s="408"/>
      <c r="O23" s="338"/>
      <c r="P23" s="344"/>
      <c r="Q23" s="344"/>
      <c r="R23" s="339"/>
      <c r="S23" s="344"/>
      <c r="T23" s="345"/>
    </row>
    <row r="24" spans="1:20" x14ac:dyDescent="0.25">
      <c r="F24" s="303"/>
      <c r="G24" s="381"/>
      <c r="H24" s="338" t="s">
        <v>608</v>
      </c>
      <c r="I24" s="339">
        <f>SUMPRODUCT(Manufacturing!D13:D21,Manufacturing!F13:F21)</f>
        <v>33591</v>
      </c>
      <c r="J24" s="344">
        <v>10</v>
      </c>
      <c r="K24" s="341">
        <f>I24/J24</f>
        <v>3359.1</v>
      </c>
      <c r="M24" s="407" t="s">
        <v>180</v>
      </c>
      <c r="N24" s="410">
        <v>0.7</v>
      </c>
      <c r="O24" s="338" t="s">
        <v>23</v>
      </c>
      <c r="P24" s="344" t="s">
        <v>169</v>
      </c>
      <c r="Q24" s="344" t="s">
        <v>212</v>
      </c>
      <c r="R24" s="359" t="e">
        <f>N22*0.8*#REF!</f>
        <v>#REF!</v>
      </c>
      <c r="S24" s="344"/>
      <c r="T24" s="360"/>
    </row>
    <row r="25" spans="1:20" ht="15.75" thickBot="1" x14ac:dyDescent="0.3">
      <c r="F25" s="303"/>
      <c r="G25" s="397"/>
      <c r="H25" s="409" t="s">
        <v>403</v>
      </c>
      <c r="I25" s="351">
        <f>SUMPRODUCT(Manufacturing!D22,Manufacturing!F22)</f>
        <v>2580</v>
      </c>
      <c r="J25" s="376">
        <v>10</v>
      </c>
      <c r="K25" s="353">
        <f>I25/J25</f>
        <v>258</v>
      </c>
      <c r="M25" s="407"/>
      <c r="N25" s="410"/>
      <c r="O25" s="338"/>
      <c r="P25" s="344"/>
      <c r="Q25" s="344"/>
      <c r="R25" s="359"/>
      <c r="S25" s="344"/>
      <c r="T25" s="360"/>
    </row>
    <row r="26" spans="1:20" x14ac:dyDescent="0.25">
      <c r="F26" s="303"/>
      <c r="G26" s="373" t="s">
        <v>29</v>
      </c>
      <c r="H26" s="328" t="s">
        <v>156</v>
      </c>
      <c r="I26" s="411">
        <f>SUM(Metrology!E11:E14)</f>
        <v>2416.6666666666665</v>
      </c>
      <c r="J26" s="329">
        <v>10</v>
      </c>
      <c r="K26" s="330">
        <f>I26/J26</f>
        <v>241.66666666666666</v>
      </c>
      <c r="M26" s="407"/>
      <c r="N26" s="410"/>
      <c r="O26" s="338"/>
      <c r="P26" s="344"/>
      <c r="Q26" s="344"/>
      <c r="R26" s="359"/>
      <c r="S26" s="344"/>
      <c r="T26" s="360"/>
    </row>
    <row r="27" spans="1:20" x14ac:dyDescent="0.25">
      <c r="F27" s="303"/>
      <c r="G27" s="381"/>
      <c r="H27" s="338" t="s">
        <v>155</v>
      </c>
      <c r="I27" s="412">
        <f>SUM(Metrology!E15:E16)</f>
        <v>1915</v>
      </c>
      <c r="J27" s="340">
        <v>10</v>
      </c>
      <c r="K27" s="341">
        <f>I27/J27</f>
        <v>191.5</v>
      </c>
      <c r="M27" s="407"/>
      <c r="N27" s="410"/>
      <c r="O27" s="338"/>
      <c r="P27" s="344"/>
      <c r="Q27" s="344"/>
      <c r="R27" s="359"/>
      <c r="S27" s="344"/>
      <c r="T27" s="360"/>
    </row>
    <row r="28" spans="1:20" x14ac:dyDescent="0.25">
      <c r="F28" s="303"/>
      <c r="G28" s="381"/>
      <c r="H28" s="338" t="s">
        <v>154</v>
      </c>
      <c r="I28" s="412">
        <f>2*SUM(Metrology!E3:E7)</f>
        <v>998.33333333333348</v>
      </c>
      <c r="J28" s="340">
        <v>10</v>
      </c>
      <c r="K28" s="341">
        <f>I28/J28</f>
        <v>99.833333333333343</v>
      </c>
      <c r="M28" s="407" t="s">
        <v>181</v>
      </c>
      <c r="N28" s="408">
        <v>5</v>
      </c>
      <c r="O28" s="338" t="s">
        <v>333</v>
      </c>
      <c r="P28" s="344" t="s">
        <v>169</v>
      </c>
      <c r="Q28" s="344" t="s">
        <v>212</v>
      </c>
      <c r="R28" s="339" t="e">
        <f>'Laser cutter'!G5/20</f>
        <v>#REF!</v>
      </c>
      <c r="S28" s="344"/>
      <c r="T28" s="360"/>
    </row>
    <row r="29" spans="1:20" x14ac:dyDescent="0.25">
      <c r="F29" s="303"/>
      <c r="G29" s="381"/>
      <c r="H29" s="338" t="s">
        <v>32</v>
      </c>
      <c r="I29" s="339">
        <f>Metrology!E18</f>
        <v>48334.81</v>
      </c>
      <c r="J29" s="340">
        <v>10</v>
      </c>
      <c r="K29" s="341">
        <f>I29/J29</f>
        <v>4833.4809999999998</v>
      </c>
      <c r="M29" s="407"/>
      <c r="N29" s="408"/>
      <c r="O29" s="338"/>
      <c r="P29" s="344"/>
      <c r="Q29" s="344"/>
      <c r="R29" s="339"/>
      <c r="S29" s="344"/>
      <c r="T29" s="360"/>
    </row>
    <row r="30" spans="1:20" x14ac:dyDescent="0.25">
      <c r="F30" s="303"/>
      <c r="G30" s="381"/>
      <c r="H30" s="338" t="s">
        <v>157</v>
      </c>
      <c r="I30" s="412">
        <f>SUM(Metrology!E8:E10)</f>
        <v>3343.3333333333335</v>
      </c>
      <c r="J30" s="340">
        <v>10</v>
      </c>
      <c r="K30" s="341">
        <f>I30/J30</f>
        <v>334.33333333333337</v>
      </c>
      <c r="M30" s="407"/>
      <c r="N30" s="408"/>
      <c r="O30" s="338"/>
      <c r="P30" s="344"/>
      <c r="Q30" s="344"/>
      <c r="R30" s="339"/>
      <c r="S30" s="344"/>
      <c r="T30" s="360"/>
    </row>
    <row r="31" spans="1:20" x14ac:dyDescent="0.25">
      <c r="F31" s="303"/>
      <c r="G31" s="381"/>
      <c r="H31" s="338" t="s">
        <v>158</v>
      </c>
      <c r="I31" s="412">
        <f>2*Metrology!E17</f>
        <v>513.33333333333337</v>
      </c>
      <c r="J31" s="340">
        <v>10</v>
      </c>
      <c r="K31" s="341">
        <f>I31/J31</f>
        <v>51.333333333333336</v>
      </c>
      <c r="M31" s="407"/>
      <c r="N31" s="408"/>
      <c r="O31" s="338"/>
      <c r="P31" s="344"/>
      <c r="Q31" s="344"/>
      <c r="R31" s="339"/>
      <c r="S31" s="344"/>
      <c r="T31" s="360"/>
    </row>
    <row r="32" spans="1:20" ht="15.75" thickBot="1" x14ac:dyDescent="0.3">
      <c r="F32" s="303"/>
      <c r="G32" s="397"/>
      <c r="H32" s="350" t="s">
        <v>404</v>
      </c>
      <c r="I32" s="351">
        <f>Metrology!E19</f>
        <v>5390</v>
      </c>
      <c r="J32" s="352">
        <v>10</v>
      </c>
      <c r="K32" s="353">
        <f>I32/J32</f>
        <v>539</v>
      </c>
      <c r="M32" s="407"/>
      <c r="N32" s="408"/>
      <c r="O32" s="338"/>
      <c r="P32" s="344"/>
      <c r="Q32" s="344"/>
      <c r="R32" s="339"/>
      <c r="S32" s="344"/>
      <c r="T32" s="360"/>
    </row>
    <row r="33" spans="3:20" ht="15.75" thickBot="1" x14ac:dyDescent="0.3">
      <c r="M33" s="407" t="s">
        <v>395</v>
      </c>
      <c r="N33" s="416">
        <v>4.6000000000000001E-4</v>
      </c>
      <c r="O33" s="417"/>
      <c r="P33" s="418"/>
      <c r="Q33" s="418"/>
      <c r="R33" s="418"/>
      <c r="S33" s="418"/>
      <c r="T33" s="419"/>
    </row>
    <row r="34" spans="3:20" ht="15.75" thickBot="1" x14ac:dyDescent="0.3">
      <c r="G34" s="413" t="s">
        <v>427</v>
      </c>
      <c r="H34" s="414"/>
      <c r="I34" s="414"/>
      <c r="J34" s="414"/>
      <c r="K34" s="415"/>
      <c r="M34" s="407" t="s">
        <v>418</v>
      </c>
      <c r="N34" s="423">
        <v>1.5</v>
      </c>
      <c r="O34" s="417"/>
      <c r="P34" s="424"/>
      <c r="Q34" s="418"/>
      <c r="R34" s="424"/>
      <c r="S34" s="418"/>
      <c r="T34" s="425"/>
    </row>
    <row r="35" spans="3:20" x14ac:dyDescent="0.25">
      <c r="G35" s="420" t="s">
        <v>257</v>
      </c>
      <c r="H35" s="421" t="s">
        <v>389</v>
      </c>
      <c r="I35" s="421"/>
      <c r="J35" s="422"/>
      <c r="K35" s="330">
        <f>SUM(K26:K33)*1.05</f>
        <v>6605.7050499999996</v>
      </c>
      <c r="M35" s="407" t="s">
        <v>419</v>
      </c>
      <c r="N35" s="423">
        <v>1</v>
      </c>
      <c r="O35" s="429"/>
      <c r="P35" s="430"/>
      <c r="Q35" s="430"/>
      <c r="R35" s="430"/>
      <c r="S35" s="430"/>
      <c r="T35" s="431"/>
    </row>
    <row r="36" spans="3:20" ht="15.75" thickBot="1" x14ac:dyDescent="0.3">
      <c r="G36" s="426"/>
      <c r="H36" s="427" t="s">
        <v>222</v>
      </c>
      <c r="I36" s="427"/>
      <c r="J36" s="428"/>
      <c r="K36" s="353" t="e">
        <f>K35/SUM('Manpower &amp; time'!C38:J38)</f>
        <v>#REF!</v>
      </c>
      <c r="M36" s="435" t="s">
        <v>290</v>
      </c>
      <c r="N36" s="436">
        <v>8</v>
      </c>
      <c r="O36" s="350"/>
      <c r="P36" s="376"/>
      <c r="Q36" s="376"/>
      <c r="R36" s="376"/>
      <c r="S36" s="376"/>
      <c r="T36" s="377"/>
    </row>
    <row r="37" spans="3:20" x14ac:dyDescent="0.25">
      <c r="G37" s="432" t="s">
        <v>258</v>
      </c>
      <c r="H37" s="422" t="s">
        <v>259</v>
      </c>
      <c r="I37" s="433"/>
      <c r="J37" s="433"/>
      <c r="K37" s="434">
        <f>'Manpower &amp; time'!H16</f>
        <v>27.833386126069051</v>
      </c>
      <c r="M37" s="441" t="s">
        <v>24</v>
      </c>
      <c r="N37" s="442"/>
      <c r="O37" s="328" t="s">
        <v>192</v>
      </c>
      <c r="P37" s="333" t="s">
        <v>168</v>
      </c>
      <c r="Q37" s="333"/>
      <c r="R37" s="325">
        <f>Welding!E4+Welding!E5</f>
        <v>5941.4116666666669</v>
      </c>
      <c r="S37" s="333">
        <v>10</v>
      </c>
      <c r="T37" s="334">
        <f>R37/S37</f>
        <v>594.14116666666666</v>
      </c>
    </row>
    <row r="38" spans="3:20" x14ac:dyDescent="0.25">
      <c r="G38" s="437"/>
      <c r="H38" s="438" t="s">
        <v>270</v>
      </c>
      <c r="I38" s="439"/>
      <c r="J38" s="439"/>
      <c r="K38" s="440">
        <f>'Manpower &amp; time'!H17</f>
        <v>95.815277532097284</v>
      </c>
      <c r="M38" s="342"/>
      <c r="N38" s="343"/>
      <c r="O38" s="338" t="s">
        <v>35</v>
      </c>
      <c r="P38" s="344" t="s">
        <v>168</v>
      </c>
      <c r="Q38" s="344"/>
      <c r="R38" s="339">
        <f>Welding!E6</f>
        <v>2955.48</v>
      </c>
      <c r="S38" s="344">
        <v>10</v>
      </c>
      <c r="T38" s="345">
        <f t="shared" ref="T38:T42" si="7">R38/S38</f>
        <v>295.548</v>
      </c>
    </row>
    <row r="39" spans="3:20" x14ac:dyDescent="0.25">
      <c r="G39" s="437"/>
      <c r="H39" s="438" t="s">
        <v>384</v>
      </c>
      <c r="I39" s="439"/>
      <c r="J39" s="439"/>
      <c r="K39" s="440" t="e">
        <f>'Manpower &amp; time'!#REF!</f>
        <v>#REF!</v>
      </c>
      <c r="M39" s="342" t="s">
        <v>180</v>
      </c>
      <c r="N39" s="348" t="e">
        <f>#REF!</f>
        <v>#REF!</v>
      </c>
      <c r="O39" s="338" t="s">
        <v>197</v>
      </c>
      <c r="P39" s="344" t="s">
        <v>168</v>
      </c>
      <c r="Q39" s="344"/>
      <c r="R39" s="339">
        <f>Welding!E9</f>
        <v>1185</v>
      </c>
      <c r="S39" s="344">
        <v>5</v>
      </c>
      <c r="T39" s="345">
        <f t="shared" si="7"/>
        <v>237</v>
      </c>
    </row>
    <row r="40" spans="3:20" ht="15.75" thickBot="1" x14ac:dyDescent="0.3">
      <c r="G40" s="443"/>
      <c r="H40" s="428" t="s">
        <v>260</v>
      </c>
      <c r="I40" s="444"/>
      <c r="J40" s="444"/>
      <c r="K40" s="445" t="e">
        <f>'Manpower &amp; time'!#REF!</f>
        <v>#REF!</v>
      </c>
      <c r="M40" s="342" t="s">
        <v>372</v>
      </c>
      <c r="N40" s="446">
        <f>Welding!D28</f>
        <v>0</v>
      </c>
      <c r="O40" s="338" t="s">
        <v>27</v>
      </c>
      <c r="P40" s="344" t="s">
        <v>168</v>
      </c>
      <c r="Q40" s="344"/>
      <c r="R40" s="339">
        <f>Welding!E9+Welding!E10</f>
        <v>1336.7666666666667</v>
      </c>
      <c r="S40" s="344">
        <v>2</v>
      </c>
      <c r="T40" s="345">
        <f t="shared" si="7"/>
        <v>668.38333333333333</v>
      </c>
    </row>
    <row r="41" spans="3:20" x14ac:dyDescent="0.25">
      <c r="M41" s="342"/>
      <c r="N41" s="343"/>
      <c r="O41" s="338" t="s">
        <v>184</v>
      </c>
      <c r="P41" s="344" t="s">
        <v>168</v>
      </c>
      <c r="Q41" s="344"/>
      <c r="R41" s="339">
        <f>Welding!E7</f>
        <v>4350</v>
      </c>
      <c r="S41" s="344">
        <v>10</v>
      </c>
      <c r="T41" s="345">
        <f t="shared" si="7"/>
        <v>435</v>
      </c>
    </row>
    <row r="42" spans="3:20" x14ac:dyDescent="0.25">
      <c r="M42" s="342"/>
      <c r="N42" s="343"/>
      <c r="O42" s="338" t="s">
        <v>22</v>
      </c>
      <c r="P42" s="344" t="s">
        <v>168</v>
      </c>
      <c r="Q42" s="344" t="s">
        <v>196</v>
      </c>
      <c r="R42" s="339">
        <f>0.03*(R37+R38)</f>
        <v>266.90674999999999</v>
      </c>
      <c r="S42" s="344">
        <v>1</v>
      </c>
      <c r="T42" s="345">
        <f t="shared" si="7"/>
        <v>266.90674999999999</v>
      </c>
    </row>
    <row r="43" spans="3:20" x14ac:dyDescent="0.25">
      <c r="M43" s="342"/>
      <c r="N43" s="343"/>
      <c r="O43" s="338" t="s">
        <v>19</v>
      </c>
      <c r="P43" s="344" t="s">
        <v>169</v>
      </c>
      <c r="Q43" s="344" t="s">
        <v>426</v>
      </c>
      <c r="R43" s="359" t="e">
        <f>(0.75+0.5)*#REF!</f>
        <v>#REF!</v>
      </c>
      <c r="S43" s="344"/>
      <c r="T43" s="360"/>
    </row>
    <row r="44" spans="3:20" x14ac:dyDescent="0.25">
      <c r="M44" s="447"/>
      <c r="N44" s="448"/>
      <c r="O44" s="338" t="s">
        <v>370</v>
      </c>
      <c r="P44" s="449" t="s">
        <v>169</v>
      </c>
      <c r="Q44" s="450" t="s">
        <v>369</v>
      </c>
      <c r="R44" s="339">
        <f>Welding!D25</f>
        <v>0</v>
      </c>
      <c r="S44" s="344"/>
      <c r="T44" s="360"/>
    </row>
    <row r="45" spans="3:20" x14ac:dyDescent="0.25">
      <c r="M45" s="451"/>
      <c r="N45" s="452"/>
      <c r="O45" s="338" t="s">
        <v>371</v>
      </c>
      <c r="P45" s="449"/>
      <c r="Q45" s="450"/>
      <c r="R45" s="339" t="e">
        <f>Welding!#REF!</f>
        <v>#REF!</v>
      </c>
      <c r="S45" s="344"/>
      <c r="T45" s="360"/>
    </row>
    <row r="46" spans="3:20" ht="15.75" thickBot="1" x14ac:dyDescent="0.3">
      <c r="C46" s="42"/>
      <c r="M46" s="453"/>
      <c r="N46" s="454"/>
      <c r="O46" s="350" t="s">
        <v>185</v>
      </c>
      <c r="P46" s="376" t="s">
        <v>169</v>
      </c>
      <c r="Q46" s="376" t="s">
        <v>369</v>
      </c>
      <c r="R46" s="351">
        <f>Welding!D18</f>
        <v>0.39473684210526316</v>
      </c>
      <c r="S46" s="376"/>
      <c r="T46" s="377"/>
    </row>
    <row r="47" spans="3:20" x14ac:dyDescent="0.25">
      <c r="C47" s="42"/>
      <c r="M47" s="382" t="s">
        <v>321</v>
      </c>
      <c r="N47" s="383"/>
      <c r="O47" s="328" t="s">
        <v>375</v>
      </c>
      <c r="P47" s="333" t="s">
        <v>168</v>
      </c>
      <c r="Q47" s="333"/>
      <c r="R47" s="384" t="e">
        <f>#REF!</f>
        <v>#REF!</v>
      </c>
      <c r="S47" s="333">
        <v>10</v>
      </c>
      <c r="T47" s="334" t="e">
        <f>R47/S47</f>
        <v>#REF!</v>
      </c>
    </row>
    <row r="48" spans="3:20" x14ac:dyDescent="0.25">
      <c r="C48" s="42"/>
      <c r="M48" s="386" t="s">
        <v>211</v>
      </c>
      <c r="N48" s="387">
        <v>6</v>
      </c>
      <c r="O48" s="338" t="s">
        <v>380</v>
      </c>
      <c r="P48" s="344" t="s">
        <v>168</v>
      </c>
      <c r="Q48" s="344"/>
      <c r="R48" s="339" t="e">
        <f>#REF!</f>
        <v>#REF!</v>
      </c>
      <c r="S48" s="344">
        <v>10</v>
      </c>
      <c r="T48" s="345" t="e">
        <f>R48/S48</f>
        <v>#REF!</v>
      </c>
    </row>
    <row r="49" spans="3:20" x14ac:dyDescent="0.25">
      <c r="C49" s="42"/>
      <c r="M49" s="386" t="s">
        <v>180</v>
      </c>
      <c r="N49" s="389">
        <v>0.44</v>
      </c>
      <c r="O49" s="338" t="s">
        <v>387</v>
      </c>
      <c r="P49" s="344" t="s">
        <v>168</v>
      </c>
      <c r="Q49" s="344"/>
      <c r="R49" s="339">
        <f>(R6+R5+R13+R14)*0.25</f>
        <v>7625</v>
      </c>
      <c r="S49" s="344">
        <v>5</v>
      </c>
      <c r="T49" s="345">
        <f t="shared" ref="T49:T50" si="8">R49/S49</f>
        <v>1525</v>
      </c>
    </row>
    <row r="50" spans="3:20" x14ac:dyDescent="0.25">
      <c r="C50" s="42"/>
      <c r="M50" s="386" t="s">
        <v>181</v>
      </c>
      <c r="N50" s="387">
        <v>5</v>
      </c>
      <c r="O50" s="338" t="s">
        <v>22</v>
      </c>
      <c r="P50" s="344" t="s">
        <v>168</v>
      </c>
      <c r="Q50" s="344" t="s">
        <v>381</v>
      </c>
      <c r="R50" s="365" t="e">
        <f>0.03*(R48+R47)</f>
        <v>#REF!</v>
      </c>
      <c r="S50" s="344">
        <v>1</v>
      </c>
      <c r="T50" s="345" t="e">
        <f t="shared" si="8"/>
        <v>#REF!</v>
      </c>
    </row>
    <row r="51" spans="3:20" x14ac:dyDescent="0.25">
      <c r="M51" s="386" t="s">
        <v>396</v>
      </c>
      <c r="N51" s="391">
        <f>3*1/10000</f>
        <v>2.9999999999999997E-4</v>
      </c>
      <c r="O51" s="338" t="s">
        <v>19</v>
      </c>
      <c r="P51" s="344" t="s">
        <v>169</v>
      </c>
      <c r="Q51" s="344" t="s">
        <v>212</v>
      </c>
      <c r="R51" s="359" t="e">
        <f>N48*0.8*#REF!</f>
        <v>#REF!</v>
      </c>
      <c r="S51" s="344"/>
      <c r="T51" s="360"/>
    </row>
    <row r="52" spans="3:20" ht="15.75" thickBot="1" x14ac:dyDescent="0.3">
      <c r="M52" s="455" t="s">
        <v>198</v>
      </c>
      <c r="N52" s="400">
        <v>10</v>
      </c>
      <c r="O52" s="350" t="s">
        <v>382</v>
      </c>
      <c r="P52" s="376" t="s">
        <v>169</v>
      </c>
      <c r="Q52" s="376" t="s">
        <v>212</v>
      </c>
      <c r="R52" s="456">
        <v>10</v>
      </c>
      <c r="S52" s="376"/>
      <c r="T52" s="377"/>
    </row>
    <row r="53" spans="3:20" ht="15.75" thickBot="1" x14ac:dyDescent="0.3"/>
    <row r="54" spans="3:20" ht="15.75" thickBot="1" x14ac:dyDescent="0.3">
      <c r="M54" s="457" t="s">
        <v>428</v>
      </c>
      <c r="N54" s="458"/>
      <c r="O54" s="458"/>
      <c r="P54" s="458"/>
      <c r="Q54" s="458"/>
      <c r="R54" s="458"/>
      <c r="S54" s="459"/>
    </row>
    <row r="55" spans="3:20" x14ac:dyDescent="0.25">
      <c r="M55" s="331" t="s">
        <v>393</v>
      </c>
      <c r="N55" s="460"/>
      <c r="O55" s="461" t="s">
        <v>230</v>
      </c>
      <c r="P55" s="461"/>
      <c r="Q55" s="461"/>
      <c r="R55" s="461"/>
      <c r="S55" s="462" t="e">
        <f>SUM(T4:T7)+T10</f>
        <v>#REF!</v>
      </c>
    </row>
    <row r="56" spans="3:20" x14ac:dyDescent="0.25">
      <c r="M56" s="463" t="s">
        <v>397</v>
      </c>
      <c r="N56" s="464"/>
      <c r="O56" s="465" t="s">
        <v>231</v>
      </c>
      <c r="P56" s="465"/>
      <c r="Q56" s="465"/>
      <c r="R56" s="465"/>
      <c r="S56" s="466" t="e">
        <f>S55/(N6*#REF!*#REF!)+K36</f>
        <v>#REF!</v>
      </c>
    </row>
    <row r="57" spans="3:20" x14ac:dyDescent="0.25">
      <c r="K57" s="467"/>
      <c r="M57" s="468" t="s">
        <v>400</v>
      </c>
      <c r="N57" s="469">
        <v>2.5</v>
      </c>
      <c r="O57" s="465" t="s">
        <v>232</v>
      </c>
      <c r="P57" s="465"/>
      <c r="Q57" s="465"/>
      <c r="R57" s="465"/>
      <c r="S57" s="466" t="e">
        <f>S56+R9+R8</f>
        <v>#REF!</v>
      </c>
    </row>
    <row r="58" spans="3:20" x14ac:dyDescent="0.25">
      <c r="K58" s="467"/>
      <c r="M58" s="468" t="s">
        <v>424</v>
      </c>
      <c r="N58" s="469">
        <v>0.5</v>
      </c>
      <c r="O58" s="465"/>
      <c r="P58" s="465"/>
      <c r="Q58" s="465"/>
      <c r="R58" s="465"/>
      <c r="S58" s="470"/>
    </row>
    <row r="59" spans="3:20" x14ac:dyDescent="0.25">
      <c r="J59" s="471"/>
      <c r="K59" s="467"/>
      <c r="M59" s="472"/>
      <c r="N59" s="473"/>
      <c r="O59" s="465" t="s">
        <v>218</v>
      </c>
      <c r="P59" s="465"/>
      <c r="Q59" s="465"/>
      <c r="R59" s="465"/>
      <c r="S59" s="474" t="e">
        <f>('Manpower &amp; time'!H16+S57)*N8/60</f>
        <v>#REF!</v>
      </c>
    </row>
    <row r="60" spans="3:20" x14ac:dyDescent="0.25">
      <c r="J60" s="475"/>
      <c r="K60" s="467"/>
      <c r="M60" s="472"/>
      <c r="N60" s="473"/>
      <c r="O60" s="465" t="s">
        <v>388</v>
      </c>
      <c r="P60" s="465"/>
      <c r="Q60" s="465"/>
      <c r="R60" s="465"/>
      <c r="S60" s="476" t="e">
        <f>('Manpower &amp; time'!H16)*N8/60/S59</f>
        <v>#REF!</v>
      </c>
    </row>
    <row r="61" spans="3:20" x14ac:dyDescent="0.25">
      <c r="J61" s="477"/>
      <c r="K61" s="467"/>
      <c r="M61" s="472"/>
      <c r="N61" s="473"/>
      <c r="O61" s="465"/>
      <c r="P61" s="465"/>
      <c r="Q61" s="465"/>
      <c r="R61" s="465"/>
      <c r="S61" s="474"/>
    </row>
    <row r="62" spans="3:20" x14ac:dyDescent="0.25">
      <c r="M62" s="472"/>
      <c r="N62" s="473"/>
      <c r="O62" s="465" t="s">
        <v>221</v>
      </c>
      <c r="P62" s="465"/>
      <c r="Q62" s="465"/>
      <c r="R62" s="465"/>
      <c r="S62" s="474" t="e">
        <f>('Manpower &amp; time'!H16+K36)*N9/60</f>
        <v>#REF!</v>
      </c>
    </row>
    <row r="63" spans="3:20" x14ac:dyDescent="0.25">
      <c r="K63" s="478"/>
      <c r="M63" s="472"/>
      <c r="N63" s="473"/>
      <c r="O63" s="465" t="s">
        <v>219</v>
      </c>
      <c r="P63" s="465"/>
      <c r="Q63" s="465"/>
      <c r="R63" s="465"/>
      <c r="S63" s="474" t="e">
        <f>('Manpower &amp; time'!H17+K36)*N9/60</f>
        <v>#REF!</v>
      </c>
    </row>
    <row r="64" spans="3:20" x14ac:dyDescent="0.25">
      <c r="K64" s="479"/>
      <c r="M64" s="472"/>
      <c r="N64" s="473"/>
      <c r="O64" s="465" t="s">
        <v>220</v>
      </c>
      <c r="P64" s="465"/>
      <c r="Q64" s="465"/>
      <c r="R64" s="465"/>
      <c r="S64" s="474" t="e">
        <f>('Manpower &amp; time'!#REF!+K36)*N9/60</f>
        <v>#REF!</v>
      </c>
    </row>
    <row r="65" spans="7:19" x14ac:dyDescent="0.25">
      <c r="K65" s="479"/>
      <c r="M65" s="472"/>
      <c r="N65" s="473"/>
      <c r="O65" s="465" t="s">
        <v>261</v>
      </c>
      <c r="P65" s="465"/>
      <c r="Q65" s="465"/>
      <c r="R65" s="465"/>
      <c r="S65" s="474" t="e">
        <f>('Manpower &amp; time'!H16+K36)*N$10/60</f>
        <v>#REF!</v>
      </c>
    </row>
    <row r="66" spans="7:19" x14ac:dyDescent="0.25">
      <c r="K66" s="479"/>
      <c r="M66" s="472"/>
      <c r="N66" s="473"/>
      <c r="O66" s="465" t="s">
        <v>262</v>
      </c>
      <c r="P66" s="465"/>
      <c r="Q66" s="465"/>
      <c r="R66" s="465"/>
      <c r="S66" s="474" t="e">
        <f>('Manpower &amp; time'!H17+K36)*N$10/60</f>
        <v>#REF!</v>
      </c>
    </row>
    <row r="67" spans="7:19" x14ac:dyDescent="0.25">
      <c r="K67" s="480"/>
      <c r="M67" s="472"/>
      <c r="N67" s="473"/>
      <c r="O67" s="465" t="s">
        <v>263</v>
      </c>
      <c r="P67" s="465"/>
      <c r="Q67" s="465"/>
      <c r="R67" s="465"/>
      <c r="S67" s="474" t="e">
        <f>('Manpower &amp; time'!#REF!+K36)*N$10/60</f>
        <v>#REF!</v>
      </c>
    </row>
    <row r="68" spans="7:19" ht="15.75" thickBot="1" x14ac:dyDescent="0.3">
      <c r="M68" s="453"/>
      <c r="N68" s="481"/>
      <c r="O68" s="482" t="s">
        <v>229</v>
      </c>
      <c r="P68" s="482"/>
      <c r="Q68" s="482"/>
      <c r="R68" s="482"/>
      <c r="S68" s="483" t="e">
        <f>('Manpower &amp; time'!H16+S56)*(N11+N7)/60</f>
        <v>#REF!</v>
      </c>
    </row>
    <row r="69" spans="7:19" x14ac:dyDescent="0.25">
      <c r="M69" s="382" t="s">
        <v>18</v>
      </c>
      <c r="N69" s="484"/>
      <c r="O69" s="461" t="s">
        <v>230</v>
      </c>
      <c r="P69" s="461"/>
      <c r="Q69" s="461"/>
      <c r="R69" s="461"/>
      <c r="S69" s="462">
        <f>SUM(T12:T15)+T18</f>
        <v>23026.025600000001</v>
      </c>
    </row>
    <row r="70" spans="7:19" x14ac:dyDescent="0.25">
      <c r="M70" s="485" t="s">
        <v>397</v>
      </c>
      <c r="N70" s="486"/>
      <c r="O70" s="465" t="s">
        <v>231</v>
      </c>
      <c r="P70" s="465"/>
      <c r="Q70" s="465"/>
      <c r="R70" s="465"/>
      <c r="S70" s="466" t="e">
        <f>S69/(N14*#REF!*#REF!)+K36</f>
        <v>#REF!</v>
      </c>
    </row>
    <row r="71" spans="7:19" x14ac:dyDescent="0.25">
      <c r="K71" s="479"/>
      <c r="M71" s="487" t="s">
        <v>400</v>
      </c>
      <c r="N71" s="488">
        <v>2.5</v>
      </c>
      <c r="O71" s="465" t="s">
        <v>232</v>
      </c>
      <c r="P71" s="465"/>
      <c r="Q71" s="465"/>
      <c r="R71" s="465"/>
      <c r="S71" s="466" t="e">
        <f>S70+R17+R16</f>
        <v>#REF!</v>
      </c>
    </row>
    <row r="72" spans="7:19" x14ac:dyDescent="0.25">
      <c r="M72" s="487" t="s">
        <v>424</v>
      </c>
      <c r="N72" s="488">
        <v>0.5</v>
      </c>
      <c r="O72" s="465"/>
      <c r="P72" s="465"/>
      <c r="Q72" s="465"/>
      <c r="R72" s="465"/>
      <c r="S72" s="470"/>
    </row>
    <row r="73" spans="7:19" x14ac:dyDescent="0.25">
      <c r="G73" s="489"/>
      <c r="M73" s="490"/>
      <c r="N73" s="491"/>
      <c r="O73" s="465" t="s">
        <v>218</v>
      </c>
      <c r="P73" s="465"/>
      <c r="Q73" s="465"/>
      <c r="R73" s="465"/>
      <c r="S73" s="474" t="e">
        <f>(K37+S71)*N16/60</f>
        <v>#REF!</v>
      </c>
    </row>
    <row r="74" spans="7:19" x14ac:dyDescent="0.25">
      <c r="M74" s="490"/>
      <c r="N74" s="491"/>
      <c r="O74" s="465" t="s">
        <v>388</v>
      </c>
      <c r="P74" s="465"/>
      <c r="Q74" s="465"/>
      <c r="R74" s="465"/>
      <c r="S74" s="476" t="e">
        <f>(K37)*N16/60/S73</f>
        <v>#REF!</v>
      </c>
    </row>
    <row r="75" spans="7:19" x14ac:dyDescent="0.25">
      <c r="M75" s="490"/>
      <c r="N75" s="491"/>
      <c r="O75" s="465"/>
      <c r="P75" s="465"/>
      <c r="Q75" s="465"/>
      <c r="R75" s="465"/>
      <c r="S75" s="474"/>
    </row>
    <row r="76" spans="7:19" x14ac:dyDescent="0.25">
      <c r="M76" s="490"/>
      <c r="N76" s="491"/>
      <c r="O76" s="465" t="s">
        <v>221</v>
      </c>
      <c r="P76" s="465"/>
      <c r="Q76" s="465"/>
      <c r="R76" s="465"/>
      <c r="S76" s="474" t="e">
        <f>(K37+K36)*N$17/60</f>
        <v>#REF!</v>
      </c>
    </row>
    <row r="77" spans="7:19" x14ac:dyDescent="0.25">
      <c r="M77" s="490"/>
      <c r="N77" s="491"/>
      <c r="O77" s="465" t="s">
        <v>219</v>
      </c>
      <c r="P77" s="465"/>
      <c r="Q77" s="465"/>
      <c r="R77" s="465"/>
      <c r="S77" s="474" t="e">
        <f>(K38+K36)*N$17/60</f>
        <v>#REF!</v>
      </c>
    </row>
    <row r="78" spans="7:19" x14ac:dyDescent="0.25">
      <c r="M78" s="490"/>
      <c r="N78" s="491"/>
      <c r="O78" s="465" t="s">
        <v>220</v>
      </c>
      <c r="P78" s="465"/>
      <c r="Q78" s="465"/>
      <c r="R78" s="465"/>
      <c r="S78" s="474" t="e">
        <f>(K40+K36)*N$17/60</f>
        <v>#REF!</v>
      </c>
    </row>
    <row r="79" spans="7:19" x14ac:dyDescent="0.25">
      <c r="M79" s="490"/>
      <c r="N79" s="491"/>
      <c r="O79" s="465" t="s">
        <v>261</v>
      </c>
      <c r="P79" s="465"/>
      <c r="Q79" s="465"/>
      <c r="R79" s="465"/>
      <c r="S79" s="474" t="e">
        <f>(K37+K36)*N$18/60</f>
        <v>#REF!</v>
      </c>
    </row>
    <row r="80" spans="7:19" x14ac:dyDescent="0.25">
      <c r="M80" s="490"/>
      <c r="N80" s="491"/>
      <c r="O80" s="465" t="s">
        <v>262</v>
      </c>
      <c r="P80" s="465"/>
      <c r="Q80" s="465"/>
      <c r="R80" s="465"/>
      <c r="S80" s="474" t="e">
        <f>(K38+K36)*N$18/60</f>
        <v>#REF!</v>
      </c>
    </row>
    <row r="81" spans="13:20" x14ac:dyDescent="0.25">
      <c r="M81" s="490"/>
      <c r="N81" s="491"/>
      <c r="O81" s="465" t="s">
        <v>263</v>
      </c>
      <c r="P81" s="465"/>
      <c r="Q81" s="465"/>
      <c r="R81" s="465"/>
      <c r="S81" s="474" t="e">
        <f>(K40+K36)*N$18/60</f>
        <v>#REF!</v>
      </c>
    </row>
    <row r="82" spans="13:20" ht="15.75" thickBot="1" x14ac:dyDescent="0.3">
      <c r="M82" s="490"/>
      <c r="N82" s="491"/>
      <c r="O82" s="492" t="s">
        <v>229</v>
      </c>
      <c r="P82" s="492"/>
      <c r="Q82" s="492"/>
      <c r="R82" s="492"/>
      <c r="S82" s="493" t="e">
        <f>(K37+S70)*(N15+N19)/60</f>
        <v>#REF!</v>
      </c>
    </row>
    <row r="83" spans="13:20" x14ac:dyDescent="0.25">
      <c r="M83" s="405" t="s">
        <v>334</v>
      </c>
      <c r="N83" s="494"/>
      <c r="O83" s="461" t="s">
        <v>230</v>
      </c>
      <c r="P83" s="461"/>
      <c r="Q83" s="461"/>
      <c r="R83" s="461"/>
      <c r="S83" s="462" t="e">
        <f>T21+T22</f>
        <v>#REF!</v>
      </c>
    </row>
    <row r="84" spans="13:20" x14ac:dyDescent="0.25">
      <c r="M84" s="495" t="s">
        <v>398</v>
      </c>
      <c r="N84" s="496"/>
      <c r="O84" s="465" t="s">
        <v>231</v>
      </c>
      <c r="P84" s="465"/>
      <c r="Q84" s="465"/>
      <c r="R84" s="465"/>
      <c r="S84" s="466" t="e">
        <f>S83/(N24*#REF!*#REF!)+K36</f>
        <v>#REF!</v>
      </c>
    </row>
    <row r="85" spans="13:20" x14ac:dyDescent="0.25">
      <c r="M85" s="497" t="s">
        <v>399</v>
      </c>
      <c r="N85" s="498">
        <f>'Laser cutter'!J14</f>
        <v>0.71739130434782605</v>
      </c>
      <c r="O85" s="465" t="s">
        <v>232</v>
      </c>
      <c r="P85" s="465"/>
      <c r="Q85" s="465"/>
      <c r="R85" s="465"/>
      <c r="S85" s="466" t="e">
        <f>S84+R24+R28</f>
        <v>#REF!</v>
      </c>
    </row>
    <row r="86" spans="13:20" x14ac:dyDescent="0.25">
      <c r="M86" s="495"/>
      <c r="N86" s="496"/>
      <c r="O86" s="465"/>
      <c r="P86" s="465"/>
      <c r="Q86" s="465"/>
      <c r="R86" s="465"/>
      <c r="S86" s="470"/>
    </row>
    <row r="87" spans="13:20" x14ac:dyDescent="0.25">
      <c r="M87" s="495"/>
      <c r="N87" s="496"/>
      <c r="O87" s="465" t="s">
        <v>335</v>
      </c>
      <c r="P87" s="465"/>
      <c r="Q87" s="465"/>
      <c r="R87" s="465"/>
      <c r="S87" s="474" t="e">
        <f>(K37*0.4+S85)*N33/60</f>
        <v>#REF!</v>
      </c>
    </row>
    <row r="88" spans="13:20" x14ac:dyDescent="0.25">
      <c r="M88" s="495"/>
      <c r="N88" s="496"/>
      <c r="O88" s="465" t="s">
        <v>388</v>
      </c>
      <c r="P88" s="465"/>
      <c r="Q88" s="465"/>
      <c r="R88" s="465"/>
      <c r="S88" s="476" t="e">
        <f>(K37)*N33/60/S87</f>
        <v>#REF!</v>
      </c>
    </row>
    <row r="89" spans="13:20" x14ac:dyDescent="0.25">
      <c r="M89" s="495"/>
      <c r="N89" s="496"/>
      <c r="O89" s="465"/>
      <c r="P89" s="465"/>
      <c r="Q89" s="465"/>
      <c r="R89" s="465"/>
      <c r="S89" s="360"/>
    </row>
    <row r="90" spans="13:20" x14ac:dyDescent="0.25">
      <c r="M90" s="495"/>
      <c r="N90" s="496"/>
      <c r="O90" s="465" t="s">
        <v>420</v>
      </c>
      <c r="P90" s="465"/>
      <c r="Q90" s="465"/>
      <c r="R90" s="465"/>
      <c r="S90" s="499" t="e">
        <f>(K37+K36)*N34/60</f>
        <v>#REF!</v>
      </c>
    </row>
    <row r="91" spans="13:20" x14ac:dyDescent="0.25">
      <c r="M91" s="495"/>
      <c r="N91" s="496"/>
      <c r="O91" s="465" t="s">
        <v>421</v>
      </c>
      <c r="P91" s="465"/>
      <c r="Q91" s="465"/>
      <c r="R91" s="465"/>
      <c r="S91" s="499" t="e">
        <f>(K38+K36)*N34/60</f>
        <v>#REF!</v>
      </c>
    </row>
    <row r="92" spans="13:20" x14ac:dyDescent="0.25">
      <c r="M92" s="495"/>
      <c r="N92" s="496"/>
      <c r="O92" s="465" t="s">
        <v>422</v>
      </c>
      <c r="P92" s="465"/>
      <c r="Q92" s="465"/>
      <c r="R92" s="465"/>
      <c r="S92" s="499" t="e">
        <f>(K37+K36)*N35/60</f>
        <v>#REF!</v>
      </c>
    </row>
    <row r="93" spans="13:20" x14ac:dyDescent="0.25">
      <c r="M93" s="495"/>
      <c r="N93" s="496"/>
      <c r="O93" s="465" t="s">
        <v>423</v>
      </c>
      <c r="P93" s="465"/>
      <c r="Q93" s="465"/>
      <c r="R93" s="465"/>
      <c r="S93" s="499" t="e">
        <f>(K38+K36)*N$35/60</f>
        <v>#REF!</v>
      </c>
    </row>
    <row r="94" spans="13:20" ht="15.75" thickBot="1" x14ac:dyDescent="0.3">
      <c r="M94" s="500"/>
      <c r="N94" s="501"/>
      <c r="O94" s="482" t="s">
        <v>229</v>
      </c>
      <c r="P94" s="482"/>
      <c r="Q94" s="482"/>
      <c r="R94" s="482"/>
      <c r="S94" s="483" t="e">
        <f>(K37+S84)*(N36+N28)/60</f>
        <v>#REF!</v>
      </c>
    </row>
    <row r="95" spans="13:20" x14ac:dyDescent="0.25">
      <c r="M95" s="463" t="s">
        <v>24</v>
      </c>
      <c r="N95" s="464"/>
      <c r="O95" s="502" t="s">
        <v>230</v>
      </c>
      <c r="P95" s="502"/>
      <c r="Q95" s="502"/>
      <c r="R95" s="502"/>
      <c r="S95" s="503">
        <f>SUM(T37:T42)</f>
        <v>2496.9792499999999</v>
      </c>
    </row>
    <row r="96" spans="13:20" x14ac:dyDescent="0.25">
      <c r="M96" s="342"/>
      <c r="N96" s="504"/>
      <c r="O96" s="465" t="s">
        <v>231</v>
      </c>
      <c r="P96" s="465"/>
      <c r="Q96" s="465"/>
      <c r="R96" s="465"/>
      <c r="S96" s="341" t="e">
        <f>S95/(N39*#REF!*#REF!)+K36</f>
        <v>#REF!</v>
      </c>
      <c r="T96" s="505"/>
    </row>
    <row r="97" spans="13:19" x14ac:dyDescent="0.25">
      <c r="M97" s="472"/>
      <c r="N97" s="473"/>
      <c r="O97" s="465" t="s">
        <v>232</v>
      </c>
      <c r="P97" s="465"/>
      <c r="Q97" s="465"/>
      <c r="R97" s="465"/>
      <c r="S97" s="341" t="e">
        <f>S96+R43</f>
        <v>#REF!</v>
      </c>
    </row>
    <row r="98" spans="13:19" x14ac:dyDescent="0.25">
      <c r="M98" s="472"/>
      <c r="N98" s="473"/>
      <c r="O98" s="465"/>
      <c r="P98" s="465"/>
      <c r="Q98" s="465"/>
      <c r="R98" s="465"/>
      <c r="S98" s="360"/>
    </row>
    <row r="99" spans="13:19" x14ac:dyDescent="0.25">
      <c r="M99" s="472"/>
      <c r="N99" s="473"/>
      <c r="O99" s="465" t="s">
        <v>373</v>
      </c>
      <c r="P99" s="465"/>
      <c r="Q99" s="465"/>
      <c r="R99" s="465"/>
      <c r="S99" s="345" t="e">
        <f>R44+R46+(S97+K39)*N40/60</f>
        <v>#REF!</v>
      </c>
    </row>
    <row r="100" spans="13:19" x14ac:dyDescent="0.25">
      <c r="M100" s="472"/>
      <c r="N100" s="473"/>
      <c r="O100" s="465" t="s">
        <v>374</v>
      </c>
      <c r="P100" s="465"/>
      <c r="Q100" s="465"/>
      <c r="R100" s="465"/>
      <c r="S100" s="341" t="e">
        <f>R45+R46+(S97+K39)*N40/60</f>
        <v>#REF!</v>
      </c>
    </row>
    <row r="101" spans="13:19" ht="15.75" thickBot="1" x14ac:dyDescent="0.3">
      <c r="M101" s="453"/>
      <c r="N101" s="481"/>
      <c r="O101" s="482"/>
      <c r="P101" s="482"/>
      <c r="Q101" s="482"/>
      <c r="R101" s="482"/>
      <c r="S101" s="377"/>
    </row>
    <row r="102" spans="13:19" x14ac:dyDescent="0.25">
      <c r="M102" s="382" t="s">
        <v>321</v>
      </c>
      <c r="N102" s="484"/>
      <c r="O102" s="461" t="s">
        <v>230</v>
      </c>
      <c r="P102" s="461"/>
      <c r="Q102" s="461"/>
      <c r="R102" s="461"/>
      <c r="S102" s="462" t="e">
        <f>SUM(T47:T50)</f>
        <v>#REF!</v>
      </c>
    </row>
    <row r="103" spans="13:19" x14ac:dyDescent="0.25">
      <c r="M103" s="386"/>
      <c r="N103" s="506"/>
      <c r="O103" s="465" t="s">
        <v>231</v>
      </c>
      <c r="P103" s="465"/>
      <c r="Q103" s="465"/>
      <c r="R103" s="465"/>
      <c r="S103" s="466" t="e">
        <f>S102/(N49*#REF!*#REF!)+K36</f>
        <v>#REF!</v>
      </c>
    </row>
    <row r="104" spans="13:19" x14ac:dyDescent="0.25">
      <c r="M104" s="490"/>
      <c r="N104" s="491"/>
      <c r="O104" s="465" t="s">
        <v>232</v>
      </c>
      <c r="P104" s="465"/>
      <c r="Q104" s="465"/>
      <c r="R104" s="465"/>
      <c r="S104" s="466" t="e">
        <f>S103+R52+R51</f>
        <v>#REF!</v>
      </c>
    </row>
    <row r="105" spans="13:19" x14ac:dyDescent="0.25">
      <c r="M105" s="490"/>
      <c r="N105" s="491"/>
      <c r="O105" s="465"/>
      <c r="P105" s="465"/>
      <c r="Q105" s="465"/>
      <c r="R105" s="465"/>
      <c r="S105" s="470"/>
    </row>
    <row r="106" spans="13:19" x14ac:dyDescent="0.25">
      <c r="M106" s="490"/>
      <c r="N106" s="491"/>
      <c r="O106" s="465" t="s">
        <v>218</v>
      </c>
      <c r="P106" s="465"/>
      <c r="Q106" s="465"/>
      <c r="R106" s="465"/>
      <c r="S106" s="474" t="e">
        <f>(K37+S104)*N51/60</f>
        <v>#REF!</v>
      </c>
    </row>
    <row r="107" spans="13:19" ht="15.75" thickBot="1" x14ac:dyDescent="0.3">
      <c r="M107" s="507"/>
      <c r="N107" s="508"/>
      <c r="O107" s="482" t="s">
        <v>229</v>
      </c>
      <c r="P107" s="482"/>
      <c r="Q107" s="482"/>
      <c r="R107" s="482"/>
      <c r="S107" s="483" t="e">
        <f>(K37+S103)*(N50+N52)/60</f>
        <v>#REF!</v>
      </c>
    </row>
  </sheetData>
  <mergeCells count="88">
    <mergeCell ref="G19:G25"/>
    <mergeCell ref="O82:R82"/>
    <mergeCell ref="O80:R80"/>
    <mergeCell ref="O67:R67"/>
    <mergeCell ref="O72:R72"/>
    <mergeCell ref="O88:R88"/>
    <mergeCell ref="O89:R89"/>
    <mergeCell ref="O90:R90"/>
    <mergeCell ref="O91:R91"/>
    <mergeCell ref="G8:G10"/>
    <mergeCell ref="G11:G18"/>
    <mergeCell ref="O83:R83"/>
    <mergeCell ref="O76:R76"/>
    <mergeCell ref="O77:R77"/>
    <mergeCell ref="O79:R79"/>
    <mergeCell ref="O58:R58"/>
    <mergeCell ref="O59:R59"/>
    <mergeCell ref="O68:R68"/>
    <mergeCell ref="O62:R62"/>
    <mergeCell ref="O81:R81"/>
    <mergeCell ref="O107:R107"/>
    <mergeCell ref="O106:R106"/>
    <mergeCell ref="O100:R100"/>
    <mergeCell ref="O101:R101"/>
    <mergeCell ref="O99:R99"/>
    <mergeCell ref="O105:R105"/>
    <mergeCell ref="O60:R60"/>
    <mergeCell ref="O61:R61"/>
    <mergeCell ref="O74:R74"/>
    <mergeCell ref="O75:R75"/>
    <mergeCell ref="O63:R63"/>
    <mergeCell ref="O64:R64"/>
    <mergeCell ref="O65:R65"/>
    <mergeCell ref="O66:R66"/>
    <mergeCell ref="O69:R69"/>
    <mergeCell ref="O70:R70"/>
    <mergeCell ref="O71:R71"/>
    <mergeCell ref="B2:E2"/>
    <mergeCell ref="B5:B8"/>
    <mergeCell ref="B9:B12"/>
    <mergeCell ref="B13:B15"/>
    <mergeCell ref="B16:B17"/>
    <mergeCell ref="E5:E8"/>
    <mergeCell ref="G2:K2"/>
    <mergeCell ref="M2:T2"/>
    <mergeCell ref="M47:N47"/>
    <mergeCell ref="O57:R57"/>
    <mergeCell ref="M54:S54"/>
    <mergeCell ref="O55:R55"/>
    <mergeCell ref="O56:R56"/>
    <mergeCell ref="M55:N55"/>
    <mergeCell ref="M4:N4"/>
    <mergeCell ref="M21:N21"/>
    <mergeCell ref="M12:N12"/>
    <mergeCell ref="P44:P45"/>
    <mergeCell ref="Q44:Q45"/>
    <mergeCell ref="G26:G32"/>
    <mergeCell ref="O73:R73"/>
    <mergeCell ref="M90:N90"/>
    <mergeCell ref="M91:N91"/>
    <mergeCell ref="M92:N92"/>
    <mergeCell ref="M93:N93"/>
    <mergeCell ref="M83:N83"/>
    <mergeCell ref="M87:N87"/>
    <mergeCell ref="M88:N88"/>
    <mergeCell ref="M89:N89"/>
    <mergeCell ref="O93:R93"/>
    <mergeCell ref="O78:R78"/>
    <mergeCell ref="O84:R84"/>
    <mergeCell ref="O85:R85"/>
    <mergeCell ref="O86:R86"/>
    <mergeCell ref="O92:R92"/>
    <mergeCell ref="O87:R87"/>
    <mergeCell ref="M70:N70"/>
    <mergeCell ref="M56:N56"/>
    <mergeCell ref="M69:N69"/>
    <mergeCell ref="M84:N84"/>
    <mergeCell ref="M86:N86"/>
    <mergeCell ref="O94:R94"/>
    <mergeCell ref="M102:N102"/>
    <mergeCell ref="O102:R102"/>
    <mergeCell ref="O103:R103"/>
    <mergeCell ref="O104:R104"/>
    <mergeCell ref="M95:N95"/>
    <mergeCell ref="O97:R97"/>
    <mergeCell ref="O98:R98"/>
    <mergeCell ref="O95:R95"/>
    <mergeCell ref="O96:R9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D25" sqref="D25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9" t="s">
        <v>292</v>
      </c>
      <c r="B2" s="2">
        <f>133720</f>
        <v>133720</v>
      </c>
      <c r="C2" t="s">
        <v>291</v>
      </c>
    </row>
    <row r="3" spans="1:6" x14ac:dyDescent="0.25">
      <c r="A3" s="9"/>
      <c r="B3" s="2"/>
    </row>
    <row r="4" spans="1:6" x14ac:dyDescent="0.25">
      <c r="A4" s="9" t="s">
        <v>269</v>
      </c>
      <c r="B4">
        <v>208</v>
      </c>
    </row>
    <row r="5" spans="1:6" x14ac:dyDescent="0.25">
      <c r="B5" t="s">
        <v>142</v>
      </c>
      <c r="C5" t="s">
        <v>160</v>
      </c>
    </row>
    <row r="6" spans="1:6" x14ac:dyDescent="0.25">
      <c r="A6" t="s">
        <v>79</v>
      </c>
      <c r="B6" s="2">
        <v>600</v>
      </c>
      <c r="C6" t="s">
        <v>267</v>
      </c>
    </row>
    <row r="7" spans="1:6" x14ac:dyDescent="0.25">
      <c r="A7" t="s">
        <v>265</v>
      </c>
      <c r="B7" s="2">
        <f>(2500+1500)/2</f>
        <v>2000</v>
      </c>
      <c r="C7" t="s">
        <v>267</v>
      </c>
    </row>
    <row r="8" spans="1:6" x14ac:dyDescent="0.25">
      <c r="A8" t="s">
        <v>266</v>
      </c>
      <c r="B8" s="2">
        <v>160</v>
      </c>
      <c r="C8" t="s">
        <v>268</v>
      </c>
    </row>
    <row r="10" spans="1:6" x14ac:dyDescent="0.25">
      <c r="A10" t="s">
        <v>51</v>
      </c>
      <c r="B10" t="s">
        <v>58</v>
      </c>
    </row>
    <row r="11" spans="1:6" x14ac:dyDescent="0.25">
      <c r="B11" t="s">
        <v>53</v>
      </c>
      <c r="C11" t="s">
        <v>55</v>
      </c>
      <c r="D11" t="s">
        <v>54</v>
      </c>
      <c r="E11" t="s">
        <v>56</v>
      </c>
    </row>
    <row r="12" spans="1:6" x14ac:dyDescent="0.25">
      <c r="A12" t="s">
        <v>52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57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293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9" sqref="H9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67</v>
      </c>
      <c r="C3" t="s">
        <v>176</v>
      </c>
      <c r="D3" t="s">
        <v>175</v>
      </c>
      <c r="E3" t="s">
        <v>174</v>
      </c>
      <c r="F3" t="s">
        <v>150</v>
      </c>
      <c r="G3" t="s">
        <v>151</v>
      </c>
    </row>
    <row r="4" spans="1:19" x14ac:dyDescent="0.25">
      <c r="A4" t="s">
        <v>65</v>
      </c>
      <c r="B4" t="s">
        <v>272</v>
      </c>
      <c r="C4" t="s">
        <v>271</v>
      </c>
      <c r="E4">
        <v>208995</v>
      </c>
      <c r="G4" s="2" t="e">
        <f>E4/Summary!#REF!</f>
        <v>#REF!</v>
      </c>
      <c r="H4" s="3" t="s">
        <v>66</v>
      </c>
      <c r="P4" t="s">
        <v>325</v>
      </c>
      <c r="Q4" t="s">
        <v>324</v>
      </c>
      <c r="R4" t="s">
        <v>326</v>
      </c>
      <c r="S4" t="s">
        <v>327</v>
      </c>
    </row>
    <row r="5" spans="1:19" x14ac:dyDescent="0.25">
      <c r="A5" t="s">
        <v>329</v>
      </c>
      <c r="B5" t="s">
        <v>331</v>
      </c>
      <c r="C5" t="s">
        <v>332</v>
      </c>
      <c r="F5">
        <v>126.82</v>
      </c>
      <c r="G5" s="2" t="e">
        <f>(1-Summary!#REF!)*'Laser cutter'!F5</f>
        <v>#REF!</v>
      </c>
      <c r="H5" s="3" t="s">
        <v>328</v>
      </c>
      <c r="O5" t="s">
        <v>323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330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284</v>
      </c>
      <c r="C9" t="s">
        <v>283</v>
      </c>
      <c r="D9" t="s">
        <v>285</v>
      </c>
      <c r="E9" t="s">
        <v>286</v>
      </c>
    </row>
    <row r="10" spans="1:19" x14ac:dyDescent="0.25">
      <c r="A10" t="s">
        <v>273</v>
      </c>
      <c r="B10" t="s">
        <v>274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275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276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390</v>
      </c>
      <c r="J12" t="s">
        <v>391</v>
      </c>
    </row>
    <row r="13" spans="1:19" x14ac:dyDescent="0.25">
      <c r="B13" t="s">
        <v>277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278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392</v>
      </c>
      <c r="J14" s="12">
        <f>J13/I13</f>
        <v>0.71739130434782605</v>
      </c>
    </row>
    <row r="15" spans="1:19" x14ac:dyDescent="0.25">
      <c r="B15" t="s">
        <v>279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280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281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282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287</v>
      </c>
      <c r="B19" t="s">
        <v>274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275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276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277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278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289</v>
      </c>
      <c r="B24" t="s">
        <v>288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275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276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004E-5A23-423F-8E6A-783EC59DF9AE}">
  <sheetPr>
    <tabColor theme="5"/>
  </sheetPr>
  <dimension ref="B1:M26"/>
  <sheetViews>
    <sheetView showGridLines="0" workbookViewId="0">
      <selection activeCell="E22" sqref="E22"/>
    </sheetView>
  </sheetViews>
  <sheetFormatPr baseColWidth="10" defaultRowHeight="15" x14ac:dyDescent="0.25"/>
  <cols>
    <col min="1" max="1" width="3.7109375" customWidth="1"/>
    <col min="2" max="2" width="27.28515625" bestFit="1" customWidth="1"/>
    <col min="3" max="3" width="17.5703125" bestFit="1" customWidth="1"/>
    <col min="4" max="4" width="8.28515625" bestFit="1" customWidth="1"/>
    <col min="5" max="5" width="16.85546875" bestFit="1" customWidth="1"/>
    <col min="6" max="6" width="21" bestFit="1" customWidth="1"/>
  </cols>
  <sheetData>
    <row r="1" spans="2:6" ht="15.75" thickBot="1" x14ac:dyDescent="0.3"/>
    <row r="2" spans="2:6" ht="15.75" thickBot="1" x14ac:dyDescent="0.3">
      <c r="B2" s="203" t="s">
        <v>511</v>
      </c>
      <c r="C2" s="204" t="s">
        <v>510</v>
      </c>
      <c r="D2" s="204" t="s">
        <v>508</v>
      </c>
      <c r="E2" s="204" t="s">
        <v>509</v>
      </c>
      <c r="F2" s="205" t="s">
        <v>512</v>
      </c>
    </row>
    <row r="3" spans="2:6" x14ac:dyDescent="0.25">
      <c r="B3" s="25">
        <v>30</v>
      </c>
      <c r="C3" s="28">
        <v>4.3659999999999997</v>
      </c>
      <c r="D3" s="28">
        <v>18</v>
      </c>
      <c r="E3" s="28">
        <v>19</v>
      </c>
      <c r="F3" s="161">
        <f>2*PI()*(B3/2)/1000*D3</f>
        <v>1.6964600329384882</v>
      </c>
    </row>
    <row r="4" spans="2:6" ht="15" customHeight="1" x14ac:dyDescent="0.25">
      <c r="B4" s="21">
        <v>28</v>
      </c>
      <c r="C4" s="10">
        <f>10.43+0.162</f>
        <v>10.592000000000001</v>
      </c>
      <c r="D4" s="10">
        <v>21</v>
      </c>
      <c r="E4" s="10">
        <v>15.9</v>
      </c>
      <c r="F4" s="155">
        <f t="shared" ref="F4:F8" si="0">2*PI()*(B4/2)/1000*D4</f>
        <v>1.8472564803107983</v>
      </c>
    </row>
    <row r="5" spans="2:6" ht="15" customHeight="1" x14ac:dyDescent="0.25">
      <c r="B5" s="21">
        <v>25</v>
      </c>
      <c r="C5" s="10">
        <f>10.434+0.31</f>
        <v>10.744</v>
      </c>
      <c r="D5" s="10">
        <v>33</v>
      </c>
      <c r="E5" s="10">
        <v>14</v>
      </c>
      <c r="F5" s="155">
        <f t="shared" si="0"/>
        <v>2.5918139392115793</v>
      </c>
    </row>
    <row r="6" spans="2:6" ht="15" customHeight="1" x14ac:dyDescent="0.25">
      <c r="B6" s="21">
        <v>20</v>
      </c>
      <c r="C6" s="10">
        <v>8.3160000000000007</v>
      </c>
      <c r="D6" s="10">
        <v>24</v>
      </c>
      <c r="E6" s="10">
        <v>11.5</v>
      </c>
      <c r="F6" s="155">
        <f t="shared" si="0"/>
        <v>1.5079644737231008</v>
      </c>
    </row>
    <row r="7" spans="2:6" ht="15" customHeight="1" x14ac:dyDescent="0.25">
      <c r="B7" s="21">
        <v>15</v>
      </c>
      <c r="C7" s="10">
        <v>6.101</v>
      </c>
      <c r="D7" s="10">
        <v>16</v>
      </c>
      <c r="E7" s="10">
        <v>9.5</v>
      </c>
      <c r="F7" s="155">
        <f t="shared" si="0"/>
        <v>0.7539822368615503</v>
      </c>
    </row>
    <row r="8" spans="2:6" ht="15.75" thickBot="1" x14ac:dyDescent="0.3">
      <c r="B8" s="23">
        <v>12</v>
      </c>
      <c r="C8" s="15">
        <v>0</v>
      </c>
      <c r="D8" s="15">
        <v>0</v>
      </c>
      <c r="E8" s="15">
        <v>8.5</v>
      </c>
      <c r="F8" s="156">
        <f t="shared" si="0"/>
        <v>0</v>
      </c>
    </row>
    <row r="9" spans="2:6" ht="15.75" thickBot="1" x14ac:dyDescent="0.3">
      <c r="D9" s="153"/>
      <c r="E9" s="153"/>
      <c r="F9" s="153"/>
    </row>
    <row r="10" spans="2:6" x14ac:dyDescent="0.25">
      <c r="B10" s="154" t="s">
        <v>517</v>
      </c>
      <c r="C10" s="157"/>
      <c r="F10" s="239">
        <f>SUM(F3:F8)</f>
        <v>8.3974771630455169</v>
      </c>
    </row>
    <row r="11" spans="2:6" x14ac:dyDescent="0.25">
      <c r="B11" s="21" t="s">
        <v>513</v>
      </c>
      <c r="C11" s="160">
        <f>SUMPRODUCT(C3:C8,E3:E8)</f>
        <v>555.37630000000001</v>
      </c>
    </row>
    <row r="12" spans="2:6" x14ac:dyDescent="0.25">
      <c r="B12" s="21" t="s">
        <v>519</v>
      </c>
      <c r="C12" s="163"/>
    </row>
    <row r="13" spans="2:6" x14ac:dyDescent="0.25">
      <c r="B13" s="21" t="s">
        <v>520</v>
      </c>
      <c r="C13" s="163"/>
    </row>
    <row r="14" spans="2:6" x14ac:dyDescent="0.25">
      <c r="B14" s="21" t="s">
        <v>518</v>
      </c>
      <c r="C14" s="163"/>
    </row>
    <row r="15" spans="2:6" ht="15.75" thickBot="1" x14ac:dyDescent="0.3">
      <c r="B15" s="162" t="s">
        <v>516</v>
      </c>
      <c r="C15" s="156"/>
    </row>
    <row r="18" spans="2:13" x14ac:dyDescent="0.25">
      <c r="K18" s="202"/>
      <c r="L18" s="202"/>
      <c r="M18" s="202"/>
    </row>
    <row r="19" spans="2:13" x14ac:dyDescent="0.25">
      <c r="G19" s="202"/>
      <c r="K19" s="202"/>
      <c r="L19" s="202"/>
      <c r="M19" s="202"/>
    </row>
    <row r="20" spans="2:13" x14ac:dyDescent="0.25">
      <c r="B20" s="153"/>
      <c r="C20" s="153"/>
      <c r="D20" s="153"/>
      <c r="E20" s="153"/>
      <c r="F20" s="153"/>
      <c r="G20" s="202"/>
      <c r="K20" s="202"/>
      <c r="L20" s="202"/>
      <c r="M20" s="202"/>
    </row>
    <row r="21" spans="2:13" x14ac:dyDescent="0.25">
      <c r="B21" s="153"/>
      <c r="C21" s="153"/>
      <c r="D21" s="153"/>
      <c r="E21" s="153"/>
      <c r="F21" s="153"/>
      <c r="K21" s="202"/>
      <c r="L21" s="202"/>
      <c r="M21" s="202"/>
    </row>
    <row r="22" spans="2:13" x14ac:dyDescent="0.25">
      <c r="B22" s="153"/>
      <c r="C22" s="153"/>
      <c r="D22" s="153"/>
      <c r="E22" s="153"/>
      <c r="F22" s="153"/>
      <c r="K22" s="202"/>
      <c r="L22" s="202"/>
      <c r="M22" s="202"/>
    </row>
    <row r="23" spans="2:13" x14ac:dyDescent="0.25">
      <c r="B23" s="153"/>
      <c r="C23" s="153"/>
      <c r="D23" s="153"/>
      <c r="E23" s="153"/>
      <c r="F23" s="153"/>
      <c r="K23" s="202"/>
      <c r="L23" s="202"/>
      <c r="M23" s="202"/>
    </row>
    <row r="24" spans="2:13" x14ac:dyDescent="0.25">
      <c r="B24" s="153"/>
      <c r="C24" s="153"/>
      <c r="D24" s="153"/>
      <c r="E24" s="153"/>
      <c r="F24" s="153"/>
      <c r="K24" s="202"/>
      <c r="L24" s="202"/>
      <c r="M24" s="202"/>
    </row>
    <row r="25" spans="2:13" x14ac:dyDescent="0.25">
      <c r="B25" s="153"/>
      <c r="C25" s="153"/>
      <c r="D25" s="153"/>
      <c r="E25" s="153"/>
      <c r="F25" s="153"/>
    </row>
    <row r="26" spans="2:13" x14ac:dyDescent="0.25">
      <c r="B26" s="153"/>
      <c r="C26" s="153"/>
      <c r="D26" s="153"/>
      <c r="E26" s="153"/>
      <c r="F26" s="15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348A-508F-4576-AF4D-76BB7EA34D19}">
  <sheetPr>
    <tabColor theme="5"/>
  </sheetPr>
  <dimension ref="A1:F24"/>
  <sheetViews>
    <sheetView showGridLines="0" workbookViewId="0">
      <selection activeCell="G8" sqref="G8"/>
    </sheetView>
  </sheetViews>
  <sheetFormatPr baseColWidth="10" defaultRowHeight="15" x14ac:dyDescent="0.25"/>
  <cols>
    <col min="1" max="1" width="3.28515625" customWidth="1"/>
    <col min="2" max="2" width="21.85546875" bestFit="1" customWidth="1"/>
    <col min="3" max="3" width="38.42578125" bestFit="1" customWidth="1"/>
    <col min="4" max="5" width="11.85546875" bestFit="1" customWidth="1"/>
    <col min="6" max="6" width="130.42578125" bestFit="1" customWidth="1"/>
    <col min="8" max="8" width="16.85546875" bestFit="1" customWidth="1"/>
    <col min="10" max="10" width="8.5703125" bestFit="1" customWidth="1"/>
  </cols>
  <sheetData>
    <row r="1" spans="1:6" ht="15.75" thickBot="1" x14ac:dyDescent="0.3"/>
    <row r="2" spans="1:6" ht="15.75" thickBot="1" x14ac:dyDescent="0.3">
      <c r="B2" s="240" t="s">
        <v>545</v>
      </c>
      <c r="C2" s="241"/>
      <c r="D2" s="241"/>
      <c r="E2" s="241"/>
      <c r="F2" s="242"/>
    </row>
    <row r="3" spans="1:6" ht="15.75" thickBot="1" x14ac:dyDescent="0.3">
      <c r="B3" s="115" t="s">
        <v>25</v>
      </c>
      <c r="C3" s="116" t="s">
        <v>176</v>
      </c>
      <c r="D3" s="198" t="s">
        <v>151</v>
      </c>
      <c r="E3" s="198" t="s">
        <v>150</v>
      </c>
      <c r="F3" s="117" t="s">
        <v>160</v>
      </c>
    </row>
    <row r="4" spans="1:6" x14ac:dyDescent="0.25">
      <c r="A4" s="101"/>
      <c r="B4" s="25" t="s">
        <v>546</v>
      </c>
      <c r="C4" s="28" t="s">
        <v>547</v>
      </c>
      <c r="D4" s="27">
        <f t="shared" ref="D4:D12" si="0">E4/1.2</f>
        <v>280.83333333333337</v>
      </c>
      <c r="E4" s="27">
        <v>337</v>
      </c>
      <c r="F4" s="26" t="s">
        <v>548</v>
      </c>
    </row>
    <row r="5" spans="1:6" x14ac:dyDescent="0.25">
      <c r="A5" s="101"/>
      <c r="B5" s="21" t="s">
        <v>549</v>
      </c>
      <c r="C5" s="10" t="s">
        <v>550</v>
      </c>
      <c r="D5" s="11">
        <f t="shared" si="0"/>
        <v>573.33333333333337</v>
      </c>
      <c r="E5" s="11">
        <v>688</v>
      </c>
      <c r="F5" s="22" t="s">
        <v>551</v>
      </c>
    </row>
    <row r="6" spans="1:6" x14ac:dyDescent="0.25">
      <c r="A6" s="101"/>
      <c r="B6" s="21" t="s">
        <v>552</v>
      </c>
      <c r="C6" s="10" t="s">
        <v>553</v>
      </c>
      <c r="D6" s="11">
        <f t="shared" si="0"/>
        <v>158.33333333333334</v>
      </c>
      <c r="E6" s="11">
        <v>190</v>
      </c>
      <c r="F6" s="22" t="s">
        <v>554</v>
      </c>
    </row>
    <row r="7" spans="1:6" x14ac:dyDescent="0.25">
      <c r="A7" s="101"/>
      <c r="B7" s="21" t="s">
        <v>555</v>
      </c>
      <c r="C7" s="10" t="s">
        <v>556</v>
      </c>
      <c r="D7" s="11">
        <f t="shared" si="0"/>
        <v>154.16666666666669</v>
      </c>
      <c r="E7" s="11">
        <v>185</v>
      </c>
      <c r="F7" s="22" t="s">
        <v>557</v>
      </c>
    </row>
    <row r="8" spans="1:6" x14ac:dyDescent="0.25">
      <c r="A8" s="101"/>
      <c r="B8" s="21" t="s">
        <v>558</v>
      </c>
      <c r="C8" s="10" t="s">
        <v>559</v>
      </c>
      <c r="D8" s="11">
        <f t="shared" si="0"/>
        <v>1495.8333333333335</v>
      </c>
      <c r="E8" s="11">
        <v>1795</v>
      </c>
      <c r="F8" s="22" t="s">
        <v>560</v>
      </c>
    </row>
    <row r="9" spans="1:6" x14ac:dyDescent="0.25">
      <c r="A9" s="101"/>
      <c r="B9" s="21" t="s">
        <v>561</v>
      </c>
      <c r="C9" s="10" t="s">
        <v>562</v>
      </c>
      <c r="D9" s="11">
        <f t="shared" si="0"/>
        <v>14.916666666666666</v>
      </c>
      <c r="E9" s="11">
        <v>17.899999999999999</v>
      </c>
      <c r="F9" s="22" t="s">
        <v>563</v>
      </c>
    </row>
    <row r="10" spans="1:6" x14ac:dyDescent="0.25">
      <c r="A10" s="101"/>
      <c r="B10" s="21" t="s">
        <v>561</v>
      </c>
      <c r="C10" s="10" t="s">
        <v>564</v>
      </c>
      <c r="D10" s="11">
        <f t="shared" si="0"/>
        <v>15.75</v>
      </c>
      <c r="E10" s="11">
        <v>18.899999999999999</v>
      </c>
      <c r="F10" s="22" t="s">
        <v>565</v>
      </c>
    </row>
    <row r="11" spans="1:6" x14ac:dyDescent="0.25">
      <c r="A11" s="101"/>
      <c r="B11" s="21" t="s">
        <v>566</v>
      </c>
      <c r="C11" s="10" t="s">
        <v>567</v>
      </c>
      <c r="D11" s="11">
        <f t="shared" si="0"/>
        <v>14.083333333333332</v>
      </c>
      <c r="E11" s="11">
        <v>16.899999999999999</v>
      </c>
      <c r="F11" s="22" t="s">
        <v>568</v>
      </c>
    </row>
    <row r="12" spans="1:6" ht="15.75" thickBot="1" x14ac:dyDescent="0.3">
      <c r="A12" s="101"/>
      <c r="B12" s="23" t="s">
        <v>569</v>
      </c>
      <c r="C12" s="15"/>
      <c r="D12" s="20">
        <f t="shared" si="0"/>
        <v>1746.25</v>
      </c>
      <c r="E12" s="20">
        <v>2095.5</v>
      </c>
      <c r="F12" s="24" t="s">
        <v>570</v>
      </c>
    </row>
    <row r="13" spans="1:6" ht="15.75" thickBot="1" x14ac:dyDescent="0.3">
      <c r="D13" s="2"/>
      <c r="E13" s="2"/>
      <c r="F13" s="3"/>
    </row>
    <row r="14" spans="1:6" ht="15.75" thickBot="1" x14ac:dyDescent="0.3">
      <c r="B14" s="240" t="s">
        <v>522</v>
      </c>
      <c r="C14" s="241"/>
      <c r="D14" s="241"/>
      <c r="E14" s="241"/>
      <c r="F14" s="242"/>
    </row>
    <row r="15" spans="1:6" ht="15.75" thickBot="1" x14ac:dyDescent="0.3">
      <c r="B15" s="115" t="s">
        <v>25</v>
      </c>
      <c r="C15" s="116" t="s">
        <v>176</v>
      </c>
      <c r="D15" s="198" t="s">
        <v>151</v>
      </c>
      <c r="E15" s="198" t="s">
        <v>150</v>
      </c>
      <c r="F15" s="117" t="s">
        <v>160</v>
      </c>
    </row>
    <row r="16" spans="1:6" x14ac:dyDescent="0.25">
      <c r="B16" s="25" t="s">
        <v>571</v>
      </c>
      <c r="C16" s="199" t="s">
        <v>572</v>
      </c>
      <c r="D16" s="27"/>
      <c r="E16" s="27"/>
      <c r="F16" s="161"/>
    </row>
    <row r="17" spans="1:6" x14ac:dyDescent="0.25">
      <c r="A17" s="101"/>
      <c r="B17" s="21" t="s">
        <v>573</v>
      </c>
      <c r="C17" s="10" t="s">
        <v>574</v>
      </c>
      <c r="D17" s="11">
        <f>E17/1.2</f>
        <v>25675</v>
      </c>
      <c r="E17" s="11">
        <v>30810</v>
      </c>
      <c r="F17" s="22" t="s">
        <v>575</v>
      </c>
    </row>
    <row r="18" spans="1:6" ht="15.75" thickBot="1" x14ac:dyDescent="0.3">
      <c r="A18" s="101"/>
      <c r="B18" s="23" t="s">
        <v>576</v>
      </c>
      <c r="C18" s="15" t="s">
        <v>577</v>
      </c>
      <c r="D18" s="20">
        <f>E18/1.2</f>
        <v>5825</v>
      </c>
      <c r="E18" s="20">
        <v>6990</v>
      </c>
      <c r="F18" s="24" t="s">
        <v>578</v>
      </c>
    </row>
    <row r="19" spans="1:6" x14ac:dyDescent="0.25">
      <c r="D19" s="2"/>
      <c r="E19" s="2"/>
    </row>
    <row r="20" spans="1:6" ht="15.75" thickBot="1" x14ac:dyDescent="0.3">
      <c r="D20" s="2"/>
      <c r="E20" s="2"/>
    </row>
    <row r="21" spans="1:6" ht="15.75" thickBot="1" x14ac:dyDescent="0.3">
      <c r="B21" s="240" t="s">
        <v>498</v>
      </c>
      <c r="C21" s="241"/>
      <c r="D21" s="241"/>
      <c r="E21" s="241"/>
      <c r="F21" s="242"/>
    </row>
    <row r="22" spans="1:6" ht="15.75" thickBot="1" x14ac:dyDescent="0.3">
      <c r="B22" s="115" t="s">
        <v>25</v>
      </c>
      <c r="C22" s="116" t="s">
        <v>176</v>
      </c>
      <c r="D22" s="198" t="s">
        <v>151</v>
      </c>
      <c r="E22" s="198" t="s">
        <v>150</v>
      </c>
      <c r="F22" s="117" t="s">
        <v>160</v>
      </c>
    </row>
    <row r="23" spans="1:6" x14ac:dyDescent="0.25">
      <c r="B23" s="25" t="s">
        <v>579</v>
      </c>
      <c r="C23" s="199" t="s">
        <v>580</v>
      </c>
      <c r="D23" s="27"/>
      <c r="E23" s="27"/>
      <c r="F23" s="161"/>
    </row>
    <row r="24" spans="1:6" ht="15.75" thickBot="1" x14ac:dyDescent="0.3">
      <c r="B24" s="23" t="s">
        <v>581</v>
      </c>
      <c r="C24" s="200" t="s">
        <v>582</v>
      </c>
      <c r="D24" s="20"/>
      <c r="E24" s="15"/>
      <c r="F24" s="156"/>
    </row>
  </sheetData>
  <mergeCells count="3">
    <mergeCell ref="B2:F2"/>
    <mergeCell ref="B14:F14"/>
    <mergeCell ref="B21:F21"/>
  </mergeCells>
  <hyperlinks>
    <hyperlink ref="F4" r:id="rId1" xr:uid="{DF4E008A-D17E-4850-B3FF-3DA3921AC6CD}"/>
    <hyperlink ref="F5" r:id="rId2" xr:uid="{B5AE1446-4158-4F4D-A77D-A871E5BFB7B6}"/>
    <hyperlink ref="F7" r:id="rId3" xr:uid="{5B284E7B-162B-43EB-9FB7-37355D4C0733}"/>
    <hyperlink ref="F8" r:id="rId4" xr:uid="{58A63A4B-DD3D-4A72-BEE9-F2BBA10E1019}"/>
    <hyperlink ref="F18" r:id="rId5" xr:uid="{68DAC979-58F2-4927-9CA3-677AAAB4A8E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topLeftCell="B1" workbookViewId="0">
      <selection activeCell="C4" sqref="C4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248</v>
      </c>
    </row>
    <row r="2" spans="1:23" x14ac:dyDescent="0.25">
      <c r="A2" t="s">
        <v>0</v>
      </c>
      <c r="G2" t="s">
        <v>9</v>
      </c>
      <c r="M2" t="s">
        <v>6</v>
      </c>
      <c r="S2" s="8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246</v>
      </c>
      <c r="S3" t="s">
        <v>4</v>
      </c>
      <c r="T3" t="s">
        <v>1</v>
      </c>
      <c r="U3" t="s">
        <v>247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223</v>
      </c>
      <c r="S15" t="s">
        <v>6</v>
      </c>
      <c r="T15" t="s">
        <v>223</v>
      </c>
      <c r="U15" t="s">
        <v>406</v>
      </c>
    </row>
    <row r="16" spans="1:23" x14ac:dyDescent="0.25">
      <c r="D16" t="s">
        <v>8</v>
      </c>
      <c r="E16" s="1">
        <f>AVERAGE(E4:E15)</f>
        <v>3.7201299982926756E-5</v>
      </c>
      <c r="N16" t="s">
        <v>224</v>
      </c>
      <c r="O16" t="s">
        <v>2</v>
      </c>
      <c r="P16" t="s">
        <v>54</v>
      </c>
      <c r="Q16" t="s">
        <v>3</v>
      </c>
      <c r="S16" t="s">
        <v>407</v>
      </c>
      <c r="T16" t="s">
        <v>408</v>
      </c>
      <c r="U16" t="s">
        <v>409</v>
      </c>
      <c r="V16" t="s">
        <v>410</v>
      </c>
    </row>
    <row r="17" spans="1:22" x14ac:dyDescent="0.25">
      <c r="N17">
        <v>5</v>
      </c>
      <c r="O17">
        <v>500</v>
      </c>
      <c r="P17" s="2">
        <v>1.61</v>
      </c>
      <c r="Q17" s="7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7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225</v>
      </c>
      <c r="B19" t="s">
        <v>223</v>
      </c>
      <c r="N19">
        <v>15</v>
      </c>
      <c r="O19">
        <v>500</v>
      </c>
      <c r="P19" s="2">
        <v>4.8</v>
      </c>
      <c r="Q19" s="7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224</v>
      </c>
      <c r="C20" t="s">
        <v>2</v>
      </c>
      <c r="D20" t="s">
        <v>54</v>
      </c>
      <c r="E20" t="s">
        <v>3</v>
      </c>
      <c r="N20">
        <v>18</v>
      </c>
      <c r="O20">
        <v>500</v>
      </c>
      <c r="P20" s="2">
        <v>6.36</v>
      </c>
      <c r="Q20" s="7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7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7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7">
        <f t="shared" si="6"/>
        <v>5.3157750992693033E-5</v>
      </c>
      <c r="P22" t="s">
        <v>8</v>
      </c>
      <c r="Q22" s="7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7">
        <f t="shared" si="6"/>
        <v>5.5077256063922563E-5</v>
      </c>
      <c r="P23" s="2"/>
      <c r="S23">
        <v>6060</v>
      </c>
      <c r="T23" t="s">
        <v>411</v>
      </c>
    </row>
    <row r="24" spans="1:22" x14ac:dyDescent="0.25">
      <c r="B24">
        <v>25</v>
      </c>
      <c r="C24">
        <v>500</v>
      </c>
      <c r="D24" s="2">
        <v>13.11</v>
      </c>
      <c r="E24" s="7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7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7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7">
        <f t="shared" si="6"/>
        <v>3.338486055256606E-5</v>
      </c>
      <c r="U27" s="2"/>
      <c r="V27" s="1"/>
    </row>
    <row r="28" spans="1:22" x14ac:dyDescent="0.25">
      <c r="D28" t="s">
        <v>8</v>
      </c>
      <c r="E28" s="7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251</v>
      </c>
      <c r="G30" s="3" t="s">
        <v>250</v>
      </c>
      <c r="N30" s="3" t="s">
        <v>344</v>
      </c>
    </row>
    <row r="31" spans="1:22" x14ac:dyDescent="0.25">
      <c r="A31" t="s">
        <v>249</v>
      </c>
      <c r="B31" t="s">
        <v>223</v>
      </c>
      <c r="G31" t="s">
        <v>249</v>
      </c>
      <c r="H31" t="s">
        <v>223</v>
      </c>
      <c r="N31" t="s">
        <v>345</v>
      </c>
      <c r="O31" t="s">
        <v>223</v>
      </c>
    </row>
    <row r="32" spans="1:22" x14ac:dyDescent="0.25">
      <c r="B32" t="s">
        <v>224</v>
      </c>
      <c r="C32" t="s">
        <v>2</v>
      </c>
      <c r="D32" t="s">
        <v>54</v>
      </c>
      <c r="E32" t="s">
        <v>3</v>
      </c>
      <c r="H32" t="s">
        <v>224</v>
      </c>
      <c r="I32" t="s">
        <v>2</v>
      </c>
      <c r="J32" t="s">
        <v>54</v>
      </c>
      <c r="K32" t="s">
        <v>3</v>
      </c>
      <c r="O32" t="s">
        <v>224</v>
      </c>
      <c r="P32" t="s">
        <v>2</v>
      </c>
      <c r="Q32" t="s">
        <v>54</v>
      </c>
      <c r="R32" t="s">
        <v>412</v>
      </c>
    </row>
    <row r="33" spans="1:18" x14ac:dyDescent="0.25">
      <c r="B33">
        <v>10</v>
      </c>
      <c r="C33">
        <v>1000</v>
      </c>
      <c r="D33" s="2">
        <v>20.5</v>
      </c>
      <c r="E33" s="7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7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7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7">
        <f t="shared" si="7"/>
        <v>2.2132484273716698E-4</v>
      </c>
      <c r="H34">
        <v>16</v>
      </c>
      <c r="I34">
        <v>300</v>
      </c>
      <c r="J34" s="2">
        <v>15.77</v>
      </c>
      <c r="K34" s="7">
        <f t="shared" si="8"/>
        <v>2.6144515130824893E-4</v>
      </c>
      <c r="O34">
        <v>20</v>
      </c>
      <c r="P34">
        <v>1000</v>
      </c>
      <c r="Q34" s="2">
        <v>9.23</v>
      </c>
      <c r="R34" s="7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7">
        <f t="shared" si="7"/>
        <v>2.1247184902768027E-4</v>
      </c>
      <c r="H35">
        <v>20</v>
      </c>
      <c r="I35">
        <v>300</v>
      </c>
      <c r="J35" s="2">
        <v>23.4</v>
      </c>
      <c r="K35" s="7">
        <f t="shared" si="8"/>
        <v>2.4828171122335673E-4</v>
      </c>
      <c r="O35">
        <v>25</v>
      </c>
      <c r="P35">
        <v>1000</v>
      </c>
      <c r="Q35" s="2">
        <v>14.44</v>
      </c>
      <c r="R35" s="7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7">
        <f t="shared" si="7"/>
        <v>2.0013734093805838E-4</v>
      </c>
      <c r="H36">
        <v>40</v>
      </c>
      <c r="I36">
        <v>300</v>
      </c>
      <c r="J36" s="2">
        <v>81.7</v>
      </c>
      <c r="K36" s="7">
        <f t="shared" si="8"/>
        <v>2.1671598084346415E-4</v>
      </c>
      <c r="O36">
        <v>40</v>
      </c>
      <c r="P36">
        <v>1000</v>
      </c>
      <c r="Q36" s="2">
        <v>34.869999999999997</v>
      </c>
      <c r="R36" s="7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7">
        <f t="shared" si="7"/>
        <v>1.9862536897868538E-4</v>
      </c>
      <c r="J37" t="s">
        <v>8</v>
      </c>
      <c r="K37" s="7">
        <f>AVERAGE(K33:K36)</f>
        <v>2.8145391181008314E-4</v>
      </c>
      <c r="O37">
        <v>60</v>
      </c>
      <c r="P37">
        <v>1000</v>
      </c>
      <c r="Q37" s="2">
        <v>83.14</v>
      </c>
      <c r="R37" s="7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7">
        <f t="shared" si="7"/>
        <v>1.9805948473658087E-4</v>
      </c>
      <c r="J38" s="2"/>
      <c r="K38" s="7"/>
      <c r="O38">
        <v>80</v>
      </c>
      <c r="P38">
        <v>1000</v>
      </c>
      <c r="Q38" s="2">
        <v>139.55000000000001</v>
      </c>
      <c r="R38" s="7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7">
        <f t="shared" si="7"/>
        <v>1.9745160127338264E-4</v>
      </c>
      <c r="J39" s="2"/>
      <c r="K39" s="7"/>
      <c r="Q39" t="s">
        <v>8</v>
      </c>
      <c r="R39" s="7">
        <f>AVERAGE(R33:R38)</f>
        <v>2.8834566715532905E-5</v>
      </c>
    </row>
    <row r="40" spans="1:18" x14ac:dyDescent="0.25">
      <c r="D40" t="s">
        <v>8</v>
      </c>
      <c r="E40" s="7">
        <f>AVERAGE(E33:E39)</f>
        <v>2.1272637062318042E-4</v>
      </c>
      <c r="K40" s="7"/>
    </row>
    <row r="43" spans="1:18" x14ac:dyDescent="0.25">
      <c r="A43" s="3" t="s">
        <v>346</v>
      </c>
    </row>
    <row r="44" spans="1:18" x14ac:dyDescent="0.25">
      <c r="A44" t="s">
        <v>347</v>
      </c>
      <c r="B44" t="s">
        <v>348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349</v>
      </c>
      <c r="G48" t="s">
        <v>350</v>
      </c>
    </row>
    <row r="49" spans="1:10" x14ac:dyDescent="0.25">
      <c r="A49" t="s">
        <v>351</v>
      </c>
      <c r="B49" t="s">
        <v>54</v>
      </c>
      <c r="C49" t="s">
        <v>352</v>
      </c>
      <c r="D49" t="s">
        <v>413</v>
      </c>
      <c r="G49" t="s">
        <v>351</v>
      </c>
      <c r="H49" t="s">
        <v>353</v>
      </c>
      <c r="I49" t="s">
        <v>354</v>
      </c>
      <c r="J49" t="s">
        <v>3</v>
      </c>
    </row>
    <row r="50" spans="1:10" x14ac:dyDescent="0.25">
      <c r="A50" t="s">
        <v>355</v>
      </c>
      <c r="B50" s="2">
        <v>86.4</v>
      </c>
      <c r="C50">
        <f>60*25*3020</f>
        <v>4530000</v>
      </c>
      <c r="D50" s="1">
        <f>B50/C50</f>
        <v>1.9072847682119207E-5</v>
      </c>
      <c r="G50" t="s">
        <v>356</v>
      </c>
      <c r="H50" s="6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357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358</v>
      </c>
      <c r="H51" s="6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359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360</v>
      </c>
      <c r="H52" s="6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361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362</v>
      </c>
      <c r="H53" s="6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361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363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363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363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364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364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364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414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415</v>
      </c>
    </row>
    <row r="65" spans="1:7" x14ac:dyDescent="0.25">
      <c r="A65" t="s">
        <v>4</v>
      </c>
      <c r="B65" t="s">
        <v>1</v>
      </c>
      <c r="C65" t="s">
        <v>2</v>
      </c>
      <c r="D65" t="s">
        <v>416</v>
      </c>
      <c r="E65" t="s">
        <v>7</v>
      </c>
      <c r="F65" t="s">
        <v>3</v>
      </c>
      <c r="G65" t="s">
        <v>160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417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L48"/>
  <sheetViews>
    <sheetView showGridLines="0" zoomScale="90" workbookViewId="0">
      <selection activeCell="C29" sqref="C29"/>
    </sheetView>
  </sheetViews>
  <sheetFormatPr baseColWidth="10" defaultRowHeight="15" x14ac:dyDescent="0.25"/>
  <cols>
    <col min="1" max="1" width="2.85546875" style="61" customWidth="1"/>
    <col min="2" max="2" width="43.7109375" style="79" bestFit="1" customWidth="1"/>
    <col min="3" max="3" width="9.140625" style="62" bestFit="1" customWidth="1"/>
    <col min="4" max="4" width="19.140625" style="62" bestFit="1" customWidth="1"/>
    <col min="5" max="5" width="39.5703125" style="62" bestFit="1" customWidth="1"/>
    <col min="6" max="6" width="20.28515625" style="62" bestFit="1" customWidth="1"/>
    <col min="7" max="7" width="26" style="62" bestFit="1" customWidth="1"/>
    <col min="8" max="8" width="28.42578125" style="62" bestFit="1" customWidth="1"/>
    <col min="9" max="9" width="20.7109375" style="62" bestFit="1" customWidth="1"/>
    <col min="10" max="10" width="10.5703125" style="62" bestFit="1" customWidth="1"/>
    <col min="11" max="11" width="13.140625" style="62" bestFit="1" customWidth="1"/>
    <col min="12" max="12" width="6.7109375" style="62" bestFit="1" customWidth="1"/>
    <col min="13" max="13" width="11.42578125" style="62"/>
    <col min="14" max="14" width="18" style="62" bestFit="1" customWidth="1"/>
    <col min="15" max="15" width="19.42578125" style="62" bestFit="1" customWidth="1"/>
    <col min="16" max="16" width="11.42578125" style="62"/>
    <col min="17" max="17" width="12.5703125" style="62" bestFit="1" customWidth="1"/>
    <col min="18" max="16384" width="11.42578125" style="62"/>
  </cols>
  <sheetData>
    <row r="1" spans="1:8" ht="15.75" thickBot="1" x14ac:dyDescent="0.3"/>
    <row r="2" spans="1:8" ht="15.75" thickBot="1" x14ac:dyDescent="0.3">
      <c r="A2" s="74"/>
      <c r="B2" s="243" t="s">
        <v>472</v>
      </c>
      <c r="C2" s="244"/>
      <c r="D2" s="244"/>
      <c r="E2" s="244"/>
      <c r="F2" s="245"/>
    </row>
    <row r="3" spans="1:8" ht="15.75" thickBot="1" x14ac:dyDescent="0.3">
      <c r="A3" s="74"/>
      <c r="B3" s="78" t="s">
        <v>25</v>
      </c>
      <c r="C3" s="246" t="s">
        <v>160</v>
      </c>
      <c r="D3" s="247"/>
      <c r="E3" s="247"/>
      <c r="F3" s="248"/>
    </row>
    <row r="4" spans="1:8" x14ac:dyDescent="0.25">
      <c r="A4" s="74"/>
      <c r="B4" s="80" t="s">
        <v>110</v>
      </c>
      <c r="C4" s="249" t="s">
        <v>74</v>
      </c>
      <c r="D4" s="250"/>
      <c r="E4" s="250"/>
      <c r="F4" s="251"/>
    </row>
    <row r="5" spans="1:8" x14ac:dyDescent="0.25">
      <c r="A5" s="74"/>
      <c r="B5" s="81" t="s">
        <v>456</v>
      </c>
      <c r="C5" s="252" t="s">
        <v>457</v>
      </c>
      <c r="D5" s="253"/>
      <c r="E5" s="253"/>
      <c r="F5" s="254"/>
    </row>
    <row r="6" spans="1:8" x14ac:dyDescent="0.25">
      <c r="A6" s="74"/>
      <c r="B6" s="81" t="s">
        <v>113</v>
      </c>
      <c r="C6" s="252" t="s">
        <v>112</v>
      </c>
      <c r="D6" s="253"/>
      <c r="E6" s="253"/>
      <c r="F6" s="254"/>
    </row>
    <row r="7" spans="1:8" x14ac:dyDescent="0.25">
      <c r="A7" s="74"/>
      <c r="B7" s="263" t="s">
        <v>478</v>
      </c>
      <c r="C7" s="260" t="s">
        <v>479</v>
      </c>
      <c r="D7" s="253"/>
      <c r="E7" s="253"/>
      <c r="F7" s="254"/>
    </row>
    <row r="8" spans="1:8" x14ac:dyDescent="0.25">
      <c r="A8" s="74"/>
      <c r="B8" s="264"/>
      <c r="C8" s="260" t="s">
        <v>482</v>
      </c>
      <c r="D8" s="266"/>
      <c r="E8" s="266"/>
      <c r="F8" s="267"/>
    </row>
    <row r="9" spans="1:8" x14ac:dyDescent="0.25">
      <c r="A9" s="74"/>
      <c r="B9" s="265"/>
      <c r="C9" s="260" t="s">
        <v>481</v>
      </c>
      <c r="D9" s="261"/>
      <c r="E9" s="261"/>
      <c r="F9" s="262"/>
    </row>
    <row r="10" spans="1:8" x14ac:dyDescent="0.25">
      <c r="A10" s="74"/>
      <c r="B10" s="82" t="s">
        <v>468</v>
      </c>
      <c r="C10" s="252" t="s">
        <v>469</v>
      </c>
      <c r="D10" s="253"/>
      <c r="E10" s="253"/>
      <c r="F10" s="254"/>
    </row>
    <row r="11" spans="1:8" ht="15.75" thickBot="1" x14ac:dyDescent="0.3">
      <c r="A11" s="74"/>
      <c r="B11" s="83" t="s">
        <v>454</v>
      </c>
      <c r="C11" s="255" t="s">
        <v>455</v>
      </c>
      <c r="D11" s="256"/>
      <c r="E11" s="256"/>
      <c r="F11" s="257"/>
    </row>
    <row r="12" spans="1:8" ht="15.75" thickBot="1" x14ac:dyDescent="0.3"/>
    <row r="13" spans="1:8" ht="15.75" thickBot="1" x14ac:dyDescent="0.3">
      <c r="A13" s="74"/>
      <c r="B13" s="243" t="s">
        <v>473</v>
      </c>
      <c r="C13" s="244"/>
      <c r="D13" s="244"/>
      <c r="E13" s="244"/>
      <c r="F13" s="244"/>
      <c r="G13" s="244"/>
      <c r="H13" s="245"/>
    </row>
    <row r="14" spans="1:8" ht="15.75" thickBot="1" x14ac:dyDescent="0.3">
      <c r="A14" s="74"/>
      <c r="B14" s="104" t="s">
        <v>431</v>
      </c>
      <c r="C14" s="63" t="s">
        <v>474</v>
      </c>
      <c r="D14" s="63" t="s">
        <v>484</v>
      </c>
      <c r="E14" s="63" t="s">
        <v>475</v>
      </c>
      <c r="F14" s="63" t="s">
        <v>207</v>
      </c>
      <c r="G14" s="63" t="s">
        <v>386</v>
      </c>
      <c r="H14" s="64" t="s">
        <v>594</v>
      </c>
    </row>
    <row r="15" spans="1:8" ht="30" x14ac:dyDescent="0.25">
      <c r="B15" s="137" t="s">
        <v>488</v>
      </c>
      <c r="C15" s="138">
        <v>1</v>
      </c>
      <c r="D15" s="139">
        <f>1633/0.77</f>
        <v>2120.7792207792209</v>
      </c>
      <c r="E15" s="140">
        <f t="shared" ref="E15" si="0">C15*D15*12*1.45</f>
        <v>36901.558441558438</v>
      </c>
      <c r="F15" s="141">
        <f>L33</f>
        <v>4.5</v>
      </c>
      <c r="G15" s="142">
        <f>E15*(1-Summary!$D$12)*F15</f>
        <v>8302.8506493506557</v>
      </c>
      <c r="H15" s="143">
        <f>E15*Summary!$D$12/$C$29</f>
        <v>23.377610669343323</v>
      </c>
    </row>
    <row r="16" spans="1:8" ht="30" x14ac:dyDescent="0.25">
      <c r="B16" s="105" t="s">
        <v>487</v>
      </c>
      <c r="C16" s="77">
        <v>2</v>
      </c>
      <c r="D16" s="65">
        <v>2525</v>
      </c>
      <c r="E16" s="65">
        <f>C16*D16*12*1.45</f>
        <v>87870</v>
      </c>
      <c r="F16" s="75">
        <f t="shared" ref="F16:F17" si="1">L34</f>
        <v>1</v>
      </c>
      <c r="G16" s="66"/>
      <c r="H16" s="133">
        <f>E16*Summary!$D$12/($C$29*C16)</f>
        <v>27.833386126069051</v>
      </c>
    </row>
    <row r="17" spans="1:12" x14ac:dyDescent="0.25">
      <c r="B17" s="84" t="s">
        <v>483</v>
      </c>
      <c r="C17" s="77">
        <v>3</v>
      </c>
      <c r="D17" s="102">
        <f>2231/0.77</f>
        <v>2897.4025974025972</v>
      </c>
      <c r="E17" s="65">
        <f t="shared" ref="E17:E18" si="2">C17*D17*12*1.45</f>
        <v>151244.41558441558</v>
      </c>
      <c r="F17" s="75">
        <f t="shared" si="1"/>
        <v>1</v>
      </c>
      <c r="G17" s="103">
        <f>E17*(1-Summary!$D$12)*F17</f>
        <v>7562.2207792207855</v>
      </c>
      <c r="H17" s="133">
        <f>E17*Summary!$D$12/$C$29</f>
        <v>95.815277532097284</v>
      </c>
    </row>
    <row r="18" spans="1:12" ht="15.75" thickBot="1" x14ac:dyDescent="0.3">
      <c r="B18" s="86" t="s">
        <v>480</v>
      </c>
      <c r="C18" s="144">
        <v>1</v>
      </c>
      <c r="D18" s="145">
        <f>2624/0.77</f>
        <v>3407.7922077922076</v>
      </c>
      <c r="E18" s="146">
        <f t="shared" si="2"/>
        <v>59295.584415584402</v>
      </c>
      <c r="F18" s="97">
        <v>0.6</v>
      </c>
      <c r="G18" s="147">
        <f>E18*(1-Summary!$D$12)*F18</f>
        <v>1778.8675324675335</v>
      </c>
      <c r="H18" s="148">
        <f>E18*Summary!$D$12/$C$29</f>
        <v>37.564513408669242</v>
      </c>
    </row>
    <row r="19" spans="1:12" ht="15.75" thickBot="1" x14ac:dyDescent="0.3">
      <c r="E19" s="134" t="s">
        <v>200</v>
      </c>
      <c r="F19" s="135" t="e">
        <f>SUM(#REF!+F17+F16)</f>
        <v>#REF!</v>
      </c>
      <c r="G19" s="136">
        <f>SUM(G15:G18)</f>
        <v>17643.938961038977</v>
      </c>
    </row>
    <row r="20" spans="1:12" ht="15.75" thickBot="1" x14ac:dyDescent="0.3"/>
    <row r="21" spans="1:12" ht="15.75" thickBot="1" x14ac:dyDescent="0.3">
      <c r="A21" s="74"/>
      <c r="B21" s="243" t="s">
        <v>432</v>
      </c>
      <c r="C21" s="245"/>
      <c r="E21" s="67"/>
    </row>
    <row r="22" spans="1:12" ht="15.75" thickBot="1" x14ac:dyDescent="0.3">
      <c r="A22" s="74"/>
      <c r="B22" s="78" t="s">
        <v>16</v>
      </c>
      <c r="C22" s="64" t="s">
        <v>38</v>
      </c>
      <c r="E22" s="67"/>
    </row>
    <row r="23" spans="1:12" x14ac:dyDescent="0.25">
      <c r="A23" s="74"/>
      <c r="B23" s="84" t="s">
        <v>114</v>
      </c>
      <c r="C23" s="68">
        <v>365</v>
      </c>
    </row>
    <row r="24" spans="1:12" x14ac:dyDescent="0.25">
      <c r="A24" s="74"/>
      <c r="B24" s="81" t="s">
        <v>115</v>
      </c>
      <c r="C24" s="69">
        <v>104</v>
      </c>
      <c r="E24" s="67"/>
    </row>
    <row r="25" spans="1:12" x14ac:dyDescent="0.25">
      <c r="A25" s="74"/>
      <c r="B25" s="81" t="s">
        <v>116</v>
      </c>
      <c r="C25" s="69">
        <v>8</v>
      </c>
    </row>
    <row r="26" spans="1:12" x14ac:dyDescent="0.25">
      <c r="A26" s="74"/>
      <c r="B26" s="81" t="s">
        <v>485</v>
      </c>
      <c r="C26" s="69">
        <v>27.5</v>
      </c>
    </row>
    <row r="27" spans="1:12" x14ac:dyDescent="0.25">
      <c r="A27" s="74"/>
      <c r="B27" s="81" t="s">
        <v>117</v>
      </c>
      <c r="C27" s="69">
        <f>C23-C24-C25-C26</f>
        <v>225.5</v>
      </c>
    </row>
    <row r="28" spans="1:12" x14ac:dyDescent="0.25">
      <c r="A28" s="74"/>
      <c r="B28" s="81" t="s">
        <v>118</v>
      </c>
      <c r="C28" s="70">
        <f>C27/5</f>
        <v>45.1</v>
      </c>
    </row>
    <row r="29" spans="1:12" ht="15.75" thickBot="1" x14ac:dyDescent="0.3">
      <c r="B29" s="83" t="s">
        <v>385</v>
      </c>
      <c r="C29" s="132">
        <f>Summary!D12*Summary!D10*Summary!D9</f>
        <v>1499.575</v>
      </c>
    </row>
    <row r="30" spans="1:12" ht="15.75" thickBot="1" x14ac:dyDescent="0.3"/>
    <row r="31" spans="1:12" ht="15.75" thickBot="1" x14ac:dyDescent="0.3">
      <c r="B31" s="243" t="s">
        <v>434</v>
      </c>
      <c r="C31" s="244"/>
      <c r="D31" s="244"/>
      <c r="E31" s="244"/>
      <c r="F31" s="244"/>
      <c r="G31" s="244"/>
      <c r="H31" s="244"/>
      <c r="I31" s="244"/>
      <c r="J31" s="244"/>
      <c r="K31" s="244"/>
      <c r="L31" s="245"/>
    </row>
    <row r="32" spans="1:12" ht="30.75" thickBot="1" x14ac:dyDescent="0.3">
      <c r="B32" s="85"/>
      <c r="C32" s="63" t="s">
        <v>201</v>
      </c>
      <c r="D32" s="63" t="s">
        <v>202</v>
      </c>
      <c r="E32" s="106" t="s">
        <v>486</v>
      </c>
      <c r="F32" s="63" t="s">
        <v>322</v>
      </c>
      <c r="G32" s="63" t="s">
        <v>321</v>
      </c>
      <c r="H32" s="63" t="s">
        <v>203</v>
      </c>
      <c r="I32" s="63" t="s">
        <v>204</v>
      </c>
      <c r="J32" s="63" t="s">
        <v>29</v>
      </c>
      <c r="K32" s="71" t="s">
        <v>22</v>
      </c>
      <c r="L32" s="72" t="s">
        <v>206</v>
      </c>
    </row>
    <row r="33" spans="1:12" x14ac:dyDescent="0.25">
      <c r="B33" s="87" t="s">
        <v>111</v>
      </c>
      <c r="C33" s="88">
        <v>0.85</v>
      </c>
      <c r="D33" s="75">
        <v>0.85</v>
      </c>
      <c r="E33" s="75">
        <v>0.3</v>
      </c>
      <c r="F33" s="75">
        <v>0.85</v>
      </c>
      <c r="G33" s="75">
        <v>0.47</v>
      </c>
      <c r="H33" s="75"/>
      <c r="I33" s="75">
        <v>0.65</v>
      </c>
      <c r="J33" s="75">
        <v>0.41</v>
      </c>
      <c r="K33" s="89">
        <v>0.12</v>
      </c>
      <c r="L33" s="90">
        <f>SUM(C33:K33)</f>
        <v>4.5</v>
      </c>
    </row>
    <row r="34" spans="1:12" x14ac:dyDescent="0.25">
      <c r="B34" s="91" t="s">
        <v>483</v>
      </c>
      <c r="C34" s="92"/>
      <c r="D34" s="76"/>
      <c r="E34" s="76"/>
      <c r="F34" s="76"/>
      <c r="G34" s="76"/>
      <c r="H34" s="76"/>
      <c r="I34" s="76">
        <v>0.5</v>
      </c>
      <c r="J34" s="76">
        <v>0.5</v>
      </c>
      <c r="K34" s="93"/>
      <c r="L34" s="94">
        <f t="shared" ref="L34:L37" si="3">SUM(C34:K34)</f>
        <v>1</v>
      </c>
    </row>
    <row r="35" spans="1:12" x14ac:dyDescent="0.25">
      <c r="B35" s="91" t="s">
        <v>383</v>
      </c>
      <c r="C35" s="92"/>
      <c r="D35" s="76"/>
      <c r="E35" s="76"/>
      <c r="F35" s="76"/>
      <c r="G35" s="76"/>
      <c r="H35" s="76">
        <v>0.85</v>
      </c>
      <c r="I35" s="76"/>
      <c r="J35" s="76">
        <v>0.05</v>
      </c>
      <c r="K35" s="93">
        <v>0.1</v>
      </c>
      <c r="L35" s="94">
        <f t="shared" si="3"/>
        <v>1</v>
      </c>
    </row>
    <row r="36" spans="1:12" x14ac:dyDescent="0.25">
      <c r="B36" s="91" t="s">
        <v>183</v>
      </c>
      <c r="C36" s="92"/>
      <c r="D36" s="76"/>
      <c r="E36" s="76"/>
      <c r="F36" s="76"/>
      <c r="G36" s="76"/>
      <c r="H36" s="76"/>
      <c r="I36" s="76">
        <v>0.35</v>
      </c>
      <c r="J36" s="76">
        <v>0.15</v>
      </c>
      <c r="K36" s="93">
        <v>0.1</v>
      </c>
      <c r="L36" s="94">
        <f t="shared" si="3"/>
        <v>0.6</v>
      </c>
    </row>
    <row r="37" spans="1:12" x14ac:dyDescent="0.25">
      <c r="B37" s="91" t="s">
        <v>435</v>
      </c>
      <c r="C37" s="92">
        <f t="shared" ref="C37:K37" si="4">$C$29*SUM(C33:C36)</f>
        <v>1274.6387500000001</v>
      </c>
      <c r="D37" s="76">
        <f t="shared" si="4"/>
        <v>1274.6387500000001</v>
      </c>
      <c r="E37" s="76">
        <f t="shared" si="4"/>
        <v>449.8725</v>
      </c>
      <c r="F37" s="76">
        <f t="shared" si="4"/>
        <v>1274.6387500000001</v>
      </c>
      <c r="G37" s="76">
        <f t="shared" si="4"/>
        <v>704.80025000000001</v>
      </c>
      <c r="H37" s="76">
        <f t="shared" si="4"/>
        <v>1274.6387500000001</v>
      </c>
      <c r="I37" s="76">
        <f t="shared" si="4"/>
        <v>2249.3625000000002</v>
      </c>
      <c r="J37" s="76">
        <f t="shared" si="4"/>
        <v>1664.5282499999998</v>
      </c>
      <c r="K37" s="93">
        <f t="shared" si="4"/>
        <v>479.86400000000003</v>
      </c>
      <c r="L37" s="94">
        <f t="shared" si="3"/>
        <v>10646.9825</v>
      </c>
    </row>
    <row r="38" spans="1:12" x14ac:dyDescent="0.25">
      <c r="B38" s="91" t="s">
        <v>436</v>
      </c>
      <c r="C38" s="92" t="e">
        <f>Summary!#REF!*Summary!#REF!*Summary!#REF!</f>
        <v>#REF!</v>
      </c>
      <c r="D38" s="76" t="e">
        <f>Summary!#REF!*Summary!#REF!*Summary!#REF!</f>
        <v>#REF!</v>
      </c>
      <c r="E38" s="76" t="e">
        <f>Summary!N24*Summary!#REF!*Summary!#REF!</f>
        <v>#REF!</v>
      </c>
      <c r="F38" s="76" t="e">
        <f>Summary!#REF!*Summary!#REF!*Summary!#REF!</f>
        <v>#REF!</v>
      </c>
      <c r="G38" s="76" t="e">
        <f>Summary!N49*Summary!#REF!*Summary!#REF!</f>
        <v>#REF!</v>
      </c>
      <c r="H38" s="76" t="e">
        <f>Summary!#REF!*Summary!#REF!*Summary!#REF!</f>
        <v>#REF!</v>
      </c>
      <c r="I38" s="76" t="e">
        <f>0.5*C38*2+0.9*E38</f>
        <v>#REF!</v>
      </c>
      <c r="J38" s="76" t="e">
        <f>2*0.4*C38+E38*0.6</f>
        <v>#REF!</v>
      </c>
      <c r="K38" s="93" t="e">
        <f>0.06*Summary!#REF!*Summary!#REF!*5</f>
        <v>#REF!</v>
      </c>
      <c r="L38" s="94" t="e">
        <f>SUM(C38:K38)-E38+E39</f>
        <v>#REF!</v>
      </c>
    </row>
    <row r="39" spans="1:12" ht="15.75" thickBot="1" x14ac:dyDescent="0.3">
      <c r="B39" s="95"/>
      <c r="C39" s="96"/>
      <c r="D39" s="97"/>
      <c r="E39" s="97"/>
      <c r="F39" s="97"/>
      <c r="G39" s="97"/>
      <c r="H39" s="97"/>
      <c r="I39" s="97"/>
      <c r="J39" s="97"/>
      <c r="K39" s="98"/>
      <c r="L39" s="99"/>
    </row>
    <row r="40" spans="1:12" ht="15.75" thickBot="1" x14ac:dyDescent="0.3"/>
    <row r="41" spans="1:12" ht="15.75" thickBot="1" x14ac:dyDescent="0.3">
      <c r="B41" s="258" t="s">
        <v>433</v>
      </c>
      <c r="C41" s="259"/>
    </row>
    <row r="42" spans="1:12" ht="15.75" thickBot="1" x14ac:dyDescent="0.3">
      <c r="B42" s="86" t="s">
        <v>208</v>
      </c>
      <c r="C42" s="149">
        <f>SUMPRODUCT(E15:E18*K33:K36)</f>
        <v>25482.187012987011</v>
      </c>
    </row>
    <row r="44" spans="1:12" x14ac:dyDescent="0.25">
      <c r="A44" s="73"/>
      <c r="C44" s="67"/>
    </row>
    <row r="45" spans="1:12" x14ac:dyDescent="0.25">
      <c r="A45" s="73"/>
    </row>
    <row r="46" spans="1:12" x14ac:dyDescent="0.25">
      <c r="A46" s="73"/>
    </row>
    <row r="47" spans="1:12" x14ac:dyDescent="0.25">
      <c r="A47" s="73"/>
    </row>
    <row r="48" spans="1:12" x14ac:dyDescent="0.25">
      <c r="A48" s="73"/>
    </row>
  </sheetData>
  <mergeCells count="15">
    <mergeCell ref="B41:C41"/>
    <mergeCell ref="C7:F7"/>
    <mergeCell ref="C9:F9"/>
    <mergeCell ref="B7:B9"/>
    <mergeCell ref="C8:F8"/>
    <mergeCell ref="B21:C21"/>
    <mergeCell ref="B31:L31"/>
    <mergeCell ref="B2:F2"/>
    <mergeCell ref="B13:H13"/>
    <mergeCell ref="C3:F3"/>
    <mergeCell ref="C4:F4"/>
    <mergeCell ref="C5:F5"/>
    <mergeCell ref="C6:F6"/>
    <mergeCell ref="C10:F10"/>
    <mergeCell ref="C11:F11"/>
  </mergeCells>
  <hyperlinks>
    <hyperlink ref="C4" r:id="rId1" xr:uid="{00000000-0004-0000-0100-000000000000}"/>
    <hyperlink ref="C5" r:id="rId2" xr:uid="{57BD7899-887D-43DC-B562-ADBB9658383C}"/>
    <hyperlink ref="C11" r:id="rId3" xr:uid="{8217434D-7C07-4E8C-BA90-49CA24347AAE}"/>
    <hyperlink ref="C6" r:id="rId4" xr:uid="{5A1E2311-D9D5-4C0B-BC94-4A8AC4615E00}"/>
    <hyperlink ref="C7" r:id="rId5" xr:uid="{1D2CF1E1-09DF-41BB-B05B-1C792AB04F99}"/>
    <hyperlink ref="C9" r:id="rId6" xr:uid="{9E20021D-FD15-4A3A-8A4B-7AD6FC3F26D6}"/>
    <hyperlink ref="C8" r:id="rId7" xr:uid="{AEF21A58-9BF6-4ACF-A485-1D6413944317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G17"/>
  <sheetViews>
    <sheetView showGridLines="0" zoomScale="101" workbookViewId="0">
      <selection activeCell="F5" sqref="F5"/>
    </sheetView>
  </sheetViews>
  <sheetFormatPr baseColWidth="10" defaultRowHeight="15" x14ac:dyDescent="0.25"/>
  <cols>
    <col min="1" max="1" width="4.42578125" style="206" customWidth="1"/>
    <col min="2" max="2" width="19" style="206" bestFit="1" customWidth="1"/>
    <col min="3" max="3" width="17.5703125" style="206" bestFit="1" customWidth="1"/>
    <col min="4" max="4" width="15.28515625" style="207" bestFit="1" customWidth="1"/>
    <col min="5" max="5" width="10.85546875" style="207" bestFit="1" customWidth="1"/>
    <col min="6" max="6" width="16.5703125" style="206" bestFit="1" customWidth="1"/>
    <col min="7" max="7" width="149.5703125" style="206" bestFit="1" customWidth="1"/>
    <col min="8" max="16384" width="11.42578125" style="206"/>
  </cols>
  <sheetData>
    <row r="1" spans="1:7" ht="15.75" thickBot="1" x14ac:dyDescent="0.3"/>
    <row r="2" spans="1:7" ht="15.75" thickBot="1" x14ac:dyDescent="0.3">
      <c r="A2" s="101"/>
      <c r="B2" s="196" t="s">
        <v>28</v>
      </c>
      <c r="C2" s="196" t="s">
        <v>25</v>
      </c>
      <c r="D2" s="196" t="s">
        <v>528</v>
      </c>
      <c r="E2" s="196" t="s">
        <v>38</v>
      </c>
      <c r="F2" s="196" t="s">
        <v>440</v>
      </c>
      <c r="G2" s="196" t="s">
        <v>160</v>
      </c>
    </row>
    <row r="3" spans="1:7" x14ac:dyDescent="0.25">
      <c r="A3" s="101"/>
      <c r="B3" s="268" t="s">
        <v>19</v>
      </c>
      <c r="C3" s="208" t="s">
        <v>584</v>
      </c>
      <c r="D3" s="209" t="s">
        <v>591</v>
      </c>
      <c r="E3" s="210">
        <v>38.64</v>
      </c>
      <c r="F3" s="228">
        <f>E3*(1+Summary!$D$17)</f>
        <v>46.368000000000002</v>
      </c>
      <c r="G3" s="211" t="s">
        <v>215</v>
      </c>
    </row>
    <row r="4" spans="1:7" x14ac:dyDescent="0.25">
      <c r="A4" s="101"/>
      <c r="B4" s="269"/>
      <c r="C4" s="212" t="s">
        <v>586</v>
      </c>
      <c r="D4" s="213" t="s">
        <v>585</v>
      </c>
      <c r="E4" s="212">
        <f>(24*2 + 7.5)*0.8+16+14</f>
        <v>74.400000000000006</v>
      </c>
      <c r="F4" s="212"/>
      <c r="G4" s="214" t="s">
        <v>216</v>
      </c>
    </row>
    <row r="5" spans="1:7" x14ac:dyDescent="0.25">
      <c r="A5" s="101"/>
      <c r="B5" s="269"/>
      <c r="C5" s="212" t="s">
        <v>587</v>
      </c>
      <c r="D5" s="213" t="s">
        <v>592</v>
      </c>
      <c r="E5" s="215">
        <f>E4*E3</f>
        <v>2874.8160000000003</v>
      </c>
      <c r="F5" s="235">
        <f>E5*(1+Summary!$D$17)</f>
        <v>3449.7792000000004</v>
      </c>
      <c r="G5" s="216"/>
    </row>
    <row r="6" spans="1:7" ht="15.75" thickBot="1" x14ac:dyDescent="0.3">
      <c r="A6" s="101"/>
      <c r="B6" s="270"/>
      <c r="C6" s="225" t="s">
        <v>588</v>
      </c>
      <c r="D6" s="226" t="s">
        <v>593</v>
      </c>
      <c r="E6" s="236">
        <v>7.8299999999999995E-2</v>
      </c>
      <c r="F6" s="237">
        <f>E6*(1+Summary!$D$17)</f>
        <v>9.3959999999999988E-2</v>
      </c>
      <c r="G6" s="238" t="s">
        <v>119</v>
      </c>
    </row>
    <row r="7" spans="1:7" ht="18" thickBot="1" x14ac:dyDescent="0.3">
      <c r="A7" s="101"/>
      <c r="B7" s="229" t="s">
        <v>439</v>
      </c>
      <c r="C7" s="230" t="s">
        <v>589</v>
      </c>
      <c r="D7" s="231" t="s">
        <v>590</v>
      </c>
      <c r="E7" s="232">
        <v>2.2200000000000002</v>
      </c>
      <c r="F7" s="233">
        <f>E7*(1+Summary!D17)</f>
        <v>2.6640000000000001</v>
      </c>
      <c r="G7" s="234" t="s">
        <v>336</v>
      </c>
    </row>
    <row r="8" spans="1:7" ht="15.75" thickBot="1" x14ac:dyDescent="0.3">
      <c r="B8" s="217"/>
      <c r="C8" s="217"/>
      <c r="D8" s="218"/>
      <c r="E8" s="218"/>
      <c r="F8" s="217"/>
    </row>
    <row r="9" spans="1:7" ht="15.75" thickBot="1" x14ac:dyDescent="0.3">
      <c r="A9" s="101"/>
      <c r="B9" s="295" t="s">
        <v>470</v>
      </c>
      <c r="C9" s="296"/>
      <c r="D9" s="219"/>
      <c r="E9" s="220"/>
      <c r="F9" s="217"/>
    </row>
    <row r="10" spans="1:7" ht="15.75" thickBot="1" x14ac:dyDescent="0.3">
      <c r="A10" s="101"/>
      <c r="B10" s="229" t="s">
        <v>471</v>
      </c>
      <c r="C10" s="297" t="s">
        <v>602</v>
      </c>
      <c r="D10" s="218"/>
      <c r="E10" s="218"/>
      <c r="F10" s="217"/>
    </row>
    <row r="11" spans="1:7" x14ac:dyDescent="0.25">
      <c r="A11" s="101"/>
      <c r="B11" s="44" t="s">
        <v>72</v>
      </c>
      <c r="C11" s="221">
        <v>3.96</v>
      </c>
      <c r="D11" s="218"/>
      <c r="E11" s="218"/>
      <c r="F11" s="217"/>
    </row>
    <row r="12" spans="1:7" x14ac:dyDescent="0.25">
      <c r="A12" s="101"/>
      <c r="B12" s="111" t="s">
        <v>193</v>
      </c>
      <c r="C12" s="222">
        <f>400*0.00065</f>
        <v>0.26</v>
      </c>
    </row>
    <row r="13" spans="1:7" x14ac:dyDescent="0.25">
      <c r="A13" s="101"/>
      <c r="B13" s="111" t="s">
        <v>35</v>
      </c>
      <c r="C13" s="222">
        <v>0.75</v>
      </c>
    </row>
    <row r="14" spans="1:7" x14ac:dyDescent="0.25">
      <c r="B14" s="223"/>
      <c r="C14" s="222"/>
    </row>
    <row r="15" spans="1:7" x14ac:dyDescent="0.25">
      <c r="B15" s="223"/>
      <c r="C15" s="222"/>
    </row>
    <row r="16" spans="1:7" ht="15.75" thickBot="1" x14ac:dyDescent="0.3">
      <c r="B16" s="224"/>
      <c r="C16" s="227"/>
    </row>
    <row r="17" spans="2:3" ht="15.75" thickBot="1" x14ac:dyDescent="0.3">
      <c r="B17" s="229" t="s">
        <v>206</v>
      </c>
      <c r="C17" s="297">
        <f>SUM(C11:C16)</f>
        <v>4.97</v>
      </c>
    </row>
  </sheetData>
  <mergeCells count="2">
    <mergeCell ref="B3:B6"/>
    <mergeCell ref="B9:C9"/>
  </mergeCells>
  <hyperlinks>
    <hyperlink ref="G6" r:id="rId1" xr:uid="{1396A18B-5C63-4303-B7D0-B97192DD6001}"/>
    <hyperlink ref="G3" r:id="rId2" location="decomposition-facture" xr:uid="{B0006980-5F30-4DF1-8435-732FCE10A1C4}"/>
    <hyperlink ref="G4" r:id="rId3" xr:uid="{F9B0E1E1-E50F-4CB0-991D-38564C885D2F}"/>
    <hyperlink ref="G7" r:id="rId4" xr:uid="{3503A96D-4995-4257-81F3-5306EB139EED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29"/>
  <sheetViews>
    <sheetView showGridLines="0" workbookViewId="0">
      <selection activeCell="A22" sqref="A22"/>
    </sheetView>
  </sheetViews>
  <sheetFormatPr baseColWidth="10" defaultRowHeight="15" x14ac:dyDescent="0.25"/>
  <cols>
    <col min="1" max="1" width="3.7109375" style="47" customWidth="1"/>
    <col min="2" max="2" width="14.28515625" style="47" bestFit="1" customWidth="1"/>
    <col min="3" max="3" width="26.140625" style="47" bestFit="1" customWidth="1"/>
    <col min="4" max="4" width="36.85546875" style="47" bestFit="1" customWidth="1"/>
    <col min="5" max="5" width="17.7109375" style="47" bestFit="1" customWidth="1"/>
    <col min="6" max="6" width="10.85546875" style="47" bestFit="1" customWidth="1"/>
    <col min="7" max="7" width="10.85546875" style="47" customWidth="1"/>
    <col min="8" max="8" width="14.7109375" style="47" bestFit="1" customWidth="1"/>
    <col min="9" max="9" width="119" style="47" bestFit="1" customWidth="1"/>
    <col min="10" max="16384" width="11.42578125" style="47"/>
  </cols>
  <sheetData>
    <row r="1" spans="1:9" ht="15.75" thickBot="1" x14ac:dyDescent="0.3"/>
    <row r="2" spans="1:9" ht="15.75" thickBot="1" x14ac:dyDescent="0.3">
      <c r="A2" s="101"/>
      <c r="B2" s="180" t="s">
        <v>442</v>
      </c>
      <c r="C2" s="178" t="s">
        <v>16</v>
      </c>
      <c r="D2" s="178" t="s">
        <v>528</v>
      </c>
      <c r="E2" s="178" t="s">
        <v>523</v>
      </c>
      <c r="F2" s="178" t="s">
        <v>438</v>
      </c>
      <c r="G2" s="178" t="s">
        <v>437</v>
      </c>
      <c r="H2" s="178" t="s">
        <v>524</v>
      </c>
      <c r="I2" s="179" t="s">
        <v>160</v>
      </c>
    </row>
    <row r="3" spans="1:9" x14ac:dyDescent="0.25">
      <c r="A3" s="101"/>
      <c r="B3" s="271" t="s">
        <v>443</v>
      </c>
      <c r="C3" s="49" t="s">
        <v>68</v>
      </c>
      <c r="D3" s="49" t="s">
        <v>529</v>
      </c>
      <c r="E3" s="48" t="s">
        <v>527</v>
      </c>
      <c r="F3" s="56">
        <f>G3/(1+Summary!$D$17)</f>
        <v>373.33333333333337</v>
      </c>
      <c r="G3" s="56">
        <v>448</v>
      </c>
      <c r="H3" s="56">
        <f>G3*2</f>
        <v>896</v>
      </c>
      <c r="I3" s="182" t="s">
        <v>69</v>
      </c>
    </row>
    <row r="4" spans="1:9" ht="15.75" thickBot="1" x14ac:dyDescent="0.3">
      <c r="A4" s="101"/>
      <c r="B4" s="273"/>
      <c r="C4" s="54" t="s">
        <v>70</v>
      </c>
      <c r="D4" s="54" t="s">
        <v>540</v>
      </c>
      <c r="E4" s="52" t="s">
        <v>143</v>
      </c>
      <c r="F4" s="59">
        <v>4.2</v>
      </c>
      <c r="G4" s="59">
        <f>F4*(1+Summary!D17)</f>
        <v>5.04</v>
      </c>
      <c r="H4" s="59">
        <f>(SUM('Manpower &amp; time'!C17:C18)+1)*'IT&amp;Office'!G4</f>
        <v>25.2</v>
      </c>
      <c r="I4" s="183" t="s">
        <v>141</v>
      </c>
    </row>
    <row r="5" spans="1:9" x14ac:dyDescent="0.25">
      <c r="A5" s="101"/>
      <c r="B5" s="271" t="s">
        <v>444</v>
      </c>
      <c r="C5" s="49" t="s">
        <v>539</v>
      </c>
      <c r="D5" s="49" t="s">
        <v>534</v>
      </c>
      <c r="E5" s="48" t="s">
        <v>525</v>
      </c>
      <c r="F5" s="184">
        <f>G5/(1+Summary!$D$17)</f>
        <v>224.91666666666666</v>
      </c>
      <c r="G5" s="56">
        <v>269.89999999999998</v>
      </c>
      <c r="H5" s="56">
        <f>G5</f>
        <v>269.89999999999998</v>
      </c>
      <c r="I5" s="182" t="s">
        <v>122</v>
      </c>
    </row>
    <row r="6" spans="1:9" x14ac:dyDescent="0.25">
      <c r="A6" s="101"/>
      <c r="B6" s="272"/>
      <c r="C6" s="51" t="s">
        <v>127</v>
      </c>
      <c r="D6" s="51" t="s">
        <v>535</v>
      </c>
      <c r="E6" s="50" t="s">
        <v>526</v>
      </c>
      <c r="F6" s="53">
        <f>G6/(1+Summary!$D$17)</f>
        <v>41.666666666666671</v>
      </c>
      <c r="G6" s="53">
        <v>50</v>
      </c>
      <c r="H6" s="53">
        <f>3*G6</f>
        <v>150</v>
      </c>
      <c r="I6" s="185" t="s">
        <v>128</v>
      </c>
    </row>
    <row r="7" spans="1:9" x14ac:dyDescent="0.25">
      <c r="A7" s="101"/>
      <c r="B7" s="272"/>
      <c r="C7" s="51" t="s">
        <v>130</v>
      </c>
      <c r="D7" s="51" t="s">
        <v>534</v>
      </c>
      <c r="E7" s="50" t="s">
        <v>526</v>
      </c>
      <c r="F7" s="186">
        <f>G7/(1+Summary!$D$17)</f>
        <v>114.99166666666667</v>
      </c>
      <c r="G7" s="53">
        <v>137.99</v>
      </c>
      <c r="H7" s="53">
        <f>G7</f>
        <v>137.99</v>
      </c>
      <c r="I7" s="185" t="s">
        <v>129</v>
      </c>
    </row>
    <row r="8" spans="1:9" x14ac:dyDescent="0.25">
      <c r="A8" s="101"/>
      <c r="B8" s="272"/>
      <c r="C8" s="51" t="s">
        <v>144</v>
      </c>
      <c r="D8" s="51" t="s">
        <v>536</v>
      </c>
      <c r="E8" s="50" t="s">
        <v>526</v>
      </c>
      <c r="F8" s="53">
        <v>23.6</v>
      </c>
      <c r="G8" s="53">
        <f>F8*(1+Summary!$D$17)</f>
        <v>28.32</v>
      </c>
      <c r="H8" s="53">
        <f>2*G8</f>
        <v>56.64</v>
      </c>
      <c r="I8" s="185" t="s">
        <v>145</v>
      </c>
    </row>
    <row r="9" spans="1:9" ht="15.75" thickBot="1" x14ac:dyDescent="0.3">
      <c r="A9" s="101"/>
      <c r="B9" s="273"/>
      <c r="C9" s="54" t="s">
        <v>146</v>
      </c>
      <c r="D9" s="54" t="s">
        <v>534</v>
      </c>
      <c r="E9" s="52" t="s">
        <v>526</v>
      </c>
      <c r="F9" s="59">
        <v>39.950000000000003</v>
      </c>
      <c r="G9" s="59">
        <f>F9*(1+Summary!$D$17)</f>
        <v>47.940000000000005</v>
      </c>
      <c r="H9" s="59">
        <f>G9</f>
        <v>47.940000000000005</v>
      </c>
      <c r="I9" s="183" t="s">
        <v>147</v>
      </c>
    </row>
    <row r="10" spans="1:9" x14ac:dyDescent="0.25">
      <c r="A10" s="101"/>
      <c r="B10" s="274" t="s">
        <v>445</v>
      </c>
      <c r="C10" s="49" t="s">
        <v>131</v>
      </c>
      <c r="D10" s="58" t="s">
        <v>531</v>
      </c>
      <c r="E10" s="48" t="s">
        <v>525</v>
      </c>
      <c r="F10" s="186">
        <v>849</v>
      </c>
      <c r="G10" s="56">
        <v>2097.6</v>
      </c>
      <c r="H10" s="56">
        <f>(SUM('Manpower &amp; time'!C17:C18)+1)*G10</f>
        <v>10488</v>
      </c>
      <c r="I10" s="182" t="s">
        <v>132</v>
      </c>
    </row>
    <row r="11" spans="1:9" x14ac:dyDescent="0.25">
      <c r="A11" s="101"/>
      <c r="B11" s="275"/>
      <c r="C11" s="51" t="s">
        <v>124</v>
      </c>
      <c r="D11" s="57" t="s">
        <v>530</v>
      </c>
      <c r="E11" s="50" t="s">
        <v>525</v>
      </c>
      <c r="F11" s="186">
        <f>G11/(1+Summary!$D$17)</f>
        <v>1791.75</v>
      </c>
      <c r="G11" s="53">
        <v>2150.1</v>
      </c>
      <c r="H11" s="53">
        <f>2*G11</f>
        <v>4300.2</v>
      </c>
      <c r="I11" s="185" t="s">
        <v>123</v>
      </c>
    </row>
    <row r="12" spans="1:9" ht="15.75" thickBot="1" x14ac:dyDescent="0.3">
      <c r="A12" s="101"/>
      <c r="B12" s="276"/>
      <c r="C12" s="54" t="s">
        <v>139</v>
      </c>
      <c r="D12" s="191" t="s">
        <v>540</v>
      </c>
      <c r="E12" s="52" t="s">
        <v>525</v>
      </c>
      <c r="F12" s="59">
        <f>G12/(1+Summary!$D$17)</f>
        <v>517</v>
      </c>
      <c r="G12" s="59">
        <v>620.4</v>
      </c>
      <c r="H12" s="59">
        <f>5*G12</f>
        <v>3102</v>
      </c>
      <c r="I12" s="183" t="s">
        <v>140</v>
      </c>
    </row>
    <row r="13" spans="1:9" x14ac:dyDescent="0.25">
      <c r="A13" s="101"/>
      <c r="B13" s="274" t="s">
        <v>446</v>
      </c>
      <c r="C13" s="49" t="s">
        <v>126</v>
      </c>
      <c r="D13" s="49" t="s">
        <v>540</v>
      </c>
      <c r="E13" s="48" t="s">
        <v>525</v>
      </c>
      <c r="F13" s="186">
        <f>G13/(1+Summary!$D$17)</f>
        <v>153</v>
      </c>
      <c r="G13" s="56">
        <v>183.6</v>
      </c>
      <c r="H13" s="56">
        <f>5*G13</f>
        <v>918</v>
      </c>
      <c r="I13" s="182" t="s">
        <v>125</v>
      </c>
    </row>
    <row r="14" spans="1:9" x14ac:dyDescent="0.25">
      <c r="A14" s="101"/>
      <c r="B14" s="275"/>
      <c r="C14" s="51" t="s">
        <v>134</v>
      </c>
      <c r="D14" s="51" t="s">
        <v>532</v>
      </c>
      <c r="E14" s="50" t="s">
        <v>525</v>
      </c>
      <c r="F14" s="186">
        <f>G14/(1+Summary!$D$17)</f>
        <v>45</v>
      </c>
      <c r="G14" s="53">
        <v>54</v>
      </c>
      <c r="H14" s="53">
        <f>G14</f>
        <v>54</v>
      </c>
      <c r="I14" s="185" t="s">
        <v>133</v>
      </c>
    </row>
    <row r="15" spans="1:9" x14ac:dyDescent="0.25">
      <c r="A15" s="101"/>
      <c r="B15" s="275"/>
      <c r="C15" s="51" t="s">
        <v>135</v>
      </c>
      <c r="D15" s="51" t="s">
        <v>533</v>
      </c>
      <c r="E15" s="50" t="s">
        <v>525</v>
      </c>
      <c r="F15" s="186">
        <f>G15/(1+Summary!$D$17)</f>
        <v>34</v>
      </c>
      <c r="G15" s="53">
        <v>40.799999999999997</v>
      </c>
      <c r="H15" s="53">
        <f>6*G15</f>
        <v>244.79999999999998</v>
      </c>
      <c r="I15" s="185" t="s">
        <v>136</v>
      </c>
    </row>
    <row r="16" spans="1:9" ht="15.75" thickBot="1" x14ac:dyDescent="0.3">
      <c r="A16" s="101"/>
      <c r="B16" s="276"/>
      <c r="C16" s="54" t="s">
        <v>137</v>
      </c>
      <c r="D16" s="54" t="s">
        <v>534</v>
      </c>
      <c r="E16" s="52" t="s">
        <v>525</v>
      </c>
      <c r="F16" s="186">
        <f>G16/(1+Summary!$D$17)</f>
        <v>181</v>
      </c>
      <c r="G16" s="59">
        <v>217.2</v>
      </c>
      <c r="H16" s="59">
        <f>G16</f>
        <v>217.2</v>
      </c>
      <c r="I16" s="183" t="s">
        <v>138</v>
      </c>
    </row>
    <row r="17" spans="1:9" ht="15.75" thickBot="1" x14ac:dyDescent="0.3">
      <c r="A17" s="101"/>
      <c r="B17" s="181" t="s">
        <v>447</v>
      </c>
      <c r="C17" s="187" t="s">
        <v>33</v>
      </c>
      <c r="D17" s="187" t="s">
        <v>537</v>
      </c>
      <c r="E17" s="188" t="s">
        <v>526</v>
      </c>
      <c r="F17" s="189">
        <f>102*12</f>
        <v>1224</v>
      </c>
      <c r="G17" s="59">
        <f>F17*(1+Summary!$D$17)</f>
        <v>1468.8</v>
      </c>
      <c r="H17" s="189">
        <f>G17</f>
        <v>1468.8</v>
      </c>
      <c r="I17" s="190" t="s">
        <v>148</v>
      </c>
    </row>
    <row r="18" spans="1:9" x14ac:dyDescent="0.25">
      <c r="A18" s="101"/>
      <c r="B18" s="274" t="s">
        <v>448</v>
      </c>
      <c r="C18" s="49" t="s">
        <v>227</v>
      </c>
      <c r="D18" s="49" t="s">
        <v>536</v>
      </c>
      <c r="E18" s="48" t="s">
        <v>525</v>
      </c>
      <c r="F18" s="56">
        <v>96</v>
      </c>
      <c r="G18" s="53">
        <f>F18*(1+Summary!$D$17)</f>
        <v>115.19999999999999</v>
      </c>
      <c r="H18" s="56">
        <f>G18*2</f>
        <v>230.39999999999998</v>
      </c>
      <c r="I18" s="182" t="s">
        <v>226</v>
      </c>
    </row>
    <row r="19" spans="1:9" ht="15.75" thickBot="1" x14ac:dyDescent="0.3">
      <c r="A19" s="101"/>
      <c r="B19" s="276"/>
      <c r="C19" s="54" t="s">
        <v>448</v>
      </c>
      <c r="D19" s="54" t="s">
        <v>538</v>
      </c>
      <c r="E19" s="52" t="s">
        <v>525</v>
      </c>
      <c r="F19" s="59">
        <v>285</v>
      </c>
      <c r="G19" s="59">
        <f>F19*(1+Summary!$D$17)</f>
        <v>342</v>
      </c>
      <c r="H19" s="59">
        <f>4*G19</f>
        <v>1368</v>
      </c>
      <c r="I19" s="183" t="s">
        <v>228</v>
      </c>
    </row>
    <row r="20" spans="1:9" x14ac:dyDescent="0.25">
      <c r="B20" s="31"/>
    </row>
    <row r="21" spans="1:9" ht="15.75" thickBot="1" x14ac:dyDescent="0.3"/>
    <row r="22" spans="1:9" ht="15.75" thickBot="1" x14ac:dyDescent="0.3">
      <c r="A22" s="101"/>
      <c r="B22" s="196" t="s">
        <v>442</v>
      </c>
      <c r="C22" s="178" t="s">
        <v>16</v>
      </c>
      <c r="D22" s="178" t="s">
        <v>528</v>
      </c>
      <c r="E22" s="178" t="s">
        <v>523</v>
      </c>
      <c r="F22" s="178" t="s">
        <v>438</v>
      </c>
      <c r="G22" s="178" t="s">
        <v>437</v>
      </c>
      <c r="H22" s="178" t="s">
        <v>524</v>
      </c>
      <c r="I22" s="179" t="s">
        <v>160</v>
      </c>
    </row>
    <row r="23" spans="1:9" x14ac:dyDescent="0.25">
      <c r="A23" s="101"/>
      <c r="B23" s="271" t="s">
        <v>310</v>
      </c>
      <c r="C23" s="195" t="s">
        <v>234</v>
      </c>
      <c r="D23" s="48" t="s">
        <v>540</v>
      </c>
      <c r="E23" s="28" t="s">
        <v>525</v>
      </c>
      <c r="F23" s="27">
        <v>619</v>
      </c>
      <c r="G23" s="193">
        <f>F23*(1+Summary!$D$17)</f>
        <v>742.8</v>
      </c>
      <c r="H23" s="193">
        <f>5*G23</f>
        <v>3714</v>
      </c>
      <c r="I23" s="26" t="s">
        <v>233</v>
      </c>
    </row>
    <row r="24" spans="1:9" x14ac:dyDescent="0.25">
      <c r="A24" s="101"/>
      <c r="B24" s="272"/>
      <c r="C24" s="17" t="s">
        <v>235</v>
      </c>
      <c r="D24" s="28" t="s">
        <v>540</v>
      </c>
      <c r="E24" s="10" t="s">
        <v>525</v>
      </c>
      <c r="F24" s="11">
        <v>248</v>
      </c>
      <c r="G24" s="193">
        <f>F24*(1+Summary!$D$17)</f>
        <v>297.59999999999997</v>
      </c>
      <c r="H24" s="197">
        <f>5*G24</f>
        <v>1487.9999999999998</v>
      </c>
      <c r="I24" s="22" t="s">
        <v>233</v>
      </c>
    </row>
    <row r="25" spans="1:9" x14ac:dyDescent="0.25">
      <c r="A25" s="101"/>
      <c r="B25" s="272"/>
      <c r="C25" s="17" t="s">
        <v>452</v>
      </c>
      <c r="D25" s="10" t="s">
        <v>536</v>
      </c>
      <c r="E25" s="10" t="s">
        <v>525</v>
      </c>
      <c r="F25" s="11">
        <v>320</v>
      </c>
      <c r="G25" s="193">
        <f>F25*(1+Summary!$D$17)</f>
        <v>384</v>
      </c>
      <c r="H25" s="197">
        <f>G25</f>
        <v>384</v>
      </c>
      <c r="I25" s="22" t="s">
        <v>233</v>
      </c>
    </row>
    <row r="26" spans="1:9" x14ac:dyDescent="0.25">
      <c r="A26" s="101"/>
      <c r="B26" s="272"/>
      <c r="C26" s="17" t="s">
        <v>453</v>
      </c>
      <c r="D26" s="10" t="s">
        <v>536</v>
      </c>
      <c r="E26" s="10" t="s">
        <v>525</v>
      </c>
      <c r="F26" s="11">
        <v>515</v>
      </c>
      <c r="G26" s="193">
        <f>F26*(1+Summary!$D$17)</f>
        <v>618</v>
      </c>
      <c r="H26" s="197">
        <f>G26*2</f>
        <v>1236</v>
      </c>
      <c r="I26" s="22" t="s">
        <v>233</v>
      </c>
    </row>
    <row r="27" spans="1:9" x14ac:dyDescent="0.25">
      <c r="A27" s="101"/>
      <c r="B27" s="272"/>
      <c r="C27" s="17" t="s">
        <v>236</v>
      </c>
      <c r="D27" s="10" t="s">
        <v>536</v>
      </c>
      <c r="E27" s="10" t="s">
        <v>525</v>
      </c>
      <c r="F27" s="11">
        <v>1125</v>
      </c>
      <c r="G27" s="193">
        <f>F27*(1+Summary!$D$17)</f>
        <v>1350</v>
      </c>
      <c r="H27" s="197">
        <f>G27*2</f>
        <v>2700</v>
      </c>
      <c r="I27" s="22" t="s">
        <v>237</v>
      </c>
    </row>
    <row r="28" spans="1:9" x14ac:dyDescent="0.25">
      <c r="A28" s="101"/>
      <c r="B28" s="272"/>
      <c r="C28" s="17" t="s">
        <v>238</v>
      </c>
      <c r="D28" s="10" t="s">
        <v>534</v>
      </c>
      <c r="E28" s="10" t="s">
        <v>525</v>
      </c>
      <c r="F28" s="11">
        <v>1851</v>
      </c>
      <c r="G28" s="193">
        <f>F28*(1+Summary!$D$17)</f>
        <v>2221.1999999999998</v>
      </c>
      <c r="H28" s="197">
        <f>G28</f>
        <v>2221.1999999999998</v>
      </c>
      <c r="I28" s="22" t="s">
        <v>239</v>
      </c>
    </row>
    <row r="29" spans="1:9" ht="15.75" thickBot="1" x14ac:dyDescent="0.3">
      <c r="A29" s="101"/>
      <c r="B29" s="273"/>
      <c r="C29" s="18" t="s">
        <v>240</v>
      </c>
      <c r="D29" s="15" t="s">
        <v>543</v>
      </c>
      <c r="E29" s="15" t="s">
        <v>525</v>
      </c>
      <c r="F29" s="20">
        <v>417</v>
      </c>
      <c r="G29" s="194">
        <f>F29*(1+Summary!$D$17)</f>
        <v>500.4</v>
      </c>
      <c r="H29" s="194">
        <f>10*G29</f>
        <v>5004</v>
      </c>
      <c r="I29" s="24" t="s">
        <v>241</v>
      </c>
    </row>
  </sheetData>
  <mergeCells count="6">
    <mergeCell ref="B23:B29"/>
    <mergeCell ref="B10:B12"/>
    <mergeCell ref="B13:B16"/>
    <mergeCell ref="B18:B19"/>
    <mergeCell ref="B3:B4"/>
    <mergeCell ref="B5:B9"/>
  </mergeCells>
  <hyperlinks>
    <hyperlink ref="I3" r:id="rId1" xr:uid="{FD9041DB-5526-4E8F-BFD7-AA5D94C5B2E4}"/>
    <hyperlink ref="I4" r:id="rId2" xr:uid="{E6B5906C-F2EB-4ABD-BA4B-CF8971DBD144}"/>
    <hyperlink ref="I5" r:id="rId3" xr:uid="{FFF5BA92-621D-46DE-8A93-77B4E8D5335C}"/>
    <hyperlink ref="I6" r:id="rId4" xr:uid="{FE8366DB-ECBE-4BB2-A101-8DFC60ED63B1}"/>
    <hyperlink ref="I7" r:id="rId5" xr:uid="{3A34D2B9-B400-4EBB-ADEA-B50DD16E9C6E}"/>
    <hyperlink ref="I8" r:id="rId6" xr:uid="{7230FFA8-873B-440D-AD71-C1A7ED419CA4}"/>
    <hyperlink ref="I9" r:id="rId7" xr:uid="{9E79F410-3DE5-41E1-AD83-DE8CA1BFCDEB}"/>
    <hyperlink ref="I10" r:id="rId8" xr:uid="{07C655F5-BAB6-4261-B193-0B6630DB43BC}"/>
    <hyperlink ref="I11" r:id="rId9" xr:uid="{B2D6165E-7A6E-4187-9770-841DD800B6D2}"/>
    <hyperlink ref="I12" r:id="rId10" xr:uid="{733AFC55-D6C6-48FF-B2CA-6749EDCE5942}"/>
    <hyperlink ref="I13" r:id="rId11" xr:uid="{F0891ACC-E316-49B1-86B7-7F7F9C09CF94}"/>
    <hyperlink ref="I14" r:id="rId12" xr:uid="{5C9D5D1C-C868-40FA-A5FF-35B918CAA5DB}"/>
    <hyperlink ref="I15" r:id="rId13" xr:uid="{8DFB83E8-5B50-4860-9758-230A5952BE6F}"/>
    <hyperlink ref="I16" r:id="rId14" xr:uid="{AE430928-5516-4D7D-97A4-4CA05BF478EF}"/>
    <hyperlink ref="I18" r:id="rId15" xr:uid="{82CA0279-6909-4488-90C8-2ED8DCD91CB3}"/>
    <hyperlink ref="I19" r:id="rId16" xr:uid="{913CA25F-1E06-451F-97A3-0A3263DD6814}"/>
    <hyperlink ref="I23" r:id="rId17" xr:uid="{2131B039-6D68-4CB3-95D7-8D4A25B5C754}"/>
    <hyperlink ref="I24" r:id="rId18" xr:uid="{1E504BA5-2C15-4A87-A57B-A15650729C4A}"/>
    <hyperlink ref="I25" r:id="rId19" xr:uid="{6E2B9B81-99B1-4B6B-B91A-654077C93711}"/>
    <hyperlink ref="I26" r:id="rId20" xr:uid="{6654171F-F120-4516-A062-8F605307B3E1}"/>
    <hyperlink ref="I27" r:id="rId21" xr:uid="{BE11A961-4344-41C0-A52A-76264661B771}"/>
    <hyperlink ref="I28" r:id="rId22" xr:uid="{232DD4D1-2BDF-44BB-A0AD-09C68C94D24A}"/>
    <hyperlink ref="I29" r:id="rId23" xr:uid="{8009E3DA-8BF6-447C-9701-DAFA5C2BE40A}"/>
  </hyperlinks>
  <pageMargins left="0.7" right="0.7" top="0.75" bottom="0.75" header="0.3" footer="0.3"/>
  <pageSetup orientation="portrait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G24"/>
  <sheetViews>
    <sheetView showGridLines="0" workbookViewId="0">
      <selection activeCell="B5" sqref="B5:B10"/>
    </sheetView>
  </sheetViews>
  <sheetFormatPr baseColWidth="10" defaultRowHeight="15" x14ac:dyDescent="0.25"/>
  <cols>
    <col min="1" max="1" width="3" customWidth="1"/>
    <col min="2" max="2" width="20.85546875" bestFit="1" customWidth="1"/>
    <col min="3" max="3" width="35.140625" bestFit="1" customWidth="1"/>
    <col min="4" max="4" width="25.85546875" bestFit="1" customWidth="1"/>
    <col min="5" max="5" width="17" bestFit="1" customWidth="1"/>
    <col min="6" max="6" width="16.5703125" bestFit="1" customWidth="1"/>
    <col min="7" max="7" width="126.7109375" bestFit="1" customWidth="1"/>
  </cols>
  <sheetData>
    <row r="1" spans="1:7" ht="15.75" thickBot="1" x14ac:dyDescent="0.3"/>
    <row r="2" spans="1:7" ht="15.75" thickBot="1" x14ac:dyDescent="0.3">
      <c r="A2" s="101"/>
      <c r="B2" s="180" t="s">
        <v>28</v>
      </c>
      <c r="C2" s="180" t="s">
        <v>25</v>
      </c>
      <c r="D2" s="180" t="s">
        <v>528</v>
      </c>
      <c r="E2" s="180" t="s">
        <v>441</v>
      </c>
      <c r="F2" s="180" t="s">
        <v>440</v>
      </c>
      <c r="G2" s="180" t="s">
        <v>160</v>
      </c>
    </row>
    <row r="3" spans="1:7" s="202" customFormat="1" x14ac:dyDescent="0.25">
      <c r="A3" s="101"/>
      <c r="B3" s="271" t="s">
        <v>601</v>
      </c>
      <c r="C3" s="17" t="s">
        <v>378</v>
      </c>
      <c r="D3" s="10"/>
      <c r="E3" s="11">
        <v>15000</v>
      </c>
      <c r="F3" s="301">
        <f>E3*(1+Summary!$D$17)</f>
        <v>18000</v>
      </c>
      <c r="G3" s="22" t="s">
        <v>376</v>
      </c>
    </row>
    <row r="4" spans="1:7" s="202" customFormat="1" ht="15.75" thickBot="1" x14ac:dyDescent="0.3">
      <c r="A4" s="101"/>
      <c r="B4" s="273"/>
      <c r="C4" s="17" t="s">
        <v>379</v>
      </c>
      <c r="D4" s="10"/>
      <c r="E4" s="11">
        <v>10000</v>
      </c>
      <c r="F4" s="301">
        <f>E4*(1+Summary!$D$17)</f>
        <v>12000</v>
      </c>
      <c r="G4" s="22" t="s">
        <v>377</v>
      </c>
    </row>
    <row r="5" spans="1:7" x14ac:dyDescent="0.25">
      <c r="A5" s="101"/>
      <c r="B5" s="271" t="s">
        <v>600</v>
      </c>
      <c r="C5" s="16" t="s">
        <v>60</v>
      </c>
      <c r="D5" s="14" t="s">
        <v>603</v>
      </c>
      <c r="E5" s="14">
        <v>1072</v>
      </c>
      <c r="F5" s="19">
        <f>E5*(1+Summary!$D$17)</f>
        <v>1286.3999999999999</v>
      </c>
      <c r="G5" s="201" t="s">
        <v>61</v>
      </c>
    </row>
    <row r="6" spans="1:7" x14ac:dyDescent="0.25">
      <c r="A6" s="101"/>
      <c r="B6" s="272"/>
      <c r="C6" s="17" t="s">
        <v>64</v>
      </c>
      <c r="D6" s="10" t="s">
        <v>604</v>
      </c>
      <c r="E6" s="27">
        <v>12350</v>
      </c>
      <c r="F6" s="11">
        <f>E6*(1+Summary!$D$17)</f>
        <v>14820</v>
      </c>
      <c r="G6" s="22" t="s">
        <v>62</v>
      </c>
    </row>
    <row r="7" spans="1:7" x14ac:dyDescent="0.25">
      <c r="A7" s="101"/>
      <c r="B7" s="272"/>
      <c r="C7" s="17" t="s">
        <v>297</v>
      </c>
      <c r="D7" s="10"/>
      <c r="E7" s="11">
        <v>3954</v>
      </c>
      <c r="F7" s="11">
        <f>E7*(1+Summary!$D$17)</f>
        <v>4744.8</v>
      </c>
      <c r="G7" s="22" t="s">
        <v>296</v>
      </c>
    </row>
    <row r="8" spans="1:7" x14ac:dyDescent="0.25">
      <c r="A8" s="101"/>
      <c r="B8" s="272"/>
      <c r="C8" s="17" t="s">
        <v>318</v>
      </c>
      <c r="D8" s="10"/>
      <c r="E8" s="11">
        <v>405</v>
      </c>
      <c r="F8" s="11">
        <f>E8*(1+Summary!$D$17)</f>
        <v>486</v>
      </c>
      <c r="G8" s="22" t="s">
        <v>319</v>
      </c>
    </row>
    <row r="9" spans="1:7" s="202" customFormat="1" x14ac:dyDescent="0.25">
      <c r="A9" s="101"/>
      <c r="B9" s="272"/>
      <c r="C9" s="21" t="s">
        <v>401</v>
      </c>
      <c r="D9" s="10">
        <v>1</v>
      </c>
      <c r="E9" s="11">
        <f>1031.54</f>
        <v>1031.54</v>
      </c>
      <c r="F9" s="10">
        <f>E9*(1+Summary!$D$17)</f>
        <v>1237.848</v>
      </c>
      <c r="G9" s="22" t="s">
        <v>402</v>
      </c>
    </row>
    <row r="10" spans="1:7" ht="15.75" thickBot="1" x14ac:dyDescent="0.3">
      <c r="A10" s="101"/>
      <c r="B10" s="273"/>
      <c r="C10" s="294" t="s">
        <v>599</v>
      </c>
      <c r="D10" s="298"/>
      <c r="E10" s="298">
        <v>245</v>
      </c>
      <c r="F10" s="299">
        <f>E10*(1+Summary!$D$17)</f>
        <v>294</v>
      </c>
      <c r="G10" s="300" t="s">
        <v>320</v>
      </c>
    </row>
    <row r="11" spans="1:7" x14ac:dyDescent="0.25">
      <c r="A11" s="101"/>
      <c r="B11" s="271" t="s">
        <v>449</v>
      </c>
      <c r="C11" s="16" t="s">
        <v>177</v>
      </c>
      <c r="D11" s="14" t="s">
        <v>178</v>
      </c>
      <c r="E11" s="19">
        <f>1335/1.2</f>
        <v>1112.5</v>
      </c>
      <c r="F11" s="19">
        <f>E11*(1+Summary!$D$17)</f>
        <v>1335</v>
      </c>
      <c r="G11" s="30" t="s">
        <v>71</v>
      </c>
    </row>
    <row r="12" spans="1:7" ht="15.75" thickBot="1" x14ac:dyDescent="0.3">
      <c r="A12" s="101"/>
      <c r="B12" s="273"/>
      <c r="C12" s="18" t="s">
        <v>177</v>
      </c>
      <c r="D12" s="15" t="s">
        <v>179</v>
      </c>
      <c r="E12" s="20">
        <f>2087/1.2</f>
        <v>1739.1666666666667</v>
      </c>
      <c r="F12" s="20">
        <f>E12*(1+Summary!$D$17)</f>
        <v>2087</v>
      </c>
      <c r="G12" s="24" t="s">
        <v>159</v>
      </c>
    </row>
    <row r="13" spans="1:7" x14ac:dyDescent="0.25">
      <c r="A13" s="101"/>
      <c r="B13" s="271" t="s">
        <v>450</v>
      </c>
      <c r="C13" s="16" t="s">
        <v>301</v>
      </c>
      <c r="D13" s="14">
        <v>5</v>
      </c>
      <c r="E13" s="19">
        <v>69.400000000000006</v>
      </c>
      <c r="F13" s="19">
        <f>E13*(1+Summary!$D$17)</f>
        <v>83.28</v>
      </c>
      <c r="G13" s="30" t="s">
        <v>300</v>
      </c>
    </row>
    <row r="14" spans="1:7" x14ac:dyDescent="0.25">
      <c r="A14" s="101"/>
      <c r="B14" s="272"/>
      <c r="C14" s="17" t="s">
        <v>303</v>
      </c>
      <c r="D14" s="10">
        <v>1</v>
      </c>
      <c r="E14" s="11">
        <v>1433.25</v>
      </c>
      <c r="F14" s="11">
        <f>E14*(1+Summary!$D$17)</f>
        <v>1719.8999999999999</v>
      </c>
      <c r="G14" s="22" t="s">
        <v>302</v>
      </c>
    </row>
    <row r="15" spans="1:7" x14ac:dyDescent="0.25">
      <c r="A15" s="101"/>
      <c r="B15" s="272"/>
      <c r="C15" s="17" t="s">
        <v>305</v>
      </c>
      <c r="D15" s="10">
        <v>1</v>
      </c>
      <c r="E15" s="11">
        <v>1866.02</v>
      </c>
      <c r="F15" s="11">
        <f>E15*(1+Summary!$D$17)</f>
        <v>2239.2239999999997</v>
      </c>
      <c r="G15" s="22" t="s">
        <v>304</v>
      </c>
    </row>
    <row r="16" spans="1:7" x14ac:dyDescent="0.25">
      <c r="A16" s="101"/>
      <c r="B16" s="272"/>
      <c r="C16" s="17" t="s">
        <v>307</v>
      </c>
      <c r="D16" s="10">
        <v>1</v>
      </c>
      <c r="E16" s="11">
        <v>859.65</v>
      </c>
      <c r="F16" s="11">
        <f>E16*(1+Summary!$D$17)</f>
        <v>1031.58</v>
      </c>
      <c r="G16" s="22" t="s">
        <v>306</v>
      </c>
    </row>
    <row r="17" spans="1:7" x14ac:dyDescent="0.25">
      <c r="A17" s="101"/>
      <c r="B17" s="272"/>
      <c r="C17" s="17" t="s">
        <v>309</v>
      </c>
      <c r="D17" s="10">
        <v>3</v>
      </c>
      <c r="E17" s="11">
        <v>699.07</v>
      </c>
      <c r="F17" s="11">
        <f>E17*(1+Summary!$D$17)</f>
        <v>838.88400000000001</v>
      </c>
      <c r="G17" s="22" t="s">
        <v>308</v>
      </c>
    </row>
    <row r="18" spans="1:7" x14ac:dyDescent="0.25">
      <c r="A18" s="101"/>
      <c r="B18" s="272"/>
      <c r="C18" s="17" t="s">
        <v>311</v>
      </c>
      <c r="D18" s="10">
        <v>30</v>
      </c>
      <c r="E18" s="11">
        <v>16.899999999999999</v>
      </c>
      <c r="F18" s="11">
        <f>E18*(1+Summary!$D$17)</f>
        <v>20.279999999999998</v>
      </c>
      <c r="G18" s="22" t="s">
        <v>312</v>
      </c>
    </row>
    <row r="19" spans="1:7" x14ac:dyDescent="0.25">
      <c r="A19" s="101"/>
      <c r="B19" s="272"/>
      <c r="C19" s="17" t="s">
        <v>245</v>
      </c>
      <c r="D19" s="10">
        <v>6</v>
      </c>
      <c r="E19" s="11">
        <v>1001.67</v>
      </c>
      <c r="F19" s="11">
        <f>E19*(1+Summary!$D$17)</f>
        <v>1202.0039999999999</v>
      </c>
      <c r="G19" s="22" t="s">
        <v>242</v>
      </c>
    </row>
    <row r="20" spans="1:7" x14ac:dyDescent="0.25">
      <c r="A20" s="101"/>
      <c r="B20" s="272"/>
      <c r="C20" s="17" t="s">
        <v>243</v>
      </c>
      <c r="D20" s="10">
        <v>3</v>
      </c>
      <c r="E20" s="11">
        <v>352.31</v>
      </c>
      <c r="F20" s="11">
        <f>E20*(1+Summary!$D$17)</f>
        <v>422.77199999999999</v>
      </c>
      <c r="G20" s="22" t="s">
        <v>244</v>
      </c>
    </row>
    <row r="21" spans="1:7" ht="15.75" thickBot="1" x14ac:dyDescent="0.3">
      <c r="A21" s="101"/>
      <c r="B21" s="273"/>
      <c r="C21" s="18" t="s">
        <v>299</v>
      </c>
      <c r="D21" s="15">
        <v>6</v>
      </c>
      <c r="E21" s="20">
        <v>2302.5700000000002</v>
      </c>
      <c r="F21" s="20">
        <f>E21*(1+Summary!$D$17)</f>
        <v>2763.0840000000003</v>
      </c>
      <c r="G21" s="24" t="s">
        <v>298</v>
      </c>
    </row>
    <row r="22" spans="1:7" ht="15.75" thickBot="1" x14ac:dyDescent="0.3">
      <c r="A22" s="101"/>
      <c r="B22" s="181" t="s">
        <v>451</v>
      </c>
      <c r="C22" s="35" t="s">
        <v>316</v>
      </c>
      <c r="D22" s="29">
        <v>2</v>
      </c>
      <c r="E22" s="40">
        <v>1075</v>
      </c>
      <c r="F22" s="40">
        <f>E22*(1+Summary!$D$17)</f>
        <v>1290</v>
      </c>
      <c r="G22" s="41" t="s">
        <v>317</v>
      </c>
    </row>
    <row r="24" spans="1:7" x14ac:dyDescent="0.25">
      <c r="A24" s="202"/>
    </row>
  </sheetData>
  <mergeCells count="4">
    <mergeCell ref="B3:B4"/>
    <mergeCell ref="B5:B10"/>
    <mergeCell ref="B11:B12"/>
    <mergeCell ref="B13:B21"/>
  </mergeCells>
  <hyperlinks>
    <hyperlink ref="G11" r:id="rId1" xr:uid="{00000000-0004-0000-0600-000000000000}"/>
    <hyperlink ref="G12" r:id="rId2" xr:uid="{00000000-0004-0000-0600-000001000000}"/>
    <hyperlink ref="G5" r:id="rId3" xr:uid="{00000000-0004-0000-0600-000002000000}"/>
    <hyperlink ref="G6" r:id="rId4" xr:uid="{00000000-0004-0000-0600-000007000000}"/>
    <hyperlink ref="G19" r:id="rId5" xr:uid="{00000000-0004-0000-0600-000008000000}"/>
    <hyperlink ref="G20" r:id="rId6" xr:uid="{00000000-0004-0000-0600-000009000000}"/>
    <hyperlink ref="G13" r:id="rId7" xr:uid="{A4C7276F-7168-490B-BEB2-32AC6233E6FA}"/>
    <hyperlink ref="G14" r:id="rId8" xr:uid="{055614BC-01C0-4B4C-A0ED-5FF8F51C7B2E}"/>
    <hyperlink ref="G15" r:id="rId9" xr:uid="{4AAE0EA1-9B29-404E-808F-5F20B5CB209A}"/>
    <hyperlink ref="G16" r:id="rId10" xr:uid="{2064E6CC-B012-4F85-84BD-4BEEE0ADB236}"/>
    <hyperlink ref="G17" r:id="rId11" xr:uid="{20B57005-5733-46FC-A599-FDAE90D8F45C}"/>
    <hyperlink ref="G18" r:id="rId12" xr:uid="{CEA2462A-FEA4-4128-8BC5-F267CC225FDC}"/>
    <hyperlink ref="G21" r:id="rId13" xr:uid="{810E01CC-42CA-420E-A1E9-D2266529E894}"/>
    <hyperlink ref="G9" r:id="rId14" xr:uid="{24BF8C79-4A7B-4569-B195-D9C730161DED}"/>
    <hyperlink ref="G22" r:id="rId15" xr:uid="{F2E381E2-49C0-4630-A9BA-32A395E37EAE}"/>
    <hyperlink ref="G8" r:id="rId16" xr:uid="{9564B0DA-BC67-4507-8A51-942DEBAD3FAC}"/>
    <hyperlink ref="G10" r:id="rId17" xr:uid="{303819D9-F58B-48BE-A744-AC489139E136}"/>
    <hyperlink ref="G7" r:id="rId18" xr:uid="{2772983D-FB0E-4605-A104-57E0846DAE6B}"/>
    <hyperlink ref="G4" r:id="rId19" xr:uid="{EF41B720-D0EE-437F-92B0-A5F081EA1F33}"/>
    <hyperlink ref="G3" r:id="rId20" xr:uid="{04E1A58F-9592-4F05-87F1-0BDCDA60B03D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19"/>
  <sheetViews>
    <sheetView showGridLines="0" workbookViewId="0">
      <selection activeCell="A5" sqref="A5"/>
    </sheetView>
  </sheetViews>
  <sheetFormatPr baseColWidth="10" defaultRowHeight="15" x14ac:dyDescent="0.25"/>
  <cols>
    <col min="1" max="1" width="3.5703125" customWidth="1"/>
    <col min="2" max="2" width="28.28515625" bestFit="1" customWidth="1"/>
    <col min="3" max="3" width="11.85546875" bestFit="1" customWidth="1"/>
    <col min="4" max="4" width="16.5703125" bestFit="1" customWidth="1"/>
    <col min="5" max="5" width="17" bestFit="1" customWidth="1"/>
    <col min="6" max="6" width="165" customWidth="1"/>
  </cols>
  <sheetData>
    <row r="1" spans="1:6" ht="15.75" thickBot="1" x14ac:dyDescent="0.3"/>
    <row r="2" spans="1:6" ht="15.75" thickBot="1" x14ac:dyDescent="0.3">
      <c r="B2" s="176" t="s">
        <v>25</v>
      </c>
      <c r="C2" s="177" t="s">
        <v>149</v>
      </c>
      <c r="D2" s="178" t="s">
        <v>440</v>
      </c>
      <c r="E2" s="178" t="s">
        <v>441</v>
      </c>
      <c r="F2" s="179" t="s">
        <v>160</v>
      </c>
    </row>
    <row r="3" spans="1:6" ht="30" x14ac:dyDescent="0.25">
      <c r="B3" s="164" t="s">
        <v>521</v>
      </c>
      <c r="C3" s="165" t="s">
        <v>82</v>
      </c>
      <c r="D3" s="166">
        <v>149</v>
      </c>
      <c r="E3" s="167">
        <f>D3/(1+Summary!$D$17)</f>
        <v>124.16666666666667</v>
      </c>
      <c r="F3" s="168" t="s">
        <v>81</v>
      </c>
    </row>
    <row r="4" spans="1:6" ht="30" x14ac:dyDescent="0.25">
      <c r="B4" s="169" t="s">
        <v>84</v>
      </c>
      <c r="C4" s="170">
        <v>0.01</v>
      </c>
      <c r="D4" s="171">
        <v>129</v>
      </c>
      <c r="E4" s="172">
        <f>D4/(1+Summary!$D$17)</f>
        <v>107.5</v>
      </c>
      <c r="F4" s="173" t="s">
        <v>83</v>
      </c>
    </row>
    <row r="5" spans="1:6" x14ac:dyDescent="0.25">
      <c r="A5" s="101"/>
      <c r="B5" s="174" t="s">
        <v>31</v>
      </c>
      <c r="C5" s="17">
        <v>0.01</v>
      </c>
      <c r="D5" s="32">
        <v>60</v>
      </c>
      <c r="E5" s="34">
        <f>D5/(1+Summary!$D$17)</f>
        <v>50</v>
      </c>
      <c r="F5" s="38" t="s">
        <v>85</v>
      </c>
    </row>
    <row r="6" spans="1:6" x14ac:dyDescent="0.25">
      <c r="A6" s="101"/>
      <c r="B6" s="174" t="s">
        <v>89</v>
      </c>
      <c r="C6" s="17"/>
      <c r="D6" s="32">
        <v>167</v>
      </c>
      <c r="E6" s="34">
        <f>D6/(1+Summary!$D$17)</f>
        <v>139.16666666666669</v>
      </c>
      <c r="F6" s="38" t="s">
        <v>86</v>
      </c>
    </row>
    <row r="7" spans="1:6" ht="30" x14ac:dyDescent="0.25">
      <c r="A7" s="101"/>
      <c r="B7" s="174" t="s">
        <v>88</v>
      </c>
      <c r="C7" s="17"/>
      <c r="D7" s="32">
        <v>94</v>
      </c>
      <c r="E7" s="34">
        <f>D7/(1+Summary!$D$17)</f>
        <v>78.333333333333343</v>
      </c>
      <c r="F7" s="38" t="s">
        <v>87</v>
      </c>
    </row>
    <row r="8" spans="1:6" x14ac:dyDescent="0.25">
      <c r="A8" s="101"/>
      <c r="B8" s="174" t="s">
        <v>90</v>
      </c>
      <c r="C8" s="17"/>
      <c r="D8" s="32">
        <v>282</v>
      </c>
      <c r="E8" s="34">
        <f>D8/(1+Summary!$D$17)</f>
        <v>235</v>
      </c>
      <c r="F8" s="38" t="s">
        <v>91</v>
      </c>
    </row>
    <row r="9" spans="1:6" x14ac:dyDescent="0.25">
      <c r="A9" s="101"/>
      <c r="B9" s="174" t="s">
        <v>93</v>
      </c>
      <c r="C9" s="17"/>
      <c r="D9" s="32">
        <v>408</v>
      </c>
      <c r="E9" s="34">
        <f>D9/(1+Summary!$D$17)</f>
        <v>340</v>
      </c>
      <c r="F9" s="37"/>
    </row>
    <row r="10" spans="1:6" ht="30" x14ac:dyDescent="0.25">
      <c r="A10" s="101"/>
      <c r="B10" s="174" t="s">
        <v>94</v>
      </c>
      <c r="C10" s="17"/>
      <c r="D10" s="32">
        <v>3322</v>
      </c>
      <c r="E10" s="34">
        <f>D10/(1+Summary!$D$17)</f>
        <v>2768.3333333333335</v>
      </c>
      <c r="F10" s="38" t="s">
        <v>92</v>
      </c>
    </row>
    <row r="11" spans="1:6" ht="30" x14ac:dyDescent="0.25">
      <c r="A11" s="101"/>
      <c r="B11" s="277" t="s">
        <v>95</v>
      </c>
      <c r="C11" s="17" t="s">
        <v>96</v>
      </c>
      <c r="D11" s="32">
        <v>1390</v>
      </c>
      <c r="E11" s="34">
        <f>D11/(1+Summary!$D$17)</f>
        <v>1158.3333333333335</v>
      </c>
      <c r="F11" s="38" t="s">
        <v>97</v>
      </c>
    </row>
    <row r="12" spans="1:6" ht="30" x14ac:dyDescent="0.25">
      <c r="A12" s="101"/>
      <c r="B12" s="278"/>
      <c r="C12" s="17" t="s">
        <v>99</v>
      </c>
      <c r="D12" s="32">
        <v>1202</v>
      </c>
      <c r="E12" s="34">
        <f>D12/(1+Summary!$D$17)</f>
        <v>1001.6666666666667</v>
      </c>
      <c r="F12" s="38" t="s">
        <v>98</v>
      </c>
    </row>
    <row r="13" spans="1:6" ht="30" x14ac:dyDescent="0.25">
      <c r="A13" s="101"/>
      <c r="B13" s="278"/>
      <c r="C13" s="17" t="s">
        <v>101</v>
      </c>
      <c r="D13" s="32">
        <v>146</v>
      </c>
      <c r="E13" s="34">
        <f>D13/(1+Summary!$D$17)</f>
        <v>121.66666666666667</v>
      </c>
      <c r="F13" s="38" t="s">
        <v>100</v>
      </c>
    </row>
    <row r="14" spans="1:6" ht="30" x14ac:dyDescent="0.25">
      <c r="A14" s="101"/>
      <c r="B14" s="279"/>
      <c r="C14" s="17" t="s">
        <v>103</v>
      </c>
      <c r="D14" s="32">
        <v>162</v>
      </c>
      <c r="E14" s="34">
        <f>D14/(1+Summary!$D$17)</f>
        <v>135</v>
      </c>
      <c r="F14" s="38" t="s">
        <v>102</v>
      </c>
    </row>
    <row r="15" spans="1:6" ht="30" x14ac:dyDescent="0.25">
      <c r="A15" s="101"/>
      <c r="B15" s="277" t="s">
        <v>30</v>
      </c>
      <c r="C15" s="17" t="s">
        <v>105</v>
      </c>
      <c r="D15" s="32">
        <v>1623</v>
      </c>
      <c r="E15" s="34">
        <f>D15/(1+Summary!$D$17)</f>
        <v>1352.5</v>
      </c>
      <c r="F15" s="38" t="s">
        <v>104</v>
      </c>
    </row>
    <row r="16" spans="1:6" ht="30" x14ac:dyDescent="0.25">
      <c r="A16" s="101"/>
      <c r="B16" s="279"/>
      <c r="C16" s="33" t="s">
        <v>152</v>
      </c>
      <c r="D16" s="32">
        <v>675</v>
      </c>
      <c r="E16" s="34">
        <f>D16/(1+Summary!$D$17)</f>
        <v>562.5</v>
      </c>
      <c r="F16" s="38" t="s">
        <v>153</v>
      </c>
    </row>
    <row r="17" spans="1:6" x14ac:dyDescent="0.25">
      <c r="A17" s="101"/>
      <c r="B17" s="174" t="s">
        <v>106</v>
      </c>
      <c r="C17" s="17" t="s">
        <v>108</v>
      </c>
      <c r="D17" s="13">
        <v>308</v>
      </c>
      <c r="E17" s="34">
        <f>D17/(1+Summary!$D$17)</f>
        <v>256.66666666666669</v>
      </c>
      <c r="F17" s="38" t="s">
        <v>107</v>
      </c>
    </row>
    <row r="18" spans="1:6" x14ac:dyDescent="0.25">
      <c r="A18" s="101"/>
      <c r="B18" s="174" t="s">
        <v>187</v>
      </c>
      <c r="C18" s="17" t="s">
        <v>188</v>
      </c>
      <c r="D18" s="11">
        <f>48334.81*1.2</f>
        <v>58001.771999999997</v>
      </c>
      <c r="E18" s="34">
        <f>D18/(1+Summary!$D$17)</f>
        <v>48334.81</v>
      </c>
      <c r="F18" s="38" t="s">
        <v>186</v>
      </c>
    </row>
    <row r="19" spans="1:6" ht="15.75" thickBot="1" x14ac:dyDescent="0.3">
      <c r="A19" s="101"/>
      <c r="B19" s="175" t="s">
        <v>190</v>
      </c>
      <c r="C19" s="18" t="s">
        <v>191</v>
      </c>
      <c r="D19" s="15">
        <f>5390*1.2</f>
        <v>6468</v>
      </c>
      <c r="E19" s="34">
        <f>D19/(1+Summary!$D$17)</f>
        <v>5390</v>
      </c>
      <c r="F19" s="39" t="s">
        <v>189</v>
      </c>
    </row>
  </sheetData>
  <mergeCells count="2">
    <mergeCell ref="B11:B14"/>
    <mergeCell ref="B15:B16"/>
  </mergeCells>
  <hyperlinks>
    <hyperlink ref="F3" r:id="rId1" xr:uid="{00000000-0004-0000-0300-000000000000}"/>
    <hyperlink ref="F17" r:id="rId2" xr:uid="{00000000-0004-0000-0300-000001000000}"/>
    <hyperlink ref="F15" r:id="rId3" xr:uid="{00000000-0004-0000-0300-000002000000}"/>
    <hyperlink ref="F4" r:id="rId4" xr:uid="{17C91CA5-122D-487F-B62C-3980991E1934}"/>
    <hyperlink ref="F5" r:id="rId5" xr:uid="{C2A869EE-2F96-4614-925F-6CA4B371DB72}"/>
    <hyperlink ref="F6" r:id="rId6" xr:uid="{D0EBC0A2-C619-4A15-A1EE-1433C247088A}"/>
    <hyperlink ref="F7" r:id="rId7" xr:uid="{C6FB60E2-B3C6-4A1E-8DBC-B38B896D44BB}"/>
    <hyperlink ref="F8" r:id="rId8" xr:uid="{5DAA328B-CED5-4D1C-A543-4FCD716CB537}"/>
    <hyperlink ref="F10" r:id="rId9" xr:uid="{4E3EA835-01DE-44C2-81B1-6DEF49D48D22}"/>
    <hyperlink ref="F11" r:id="rId10" xr:uid="{D44C1749-D817-49A8-8100-38DA8F13BDCD}"/>
    <hyperlink ref="F12" r:id="rId11" xr:uid="{CE0DD8F6-C1D9-4C8E-824D-E9DF24ED93BE}"/>
    <hyperlink ref="F13" r:id="rId12" xr:uid="{83E64948-1BB5-4525-9713-79B9118F8959}"/>
    <hyperlink ref="F14" r:id="rId13" xr:uid="{A4A03384-7F4F-4E1D-B7EE-350C37081037}"/>
    <hyperlink ref="F16" r:id="rId14" xr:uid="{F25F3AA7-1A18-4D78-B3C2-7671C1A0AECE}"/>
    <hyperlink ref="F18" r:id="rId15" xr:uid="{FC2F4028-1D2B-4007-A317-C665F746A5E7}"/>
    <hyperlink ref="F19" r:id="rId16" xr:uid="{69B85A02-22FB-402F-8A33-F82B1CD5314A}"/>
  </hyperlinks>
  <pageMargins left="0.7" right="0.7" top="0.75" bottom="0.75" header="0.3" footer="0.3"/>
  <pageSetup orientation="portrait" r:id="rId17"/>
  <legacy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N34"/>
  <sheetViews>
    <sheetView showGridLines="0" workbookViewId="0">
      <selection activeCell="C14" sqref="C14:F15"/>
    </sheetView>
  </sheetViews>
  <sheetFormatPr baseColWidth="10" defaultRowHeight="15" x14ac:dyDescent="0.25"/>
  <cols>
    <col min="1" max="1" width="2.85546875" style="43" customWidth="1"/>
    <col min="2" max="2" width="16.85546875" style="43" bestFit="1" customWidth="1"/>
    <col min="3" max="3" width="45.42578125" style="43" bestFit="1" customWidth="1"/>
    <col min="4" max="4" width="11.5703125" style="43" bestFit="1" customWidth="1"/>
    <col min="5" max="5" width="10.28515625" style="43" bestFit="1" customWidth="1"/>
    <col min="6" max="6" width="105.28515625" style="43" bestFit="1" customWidth="1"/>
    <col min="7" max="7" width="10.28515625" style="43" bestFit="1" customWidth="1"/>
    <col min="8" max="8" width="13.5703125" style="43" customWidth="1"/>
    <col min="9" max="16384" width="11.42578125" style="43"/>
  </cols>
  <sheetData>
    <row r="1" spans="1:14" ht="15.75" thickBot="1" x14ac:dyDescent="0.3"/>
    <row r="2" spans="1:14" ht="15.75" thickBot="1" x14ac:dyDescent="0.3">
      <c r="A2" s="101"/>
      <c r="B2" s="240" t="s">
        <v>489</v>
      </c>
      <c r="C2" s="241"/>
      <c r="D2" s="241"/>
      <c r="E2" s="241"/>
      <c r="F2" s="242"/>
    </row>
    <row r="3" spans="1:14" ht="15.75" thickBot="1" x14ac:dyDescent="0.3">
      <c r="A3" s="101"/>
      <c r="B3" s="115" t="s">
        <v>25</v>
      </c>
      <c r="C3" s="116" t="s">
        <v>176</v>
      </c>
      <c r="D3" s="116" t="s">
        <v>150</v>
      </c>
      <c r="E3" s="116" t="s">
        <v>151</v>
      </c>
      <c r="F3" s="117" t="s">
        <v>160</v>
      </c>
      <c r="N3" s="107"/>
    </row>
    <row r="4" spans="1:14" x14ac:dyDescent="0.25">
      <c r="A4" s="101"/>
      <c r="B4" s="44" t="s">
        <v>72</v>
      </c>
      <c r="C4" s="45"/>
      <c r="D4" s="118">
        <f>E4*1.2</f>
        <v>5908.19</v>
      </c>
      <c r="E4" s="114">
        <f>5908.19/1.2</f>
        <v>4923.4916666666668</v>
      </c>
      <c r="F4" s="36" t="s">
        <v>73</v>
      </c>
    </row>
    <row r="5" spans="1:14" x14ac:dyDescent="0.25">
      <c r="A5" s="101"/>
      <c r="B5" s="111" t="s">
        <v>193</v>
      </c>
      <c r="C5" s="108"/>
      <c r="D5" s="118">
        <f t="shared" ref="D5:D11" si="0">E5*1.2</f>
        <v>1221.5039999999999</v>
      </c>
      <c r="E5" s="109">
        <v>1017.92</v>
      </c>
      <c r="F5" s="38" t="s">
        <v>194</v>
      </c>
    </row>
    <row r="6" spans="1:14" x14ac:dyDescent="0.25">
      <c r="A6" s="101"/>
      <c r="B6" s="111" t="s">
        <v>35</v>
      </c>
      <c r="C6" s="108"/>
      <c r="D6" s="118">
        <f t="shared" si="0"/>
        <v>3546.576</v>
      </c>
      <c r="E6" s="109">
        <v>2955.48</v>
      </c>
      <c r="F6" s="38" t="s">
        <v>195</v>
      </c>
    </row>
    <row r="7" spans="1:14" x14ac:dyDescent="0.25">
      <c r="A7" s="101"/>
      <c r="B7" s="111" t="s">
        <v>497</v>
      </c>
      <c r="C7" s="108" t="s">
        <v>496</v>
      </c>
      <c r="D7" s="118">
        <f t="shared" si="0"/>
        <v>5220</v>
      </c>
      <c r="E7" s="109">
        <v>4350</v>
      </c>
      <c r="F7" s="38" t="s">
        <v>490</v>
      </c>
      <c r="I7" s="107"/>
    </row>
    <row r="8" spans="1:14" x14ac:dyDescent="0.25">
      <c r="A8" s="101"/>
      <c r="B8" s="111" t="s">
        <v>495</v>
      </c>
      <c r="C8" s="108" t="s">
        <v>494</v>
      </c>
      <c r="D8" s="118">
        <f t="shared" si="0"/>
        <v>393.59999999999997</v>
      </c>
      <c r="E8" s="109">
        <v>328</v>
      </c>
      <c r="F8" s="120" t="s">
        <v>492</v>
      </c>
    </row>
    <row r="9" spans="1:14" x14ac:dyDescent="0.25">
      <c r="A9" s="101"/>
      <c r="B9" s="111" t="s">
        <v>493</v>
      </c>
      <c r="C9" s="108" t="s">
        <v>494</v>
      </c>
      <c r="D9" s="118">
        <f t="shared" si="0"/>
        <v>1422</v>
      </c>
      <c r="E9" s="109">
        <v>1185</v>
      </c>
      <c r="F9" s="38" t="s">
        <v>491</v>
      </c>
    </row>
    <row r="10" spans="1:14" x14ac:dyDescent="0.25">
      <c r="A10" s="101"/>
      <c r="B10" s="111" t="s">
        <v>76</v>
      </c>
      <c r="C10" s="108"/>
      <c r="D10" s="118">
        <f t="shared" si="0"/>
        <v>182.12</v>
      </c>
      <c r="E10" s="109">
        <f>182.12/1.2</f>
        <v>151.76666666666668</v>
      </c>
      <c r="F10" s="38" t="s">
        <v>75</v>
      </c>
    </row>
    <row r="11" spans="1:14" ht="15.75" thickBot="1" x14ac:dyDescent="0.3">
      <c r="A11" s="101"/>
      <c r="B11" s="112" t="s">
        <v>78</v>
      </c>
      <c r="C11" s="113"/>
      <c r="D11" s="121">
        <f t="shared" si="0"/>
        <v>116</v>
      </c>
      <c r="E11" s="46">
        <f>116/1.2</f>
        <v>96.666666666666671</v>
      </c>
      <c r="F11" s="39" t="s">
        <v>77</v>
      </c>
    </row>
    <row r="12" spans="1:14" ht="15.75" thickBot="1" x14ac:dyDescent="0.3">
      <c r="A12" s="101"/>
    </row>
    <row r="13" spans="1:14" ht="15.75" thickBot="1" x14ac:dyDescent="0.3">
      <c r="A13" s="101"/>
      <c r="C13" s="240" t="s">
        <v>498</v>
      </c>
      <c r="D13" s="241"/>
      <c r="E13" s="241"/>
      <c r="F13" s="242"/>
    </row>
    <row r="14" spans="1:14" ht="15.75" thickBot="1" x14ac:dyDescent="0.3">
      <c r="A14" s="101"/>
      <c r="C14" s="280" t="s">
        <v>338</v>
      </c>
      <c r="D14" s="281"/>
      <c r="E14" s="281"/>
      <c r="F14" s="282"/>
    </row>
    <row r="15" spans="1:14" ht="15.75" thickBot="1" x14ac:dyDescent="0.3">
      <c r="A15" s="101"/>
      <c r="C15" s="125"/>
      <c r="D15" s="122" t="s">
        <v>38</v>
      </c>
      <c r="E15" s="116" t="s">
        <v>499</v>
      </c>
      <c r="F15" s="117" t="s">
        <v>160</v>
      </c>
    </row>
    <row r="16" spans="1:14" ht="15.75" thickBot="1" x14ac:dyDescent="0.3">
      <c r="A16" s="101"/>
      <c r="C16" s="127" t="s">
        <v>500</v>
      </c>
      <c r="D16" s="128">
        <v>200</v>
      </c>
      <c r="E16" s="283" t="s">
        <v>507</v>
      </c>
      <c r="F16" s="284"/>
    </row>
    <row r="17" spans="1:6" ht="15.75" thickBot="1" x14ac:dyDescent="0.3">
      <c r="A17" s="101"/>
      <c r="C17" s="125" t="s">
        <v>501</v>
      </c>
      <c r="D17" s="123">
        <v>18</v>
      </c>
      <c r="E17" s="285"/>
      <c r="F17" s="286"/>
    </row>
    <row r="18" spans="1:6" ht="15.75" thickBot="1" x14ac:dyDescent="0.3">
      <c r="A18" s="101"/>
      <c r="C18" s="125" t="s">
        <v>339</v>
      </c>
      <c r="D18" s="124">
        <f>D17*5/228</f>
        <v>0.39473684210526316</v>
      </c>
      <c r="E18" s="285"/>
      <c r="F18" s="286"/>
    </row>
    <row r="19" spans="1:6" ht="15.75" thickBot="1" x14ac:dyDescent="0.3">
      <c r="A19" s="101"/>
      <c r="C19" s="125" t="s">
        <v>340</v>
      </c>
      <c r="D19" s="123">
        <v>5.5</v>
      </c>
      <c r="E19" s="285"/>
      <c r="F19" s="286"/>
    </row>
    <row r="20" spans="1:6" ht="15.75" thickBot="1" x14ac:dyDescent="0.3">
      <c r="A20" s="101"/>
      <c r="C20" s="125" t="s">
        <v>341</v>
      </c>
      <c r="D20" s="126">
        <f>D18*D16/D19</f>
        <v>14.354066985645932</v>
      </c>
      <c r="E20" s="287"/>
      <c r="F20" s="288"/>
    </row>
    <row r="21" spans="1:6" ht="15.75" thickBot="1" x14ac:dyDescent="0.3">
      <c r="A21" s="101"/>
      <c r="C21" s="280" t="s">
        <v>506</v>
      </c>
      <c r="D21" s="281"/>
      <c r="E21" s="281"/>
      <c r="F21" s="282"/>
    </row>
    <row r="22" spans="1:6" ht="15.75" thickBot="1" x14ac:dyDescent="0.3">
      <c r="A22" s="101"/>
      <c r="C22" s="125"/>
      <c r="D22" s="122" t="s">
        <v>38</v>
      </c>
      <c r="E22" s="289" t="s">
        <v>160</v>
      </c>
      <c r="F22" s="290"/>
    </row>
    <row r="23" spans="1:6" ht="15.75" thickBot="1" x14ac:dyDescent="0.3">
      <c r="C23" s="125" t="s">
        <v>342</v>
      </c>
      <c r="D23" s="150"/>
      <c r="E23" s="283" t="s">
        <v>502</v>
      </c>
      <c r="F23" s="284"/>
    </row>
    <row r="24" spans="1:6" ht="15.75" thickBot="1" x14ac:dyDescent="0.3">
      <c r="C24" s="125" t="s">
        <v>503</v>
      </c>
      <c r="D24" s="151"/>
      <c r="E24" s="285"/>
      <c r="F24" s="286"/>
    </row>
    <row r="25" spans="1:6" ht="15.75" thickBot="1" x14ac:dyDescent="0.3">
      <c r="C25" s="125" t="s">
        <v>343</v>
      </c>
      <c r="D25" s="151"/>
      <c r="E25" s="285"/>
      <c r="F25" s="286"/>
    </row>
    <row r="26" spans="1:6" ht="15.75" thickBot="1" x14ac:dyDescent="0.3">
      <c r="A26" s="101"/>
      <c r="C26" s="125" t="s">
        <v>504</v>
      </c>
      <c r="D26" s="108">
        <f>7.8*1000*PI()*(D24*0.001)^2*1</f>
        <v>0</v>
      </c>
      <c r="E26" s="285"/>
      <c r="F26" s="286"/>
    </row>
    <row r="27" spans="1:6" ht="15.75" thickBot="1" x14ac:dyDescent="0.3">
      <c r="A27" s="101"/>
      <c r="C27" s="125" t="s">
        <v>514</v>
      </c>
      <c r="D27" s="152">
        <f>D23*D26</f>
        <v>0</v>
      </c>
      <c r="E27" s="287"/>
      <c r="F27" s="288"/>
    </row>
    <row r="28" spans="1:6" ht="15.75" thickBot="1" x14ac:dyDescent="0.3">
      <c r="A28" s="101"/>
      <c r="C28" s="291" t="s">
        <v>365</v>
      </c>
      <c r="D28" s="292"/>
      <c r="E28" s="292"/>
      <c r="F28" s="293"/>
    </row>
    <row r="29" spans="1:6" ht="15.75" thickBot="1" x14ac:dyDescent="0.3">
      <c r="A29" s="101"/>
      <c r="C29" s="129"/>
      <c r="D29" s="130" t="s">
        <v>38</v>
      </c>
      <c r="E29" s="289" t="s">
        <v>160</v>
      </c>
      <c r="F29" s="290"/>
    </row>
    <row r="30" spans="1:6" ht="15.75" thickBot="1" x14ac:dyDescent="0.3">
      <c r="A30" s="101"/>
      <c r="C30" s="125" t="s">
        <v>595</v>
      </c>
      <c r="D30" s="131">
        <v>156</v>
      </c>
      <c r="E30" s="283" t="s">
        <v>505</v>
      </c>
      <c r="F30" s="284"/>
    </row>
    <row r="31" spans="1:6" ht="15.75" thickBot="1" x14ac:dyDescent="0.3">
      <c r="A31" s="101"/>
      <c r="C31" s="125" t="s">
        <v>596</v>
      </c>
      <c r="D31" s="110">
        <f>'Manpower &amp; time'!H16*2</f>
        <v>55.666772252138102</v>
      </c>
      <c r="E31" s="285"/>
      <c r="F31" s="286"/>
    </row>
    <row r="32" spans="1:6" ht="15.75" thickBot="1" x14ac:dyDescent="0.3">
      <c r="A32" s="101"/>
      <c r="C32" s="125" t="s">
        <v>598</v>
      </c>
      <c r="D32" s="119">
        <f>D31*D30</f>
        <v>8684.0164713335434</v>
      </c>
      <c r="E32" s="287"/>
      <c r="F32" s="288"/>
    </row>
    <row r="33" spans="3:4" ht="15.75" thickBot="1" x14ac:dyDescent="0.3"/>
    <row r="34" spans="3:4" ht="15.75" thickBot="1" x14ac:dyDescent="0.3">
      <c r="C34" s="158" t="s">
        <v>597</v>
      </c>
      <c r="D34" s="159">
        <f>SUM(D20,D27,D32)</f>
        <v>8698.37053831919</v>
      </c>
    </row>
  </sheetData>
  <mergeCells count="10">
    <mergeCell ref="C14:F14"/>
    <mergeCell ref="C21:F21"/>
    <mergeCell ref="B2:F2"/>
    <mergeCell ref="C13:F13"/>
    <mergeCell ref="E30:F32"/>
    <mergeCell ref="E22:F22"/>
    <mergeCell ref="E23:F27"/>
    <mergeCell ref="E16:F20"/>
    <mergeCell ref="C28:F28"/>
    <mergeCell ref="E29:F29"/>
  </mergeCells>
  <hyperlinks>
    <hyperlink ref="F7" r:id="rId1" xr:uid="{00000000-0004-0000-0A00-000000000000}"/>
    <hyperlink ref="F4" r:id="rId2" xr:uid="{00000000-0004-0000-0A00-000003000000}"/>
    <hyperlink ref="F6" r:id="rId3" xr:uid="{00000000-0004-0000-0A00-000004000000}"/>
    <hyperlink ref="F5" r:id="rId4" xr:uid="{5120C19D-491D-4E5B-89C1-8686C76B5B2B}"/>
    <hyperlink ref="F9" r:id="rId5" xr:uid="{66BF594B-4A31-4282-B626-B0B6B928A2FE}"/>
    <hyperlink ref="F10" r:id="rId6" xr:uid="{04D0FF48-600A-44AB-83A0-23258AD99983}"/>
    <hyperlink ref="F11" r:id="rId7" xr:uid="{FA24D7B5-B09A-4622-837A-18941FED5801}"/>
    <hyperlink ref="F8" r:id="rId8" xr:uid="{C3A9DDC6-C30A-4F8C-9990-F0DA350AA1C2}"/>
  </hyperlinks>
  <pageMargins left="0.7" right="0.7" top="0.75" bottom="0.75" header="0.3" footer="0.3"/>
  <pageSetup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086-F0B7-408C-82FE-7CDCCC9406F5}">
  <sheetPr>
    <tabColor theme="7"/>
  </sheetPr>
  <dimension ref="A1:N34"/>
  <sheetViews>
    <sheetView showGridLines="0" workbookViewId="0">
      <selection activeCell="B4" sqref="B4"/>
    </sheetView>
  </sheetViews>
  <sheetFormatPr baseColWidth="10" defaultRowHeight="15" x14ac:dyDescent="0.25"/>
  <cols>
    <col min="1" max="1" width="2.85546875" style="43" customWidth="1"/>
    <col min="2" max="2" width="16.85546875" style="43" bestFit="1" customWidth="1"/>
    <col min="3" max="3" width="45.42578125" style="43" bestFit="1" customWidth="1"/>
    <col min="4" max="4" width="11.5703125" style="43" bestFit="1" customWidth="1"/>
    <col min="5" max="5" width="10.28515625" style="43" bestFit="1" customWidth="1"/>
    <col min="6" max="6" width="105.28515625" style="43" bestFit="1" customWidth="1"/>
    <col min="7" max="7" width="10.28515625" style="43" bestFit="1" customWidth="1"/>
    <col min="8" max="8" width="13.5703125" style="43" customWidth="1"/>
    <col min="9" max="16384" width="11.42578125" style="43"/>
  </cols>
  <sheetData>
    <row r="1" spans="1:14" ht="15.75" thickBot="1" x14ac:dyDescent="0.3"/>
    <row r="2" spans="1:14" ht="15.75" thickBot="1" x14ac:dyDescent="0.3">
      <c r="A2" s="101"/>
      <c r="B2" s="240" t="s">
        <v>489</v>
      </c>
      <c r="C2" s="241"/>
      <c r="D2" s="241"/>
      <c r="E2" s="241"/>
      <c r="F2" s="242"/>
    </row>
    <row r="3" spans="1:14" ht="15.75" thickBot="1" x14ac:dyDescent="0.3">
      <c r="A3" s="101"/>
      <c r="B3" s="115" t="s">
        <v>25</v>
      </c>
      <c r="C3" s="116" t="s">
        <v>176</v>
      </c>
      <c r="D3" s="116" t="s">
        <v>150</v>
      </c>
      <c r="E3" s="116" t="s">
        <v>151</v>
      </c>
      <c r="F3" s="117" t="s">
        <v>160</v>
      </c>
      <c r="N3" s="107"/>
    </row>
    <row r="4" spans="1:14" x14ac:dyDescent="0.25">
      <c r="A4" s="101"/>
      <c r="B4" s="44"/>
      <c r="C4" s="45"/>
      <c r="D4" s="118"/>
      <c r="E4" s="114"/>
      <c r="F4" s="36"/>
    </row>
    <row r="5" spans="1:14" x14ac:dyDescent="0.25">
      <c r="A5" s="101"/>
      <c r="B5" s="111"/>
      <c r="C5" s="108"/>
      <c r="D5" s="118"/>
      <c r="E5" s="109"/>
      <c r="F5" s="38"/>
    </row>
    <row r="6" spans="1:14" x14ac:dyDescent="0.25">
      <c r="A6" s="101"/>
      <c r="B6" s="111"/>
      <c r="C6" s="108"/>
      <c r="D6" s="118"/>
      <c r="E6" s="109"/>
      <c r="F6" s="38"/>
    </row>
    <row r="7" spans="1:14" x14ac:dyDescent="0.25">
      <c r="A7" s="101"/>
      <c r="B7" s="111"/>
      <c r="C7" s="108"/>
      <c r="D7" s="118"/>
      <c r="E7" s="109"/>
      <c r="F7" s="38"/>
      <c r="I7" s="107"/>
    </row>
    <row r="8" spans="1:14" x14ac:dyDescent="0.25">
      <c r="A8" s="101"/>
      <c r="B8" s="111"/>
      <c r="C8" s="108"/>
      <c r="D8" s="118"/>
      <c r="E8" s="109"/>
      <c r="F8" s="120"/>
    </row>
    <row r="9" spans="1:14" x14ac:dyDescent="0.25">
      <c r="A9" s="101"/>
      <c r="B9" s="111"/>
      <c r="C9" s="108"/>
      <c r="D9" s="118"/>
      <c r="E9" s="109"/>
      <c r="F9" s="38"/>
    </row>
    <row r="10" spans="1:14" x14ac:dyDescent="0.25">
      <c r="A10" s="101"/>
      <c r="B10" s="111"/>
      <c r="C10" s="108"/>
      <c r="D10" s="118"/>
      <c r="E10" s="109"/>
      <c r="F10" s="38"/>
    </row>
    <row r="11" spans="1:14" ht="15.75" thickBot="1" x14ac:dyDescent="0.3">
      <c r="A11" s="101"/>
      <c r="B11" s="112"/>
      <c r="C11" s="113"/>
      <c r="D11" s="121"/>
      <c r="E11" s="46"/>
      <c r="F11" s="39"/>
    </row>
    <row r="12" spans="1:14" ht="15.75" thickBot="1" x14ac:dyDescent="0.3">
      <c r="A12" s="101"/>
    </row>
    <row r="13" spans="1:14" ht="15.75" thickBot="1" x14ac:dyDescent="0.3">
      <c r="A13" s="101"/>
      <c r="C13" s="240" t="s">
        <v>498</v>
      </c>
      <c r="D13" s="241"/>
      <c r="E13" s="241"/>
      <c r="F13" s="242"/>
    </row>
    <row r="14" spans="1:14" ht="15.75" thickBot="1" x14ac:dyDescent="0.3">
      <c r="A14" s="101"/>
      <c r="C14" s="280"/>
      <c r="D14" s="281"/>
      <c r="E14" s="281"/>
      <c r="F14" s="282"/>
    </row>
    <row r="15" spans="1:14" ht="15.75" thickBot="1" x14ac:dyDescent="0.3">
      <c r="A15" s="101"/>
      <c r="C15" s="125"/>
      <c r="D15" s="122" t="s">
        <v>38</v>
      </c>
      <c r="E15" s="116" t="s">
        <v>499</v>
      </c>
      <c r="F15" s="117" t="s">
        <v>160</v>
      </c>
    </row>
    <row r="16" spans="1:14" ht="15.75" thickBot="1" x14ac:dyDescent="0.3">
      <c r="A16" s="101"/>
      <c r="C16" s="127" t="s">
        <v>500</v>
      </c>
      <c r="D16" s="128"/>
      <c r="E16" s="283"/>
      <c r="F16" s="284"/>
    </row>
    <row r="17" spans="1:6" ht="15.75" thickBot="1" x14ac:dyDescent="0.3">
      <c r="A17" s="101"/>
      <c r="C17" s="125" t="s">
        <v>501</v>
      </c>
      <c r="D17" s="123"/>
      <c r="E17" s="285"/>
      <c r="F17" s="286"/>
    </row>
    <row r="18" spans="1:6" ht="15.75" thickBot="1" x14ac:dyDescent="0.3">
      <c r="A18" s="101"/>
      <c r="C18" s="125" t="s">
        <v>339</v>
      </c>
      <c r="D18" s="124"/>
      <c r="E18" s="285"/>
      <c r="F18" s="286"/>
    </row>
    <row r="19" spans="1:6" ht="15.75" thickBot="1" x14ac:dyDescent="0.3">
      <c r="A19" s="101"/>
      <c r="C19" s="125" t="s">
        <v>340</v>
      </c>
      <c r="D19" s="123"/>
      <c r="E19" s="285"/>
      <c r="F19" s="286"/>
    </row>
    <row r="20" spans="1:6" ht="15.75" thickBot="1" x14ac:dyDescent="0.3">
      <c r="A20" s="101"/>
      <c r="C20" s="125" t="s">
        <v>341</v>
      </c>
      <c r="D20" s="126"/>
      <c r="E20" s="287"/>
      <c r="F20" s="288"/>
    </row>
    <row r="21" spans="1:6" ht="15.75" thickBot="1" x14ac:dyDescent="0.3">
      <c r="A21" s="101"/>
      <c r="C21" s="280"/>
      <c r="D21" s="281"/>
      <c r="E21" s="281"/>
      <c r="F21" s="282"/>
    </row>
    <row r="22" spans="1:6" ht="15.75" thickBot="1" x14ac:dyDescent="0.3">
      <c r="A22" s="101"/>
      <c r="C22" s="125"/>
      <c r="D22" s="122" t="s">
        <v>38</v>
      </c>
      <c r="E22" s="289" t="s">
        <v>160</v>
      </c>
      <c r="F22" s="290"/>
    </row>
    <row r="23" spans="1:6" ht="15.75" thickBot="1" x14ac:dyDescent="0.3">
      <c r="C23" s="125" t="s">
        <v>342</v>
      </c>
      <c r="D23" s="108"/>
      <c r="E23" s="283"/>
      <c r="F23" s="284"/>
    </row>
    <row r="24" spans="1:6" ht="15.75" thickBot="1" x14ac:dyDescent="0.3">
      <c r="C24" s="125" t="s">
        <v>503</v>
      </c>
      <c r="D24" s="108"/>
      <c r="E24" s="285"/>
      <c r="F24" s="286"/>
    </row>
    <row r="25" spans="1:6" ht="15.75" thickBot="1" x14ac:dyDescent="0.3">
      <c r="C25" s="125" t="s">
        <v>343</v>
      </c>
      <c r="D25" s="108"/>
      <c r="E25" s="285"/>
      <c r="F25" s="286"/>
    </row>
    <row r="26" spans="1:6" ht="15.75" thickBot="1" x14ac:dyDescent="0.3">
      <c r="A26" s="101"/>
      <c r="C26" s="125" t="s">
        <v>504</v>
      </c>
      <c r="D26" s="108"/>
      <c r="E26" s="285"/>
      <c r="F26" s="286"/>
    </row>
    <row r="27" spans="1:6" ht="15.75" thickBot="1" x14ac:dyDescent="0.3">
      <c r="A27" s="101"/>
      <c r="C27" s="125" t="s">
        <v>514</v>
      </c>
      <c r="D27" s="152"/>
      <c r="E27" s="287"/>
      <c r="F27" s="288"/>
    </row>
    <row r="28" spans="1:6" ht="15.75" thickBot="1" x14ac:dyDescent="0.3">
      <c r="A28" s="101"/>
      <c r="C28" s="291"/>
      <c r="D28" s="292"/>
      <c r="E28" s="292"/>
      <c r="F28" s="293"/>
    </row>
    <row r="29" spans="1:6" ht="15.75" thickBot="1" x14ac:dyDescent="0.3">
      <c r="A29" s="101"/>
      <c r="C29" s="129"/>
      <c r="D29" s="130" t="s">
        <v>38</v>
      </c>
      <c r="E29" s="289" t="s">
        <v>160</v>
      </c>
      <c r="F29" s="290"/>
    </row>
    <row r="30" spans="1:6" ht="15.75" thickBot="1" x14ac:dyDescent="0.3">
      <c r="A30" s="101"/>
      <c r="C30" s="125" t="s">
        <v>366</v>
      </c>
      <c r="D30" s="131"/>
      <c r="E30" s="283"/>
      <c r="F30" s="284"/>
    </row>
    <row r="31" spans="1:6" ht="15.75" thickBot="1" x14ac:dyDescent="0.3">
      <c r="A31" s="101"/>
      <c r="C31" s="125" t="s">
        <v>367</v>
      </c>
      <c r="D31" s="110"/>
      <c r="E31" s="285"/>
      <c r="F31" s="286"/>
    </row>
    <row r="32" spans="1:6" ht="15.75" thickBot="1" x14ac:dyDescent="0.3">
      <c r="A32" s="101"/>
      <c r="C32" s="125" t="s">
        <v>368</v>
      </c>
      <c r="D32" s="119"/>
      <c r="E32" s="287"/>
      <c r="F32" s="288"/>
    </row>
    <row r="33" spans="3:4" ht="15.75" thickBot="1" x14ac:dyDescent="0.3"/>
    <row r="34" spans="3:4" ht="15.75" thickBot="1" x14ac:dyDescent="0.3">
      <c r="C34" s="158" t="s">
        <v>515</v>
      </c>
      <c r="D34" s="159">
        <f>SUM(D20,D27,D32)</f>
        <v>0</v>
      </c>
    </row>
  </sheetData>
  <mergeCells count="10">
    <mergeCell ref="E23:F27"/>
    <mergeCell ref="C28:F28"/>
    <mergeCell ref="E29:F29"/>
    <mergeCell ref="E30:F32"/>
    <mergeCell ref="B2:F2"/>
    <mergeCell ref="C13:F13"/>
    <mergeCell ref="C14:F14"/>
    <mergeCell ref="E16:F20"/>
    <mergeCell ref="C21:F21"/>
    <mergeCell ref="E22:F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G45"/>
  <sheetViews>
    <sheetView showGridLines="0" workbookViewId="0">
      <selection activeCell="F31" sqref="F31"/>
    </sheetView>
  </sheetViews>
  <sheetFormatPr baseColWidth="10" defaultRowHeight="15" x14ac:dyDescent="0.25"/>
  <cols>
    <col min="1" max="1" width="4" style="47" customWidth="1"/>
    <col min="2" max="2" width="25" style="47" bestFit="1" customWidth="1"/>
    <col min="3" max="3" width="24.5703125" style="47" bestFit="1" customWidth="1"/>
    <col min="4" max="4" width="19" style="518" bestFit="1" customWidth="1"/>
    <col min="5" max="5" width="18.7109375" style="47" bestFit="1" customWidth="1"/>
    <col min="6" max="6" width="111.140625" style="47" bestFit="1" customWidth="1"/>
    <col min="7" max="7" width="9.42578125" style="47" bestFit="1" customWidth="1"/>
    <col min="8" max="16384" width="11.42578125" style="47"/>
  </cols>
  <sheetData>
    <row r="1" spans="2:6" ht="15.75" thickBot="1" x14ac:dyDescent="0.3"/>
    <row r="2" spans="2:6" ht="15.75" thickBot="1" x14ac:dyDescent="0.3">
      <c r="B2" s="240" t="s">
        <v>489</v>
      </c>
      <c r="C2" s="241"/>
      <c r="D2" s="241"/>
      <c r="E2" s="241"/>
      <c r="F2" s="242"/>
    </row>
    <row r="3" spans="2:6" ht="15.75" thickBot="1" x14ac:dyDescent="0.3">
      <c r="B3" s="509" t="s">
        <v>25</v>
      </c>
      <c r="C3" s="512" t="s">
        <v>176</v>
      </c>
      <c r="D3" s="519" t="s">
        <v>151</v>
      </c>
      <c r="E3" s="512" t="s">
        <v>150</v>
      </c>
      <c r="F3" s="513" t="s">
        <v>160</v>
      </c>
    </row>
    <row r="4" spans="2:6" x14ac:dyDescent="0.25">
      <c r="B4" s="514" t="s">
        <v>610</v>
      </c>
      <c r="C4" s="48"/>
      <c r="D4" s="520"/>
      <c r="E4" s="56">
        <f>D4*(1+Summary!$D$17)</f>
        <v>0</v>
      </c>
      <c r="F4" s="182" t="s">
        <v>12</v>
      </c>
    </row>
    <row r="5" spans="2:6" x14ac:dyDescent="0.25">
      <c r="B5" s="192" t="s">
        <v>611</v>
      </c>
      <c r="C5" s="50" t="s">
        <v>45</v>
      </c>
      <c r="D5" s="521">
        <v>79995</v>
      </c>
      <c r="E5" s="53">
        <f>D5*(1+Summary!$D$17)</f>
        <v>95994</v>
      </c>
      <c r="F5" s="185" t="s">
        <v>46</v>
      </c>
    </row>
    <row r="6" spans="2:6" x14ac:dyDescent="0.25">
      <c r="B6" s="517" t="s">
        <v>79</v>
      </c>
      <c r="C6" s="186">
        <v>100</v>
      </c>
      <c r="D6" s="522">
        <v>40</v>
      </c>
      <c r="E6" s="53">
        <f>D6*(1+Summary!$D$17)</f>
        <v>48</v>
      </c>
      <c r="F6" s="523" t="s">
        <v>80</v>
      </c>
    </row>
    <row r="7" spans="2:6" ht="15.75" thickBot="1" x14ac:dyDescent="0.3">
      <c r="B7" s="192" t="s">
        <v>63</v>
      </c>
      <c r="C7" s="53">
        <v>2500</v>
      </c>
      <c r="D7" s="521">
        <v>1</v>
      </c>
      <c r="E7" s="53">
        <f>D7*(1+Summary!$D$17)</f>
        <v>1.2</v>
      </c>
      <c r="F7" s="185" t="s">
        <v>59</v>
      </c>
    </row>
    <row r="8" spans="2:6" ht="15.75" thickBot="1" x14ac:dyDescent="0.3">
      <c r="B8" s="115" t="s">
        <v>25</v>
      </c>
      <c r="C8" s="515" t="s">
        <v>176</v>
      </c>
      <c r="D8" s="536" t="s">
        <v>38</v>
      </c>
      <c r="E8" s="537"/>
      <c r="F8" s="516" t="s">
        <v>160</v>
      </c>
    </row>
    <row r="9" spans="2:6" x14ac:dyDescent="0.25">
      <c r="B9" s="530" t="s">
        <v>612</v>
      </c>
      <c r="C9" s="48" t="s">
        <v>614</v>
      </c>
      <c r="D9" s="538">
        <v>12000</v>
      </c>
      <c r="E9" s="539"/>
      <c r="F9" s="532" t="s">
        <v>46</v>
      </c>
    </row>
    <row r="10" spans="2:6" x14ac:dyDescent="0.25">
      <c r="B10" s="531"/>
      <c r="C10" s="50" t="s">
        <v>615</v>
      </c>
      <c r="D10" s="540" t="s">
        <v>613</v>
      </c>
      <c r="E10" s="541"/>
      <c r="F10" s="533"/>
    </row>
    <row r="11" spans="2:6" x14ac:dyDescent="0.25">
      <c r="B11" s="531"/>
      <c r="C11" s="50" t="s">
        <v>602</v>
      </c>
      <c r="D11" s="544">
        <v>22.4</v>
      </c>
      <c r="E11" s="545"/>
      <c r="F11" s="533"/>
    </row>
    <row r="12" spans="2:6" x14ac:dyDescent="0.25">
      <c r="B12" s="531"/>
      <c r="C12" s="50" t="s">
        <v>616</v>
      </c>
      <c r="D12" s="540" t="s">
        <v>47</v>
      </c>
      <c r="E12" s="541"/>
      <c r="F12" s="533"/>
    </row>
    <row r="13" spans="2:6" x14ac:dyDescent="0.25">
      <c r="B13" s="531"/>
      <c r="C13" s="50" t="s">
        <v>48</v>
      </c>
      <c r="D13" s="540" t="s">
        <v>49</v>
      </c>
      <c r="E13" s="541"/>
      <c r="F13" s="533"/>
    </row>
    <row r="14" spans="2:6" x14ac:dyDescent="0.25">
      <c r="B14" s="531"/>
      <c r="C14" s="50" t="s">
        <v>617</v>
      </c>
      <c r="D14" s="540" t="s">
        <v>50</v>
      </c>
      <c r="E14" s="541"/>
      <c r="F14" s="533"/>
    </row>
    <row r="15" spans="2:6" x14ac:dyDescent="0.25">
      <c r="B15" s="531"/>
      <c r="C15" s="50" t="s">
        <v>618</v>
      </c>
      <c r="D15" s="540" t="s">
        <v>619</v>
      </c>
      <c r="E15" s="541"/>
      <c r="F15" s="533"/>
    </row>
    <row r="16" spans="2:6" ht="15.75" thickBot="1" x14ac:dyDescent="0.3">
      <c r="B16" s="534"/>
      <c r="C16" s="52" t="s">
        <v>621</v>
      </c>
      <c r="D16" s="542" t="s">
        <v>620</v>
      </c>
      <c r="E16" s="543"/>
      <c r="F16" s="535"/>
    </row>
    <row r="17" spans="1:7" ht="15.75" thickBot="1" x14ac:dyDescent="0.3">
      <c r="D17" s="47"/>
    </row>
    <row r="18" spans="1:7" ht="15.75" thickBot="1" x14ac:dyDescent="0.3">
      <c r="C18" s="240" t="s">
        <v>498</v>
      </c>
      <c r="D18" s="241"/>
      <c r="E18" s="241"/>
      <c r="F18" s="242"/>
    </row>
    <row r="19" spans="1:7" ht="15.75" thickBot="1" x14ac:dyDescent="0.3">
      <c r="C19" s="280" t="s">
        <v>51</v>
      </c>
      <c r="D19" s="281"/>
      <c r="E19" s="281"/>
      <c r="F19" s="282"/>
    </row>
    <row r="20" spans="1:7" ht="15.75" thickBot="1" x14ac:dyDescent="0.3">
      <c r="C20" s="129"/>
      <c r="D20" s="130" t="s">
        <v>38</v>
      </c>
      <c r="E20" s="510" t="s">
        <v>499</v>
      </c>
      <c r="F20" s="511" t="s">
        <v>160</v>
      </c>
    </row>
    <row r="21" spans="1:7" x14ac:dyDescent="0.25">
      <c r="C21" s="527" t="s">
        <v>622</v>
      </c>
      <c r="D21" s="524"/>
      <c r="E21" s="48"/>
      <c r="F21" s="182" t="s">
        <v>58</v>
      </c>
    </row>
    <row r="22" spans="1:7" x14ac:dyDescent="0.25">
      <c r="C22" s="528" t="s">
        <v>623</v>
      </c>
      <c r="D22" s="525"/>
      <c r="E22" s="50" t="s">
        <v>52</v>
      </c>
      <c r="F22" s="185" t="s">
        <v>57</v>
      </c>
    </row>
    <row r="23" spans="1:7" ht="15.75" thickBot="1" x14ac:dyDescent="0.3">
      <c r="C23" s="529" t="s">
        <v>624</v>
      </c>
      <c r="D23" s="526">
        <v>10.58</v>
      </c>
      <c r="E23" s="52"/>
      <c r="F23" s="55"/>
    </row>
    <row r="24" spans="1:7" x14ac:dyDescent="0.25">
      <c r="B24" s="518"/>
      <c r="C24" s="518"/>
      <c r="E24" s="518"/>
      <c r="F24" s="518"/>
    </row>
    <row r="25" spans="1:7" x14ac:dyDescent="0.25">
      <c r="B25" s="518"/>
      <c r="C25" s="518"/>
      <c r="E25" s="518"/>
      <c r="F25" s="518"/>
      <c r="G25" s="60"/>
    </row>
    <row r="26" spans="1:7" x14ac:dyDescent="0.25">
      <c r="B26" s="518"/>
      <c r="C26" s="518"/>
      <c r="E26" s="518"/>
      <c r="F26" s="518"/>
      <c r="G26" s="60"/>
    </row>
    <row r="27" spans="1:7" x14ac:dyDescent="0.25">
      <c r="B27" s="518"/>
      <c r="D27" s="47"/>
      <c r="G27" s="60"/>
    </row>
    <row r="28" spans="1:7" x14ac:dyDescent="0.25">
      <c r="A28" s="518"/>
      <c r="B28" s="518"/>
      <c r="C28" s="518"/>
      <c r="E28" s="518"/>
      <c r="F28" s="518"/>
    </row>
    <row r="29" spans="1:7" x14ac:dyDescent="0.25">
      <c r="A29" s="518"/>
      <c r="B29" s="518"/>
    </row>
    <row r="30" spans="1:7" x14ac:dyDescent="0.25">
      <c r="A30" s="518"/>
      <c r="B30" s="518"/>
      <c r="C30" s="518"/>
      <c r="E30" s="518"/>
      <c r="F30" s="518"/>
    </row>
    <row r="31" spans="1:7" x14ac:dyDescent="0.25">
      <c r="A31" s="518"/>
      <c r="B31" s="518"/>
      <c r="C31" s="518"/>
      <c r="E31" s="518"/>
      <c r="F31" s="518"/>
    </row>
    <row r="32" spans="1:7" x14ac:dyDescent="0.25">
      <c r="A32" s="518"/>
      <c r="B32" s="518"/>
      <c r="C32" s="518"/>
      <c r="E32" s="518"/>
      <c r="F32" s="518"/>
    </row>
    <row r="33" spans="1:6" x14ac:dyDescent="0.25">
      <c r="A33" s="518"/>
      <c r="B33" s="518"/>
      <c r="C33" s="518"/>
      <c r="E33" s="518"/>
      <c r="F33" s="518"/>
    </row>
    <row r="34" spans="1:6" x14ac:dyDescent="0.25">
      <c r="A34" s="518"/>
      <c r="B34" s="518"/>
      <c r="C34" s="518"/>
      <c r="E34" s="518"/>
      <c r="F34" s="518"/>
    </row>
    <row r="35" spans="1:6" x14ac:dyDescent="0.25">
      <c r="A35" s="518"/>
      <c r="B35" s="518"/>
      <c r="C35" s="518"/>
      <c r="E35" s="518"/>
      <c r="F35" s="518"/>
    </row>
    <row r="36" spans="1:6" x14ac:dyDescent="0.25">
      <c r="A36" s="518"/>
      <c r="B36" s="518"/>
      <c r="C36" s="518"/>
      <c r="E36" s="518"/>
      <c r="F36" s="518"/>
    </row>
    <row r="37" spans="1:6" x14ac:dyDescent="0.25">
      <c r="A37" s="518"/>
      <c r="B37" s="518"/>
      <c r="C37" s="518"/>
      <c r="E37" s="518"/>
      <c r="F37" s="518"/>
    </row>
    <row r="41" spans="1:6" x14ac:dyDescent="0.25">
      <c r="B41" s="518"/>
      <c r="C41" s="518"/>
      <c r="E41" s="518"/>
      <c r="F41" s="518"/>
    </row>
    <row r="42" spans="1:6" x14ac:dyDescent="0.25">
      <c r="B42" s="518"/>
      <c r="C42" s="518"/>
      <c r="E42" s="518"/>
      <c r="F42" s="518"/>
    </row>
    <row r="43" spans="1:6" x14ac:dyDescent="0.25">
      <c r="B43" s="518"/>
      <c r="C43" s="518"/>
      <c r="E43" s="518"/>
      <c r="F43" s="518"/>
    </row>
    <row r="44" spans="1:6" x14ac:dyDescent="0.25">
      <c r="B44" s="518"/>
      <c r="C44" s="518"/>
      <c r="E44" s="518"/>
      <c r="F44" s="518"/>
    </row>
    <row r="45" spans="1:6" x14ac:dyDescent="0.25">
      <c r="B45" s="518"/>
      <c r="C45" s="518"/>
      <c r="E45" s="518"/>
      <c r="F45" s="518"/>
    </row>
  </sheetData>
  <mergeCells count="14">
    <mergeCell ref="D13:E13"/>
    <mergeCell ref="D14:E14"/>
    <mergeCell ref="D15:E15"/>
    <mergeCell ref="D16:E16"/>
    <mergeCell ref="B2:F2"/>
    <mergeCell ref="C18:F18"/>
    <mergeCell ref="C19:F19"/>
    <mergeCell ref="B9:B16"/>
    <mergeCell ref="F9:F16"/>
    <mergeCell ref="D8:E8"/>
    <mergeCell ref="D9:E9"/>
    <mergeCell ref="D10:E10"/>
    <mergeCell ref="D11:E11"/>
    <mergeCell ref="D12:E12"/>
  </mergeCells>
  <hyperlinks>
    <hyperlink ref="F4" r:id="rId1" xr:uid="{00000000-0004-0000-0700-000000000000}"/>
    <hyperlink ref="F5" r:id="rId2" xr:uid="{00000000-0004-0000-0700-000001000000}"/>
    <hyperlink ref="F6" r:id="rId3" xr:uid="{FF3218DB-58F2-4142-89F7-50464F72D68A}"/>
    <hyperlink ref="F7" r:id="rId4" xr:uid="{CE6504F5-91A3-4AA8-A587-8D161F40F267}"/>
    <hyperlink ref="F21" r:id="rId5" xr:uid="{B1250A06-815C-4A83-A212-96001E3FAB8C}"/>
    <hyperlink ref="F22" r:id="rId6" xr:uid="{4AF2A1F2-F8F4-411F-B4F8-0D496BFFA78E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Manpower &amp; time</vt:lpstr>
      <vt:lpstr>Energies</vt:lpstr>
      <vt:lpstr>IT&amp;Office</vt:lpstr>
      <vt:lpstr>Manufacturing</vt:lpstr>
      <vt:lpstr>Metrology</vt:lpstr>
      <vt:lpstr>Welding</vt:lpstr>
      <vt:lpstr>Cutting</vt:lpstr>
      <vt:lpstr>CNC mill</vt:lpstr>
      <vt:lpstr>CNC lathe</vt:lpstr>
      <vt:lpstr>Laser cutter</vt:lpstr>
      <vt:lpstr>Frame tubes</vt:lpstr>
      <vt:lpstr>Body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Louise Am</cp:lastModifiedBy>
  <dcterms:created xsi:type="dcterms:W3CDTF">2019-04-04T18:24:41Z</dcterms:created>
  <dcterms:modified xsi:type="dcterms:W3CDTF">2021-06-01T21:01:01Z</dcterms:modified>
</cp:coreProperties>
</file>